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omments6.xml" ContentType="application/vnd.openxmlformats-officedocument.spreadsheetml.comments+xml"/>
  <Override PartName="/xl/threadedComments/threadedComment2.xml" ContentType="application/vnd.ms-excel.threadedcomments+xml"/>
  <Override PartName="/xl/comments7.xml" ContentType="application/vnd.openxmlformats-officedocument.spreadsheetml.comments+xml"/>
  <Override PartName="/xl/threadedComments/threadedComment3.xml" ContentType="application/vnd.ms-excel.threadedcomments+xml"/>
  <Override PartName="/xl/externalLinks/externalLink1.xml" ContentType="application/vnd.openxmlformats-officedocument.spreadsheetml.externalLink+xml"/>
  <Override PartName="/xl/comments8.xml" ContentType="application/vnd.openxmlformats-officedocument.spreadsheetml.comments+xml"/>
  <Override PartName="/xl/externalLinks/externalLink2.xml" ContentType="application/vnd.openxmlformats-officedocument.spreadsheetml.externalLink+xml"/>
  <Override PartName="/xl/comments9.xml" ContentType="application/vnd.openxmlformats-officedocument.spreadsheetml.comments+xml"/>
  <Override PartName="/xl/externalLinks/externalLink3.xml" ContentType="application/vnd.openxmlformats-officedocument.spreadsheetml.externalLink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LeMay\General Rate Filing\PCR Filed 7-15-2022\Non Confidential\"/>
    </mc:Choice>
  </mc:AlternateContent>
  <xr:revisionPtr revIDLastSave="0" documentId="13_ncr:1_{6FE11DB7-FCAA-4BD6-B706-A77529386936}" xr6:coauthVersionLast="47" xr6:coauthVersionMax="47" xr10:uidLastSave="{00000000-0000-0000-0000-000000000000}"/>
  <bookViews>
    <workbookView xWindow="-120" yWindow="-120" windowWidth="29040" windowHeight="15840" tabRatio="742" xr2:uid="{00000000-000D-0000-FFFF-FFFF00000000}"/>
  </bookViews>
  <sheets>
    <sheet name="FAR 6.30.22" sheetId="37" r:id="rId1"/>
    <sheet name="FAR 12.2021 - For Lookup" sheetId="32" r:id="rId2"/>
    <sheet name="FAR Dep Summary" sheetId="33" r:id="rId3"/>
    <sheet name="2022 Bud CapEx" sheetId="35" r:id="rId4"/>
    <sheet name="2180 Deprec" sheetId="27" r:id="rId5"/>
    <sheet name="2180 Trucks" sheetId="28" r:id="rId6"/>
    <sheet name="2180 Cont, DB" sheetId="29" r:id="rId7"/>
    <sheet name="2180 Other" sheetId="30" r:id="rId8"/>
    <sheet name="2180 Trucks - Orig." sheetId="18" r:id="rId9"/>
    <sheet name="2180 Other - Orig." sheetId="19" r:id="rId10"/>
    <sheet name="Ratios (C)" sheetId="26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A">#REF!</definedName>
    <definedName name="\c">'[1]10200'!$IU$8196</definedName>
    <definedName name="\D" localSheetId="4">#REF!</definedName>
    <definedName name="\D">#REF!</definedName>
    <definedName name="\E">'[2]#REF'!$AD$4</definedName>
    <definedName name="\R">'[2]#REF'!$AD$8</definedName>
    <definedName name="\S" localSheetId="4">#REF!</definedName>
    <definedName name="\S">#REF!</definedName>
    <definedName name="\Y" localSheetId="4">#REF!</definedName>
    <definedName name="\Y" localSheetId="10">#REF!</definedName>
    <definedName name="\y">'[1]10200'!$IU$8196</definedName>
    <definedName name="\z">#REF!</definedName>
    <definedName name="_____________CYA1">[3]Hidden!$N$11</definedName>
    <definedName name="_____________CYA10">[3]Hidden!$E$11</definedName>
    <definedName name="_____________CYA11">[3]Hidden!$P$11</definedName>
    <definedName name="_____________CYA2">[3]Hidden!$M$11</definedName>
    <definedName name="_____________CYA3">[3]Hidden!$L$11</definedName>
    <definedName name="_____________CYA4">[3]Hidden!$K$11</definedName>
    <definedName name="_____________CYA5">[3]Hidden!$J$11</definedName>
    <definedName name="_____________CYA6">[3]Hidden!$I$11</definedName>
    <definedName name="_____________CYA7">[3]Hidden!$H$11</definedName>
    <definedName name="_____________CYA8">[3]Hidden!$G$11</definedName>
    <definedName name="_____________CYA9">[3]Hidden!$F$11</definedName>
    <definedName name="_____________LYA12">[3]Hidden!$O$11</definedName>
    <definedName name="____________CYA1">[3]Hidden!$N$11</definedName>
    <definedName name="____________CYA10">[3]Hidden!$E$11</definedName>
    <definedName name="____________CYA11">[3]Hidden!$P$11</definedName>
    <definedName name="____________CYA2">[3]Hidden!$M$11</definedName>
    <definedName name="____________CYA3">[3]Hidden!$L$11</definedName>
    <definedName name="____________CYA4">[3]Hidden!$K$11</definedName>
    <definedName name="____________CYA5">[3]Hidden!$J$11</definedName>
    <definedName name="____________CYA6">[3]Hidden!$I$11</definedName>
    <definedName name="____________CYA7">[3]Hidden!$H$11</definedName>
    <definedName name="____________CYA8">[3]Hidden!$G$11</definedName>
    <definedName name="____________CYA9">[3]Hidden!$F$11</definedName>
    <definedName name="____________LYA12">[3]Hidden!$O$11</definedName>
    <definedName name="___________CYA1">[3]Hidden!$N$11</definedName>
    <definedName name="___________CYA10">[3]Hidden!$E$11</definedName>
    <definedName name="___________CYA11">[3]Hidden!$P$11</definedName>
    <definedName name="___________CYA2">[3]Hidden!$M$11</definedName>
    <definedName name="___________CYA3">[3]Hidden!$L$11</definedName>
    <definedName name="___________CYA4">[3]Hidden!$K$11</definedName>
    <definedName name="___________CYA5">[3]Hidden!$J$11</definedName>
    <definedName name="___________CYA6">[3]Hidden!$I$11</definedName>
    <definedName name="___________CYA7">[3]Hidden!$H$11</definedName>
    <definedName name="___________CYA8">[3]Hidden!$G$11</definedName>
    <definedName name="___________CYA9">[3]Hidden!$F$11</definedName>
    <definedName name="___________LYA12">[3]Hidden!$O$11</definedName>
    <definedName name="__________CYA1">[3]Hidden!$N$11</definedName>
    <definedName name="__________CYA10">[3]Hidden!$E$11</definedName>
    <definedName name="__________CYA11">[3]Hidden!$P$11</definedName>
    <definedName name="__________CYA2">[3]Hidden!$M$11</definedName>
    <definedName name="__________CYA3">[3]Hidden!$L$11</definedName>
    <definedName name="__________CYA4">[3]Hidden!$K$11</definedName>
    <definedName name="__________CYA5">[3]Hidden!$J$11</definedName>
    <definedName name="__________CYA6">[3]Hidden!$I$11</definedName>
    <definedName name="__________CYA7">[3]Hidden!$H$11</definedName>
    <definedName name="__________CYA8">[3]Hidden!$G$11</definedName>
    <definedName name="__________CYA9">[3]Hidden!$F$11</definedName>
    <definedName name="__________LYA12">[3]Hidden!$O$11</definedName>
    <definedName name="_________CYA1">[3]Hidden!$N$11</definedName>
    <definedName name="_________CYA10">[3]Hidden!$E$11</definedName>
    <definedName name="_________CYA11">[3]Hidden!$P$11</definedName>
    <definedName name="_________CYA2">[3]Hidden!$M$11</definedName>
    <definedName name="_________CYA3">[3]Hidden!$L$11</definedName>
    <definedName name="_________CYA4">[3]Hidden!$K$11</definedName>
    <definedName name="_________CYA5">[3]Hidden!$J$11</definedName>
    <definedName name="_________CYA6">[3]Hidden!$I$11</definedName>
    <definedName name="_________CYA7">[3]Hidden!$H$11</definedName>
    <definedName name="_________CYA8">[3]Hidden!$G$11</definedName>
    <definedName name="_________CYA9">[3]Hidden!$F$11</definedName>
    <definedName name="_________LYA12">[3]Hidden!$O$11</definedName>
    <definedName name="________CYA1">[3]Hidden!$N$11</definedName>
    <definedName name="________CYA10">[3]Hidden!$E$11</definedName>
    <definedName name="________CYA11">[3]Hidden!$P$11</definedName>
    <definedName name="________CYA2">[3]Hidden!$M$11</definedName>
    <definedName name="________CYA3">[3]Hidden!$L$11</definedName>
    <definedName name="________CYA4">[3]Hidden!$K$11</definedName>
    <definedName name="________CYA5">[3]Hidden!$J$11</definedName>
    <definedName name="________CYA6">[3]Hidden!$I$11</definedName>
    <definedName name="________CYA7">[3]Hidden!$H$11</definedName>
    <definedName name="________CYA8">[3]Hidden!$G$11</definedName>
    <definedName name="________CYA9">[3]Hidden!$F$11</definedName>
    <definedName name="________LYA12">[3]Hidden!$O$11</definedName>
    <definedName name="_______CYA1">[3]Hidden!$N$11</definedName>
    <definedName name="_______CYA10">[3]Hidden!$E$11</definedName>
    <definedName name="_______CYA11">[3]Hidden!$P$11</definedName>
    <definedName name="_______CYA2">[3]Hidden!$M$11</definedName>
    <definedName name="_______CYA3">[3]Hidden!$L$11</definedName>
    <definedName name="_______CYA4">[3]Hidden!$K$11</definedName>
    <definedName name="_______CYA5">[3]Hidden!$J$11</definedName>
    <definedName name="_______CYA6">[3]Hidden!$I$11</definedName>
    <definedName name="_______CYA7">[3]Hidden!$H$11</definedName>
    <definedName name="_______CYA8">[3]Hidden!$G$11</definedName>
    <definedName name="_______CYA9">[3]Hidden!$F$11</definedName>
    <definedName name="_______LYA12">[3]Hidden!$O$11</definedName>
    <definedName name="______CYA1">[3]Hidden!$N$11</definedName>
    <definedName name="______CYA10">[3]Hidden!$E$11</definedName>
    <definedName name="______CYA11">[3]Hidden!$P$11</definedName>
    <definedName name="______CYA2">[3]Hidden!$M$11</definedName>
    <definedName name="______CYA3">[3]Hidden!$L$11</definedName>
    <definedName name="______CYA4">[3]Hidden!$K$11</definedName>
    <definedName name="______CYA5">[3]Hidden!$J$11</definedName>
    <definedName name="______CYA6">[3]Hidden!$I$11</definedName>
    <definedName name="______CYA7">[3]Hidden!$H$11</definedName>
    <definedName name="______CYA8">[3]Hidden!$G$11</definedName>
    <definedName name="______CYA9">[3]Hidden!$F$11</definedName>
    <definedName name="______LYA12">[3]Hidden!$O$11</definedName>
    <definedName name="_____CYA1">[3]Hidden!$N$11</definedName>
    <definedName name="_____CYA10">[3]Hidden!$E$11</definedName>
    <definedName name="_____CYA11">[3]Hidden!$P$11</definedName>
    <definedName name="_____CYA2">[3]Hidden!$M$11</definedName>
    <definedName name="_____CYA3">[3]Hidden!$L$11</definedName>
    <definedName name="_____CYA4">[3]Hidden!$K$11</definedName>
    <definedName name="_____CYA5">[3]Hidden!$J$11</definedName>
    <definedName name="_____CYA6">[3]Hidden!$I$11</definedName>
    <definedName name="_____CYA7">[3]Hidden!$H$11</definedName>
    <definedName name="_____CYA8">[3]Hidden!$G$11</definedName>
    <definedName name="_____CYA9">[3]Hidden!$F$11</definedName>
    <definedName name="_____LYA12">[3]Hidden!$O$11</definedName>
    <definedName name="____CYA1">[3]Hidden!$N$11</definedName>
    <definedName name="____CYA10">[3]Hidden!$E$11</definedName>
    <definedName name="____CYA11">[3]Hidden!$P$11</definedName>
    <definedName name="____CYA2">[3]Hidden!$M$11</definedName>
    <definedName name="____CYA3">[3]Hidden!$L$11</definedName>
    <definedName name="____CYA4">[3]Hidden!$K$11</definedName>
    <definedName name="____CYA5">[3]Hidden!$J$11</definedName>
    <definedName name="____CYA6">[3]Hidden!$I$11</definedName>
    <definedName name="____CYA7">[3]Hidden!$H$11</definedName>
    <definedName name="____CYA8">[3]Hidden!$G$11</definedName>
    <definedName name="____CYA9">[3]Hidden!$F$11</definedName>
    <definedName name="____LYA12">[3]Hidden!$O$11</definedName>
    <definedName name="___CYA1">[3]Hidden!$N$11</definedName>
    <definedName name="___CYA10">[3]Hidden!$E$11</definedName>
    <definedName name="___CYA11">[3]Hidden!$P$11</definedName>
    <definedName name="___CYA2">[3]Hidden!$M$11</definedName>
    <definedName name="___CYA3">[3]Hidden!$L$11</definedName>
    <definedName name="___CYA4">[3]Hidden!$K$11</definedName>
    <definedName name="___CYA5">[3]Hidden!$J$11</definedName>
    <definedName name="___CYA6">[3]Hidden!$I$11</definedName>
    <definedName name="___CYA7">[3]Hidden!$H$11</definedName>
    <definedName name="___CYA8">[3]Hidden!$G$11</definedName>
    <definedName name="___CYA9">[3]Hidden!$F$11</definedName>
    <definedName name="___LYA12">[3]Hidden!$O$11</definedName>
    <definedName name="__ACT1">[4]Hidden!#REF!</definedName>
    <definedName name="__ACT2">[4]Hidden!#REF!</definedName>
    <definedName name="__ACT3">[4]Hidden!#REF!</definedName>
    <definedName name="__CYA1">[3]Hidden!$N$11</definedName>
    <definedName name="__CYA10">[3]Hidden!$E$11</definedName>
    <definedName name="__CYA11">[3]Hidden!$P$11</definedName>
    <definedName name="__CYA2">[3]Hidden!$M$11</definedName>
    <definedName name="__CYA3">[3]Hidden!$L$11</definedName>
    <definedName name="__CYA4">[3]Hidden!$K$11</definedName>
    <definedName name="__CYA5">[3]Hidden!$J$11</definedName>
    <definedName name="__CYA6">[3]Hidden!$I$11</definedName>
    <definedName name="__CYA7">[3]Hidden!$H$11</definedName>
    <definedName name="__CYA8">[3]Hidden!$G$11</definedName>
    <definedName name="__CYA9">[3]Hidden!$F$11</definedName>
    <definedName name="__LYA12">[3]Hidden!$O$11</definedName>
    <definedName name="_123Graph_g" hidden="1">'[2]#REF'!$F$9:$F$83</definedName>
    <definedName name="_13054">'[5]10800-10899'!#REF!</definedName>
    <definedName name="_132" hidden="1">[1]XXXXXX!$B$10:$B$10</definedName>
    <definedName name="_132Graph_h" localSheetId="4" hidden="1">#REF!</definedName>
    <definedName name="_132Graph_h" localSheetId="10" hidden="1">#REF!</definedName>
    <definedName name="_132Graph_h" hidden="1">#REF!</definedName>
    <definedName name="_ACT1" localSheetId="4">[4]Hidden!#REF!</definedName>
    <definedName name="_ACT1" localSheetId="10">[4]Hidden!#REF!</definedName>
    <definedName name="_ACT1">[6]Hidden!#REF!</definedName>
    <definedName name="_ACT2" localSheetId="4">[4]Hidden!#REF!</definedName>
    <definedName name="_ACT2" localSheetId="10">[4]Hidden!#REF!</definedName>
    <definedName name="_ACT2">[6]Hidden!#REF!</definedName>
    <definedName name="_ACT3" localSheetId="4">[4]Hidden!#REF!</definedName>
    <definedName name="_ACT3" localSheetId="10">[4]Hidden!#REF!</definedName>
    <definedName name="_ACT3">[6]Hidden!#REF!</definedName>
    <definedName name="_BUN1">'[7]2008 West Group IS'!$AJ$5</definedName>
    <definedName name="_BUN3">'[7]2008 Group Office IS'!$AJ$5</definedName>
    <definedName name="_COS1" localSheetId="4">#REF!</definedName>
    <definedName name="_COS1">#REF!</definedName>
    <definedName name="_COS2" localSheetId="4">#REF!</definedName>
    <definedName name="_COS2">#REF!</definedName>
    <definedName name="_CYA1">[3]Hidden!$N$11</definedName>
    <definedName name="_CYA10">[3]Hidden!$E$11</definedName>
    <definedName name="_CYA11">[3]Hidden!$P$11</definedName>
    <definedName name="_CYA2">[3]Hidden!$M$11</definedName>
    <definedName name="_CYA3">[3]Hidden!$L$11</definedName>
    <definedName name="_CYA4">[3]Hidden!$K$11</definedName>
    <definedName name="_CYA5">[3]Hidden!$J$11</definedName>
    <definedName name="_CYA6">[3]Hidden!$I$11</definedName>
    <definedName name="_CYA7">[3]Hidden!$H$11</definedName>
    <definedName name="_CYA8">[3]Hidden!$G$11</definedName>
    <definedName name="_CYA9">[3]Hidden!$F$11</definedName>
    <definedName name="_Fill" localSheetId="4" hidden="1">#REF!</definedName>
    <definedName name="_Fill" localSheetId="10" hidden="1">#REF!</definedName>
    <definedName name="_Fill" hidden="1">#REF!</definedName>
    <definedName name="_xlnm._FilterDatabase" localSheetId="1" hidden="1">'FAR 12.2021 - For Lookup'!$A$13:$AW$13</definedName>
    <definedName name="_xlnm._FilterDatabase" localSheetId="0" hidden="1">'FAR 6.30.22'!$A$13:$AW$13</definedName>
    <definedName name="_Key1" localSheetId="10" hidden="1">#REF!</definedName>
    <definedName name="_Key1" hidden="1">#REF!</definedName>
    <definedName name="_Key2" hidden="1">'[2]#REF'!$D$12</definedName>
    <definedName name="_key5" hidden="1">[1]XXXXXX!$H$10</definedName>
    <definedName name="_LYA12">[3]Hidden!$O$11</definedName>
    <definedName name="_max" localSheetId="4" hidden="1">#REF!</definedName>
    <definedName name="_max" localSheetId="10" hidden="1">#REF!</definedName>
    <definedName name="_max" hidden="1">#REF!</definedName>
    <definedName name="_Mon" localSheetId="10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PER1">[7]WTB!$DC$8</definedName>
    <definedName name="_PER2">'[7]2008 West Group IS'!$AH$8</definedName>
    <definedName name="_PER3">'[7]2008 West Group IS'!$AI$5</definedName>
    <definedName name="_PER4">'[7]2008 Group Office IS'!$AH$8</definedName>
    <definedName name="_PER5">'[7]2008 Group Office IS'!$AI$5</definedName>
    <definedName name="_Regression_Int">0</definedName>
    <definedName name="_SFD1">'[7]2008 West Group IS'!$AK$5</definedName>
    <definedName name="_SFD3">'[7]2008 Group Office IS'!$AK$5</definedName>
    <definedName name="_SFV1">'[7]2008 West Group IS'!$AK$4</definedName>
    <definedName name="_SFV4">'[7]2008 Group Office IS'!$AK$4</definedName>
    <definedName name="_Sort" localSheetId="4" hidden="1">#REF!</definedName>
    <definedName name="_Sort" localSheetId="10" hidden="1">#REF!</definedName>
    <definedName name="_Sort" hidden="1">#REF!</definedName>
    <definedName name="_Sort1" hidden="1">'[2]#REF'!$A$10:$Z$281</definedName>
    <definedName name="_sort3" hidden="1">[1]XXXXXX!$G$10:$J$11</definedName>
    <definedName name="a" localSheetId="4">#REF!</definedName>
    <definedName name="a" localSheetId="10">#REF!</definedName>
    <definedName name="a">#REF!</definedName>
    <definedName name="aaaaaaa">rank</definedName>
    <definedName name="Accounts" localSheetId="4">#REF!</definedName>
    <definedName name="Accounts">#REF!</definedName>
    <definedName name="ACCT" localSheetId="4">[3]Hidden!$D$11</definedName>
    <definedName name="ACCT" localSheetId="10">[3]Hidden!$D$11</definedName>
    <definedName name="ACCT">[6]Hidden!#REF!</definedName>
    <definedName name="ACCT.ConsolSum">[3]Hidden!$Q$11</definedName>
    <definedName name="ACT_CUR" localSheetId="4">[4]Hidden!#REF!</definedName>
    <definedName name="ACT_CUR" localSheetId="10">[4]Hidden!#REF!</definedName>
    <definedName name="ACT_CUR">[6]Hidden!#REF!</definedName>
    <definedName name="ACT_YTD" localSheetId="4">[4]Hidden!#REF!</definedName>
    <definedName name="ACT_YTD" localSheetId="10">[4]Hidden!#REF!</definedName>
    <definedName name="ACT_YTD">[6]Hidden!#REF!</definedName>
    <definedName name="AD">'[1]ACC DEP 12XXX'!$A$4:$L$22</definedName>
    <definedName name="adfd">rank</definedName>
    <definedName name="ADK">'[1]10250_Recy Chkg'!$D$27</definedName>
    <definedName name="afsdfsdfsd" localSheetId="4">#REF!</definedName>
    <definedName name="afsdfsdfsd">#REF!</definedName>
    <definedName name="AmountCount" localSheetId="4">#REF!</definedName>
    <definedName name="AmountCount" localSheetId="10">#REF!</definedName>
    <definedName name="AmountCount">#REF!</definedName>
    <definedName name="AmountCount1">#REF!</definedName>
    <definedName name="AmountFrom">#REF!</definedName>
    <definedName name="AmountTo">#REF!</definedName>
    <definedName name="AmountTotal" localSheetId="10">#REF!</definedName>
    <definedName name="AmountTotal">#REF!</definedName>
    <definedName name="AmountTotal1">#REF!</definedName>
    <definedName name="AOK">#REF!</definedName>
    <definedName name="APA">'[8]Income Statement (WMofWA)'!#REF!</definedName>
    <definedName name="APN">'[8]Income Statement (WMofWA)'!#REF!</definedName>
    <definedName name="ASD">'[8]Income Statement (WMofWA)'!#REF!</definedName>
    <definedName name="AST">'[8]Income Statement (WMofWA)'!#REF!</definedName>
    <definedName name="BEGCELL">#REF!</definedName>
    <definedName name="begin">#REF!</definedName>
    <definedName name="BookRev" localSheetId="4">'[9]Pacific Regulated - Price Out'!$F$50</definedName>
    <definedName name="BookRev" localSheetId="10">'[9]Pacific Regulated - Price Out'!$F$50</definedName>
    <definedName name="BookRev">'[10]Pacific Regulated - Price Out'!$F$50</definedName>
    <definedName name="BookRev_com" localSheetId="4">'[9]Pacific Regulated - Price Out'!$F$214</definedName>
    <definedName name="BookRev_com" localSheetId="10">'[9]Pacific Regulated - Price Out'!$F$214</definedName>
    <definedName name="BookRev_com">'[10]Pacific Regulated - Price Out'!$F$214</definedName>
    <definedName name="BookRev_mfr" localSheetId="4">'[9]Pacific Regulated - Price Out'!$F$222</definedName>
    <definedName name="BookRev_mfr" localSheetId="10">'[9]Pacific Regulated - Price Out'!$F$222</definedName>
    <definedName name="BookRev_mfr">'[10]Pacific Regulated - Price Out'!$F$222</definedName>
    <definedName name="BookRev_ro" localSheetId="4">'[9]Pacific Regulated - Price Out'!$F$282</definedName>
    <definedName name="BookRev_ro" localSheetId="10">'[9]Pacific Regulated - Price Out'!$F$282</definedName>
    <definedName name="BookRev_ro">'[10]Pacific Regulated - Price Out'!$F$282</definedName>
    <definedName name="BookRev_rr" localSheetId="4">'[9]Pacific Regulated - Price Out'!$F$59</definedName>
    <definedName name="BookRev_rr" localSheetId="10">'[9]Pacific Regulated - Price Out'!$F$59</definedName>
    <definedName name="BookRev_rr">'[10]Pacific Regulated - Price Out'!$F$59</definedName>
    <definedName name="BookRev_yw" localSheetId="4">'[9]Pacific Regulated - Price Out'!$F$70</definedName>
    <definedName name="BookRev_yw" localSheetId="10">'[9]Pacific Regulated - Price Out'!$F$70</definedName>
    <definedName name="BookRev_yw">'[10]Pacific Regulated - Price Out'!$F$70</definedName>
    <definedName name="BREMAIR_COST_of_SERVICE_STUDY" localSheetId="4">#REF!</definedName>
    <definedName name="BREMAIR_COST_of_SERVICE_STUDY" localSheetId="10">#REF!</definedName>
    <definedName name="BREMAIR_COST_of_SERVICE_STUDY">#REF!</definedName>
    <definedName name="BUD_CUR" localSheetId="4">[4]Hidden!#REF!</definedName>
    <definedName name="BUD_CUR" localSheetId="10">[4]Hidden!#REF!</definedName>
    <definedName name="BUD_CUR">[6]Hidden!#REF!</definedName>
    <definedName name="BUD_YTD" localSheetId="4">[4]Hidden!#REF!</definedName>
    <definedName name="BUD_YTD" localSheetId="10">[4]Hidden!#REF!</definedName>
    <definedName name="BUD_YTD">[6]Hidden!#REF!</definedName>
    <definedName name="BUN">[7]WTB!$DD$5</definedName>
    <definedName name="BUV">'[8]Income Statement (WMofWA)'!#REF!</definedName>
    <definedName name="Calc">[7]WTB!#REF!</definedName>
    <definedName name="Calc0">[7]WTB!#REF!</definedName>
    <definedName name="Calc1">[7]WTB!#REF!</definedName>
    <definedName name="Calc10">[7]WTB!#REF!</definedName>
    <definedName name="Calc11">[7]WTB!#REF!</definedName>
    <definedName name="Calc12">[7]WTB!#REF!</definedName>
    <definedName name="Calc13">[7]WTB!#REF!</definedName>
    <definedName name="Calc14">[7]WTB!#REF!</definedName>
    <definedName name="Calc15">[7]WTB!#REF!</definedName>
    <definedName name="Calc16">[7]WTB!#REF!</definedName>
    <definedName name="Calc17">[7]WTB!#REF!</definedName>
    <definedName name="Calc18">[7]WTB!#REF!</definedName>
    <definedName name="Calc2">[7]WTB!#REF!</definedName>
    <definedName name="Calc3">[7]WTB!#REF!</definedName>
    <definedName name="Calc4">[7]WTB!#REF!</definedName>
    <definedName name="Calc5">[7]WTB!#REF!</definedName>
    <definedName name="Calc6">[7]WTB!#REF!</definedName>
    <definedName name="Calc7">[7]WTB!#REF!</definedName>
    <definedName name="Calc8">[7]WTB!#REF!</definedName>
    <definedName name="Calc9">[7]WTB!#REF!</definedName>
    <definedName name="CalRecyTons">'[11]Recycl Tons, Commodity Value'!$L$23</definedName>
    <definedName name="CheckTotals" localSheetId="4">#REF!</definedName>
    <definedName name="CheckTotals" localSheetId="10">#REF!</definedName>
    <definedName name="CheckTotals">#REF!</definedName>
    <definedName name="clear">#REF!</definedName>
    <definedName name="colgroup">[3]Orientation!$G$6</definedName>
    <definedName name="colsegment">[3]Orientation!$F$6</definedName>
    <definedName name="CommlStaffPriceOut" localSheetId="4">'[12]Price Out-Reg EASTSIDE-Resi'!#REF!</definedName>
    <definedName name="CommlStaffPriceOut">'[12]Price Out-Reg EASTSIDE-Resi'!#REF!</definedName>
    <definedName name="COST_OF_SERVICE_STUDY" localSheetId="4">#REF!</definedName>
    <definedName name="COST_OF_SERVICE_STUDY">#REF!</definedName>
    <definedName name="Coststudy">#REF!</definedName>
    <definedName name="CRCTable" localSheetId="10">#REF!</definedName>
    <definedName name="CRCTable">#REF!</definedName>
    <definedName name="CRCTableOLD" localSheetId="10">#REF!</definedName>
    <definedName name="CRCTableOLD">#REF!</definedName>
    <definedName name="CriteriaType" localSheetId="4">[13]ControlPanel!$Z$2:$Z$5</definedName>
    <definedName name="CriteriaType" localSheetId="10">[13]ControlPanel!$Z$2:$Z$5</definedName>
    <definedName name="CriteriaType">[14]ControlPanel!$Z$2:$Z$5</definedName>
    <definedName name="CUR">'[15]O-9'!#REF!</definedName>
    <definedName name="CURRENCY">'[7]Balance Sheet'!$AD$8</definedName>
    <definedName name="CurrentMonth">'[16]Finance Charges'!$H$8</definedName>
    <definedName name="Cutomers" localSheetId="4">#REF!</definedName>
    <definedName name="Cutomers" localSheetId="10">#REF!</definedName>
    <definedName name="Cutomers">#REF!</definedName>
    <definedName name="CWR">'[1]SALES TAX RETURN_20140'!$A$1:$E$49</definedName>
    <definedName name="CWRS">#REF!</definedName>
    <definedName name="CYear">'[15]O-9'!#REF!</definedName>
    <definedName name="dasd">rank</definedName>
    <definedName name="_xlnm.Database" localSheetId="4">#REF!</definedName>
    <definedName name="_xlnm.Database" localSheetId="10">#REF!</definedName>
    <definedName name="_xlnm.Database">#REF!</definedName>
    <definedName name="Database_MI">#REF!</definedName>
    <definedName name="Database1" localSheetId="10">#REF!</definedName>
    <definedName name="Database1">#REF!</definedName>
    <definedName name="DateFrom">'[16]Finance Charges'!$G$12</definedName>
    <definedName name="DateTo">'[16]Finance Charges'!$G$13</definedName>
    <definedName name="DAY">'[8]Income Statement (WMofWA)'!#REF!</definedName>
    <definedName name="DBxStaffPriceOut" localSheetId="4">'[12]Price Out-Reg EASTSIDE-Resi'!#REF!</definedName>
    <definedName name="DBxStaffPriceOut">'[12]Price Out-Reg EASTSIDE-Resi'!#REF!</definedName>
    <definedName name="DEBITS">'[1]ASSETS 11XXX'!$A$1:$L$19</definedName>
    <definedName name="deletion">#REF!</definedName>
    <definedName name="DEPT" localSheetId="4">[4]Hidden!#REF!</definedName>
    <definedName name="DEPT" localSheetId="10">[4]Hidden!#REF!</definedName>
    <definedName name="DEPT">[6]Hidden!#REF!</definedName>
    <definedName name="Detail">#REF!</definedName>
    <definedName name="DetailBudYear">'2022 Bud CapEx'!$H$24</definedName>
    <definedName name="DetailDistrict">'2022 Bud CapEx'!$H$23</definedName>
    <definedName name="DispRates">#REF!</definedName>
    <definedName name="Dist">[17]Data!$E$3</definedName>
    <definedName name="District" localSheetId="4">'[18]Vashon BS'!#REF!</definedName>
    <definedName name="District" localSheetId="10">'[18]Vashon BS'!#REF!</definedName>
    <definedName name="District">'[19]Vashon BS'!#REF!</definedName>
    <definedName name="DistrictNum" localSheetId="4">#REF!</definedName>
    <definedName name="DistrictNum" localSheetId="10">#REF!</definedName>
    <definedName name="DistrictNum">#REF!</definedName>
    <definedName name="Districts" localSheetId="4">#REF!</definedName>
    <definedName name="Districts">#REF!</definedName>
    <definedName name="dOG">#REF!</definedName>
    <definedName name="drlFilter">[3]Settings!$D$27</definedName>
    <definedName name="End" localSheetId="4">#REF!</definedName>
    <definedName name="End" localSheetId="10">#REF!</definedName>
    <definedName name="End">'[20]IS-Murrey''s'!#REF!</definedName>
    <definedName name="EndTime">'[15]O-9'!#REF!</definedName>
    <definedName name="EntrieShownLimit">'[16]Finance Charges'!$D$6</definedName>
    <definedName name="ExcludeIC" localSheetId="4">'[21]2009 BS'!#REF!</definedName>
    <definedName name="ExcludeIC" localSheetId="10">'[21]2009 BS'!#REF!</definedName>
    <definedName name="ExcludeIC">'[19]Vashon BS'!#REF!</definedName>
    <definedName name="expenses">#REF!</definedName>
    <definedName name="ExpensesPF1" localSheetId="4">#REF!</definedName>
    <definedName name="ExpensesPF1">#REF!</definedName>
    <definedName name="EXT" localSheetId="4">#REF!</definedName>
    <definedName name="EXT">#REF!</definedName>
    <definedName name="FBTable" localSheetId="10">#REF!</definedName>
    <definedName name="FBTable">#REF!</definedName>
    <definedName name="FBTableOld" localSheetId="10">#REF!</definedName>
    <definedName name="FBTableOld">#REF!</definedName>
    <definedName name="filter">[3]Settings!$B$14:$H$25</definedName>
    <definedName name="Financial">[7]WTB!#REF!</definedName>
    <definedName name="FirstColCriteria">[7]WTB!#REF!</definedName>
    <definedName name="FirstHeaderCriteria">[7]WTB!#REF!</definedName>
    <definedName name="flag">[7]WTB!#REF!</definedName>
    <definedName name="Format_Column">#REF!</definedName>
    <definedName name="formata">#REF!</definedName>
    <definedName name="formatb">#REF!</definedName>
    <definedName name="FromMonth">#REF!</definedName>
    <definedName name="FundsApprPend">[17]Data!#REF!</definedName>
    <definedName name="FundsBudUnbud">[17]Data!#REF!</definedName>
    <definedName name="FY">'[8]Income Statement (WMofWA)'!#REF!</definedName>
    <definedName name="GLMappingStart" localSheetId="4">#REF!</definedName>
    <definedName name="GLMappingStart" localSheetId="10">#REF!</definedName>
    <definedName name="GLMappingStart">#REF!</definedName>
    <definedName name="GLMappingStart1" localSheetId="4">#REF!</definedName>
    <definedName name="GLMappingStart1">#REF!</definedName>
    <definedName name="Heading1">'[8]Income Statement (WMofWA)'!#REF!</definedName>
    <definedName name="IDN">'[8]Income Statement (WMofWA)'!#REF!</definedName>
    <definedName name="IFN">'[8]Income Statement (WMofWA)'!#REF!</definedName>
    <definedName name="Import_Range" localSheetId="4">[17]Data!#REF!</definedName>
    <definedName name="Import_Range">[17]Data!#REF!</definedName>
    <definedName name="IncomeStmnt" localSheetId="4">#REF!</definedName>
    <definedName name="IncomeStmnt" localSheetId="10">#REF!</definedName>
    <definedName name="IncomeStmnt">#REF!</definedName>
    <definedName name="INPUT" localSheetId="10">#REF!</definedName>
    <definedName name="INPUT">#REF!</definedName>
    <definedName name="INPUTc" localSheetId="10">#REF!</definedName>
    <definedName name="INPUTc">#REF!</definedName>
    <definedName name="InsertColRange">[7]WTB!#REF!</definedName>
    <definedName name="Insurance" localSheetId="4">#REF!</definedName>
    <definedName name="Insurance" localSheetId="10">#REF!</definedName>
    <definedName name="Insurance">#REF!</definedName>
    <definedName name="Interject_LastPulledValues_BalanceRange">#REF!</definedName>
    <definedName name="Interject_LastPulledValues_DescriptionRange">#REF!</definedName>
    <definedName name="Interject_LastPulledValues_LastChangeGUID">#REF!</definedName>
    <definedName name="Interject_LastPulledValues_PreviousLastChangeGUID">#REF!</definedName>
    <definedName name="Invoice_Start" localSheetId="4">[17]Invoice_Drill!#REF!</definedName>
    <definedName name="Invoice_Start">[17]Invoice_Drill!#REF!</definedName>
    <definedName name="JEDetail" localSheetId="4">#REF!</definedName>
    <definedName name="JEDetail" localSheetId="10">#REF!</definedName>
    <definedName name="JEDetail">#REF!</definedName>
    <definedName name="JEDetail1" localSheetId="4">#REF!</definedName>
    <definedName name="JEDetail1">#REF!</definedName>
    <definedName name="JEType" localSheetId="10">#REF!</definedName>
    <definedName name="JEType">#REF!</definedName>
    <definedName name="JEType1">#REF!</definedName>
    <definedName name="LAST_ROW">'[22]Income Statement (Tonnage)'!#REF!</definedName>
    <definedName name="lblBillAreaStatus" localSheetId="4">#REF!</definedName>
    <definedName name="lblBillAreaStatus" localSheetId="10">#REF!</definedName>
    <definedName name="lblBillAreaStatus">#REF!</definedName>
    <definedName name="lblBillCycleStatus" localSheetId="10">#REF!</definedName>
    <definedName name="lblBillCycleStatus">#REF!</definedName>
    <definedName name="lblCategoryStatus" localSheetId="10">#REF!</definedName>
    <definedName name="lblCategoryStatus">#REF!</definedName>
    <definedName name="lblCompanyStatus" localSheetId="10">#REF!</definedName>
    <definedName name="lblCompanyStatus">#REF!</definedName>
    <definedName name="lblDatabaseStatus" localSheetId="10">#REF!</definedName>
    <definedName name="lblDatabaseStatus">#REF!</definedName>
    <definedName name="lblPullStatus" localSheetId="10">#REF!</definedName>
    <definedName name="lblPullStatus">#REF!</definedName>
    <definedName name="lllllllllllllllllllll" localSheetId="10">#REF!</definedName>
    <definedName name="lllllllllllllllllllll">#REF!</definedName>
    <definedName name="LOB">[23]DropDownRanges!$B$4:$B$37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urito">#REF!</definedName>
    <definedName name="LYN">'[8]Income Statement (WMofWA)'!#REF!</definedName>
    <definedName name="MainDataEnd" localSheetId="4">#REF!</definedName>
    <definedName name="MainDataEnd" localSheetId="10">#REF!</definedName>
    <definedName name="MainDataEnd">#REF!</definedName>
    <definedName name="MainDataStart" localSheetId="10">#REF!</definedName>
    <definedName name="MainDataStart">#REF!</definedName>
    <definedName name="MapKeyStart" localSheetId="10">#REF!</definedName>
    <definedName name="MapKeyStart">#REF!</definedName>
    <definedName name="master_def" localSheetId="4">#REF!</definedName>
    <definedName name="master_def" localSheetId="10">#REF!</definedName>
    <definedName name="master_def">'[20]IS-Murrey''s'!#REF!</definedName>
    <definedName name="MATRIX" localSheetId="4">#REF!</definedName>
    <definedName name="MATRIX" localSheetId="10">#REF!</definedName>
    <definedName name="MATRIX">#REF!</definedName>
    <definedName name="MemoAttachment" localSheetId="10">#REF!</definedName>
    <definedName name="MemoAttachment">#REF!</definedName>
    <definedName name="MetaSet">[3]Orientation!$C$22</definedName>
    <definedName name="MFStaffPriceOut" localSheetId="4">'[12]Price Out-Reg EASTSIDE-Resi'!#REF!</definedName>
    <definedName name="MFStaffPriceOut">'[12]Price Out-Reg EASTSIDE-Resi'!#REF!</definedName>
    <definedName name="MILTON" localSheetId="4">#REF!</definedName>
    <definedName name="MILTON">#REF!</definedName>
    <definedName name="MonthList">'[17]Lookup Tables'!$A$1:$A$13</definedName>
    <definedName name="MthValue">'[15]O-9'!#REF!</definedName>
    <definedName name="New">#REF!</definedName>
    <definedName name="NewLob">[23]DropDownRanges!$B$4:$B$37</definedName>
    <definedName name="NewOnlyOrg" localSheetId="4">#N/A</definedName>
    <definedName name="NewOnlyOrg" localSheetId="10">#N/A</definedName>
    <definedName name="NewOnlyOrg">#REF!</definedName>
    <definedName name="NewSource">[23]DropDownRanges!$D$4:$D$7</definedName>
    <definedName name="nn" localSheetId="4">#REF!</definedName>
    <definedName name="nn">#REF!</definedName>
    <definedName name="NONRECAP">#REF!</definedName>
    <definedName name="NOTES" localSheetId="10">#REF!</definedName>
    <definedName name="NOTES">#REF!</definedName>
    <definedName name="NR" localSheetId="10">#REF!</definedName>
    <definedName name="NR">#REF!</definedName>
    <definedName name="NvsASD">"V2008-12-31"</definedName>
    <definedName name="NvsAutoDrillOk">"VN"</definedName>
    <definedName name="NvsElapsedTime">0.000729166669771075</definedName>
    <definedName name="NvsEndTime">39896.5868402778</definedName>
    <definedName name="NvsEndTime2">39823.1371643519</definedName>
    <definedName name="NvsEndTime3">39918.4137268519</definedName>
    <definedName name="NvsEndTime4">39825.0263078704</definedName>
    <definedName name="NvsEndTime5">39822.9425347222</definedName>
    <definedName name="NvsInstanceHook">rank</definedName>
    <definedName name="NvsInstanceHook1">rank</definedName>
    <definedName name="NvsInstLang">"VENG"</definedName>
    <definedName name="NvsInstSpec">"%,FBUSINESS_UNIT,V01815"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"V1950-01-01"</definedName>
    <definedName name="NvsPanelSetid">"VWASTE"</definedName>
    <definedName name="NvsReqBU">"V01815"</definedName>
    <definedName name="NvsReqBUOnly">"VY"</definedName>
    <definedName name="NvsTransLed">"VN"</definedName>
    <definedName name="NvsTreeASD">"V2008-12-31"</definedName>
    <definedName name="NvsValTbl.ACCOUNT">"GL_ACCOUNT_TBL"</definedName>
    <definedName name="NvsValTbl.ACCOUNT_SUM">"ZGL_SACCT_VW"</definedName>
    <definedName name="NvsValTbl.ASSET_CLASS">"ASSET_CLASS_TBL"</definedName>
    <definedName name="NvsValTbl.BUSINESS_UNIT">"BUS_UNIT_TBL_GL"</definedName>
    <definedName name="NvsValTbl.CURRENCY_CD">"CURRENCY_CD_TBL"</definedName>
    <definedName name="NvsValTbl.DEPTID">"DEPT_TBL"</definedName>
    <definedName name="NvsValTbl.OPERATING_UNIT">"OPER_UNIT_TBL"</definedName>
    <definedName name="NvsValTbl.PRODUCT">"PRODUCT_TBL"</definedName>
    <definedName name="OfficerSalary" localSheetId="4">#N/A</definedName>
    <definedName name="OfficerSalary" localSheetId="10">#N/A</definedName>
    <definedName name="OfficerSalary">#REF!</definedName>
    <definedName name="OffsetAcctBil">[24]JEexport!$L$10</definedName>
    <definedName name="OffsetAcctPmt">[24]JEexport!$L$9</definedName>
    <definedName name="Operations">'[8]Income Statement (WMofWA)'!#REF!</definedName>
    <definedName name="OPR">'[8]Income Statement (WMofWA)'!#REF!</definedName>
    <definedName name="Org11_13" localSheetId="4">#N/A</definedName>
    <definedName name="Org11_13" localSheetId="10">#N/A</definedName>
    <definedName name="Org11_13">#REF!</definedName>
    <definedName name="Org7_10" localSheetId="4">#N/A</definedName>
    <definedName name="Org7_10" localSheetId="10">#N/A</definedName>
    <definedName name="Org7_10">#REF!</definedName>
    <definedName name="ORIG2GALWT_">#REF!</definedName>
    <definedName name="ORIG2OH">#REF!</definedName>
    <definedName name="p" localSheetId="10">#REF!</definedName>
    <definedName name="p">#REF!</definedName>
    <definedName name="PAGE_1">#REF!</definedName>
    <definedName name="Page16">#REF!</definedName>
    <definedName name="Page17">#REF!</definedName>
    <definedName name="Page18">#REF!</definedName>
    <definedName name="Page7a">#REF!</definedName>
    <definedName name="pBatchID" localSheetId="10">#REF!</definedName>
    <definedName name="pBatchID">#REF!</definedName>
    <definedName name="pBillArea" localSheetId="10">#REF!</definedName>
    <definedName name="pBillArea">#REF!</definedName>
    <definedName name="pBillCycle" localSheetId="10">#REF!</definedName>
    <definedName name="pBillCycle">#REF!</definedName>
    <definedName name="pCategory" localSheetId="10">#REF!</definedName>
    <definedName name="pCategory">#REF!</definedName>
    <definedName name="pCompany" localSheetId="10">#REF!</definedName>
    <definedName name="pCompany">#REF!</definedName>
    <definedName name="pCustomerNumber" localSheetId="10">#REF!</definedName>
    <definedName name="pCustomerNumber">#REF!</definedName>
    <definedName name="pDatabase" localSheetId="10">#REF!</definedName>
    <definedName name="pDatabase">#REF!</definedName>
    <definedName name="PED">'[8]Income Statement (WMofWA)'!#REF!</definedName>
    <definedName name="pEndPostDate" localSheetId="4">#REF!</definedName>
    <definedName name="pEndPostDate" localSheetId="10">#REF!</definedName>
    <definedName name="pEndPostDate">#REF!</definedName>
    <definedName name="PER">[7]WTB!$DC$5</definedName>
    <definedName name="Period" localSheetId="4">#REF!</definedName>
    <definedName name="Period" localSheetId="10">#REF!</definedName>
    <definedName name="Period">#REF!</definedName>
    <definedName name="PFREVB4">#REF!</definedName>
    <definedName name="pMonth" localSheetId="10">#REF!</definedName>
    <definedName name="pMonth">#REF!</definedName>
    <definedName name="pOnlyShowLastTranx" localSheetId="10">#REF!</definedName>
    <definedName name="pOnlyShowLastTranx">#REF!</definedName>
    <definedName name="Posting">#REF!</definedName>
    <definedName name="primtbl">[3]Orientation!$C$23</definedName>
    <definedName name="_xlnm.Print_Area" localSheetId="3">'2022 Bud CapEx'!$E$22:$AR$67,'2022 Bud CapEx'!$AO$71:$AU$88</definedName>
    <definedName name="_xlnm.Print_Area" localSheetId="6">'2180 Cont, DB'!$A$1:$W$779</definedName>
    <definedName name="_xlnm.Print_Area" localSheetId="4">'2180 Deprec'!$A$1:$H$84,'2180 Deprec'!$AP$1:$AW$84,'2180 Deprec'!$AY$1:$BF$84,'2180 Deprec'!$BH$1:$BO$84</definedName>
    <definedName name="_xlnm.Print_Area" localSheetId="7">'2180 Other'!$A$1:$W$166</definedName>
    <definedName name="_xlnm.Print_Area" localSheetId="9">'2180 Other - Orig.'!$A$1:$U$128</definedName>
    <definedName name="_xlnm.Print_Area" localSheetId="5">'2180 Trucks'!$A$1:$W$387</definedName>
    <definedName name="_xlnm.Print_Area" localSheetId="8">'2180 Trucks - Orig.'!$B$1:$U$307</definedName>
    <definedName name="_xlnm.Print_Area" localSheetId="0">'FAR 6.30.22'!$B$2:$AW$77</definedName>
    <definedName name="_xlnm.Print_Area" localSheetId="10">'Ratios (C)'!$A$1:$T$68</definedName>
    <definedName name="_xlnm.Print_Area">#REF!</definedName>
    <definedName name="Print_Area_MI" localSheetId="4">#REF!</definedName>
    <definedName name="Print_Area_MI" localSheetId="10">#REF!</definedName>
    <definedName name="Print_Area_MI">#REF!</definedName>
    <definedName name="Print_Area_MIc" localSheetId="10">#REF!</definedName>
    <definedName name="Print_Area_MIc">#REF!</definedName>
    <definedName name="Print_Area1" localSheetId="10">#REF!</definedName>
    <definedName name="Print_Area1">#REF!</definedName>
    <definedName name="Print_Area2" localSheetId="10">#REF!</definedName>
    <definedName name="Print_Area2">#REF!</definedName>
    <definedName name="Print_Area3" localSheetId="10">#REF!</definedName>
    <definedName name="Print_Area3">#REF!</definedName>
    <definedName name="Print_Area5" localSheetId="10">#REF!</definedName>
    <definedName name="Print_Area5">#REF!</definedName>
    <definedName name="_xlnm.Print_Titles" localSheetId="3">'2022 Bud CapEx'!$28:$28</definedName>
    <definedName name="_xlnm.Print_Titles" localSheetId="6">'2180 Cont, DB'!$1:$11</definedName>
    <definedName name="_xlnm.Print_Titles" localSheetId="7">'2180 Other'!$1:$11</definedName>
    <definedName name="_xlnm.Print_Titles" localSheetId="9">'2180 Other - Orig.'!$1:$12</definedName>
    <definedName name="_xlnm.Print_Titles" localSheetId="5">'2180 Trucks'!$1:$11</definedName>
    <definedName name="_xlnm.Print_Titles" localSheetId="8">'2180 Trucks - Orig.'!$1:$12</definedName>
    <definedName name="_xlnm.Print_Titles" localSheetId="0">'FAR 6.30.22'!$13:$13</definedName>
    <definedName name="Print_Titles_MI">#REF!</definedName>
    <definedName name="Print1" localSheetId="4">#REF!</definedName>
    <definedName name="Print1" localSheetId="10">#REF!</definedName>
    <definedName name="Print1">#REF!</definedName>
    <definedName name="Print2" localSheetId="10">#REF!</definedName>
    <definedName name="Print2">#REF!</definedName>
    <definedName name="Print5" localSheetId="10">#REF!</definedName>
    <definedName name="Print5">#REF!</definedName>
    <definedName name="Prnit_Range">#REF!</definedName>
    <definedName name="ProRev" localSheetId="4">'[9]Pacific Regulated - Price Out'!$M$49</definedName>
    <definedName name="ProRev" localSheetId="10">'[9]Pacific Regulated - Price Out'!$M$49</definedName>
    <definedName name="ProRev">'[10]Pacific Regulated - Price Out'!$M$49</definedName>
    <definedName name="ProRev_com" localSheetId="4">'[9]Pacific Regulated - Price Out'!$M$213</definedName>
    <definedName name="ProRev_com" localSheetId="10">'[9]Pacific Regulated - Price Out'!$M$213</definedName>
    <definedName name="ProRev_com">'[10]Pacific Regulated - Price Out'!$M$213</definedName>
    <definedName name="ProRev_mfr" localSheetId="4">'[9]Pacific Regulated - Price Out'!$M$221</definedName>
    <definedName name="ProRev_mfr" localSheetId="10">'[9]Pacific Regulated - Price Out'!$M$221</definedName>
    <definedName name="ProRev_mfr">'[10]Pacific Regulated - Price Out'!$M$221</definedName>
    <definedName name="ProRev_ro" localSheetId="4">'[9]Pacific Regulated - Price Out'!$M$281</definedName>
    <definedName name="ProRev_ro" localSheetId="10">'[9]Pacific Regulated - Price Out'!$M$281</definedName>
    <definedName name="ProRev_ro">'[10]Pacific Regulated - Price Out'!$M$281</definedName>
    <definedName name="ProRev_rr" localSheetId="4">'[9]Pacific Regulated - Price Out'!$M$58</definedName>
    <definedName name="ProRev_rr" localSheetId="10">'[9]Pacific Regulated - Price Out'!$M$58</definedName>
    <definedName name="ProRev_rr">'[10]Pacific Regulated - Price Out'!$M$58</definedName>
    <definedName name="ProRev_yw" localSheetId="4">'[9]Pacific Regulated - Price Out'!$M$69</definedName>
    <definedName name="ProRev_yw" localSheetId="10">'[9]Pacific Regulated - Price Out'!$M$69</definedName>
    <definedName name="ProRev_yw">'[10]Pacific Regulated - Price Out'!$M$69</definedName>
    <definedName name="pServer" localSheetId="4">#REF!</definedName>
    <definedName name="pServer" localSheetId="10">#REF!</definedName>
    <definedName name="pServer">#REF!</definedName>
    <definedName name="pServiceCode" localSheetId="10">#REF!</definedName>
    <definedName name="pServiceCode">#REF!</definedName>
    <definedName name="pShowAllUnposted" localSheetId="10">#REF!</definedName>
    <definedName name="pShowAllUnposted">#REF!</definedName>
    <definedName name="pShowCustomerDetail" localSheetId="10">#REF!</definedName>
    <definedName name="pShowCustomerDetail">#REF!</definedName>
    <definedName name="pSortOption" localSheetId="10">#REF!</definedName>
    <definedName name="pSortOption">#REF!</definedName>
    <definedName name="pStartPostDate" localSheetId="10">#REF!</definedName>
    <definedName name="pStartPostDate">#REF!</definedName>
    <definedName name="pTransType" localSheetId="10">#REF!</definedName>
    <definedName name="pTransType">#REF!</definedName>
    <definedName name="PYear">'[15]O-9'!#REF!</definedName>
    <definedName name="QtrValue">#REF!</definedName>
    <definedName name="Quarter_Budget">#REF!</definedName>
    <definedName name="Quarter_Month">#REF!</definedName>
    <definedName name="RBU">'[8]Income Statement (WMofWA)'!#REF!</definedName>
    <definedName name="RCW_81.04.080" localSheetId="4">#N/A</definedName>
    <definedName name="RCW_81.04.080" localSheetId="10">#N/A</definedName>
    <definedName name="RCW_81.04.080">#REF!</definedName>
    <definedName name="RECAP">#REF!</definedName>
    <definedName name="RECAP2">#REF!</definedName>
    <definedName name="_xlnm.Recorder">#REF!</definedName>
    <definedName name="RecyDisposal" localSheetId="4">#N/A</definedName>
    <definedName name="RecyDisposal" localSheetId="10">#N/A</definedName>
    <definedName name="RecyDisposal">#REF!</definedName>
    <definedName name="Reg_Cust_Billed_Percent">'[25]Consolidated IS 2009 2010'!$AK$20</definedName>
    <definedName name="Reg_Cust_Percent">'[25]Consolidated IS 2009 2010'!$AC$20</definedName>
    <definedName name="Reg_Drive_Percent">'[25]Consolidated IS 2009 2010'!$AC$40</definedName>
    <definedName name="Reg_Haul_Rev_Percent">'[25]Consolidated IS 2009 2010'!$Z$18</definedName>
    <definedName name="Reg_Lab_Percent">'[25]Consolidated IS 2009 2010'!$AC$39</definedName>
    <definedName name="Reg_Steel_Cont_Percent">'[25]Consolidated IS 2009 2010'!$AE$120</definedName>
    <definedName name="RegulatedIS">'[25]2009 IS'!$A$12:$Q$655</definedName>
    <definedName name="RelatedSalary" localSheetId="4">#N/A</definedName>
    <definedName name="RelatedSalary" localSheetId="10">#N/A</definedName>
    <definedName name="RelatedSalary">#REF!</definedName>
    <definedName name="report_type">[3]Orientation!$C$24</definedName>
    <definedName name="ReportNames" localSheetId="4">[26]ControlPanel!$S$2:$S$16</definedName>
    <definedName name="ReportNames" localSheetId="10">[26]ControlPanel!$S$2:$S$16</definedName>
    <definedName name="ReportNames">[14]ControlPanel!$X$2:$X$8</definedName>
    <definedName name="ReportVersion">[3]Settings!$D$5</definedName>
    <definedName name="ReslStaffPriceOut" localSheetId="4">'[12]Price Out-Reg EASTSIDE-Resi'!#REF!</definedName>
    <definedName name="ReslStaffPriceOut">'[12]Price Out-Reg EASTSIDE-Resi'!#REF!</definedName>
    <definedName name="RetainedEarnings" localSheetId="4">#REF!</definedName>
    <definedName name="RetainedEarnings" localSheetId="10">#REF!</definedName>
    <definedName name="RetainedEarnings">#REF!</definedName>
    <definedName name="RevCust" localSheetId="4">'[27]RevenuesCust, pg 8'!#REF!</definedName>
    <definedName name="RevCust" localSheetId="10">'[27]RevenuesCust, pg 8'!#REF!</definedName>
    <definedName name="RevCust">'[28]Schedule 6'!#REF!</definedName>
    <definedName name="RevCustomer" localSheetId="4">#REF!</definedName>
    <definedName name="RevCustomer">#REF!</definedName>
    <definedName name="REVDETAIL">#REF!</definedName>
    <definedName name="Revenue">#REF!</definedName>
    <definedName name="RevenuePF1">#REF!</definedName>
    <definedName name="REVMAT">#REF!</definedName>
    <definedName name="RID">'[8]Income Statement (WMofWA)'!#REF!</definedName>
    <definedName name="rngCreateLog">[3]Delivery!$B$12</definedName>
    <definedName name="rngFilePassword">[3]Delivery!$B$6</definedName>
    <definedName name="rngSourceTab">[3]Delivery!$E$8</definedName>
    <definedName name="ROCE">#REF!,#REF!</definedName>
    <definedName name="ROW_SUPRESS">'[8]Income Statement (WMofWA)'!#REF!</definedName>
    <definedName name="rowgroup">[3]Orientation!$C$17</definedName>
    <definedName name="rowsegment">[3]Orientation!$B$17</definedName>
    <definedName name="RTT">'[8]Income Statement (WMofWA)'!#REF!</definedName>
    <definedName name="sale">#REF!</definedName>
    <definedName name="SALES_TAX_RETURN">#REF!</definedName>
    <definedName name="SCN">'[8]Income Statement (WMofWA)'!#REF!</definedName>
    <definedName name="seffasfasdfsd" localSheetId="4">[29]Hidden!#REF!</definedName>
    <definedName name="seffasfasdfsd">[29]Hidden!#REF!</definedName>
    <definedName name="SEPARATE">#REF!</definedName>
    <definedName name="Separation">[30]ProF!#REF!</definedName>
    <definedName name="Sequential_Group">[3]Settings!$J$6</definedName>
    <definedName name="Sequential_Segment">[3]Settings!$I$6</definedName>
    <definedName name="Sequential_sort">[3]Settings!$I$10:$J$11</definedName>
    <definedName name="SFD">[7]WTB!$DE$5</definedName>
    <definedName name="SFD_BU">'[8]Income Statement (WMofWA)'!#REF!</definedName>
    <definedName name="SFD_DEPTID">'[8]Income Statement (WMofWA)'!#REF!</definedName>
    <definedName name="SFD_OP">'[8]Income Statement (WMofWA)'!#REF!</definedName>
    <definedName name="SFD_PROD">'[8]Income Statement (WMofWA)'!#REF!</definedName>
    <definedName name="SFD_PROJ">'[8]Income Statement (WMofWA)'!#REF!</definedName>
    <definedName name="sfdbusunit">#REF!</definedName>
    <definedName name="SFV">[7]WTB!$DE$4</definedName>
    <definedName name="SFV_BU">'[8]Income Statement (WMofWA)'!#REF!</definedName>
    <definedName name="SFV_CUR">#REF!</definedName>
    <definedName name="SFV_CUR1">'[7]2008 West Group IS'!$AM$9</definedName>
    <definedName name="SFV_CUR5">'[7]2008 Group Office IS'!$AM$9</definedName>
    <definedName name="SFV_DEPTID">'[8]Income Statement (WMofWA)'!#REF!</definedName>
    <definedName name="SFV_OP">'[8]Income Statement (WMofWA)'!#REF!</definedName>
    <definedName name="SFV_PROD">'[8]Income Statement (WMofWA)'!#REF!</definedName>
    <definedName name="SFV_PROJ">'[8]Income Statement (WMofWA)'!#REF!</definedName>
    <definedName name="slope" localSheetId="4">'[31]LG Nonpublic 2018 V5.0'!$X$58</definedName>
    <definedName name="slope" localSheetId="10">'[31]LG Nonpublic 2018 V5.0'!$X$58</definedName>
    <definedName name="slope">#REF!</definedName>
    <definedName name="sort">#REF!</definedName>
    <definedName name="Sort1">#REF!</definedName>
    <definedName name="sortcol" localSheetId="4">#REF!</definedName>
    <definedName name="sortcol" localSheetId="10">#REF!</definedName>
    <definedName name="sortcol">'[20]IS-Murrey''s'!#REF!</definedName>
    <definedName name="Source">[23]DropDownRanges!$D$4:$D$7</definedName>
    <definedName name="sSRCDate" localSheetId="4">'[32]Feb''12 FAR Data'!#REF!</definedName>
    <definedName name="sSRCDate" localSheetId="10">'[32]Feb''12 FAR Data'!#REF!</definedName>
    <definedName name="sSRCDate">'[33]Feb''12 FAR Data'!#REF!</definedName>
    <definedName name="start">#REF!</definedName>
    <definedName name="Stop">'[15]O-9'!#REF!</definedName>
    <definedName name="SubSystems" localSheetId="4">#REF!</definedName>
    <definedName name="SubSystems">#REF!</definedName>
    <definedName name="SubtypeToTruckType">[34]TruckCenterReference!$C$36:$D$86</definedName>
    <definedName name="SUMMARY">#REF!</definedName>
    <definedName name="Summary_DistrictName">[35]Summary!$B$7</definedName>
    <definedName name="Summary_DistrictNo">[35]Summary!$B$5</definedName>
    <definedName name="Supplemental_filter">[3]Settings!$C$31</definedName>
    <definedName name="SWDisposal" localSheetId="4">#N/A</definedName>
    <definedName name="SWDisposal" localSheetId="10">#N/A</definedName>
    <definedName name="SWDisposal">#REF!</definedName>
    <definedName name="System">[36]BS_Close!$V$8</definedName>
    <definedName name="Systems" localSheetId="4">#REF!</definedName>
    <definedName name="Systems">#REF!</definedName>
    <definedName name="TemplateEnd" localSheetId="4">#REF!</definedName>
    <definedName name="TemplateEnd" localSheetId="10">#REF!</definedName>
    <definedName name="TemplateEnd">#REF!</definedName>
    <definedName name="TemplateStart" localSheetId="10">#REF!</definedName>
    <definedName name="TemplateStart">#REF!</definedName>
    <definedName name="test">'[37]Sch 4 - 12months'!$B$10:$O$86</definedName>
    <definedName name="TheTable" localSheetId="4">#REF!</definedName>
    <definedName name="TheTable" localSheetId="10">#REF!</definedName>
    <definedName name="TheTable">#REF!</definedName>
    <definedName name="TheTableOLD" localSheetId="10">#REF!</definedName>
    <definedName name="TheTableOLD">#REF!</definedName>
    <definedName name="timeseries">[3]Orientation!$B$6:$C$13</definedName>
    <definedName name="Title2">'[15]O-9'!#REF!</definedName>
    <definedName name="ToMonth" localSheetId="4">#REF!</definedName>
    <definedName name="ToMonth">#REF!</definedName>
    <definedName name="Tons" localSheetId="4">#REF!</definedName>
    <definedName name="Tons">#REF!</definedName>
    <definedName name="TOP">'[5]10800-10899'!#REF!</definedName>
    <definedName name="Total_Comm">'[11]Tariff Rate Sheet'!$L$214</definedName>
    <definedName name="Total_DB">'[11]Tariff Rate Sheet'!$L$278</definedName>
    <definedName name="Total_Interest">'[38]Amortization Table'!$F$18</definedName>
    <definedName name="Total_Resi">'[11]Tariff Rate Sheet'!$L$107</definedName>
    <definedName name="Transactions" localSheetId="4">#REF!</definedName>
    <definedName name="Transactions" localSheetId="10">#REF!</definedName>
    <definedName name="Transactions">#REF!</definedName>
    <definedName name="UnregulatedIS">'[25]2010 IS'!$A$12:$Q$654</definedName>
    <definedName name="Variables">'[8]Income Statement (WMofWA)'!#REF!</definedName>
    <definedName name="VendorCode" localSheetId="4">#REF!</definedName>
    <definedName name="VendorCode">#REF!</definedName>
    <definedName name="Version" localSheetId="4">[17]Data!#REF!</definedName>
    <definedName name="Version">[17]Data!#REF!</definedName>
    <definedName name="Waste_Management__Inc.">#REF!</definedName>
    <definedName name="WM">#REF!</definedName>
    <definedName name="wrn.PrintReview.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4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4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4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4">#REF!</definedName>
    <definedName name="WTable" localSheetId="10">#REF!</definedName>
    <definedName name="WTable">#REF!</definedName>
    <definedName name="WTableOld" localSheetId="10">#REF!</definedName>
    <definedName name="WTableOld">#REF!</definedName>
    <definedName name="ww" localSheetId="10">#REF!</definedName>
    <definedName name="ww">#REF!</definedName>
    <definedName name="x">rank</definedName>
    <definedName name="xperiod">[3]Orientation!$G$15</definedName>
    <definedName name="xtabin" localSheetId="4">[4]Hidden!#REF!</definedName>
    <definedName name="xtabin" localSheetId="10">[4]Hidden!#REF!</definedName>
    <definedName name="xtabin">[6]Hidden!#REF!</definedName>
    <definedName name="xx" localSheetId="4">#REF!</definedName>
    <definedName name="xx" localSheetId="10">#REF!</definedName>
    <definedName name="xx">rank</definedName>
    <definedName name="xxx" localSheetId="4">#REF!</definedName>
    <definedName name="xxx" localSheetId="10">#REF!</definedName>
    <definedName name="xxx">rank</definedName>
    <definedName name="xxxx" localSheetId="4">#REF!</definedName>
    <definedName name="xxxx" localSheetId="10">#REF!</definedName>
    <definedName name="xxxx">#REF!</definedName>
    <definedName name="y_inter1" localSheetId="4">'[31]LG Nonpublic 2018 V5.0'!$W$55</definedName>
    <definedName name="y_inter1" localSheetId="10">'[31]LG Nonpublic 2018 V5.0'!$W$55</definedName>
    <definedName name="y_inter1">#REF!</definedName>
    <definedName name="y_inter2" localSheetId="4">'[31]LG Nonpublic 2018 V5.0'!$W$56</definedName>
    <definedName name="y_inter2" localSheetId="10">'[31]LG Nonpublic 2018 V5.0'!$W$56</definedName>
    <definedName name="y_inter2">#REF!</definedName>
    <definedName name="y_inter3" localSheetId="4">'[31]LG Nonpublic 2018 V5.0'!$Y$55</definedName>
    <definedName name="y_inter3" localSheetId="10">'[31]LG Nonpublic 2018 V5.0'!$Y$55</definedName>
    <definedName name="y_inter3">#REF!</definedName>
    <definedName name="y_inter4" localSheetId="4">'[31]LG Nonpublic 2018 V5.0'!$Y$56</definedName>
    <definedName name="y_inter4" localSheetId="10">'[31]LG Nonpublic 2018 V5.0'!$Y$56</definedName>
    <definedName name="y_inter4">#REF!</definedName>
    <definedName name="YEAR4">#REF!</definedName>
    <definedName name="YearMonth" localSheetId="4">'[18]Vashon BS'!#REF!</definedName>
    <definedName name="YearMonth" localSheetId="10">'[18]Vashon BS'!#REF!</definedName>
    <definedName name="YearMonth">'[19]Vashon BS'!#REF!</definedName>
    <definedName name="yrCur">'[39]Report Template'!$B$2002</definedName>
    <definedName name="yrNext">'[39]Report Template'!$B$2003</definedName>
    <definedName name="YWMedWasteDisp" localSheetId="4">#N/A</definedName>
    <definedName name="YWMedWasteDisp" localSheetId="10">#N/A</definedName>
    <definedName name="YWMedWasteDisp">#REF!</definedName>
    <definedName name="yy" localSheetId="4">#REF!</definedName>
    <definedName name="yy">#REF!</definedName>
    <definedName name="Zero_Format">#REF!</definedName>
  </definedNames>
  <calcPr calcId="191029" concurrentManualCount="4"/>
  <pivotCaches>
    <pivotCache cacheId="14" r:id="rId5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C79" i="27" l="1"/>
  <c r="BE79" i="27" s="1"/>
  <c r="BC67" i="27"/>
  <c r="BE67" i="27" s="1"/>
  <c r="BC65" i="27"/>
  <c r="BE65" i="27" s="1"/>
  <c r="BC56" i="27"/>
  <c r="BC54" i="27"/>
  <c r="BC52" i="27"/>
  <c r="BC50" i="27"/>
  <c r="BE50" i="27" s="1"/>
  <c r="BC48" i="27"/>
  <c r="BE48" i="27" s="1"/>
  <c r="BC46" i="27"/>
  <c r="BC44" i="27"/>
  <c r="BC40" i="27"/>
  <c r="BC38" i="27"/>
  <c r="BC33" i="27"/>
  <c r="BC31" i="27"/>
  <c r="BE31" i="27" s="1"/>
  <c r="BC29" i="27"/>
  <c r="BC27" i="27"/>
  <c r="BC25" i="27"/>
  <c r="BC23" i="27"/>
  <c r="BE23" i="27" s="1"/>
  <c r="BC19" i="27"/>
  <c r="BC15" i="27"/>
  <c r="BC13" i="27"/>
  <c r="BE13" i="27" s="1"/>
  <c r="BC11" i="27"/>
  <c r="BF79" i="27"/>
  <c r="BF67" i="27"/>
  <c r="BF65" i="27"/>
  <c r="BF56" i="27"/>
  <c r="BF54" i="27"/>
  <c r="BE54" i="27"/>
  <c r="BF52" i="27"/>
  <c r="BE52" i="27"/>
  <c r="BF50" i="27"/>
  <c r="BF48" i="27"/>
  <c r="BF46" i="27"/>
  <c r="BE46" i="27"/>
  <c r="BF44" i="27"/>
  <c r="BE44" i="27"/>
  <c r="BF40" i="27"/>
  <c r="BE40" i="27"/>
  <c r="BF38" i="27"/>
  <c r="BE38" i="27"/>
  <c r="BF33" i="27"/>
  <c r="BE33" i="27"/>
  <c r="BF31" i="27"/>
  <c r="BF29" i="27"/>
  <c r="BE29" i="27"/>
  <c r="BF27" i="27"/>
  <c r="BE27" i="27"/>
  <c r="BF25" i="27"/>
  <c r="BE25" i="27"/>
  <c r="BF23" i="27"/>
  <c r="BF19" i="27"/>
  <c r="BE19" i="27"/>
  <c r="BF15" i="27"/>
  <c r="BE15" i="27"/>
  <c r="BF13" i="27"/>
  <c r="BF11" i="27"/>
  <c r="BE11" i="27"/>
  <c r="BD35" i="27"/>
  <c r="AZ79" i="27"/>
  <c r="BB79" i="27" s="1"/>
  <c r="AZ73" i="27"/>
  <c r="BB73" i="27" s="1"/>
  <c r="AZ67" i="27"/>
  <c r="BB67" i="27" s="1"/>
  <c r="AZ65" i="27"/>
  <c r="BB65" i="27" s="1"/>
  <c r="AZ56" i="27"/>
  <c r="BB56" i="27" s="1"/>
  <c r="AZ54" i="27"/>
  <c r="BB54" i="27" s="1"/>
  <c r="AZ52" i="27"/>
  <c r="BB52" i="27" s="1"/>
  <c r="AZ50" i="27"/>
  <c r="BB50" i="27" s="1"/>
  <c r="BA50" i="27" s="1"/>
  <c r="AZ48" i="27"/>
  <c r="BB48" i="27" s="1"/>
  <c r="AZ46" i="27"/>
  <c r="BB46" i="27" s="1"/>
  <c r="BA46" i="27" s="1"/>
  <c r="BB44" i="27"/>
  <c r="BA44" i="27" s="1"/>
  <c r="AZ44" i="27"/>
  <c r="AZ40" i="27"/>
  <c r="BB40" i="27" s="1"/>
  <c r="AZ38" i="27"/>
  <c r="BB38" i="27" s="1"/>
  <c r="AZ33" i="27"/>
  <c r="BB33" i="27" s="1"/>
  <c r="AZ31" i="27"/>
  <c r="BB31" i="27" s="1"/>
  <c r="BB29" i="27"/>
  <c r="AZ29" i="27"/>
  <c r="AZ27" i="27"/>
  <c r="BB27" i="27" s="1"/>
  <c r="BA27" i="27" s="1"/>
  <c r="AZ25" i="27"/>
  <c r="BB25" i="27" s="1"/>
  <c r="AZ23" i="27"/>
  <c r="BB23" i="27" s="1"/>
  <c r="BA23" i="27" s="1"/>
  <c r="BB19" i="27"/>
  <c r="BA19" i="27" s="1"/>
  <c r="AZ19" i="27"/>
  <c r="AZ15" i="27"/>
  <c r="BB15" i="27" s="1"/>
  <c r="BB13" i="27"/>
  <c r="AZ13" i="27"/>
  <c r="AZ11" i="27"/>
  <c r="BB11" i="27" s="1"/>
  <c r="BA11" i="27" s="1"/>
  <c r="AS80" i="35"/>
  <c r="AT80" i="35" s="1"/>
  <c r="AU80" i="35" s="1"/>
  <c r="BF73" i="27" s="1"/>
  <c r="AS74" i="35"/>
  <c r="BC42" i="27" s="1"/>
  <c r="BE42" i="27" s="1"/>
  <c r="BN42" i="27" s="1"/>
  <c r="AQ74" i="35"/>
  <c r="AZ42" i="27" s="1"/>
  <c r="BB42" i="27" s="1"/>
  <c r="AE43" i="35"/>
  <c r="AQ80" i="35" s="1"/>
  <c r="AE35" i="35"/>
  <c r="AW79" i="27"/>
  <c r="AV79" i="27"/>
  <c r="AU79" i="27"/>
  <c r="BM79" i="27" s="1"/>
  <c r="AT79" i="27"/>
  <c r="AQ79" i="27"/>
  <c r="AS79" i="27" s="1"/>
  <c r="BK79" i="27" s="1"/>
  <c r="AW77" i="27"/>
  <c r="AV77" i="27"/>
  <c r="AU77" i="27"/>
  <c r="AT77" i="27"/>
  <c r="AQ77" i="27"/>
  <c r="AS77" i="27" s="1"/>
  <c r="AW75" i="27"/>
  <c r="AV75" i="27"/>
  <c r="AU75" i="27"/>
  <c r="AT75" i="27"/>
  <c r="AQ75" i="27"/>
  <c r="AW73" i="27"/>
  <c r="AV73" i="27"/>
  <c r="AU73" i="27"/>
  <c r="AT73" i="27"/>
  <c r="AQ73" i="27"/>
  <c r="AS73" i="27" s="1"/>
  <c r="AW67" i="27"/>
  <c r="AV67" i="27"/>
  <c r="AU67" i="27"/>
  <c r="AT67" i="27"/>
  <c r="AQ67" i="27"/>
  <c r="AS67" i="27" s="1"/>
  <c r="AW65" i="27"/>
  <c r="AV65" i="27"/>
  <c r="AU65" i="27"/>
  <c r="AT65" i="27"/>
  <c r="AQ65" i="27"/>
  <c r="AS65" i="27" s="1"/>
  <c r="AW63" i="27"/>
  <c r="AV63" i="27"/>
  <c r="AU63" i="27"/>
  <c r="AT63" i="27"/>
  <c r="AQ63" i="27"/>
  <c r="AS63" i="27" s="1"/>
  <c r="AR63" i="27" s="1"/>
  <c r="AW56" i="27"/>
  <c r="AV56" i="27"/>
  <c r="AU56" i="27"/>
  <c r="AT56" i="27"/>
  <c r="AQ56" i="27"/>
  <c r="AS56" i="27" s="1"/>
  <c r="AW54" i="27"/>
  <c r="AV54" i="27"/>
  <c r="AU54" i="27"/>
  <c r="AT54" i="27"/>
  <c r="AQ54" i="27"/>
  <c r="AW52" i="27"/>
  <c r="AV52" i="27"/>
  <c r="AU52" i="27"/>
  <c r="AT52" i="27"/>
  <c r="AQ52" i="27"/>
  <c r="AS52" i="27" s="1"/>
  <c r="AR52" i="27" s="1"/>
  <c r="AW50" i="27"/>
  <c r="AV50" i="27"/>
  <c r="AU50" i="27"/>
  <c r="AT50" i="27"/>
  <c r="AQ50" i="27"/>
  <c r="AS50" i="27" s="1"/>
  <c r="AW48" i="27"/>
  <c r="AV48" i="27"/>
  <c r="AU48" i="27"/>
  <c r="AT48" i="27"/>
  <c r="AQ48" i="27"/>
  <c r="AW46" i="27"/>
  <c r="AV46" i="27"/>
  <c r="AU46" i="27"/>
  <c r="AT46" i="27"/>
  <c r="AQ46" i="27"/>
  <c r="AS46" i="27" s="1"/>
  <c r="AR46" i="27" s="1"/>
  <c r="AW44" i="27"/>
  <c r="AV44" i="27"/>
  <c r="AU44" i="27"/>
  <c r="AT44" i="27"/>
  <c r="AQ44" i="27"/>
  <c r="AW42" i="27"/>
  <c r="AV42" i="27"/>
  <c r="AU42" i="27"/>
  <c r="BM42" i="27" s="1"/>
  <c r="AT42" i="27"/>
  <c r="AQ42" i="27"/>
  <c r="AS42" i="27" s="1"/>
  <c r="AR42" i="27" s="1"/>
  <c r="AW40" i="27"/>
  <c r="AV40" i="27"/>
  <c r="AU40" i="27"/>
  <c r="AT40" i="27"/>
  <c r="AQ40" i="27"/>
  <c r="AS40" i="27" s="1"/>
  <c r="AW38" i="27"/>
  <c r="AV38" i="27"/>
  <c r="AU38" i="27"/>
  <c r="AT38" i="27"/>
  <c r="AQ38" i="27"/>
  <c r="AS38" i="27" s="1"/>
  <c r="AW33" i="27"/>
  <c r="AV33" i="27"/>
  <c r="AU33" i="27"/>
  <c r="AT33" i="27"/>
  <c r="AQ33" i="27"/>
  <c r="AS33" i="27" s="1"/>
  <c r="AW31" i="27"/>
  <c r="AV31" i="27"/>
  <c r="AU31" i="27"/>
  <c r="AT31" i="27"/>
  <c r="AQ31" i="27"/>
  <c r="AW29" i="27"/>
  <c r="AV29" i="27"/>
  <c r="AU29" i="27"/>
  <c r="AT29" i="27"/>
  <c r="AS29" i="27"/>
  <c r="AR29" i="27" s="1"/>
  <c r="AQ29" i="27"/>
  <c r="AW27" i="27"/>
  <c r="AV27" i="27"/>
  <c r="AU27" i="27"/>
  <c r="AT27" i="27"/>
  <c r="AQ27" i="27"/>
  <c r="AW25" i="27"/>
  <c r="AV25" i="27"/>
  <c r="AU25" i="27"/>
  <c r="AT25" i="27"/>
  <c r="AS25" i="27"/>
  <c r="AQ25" i="27"/>
  <c r="AW23" i="27"/>
  <c r="AV23" i="27"/>
  <c r="AU23" i="27"/>
  <c r="AT23" i="27"/>
  <c r="AQ23" i="27"/>
  <c r="AW21" i="27"/>
  <c r="AV21" i="27"/>
  <c r="AU21" i="27"/>
  <c r="AT21" i="27"/>
  <c r="AQ21" i="27"/>
  <c r="AS21" i="27" s="1"/>
  <c r="AR21" i="27" s="1"/>
  <c r="AW19" i="27"/>
  <c r="AV19" i="27"/>
  <c r="AU19" i="27"/>
  <c r="AT19" i="27"/>
  <c r="AQ19" i="27"/>
  <c r="AS19" i="27" s="1"/>
  <c r="AW17" i="27"/>
  <c r="AV17" i="27"/>
  <c r="AU17" i="27"/>
  <c r="AT17" i="27"/>
  <c r="AQ17" i="27"/>
  <c r="AW15" i="27"/>
  <c r="AV15" i="27"/>
  <c r="AU15" i="27"/>
  <c r="AT15" i="27"/>
  <c r="AS15" i="27"/>
  <c r="AQ15" i="27"/>
  <c r="AW13" i="27"/>
  <c r="AV13" i="27"/>
  <c r="AU13" i="27"/>
  <c r="AT13" i="27"/>
  <c r="AQ13" i="27"/>
  <c r="AW11" i="27"/>
  <c r="AV11" i="27"/>
  <c r="AU11" i="27"/>
  <c r="AT11" i="27"/>
  <c r="AQ11" i="27"/>
  <c r="AW9" i="27"/>
  <c r="AV9" i="27"/>
  <c r="AU9" i="27"/>
  <c r="AT9" i="27"/>
  <c r="AQ9" i="27"/>
  <c r="T7" i="37"/>
  <c r="T6" i="37"/>
  <c r="B35" i="33" s="1"/>
  <c r="BA13" i="27" l="1"/>
  <c r="BA29" i="27"/>
  <c r="AT74" i="35"/>
  <c r="AU74" i="35" s="1"/>
  <c r="BF42" i="27" s="1"/>
  <c r="BO42" i="27" s="1"/>
  <c r="BI42" i="27"/>
  <c r="BA52" i="27"/>
  <c r="AZ58" i="27"/>
  <c r="BN79" i="27"/>
  <c r="AS75" i="27"/>
  <c r="AR75" i="27" s="1"/>
  <c r="BK42" i="27"/>
  <c r="BL42" i="27"/>
  <c r="BE56" i="27"/>
  <c r="BL79" i="27"/>
  <c r="BC73" i="27"/>
  <c r="BA73" i="27"/>
  <c r="BA79" i="27"/>
  <c r="BA65" i="27"/>
  <c r="BA67" i="27"/>
  <c r="BA42" i="27"/>
  <c r="BJ42" i="27" s="1"/>
  <c r="BA48" i="27"/>
  <c r="BA38" i="27"/>
  <c r="BA54" i="27"/>
  <c r="BA40" i="27"/>
  <c r="BA56" i="27"/>
  <c r="BA25" i="27"/>
  <c r="BA15" i="27"/>
  <c r="BA31" i="27"/>
  <c r="BA33" i="27"/>
  <c r="AR15" i="27"/>
  <c r="AR13" i="27"/>
  <c r="AS44" i="27"/>
  <c r="AR44" i="27" s="1"/>
  <c r="AS13" i="27"/>
  <c r="AS27" i="27"/>
  <c r="AR27" i="27" s="1"/>
  <c r="AR38" i="27"/>
  <c r="AR25" i="27"/>
  <c r="AS11" i="27"/>
  <c r="AR11" i="27" s="1"/>
  <c r="AS48" i="27"/>
  <c r="AR48" i="27" s="1"/>
  <c r="AS17" i="27"/>
  <c r="AR17" i="27" s="1"/>
  <c r="AS23" i="27"/>
  <c r="AR23" i="27" s="1"/>
  <c r="AS31" i="27"/>
  <c r="AR31" i="27" s="1"/>
  <c r="AS54" i="27"/>
  <c r="AR54" i="27" s="1"/>
  <c r="AR65" i="27"/>
  <c r="AR79" i="27"/>
  <c r="AR77" i="27"/>
  <c r="AR73" i="27"/>
  <c r="AR67" i="27"/>
  <c r="AR40" i="27"/>
  <c r="AR56" i="27"/>
  <c r="AR50" i="27"/>
  <c r="AR19" i="27"/>
  <c r="AR33" i="27"/>
  <c r="AK8" i="37"/>
  <c r="AL57" i="37"/>
  <c r="AL58" i="37"/>
  <c r="AL59" i="37"/>
  <c r="AL60" i="37"/>
  <c r="AL61" i="37"/>
  <c r="AL62" i="37"/>
  <c r="AL63" i="37"/>
  <c r="AL64" i="37"/>
  <c r="AL65" i="37"/>
  <c r="AL66" i="37"/>
  <c r="AL67" i="37"/>
  <c r="AL68" i="37"/>
  <c r="AL69" i="37"/>
  <c r="AL70" i="37"/>
  <c r="AL71" i="37"/>
  <c r="AL72" i="37"/>
  <c r="AL73" i="37"/>
  <c r="AL74" i="37"/>
  <c r="AL75" i="37"/>
  <c r="AL76" i="37"/>
  <c r="AL77" i="37"/>
  <c r="AL56" i="37"/>
  <c r="AM57" i="37"/>
  <c r="AN57" i="37"/>
  <c r="AO57" i="37" s="1"/>
  <c r="AP57" i="37" s="1"/>
  <c r="AQ57" i="37"/>
  <c r="AR57" i="37" s="1"/>
  <c r="AM58" i="37"/>
  <c r="AN58" i="37"/>
  <c r="AO58" i="37" s="1"/>
  <c r="AP58" i="37" s="1"/>
  <c r="AQ58" i="37"/>
  <c r="AR58" i="37" s="1"/>
  <c r="AM59" i="37"/>
  <c r="AN59" i="37"/>
  <c r="AO59" i="37"/>
  <c r="AP59" i="37" s="1"/>
  <c r="AQ59" i="37"/>
  <c r="AR59" i="37" s="1"/>
  <c r="AM60" i="37"/>
  <c r="AN60" i="37"/>
  <c r="AO60" i="37"/>
  <c r="AQ60" i="37"/>
  <c r="AR60" i="37"/>
  <c r="AM61" i="37"/>
  <c r="AN61" i="37"/>
  <c r="AO61" i="37" s="1"/>
  <c r="AP61" i="37" s="1"/>
  <c r="AQ61" i="37"/>
  <c r="AR61" i="37" s="1"/>
  <c r="AM62" i="37"/>
  <c r="AN62" i="37"/>
  <c r="AO62" i="37" s="1"/>
  <c r="AP62" i="37" s="1"/>
  <c r="AQ62" i="37"/>
  <c r="AR62" i="37" s="1"/>
  <c r="AM63" i="37"/>
  <c r="AN63" i="37"/>
  <c r="AO63" i="37"/>
  <c r="AP63" i="37" s="1"/>
  <c r="AQ63" i="37"/>
  <c r="AR63" i="37" s="1"/>
  <c r="AM64" i="37"/>
  <c r="AN64" i="37"/>
  <c r="AO64" i="37"/>
  <c r="AQ64" i="37"/>
  <c r="AR64" i="37"/>
  <c r="AM65" i="37"/>
  <c r="AN65" i="37"/>
  <c r="AO65" i="37" s="1"/>
  <c r="AP65" i="37" s="1"/>
  <c r="AQ65" i="37"/>
  <c r="AR65" i="37" s="1"/>
  <c r="AM66" i="37"/>
  <c r="AN66" i="37"/>
  <c r="AO66" i="37" s="1"/>
  <c r="AP66" i="37" s="1"/>
  <c r="AQ66" i="37"/>
  <c r="AR66" i="37" s="1"/>
  <c r="AM67" i="37"/>
  <c r="AN67" i="37"/>
  <c r="AO67" i="37"/>
  <c r="AP67" i="37" s="1"/>
  <c r="AQ67" i="37"/>
  <c r="AR67" i="37" s="1"/>
  <c r="AM68" i="37"/>
  <c r="AN68" i="37"/>
  <c r="AO68" i="37"/>
  <c r="AQ68" i="37"/>
  <c r="AR68" i="37"/>
  <c r="AM69" i="37"/>
  <c r="AN69" i="37"/>
  <c r="AO69" i="37" s="1"/>
  <c r="AP69" i="37" s="1"/>
  <c r="AQ69" i="37"/>
  <c r="AR69" i="37" s="1"/>
  <c r="AM70" i="37"/>
  <c r="AN70" i="37"/>
  <c r="AO70" i="37" s="1"/>
  <c r="AP70" i="37" s="1"/>
  <c r="AQ70" i="37"/>
  <c r="AR70" i="37" s="1"/>
  <c r="AM71" i="37"/>
  <c r="AN71" i="37"/>
  <c r="AO71" i="37"/>
  <c r="AP71" i="37" s="1"/>
  <c r="AQ71" i="37"/>
  <c r="AR71" i="37" s="1"/>
  <c r="AM72" i="37"/>
  <c r="AN72" i="37"/>
  <c r="AO72" i="37"/>
  <c r="AQ72" i="37"/>
  <c r="AR72" i="37"/>
  <c r="AM73" i="37"/>
  <c r="AN73" i="37"/>
  <c r="AO73" i="37" s="1"/>
  <c r="AP73" i="37" s="1"/>
  <c r="AQ73" i="37"/>
  <c r="AR73" i="37" s="1"/>
  <c r="AM74" i="37"/>
  <c r="AN74" i="37"/>
  <c r="AO74" i="37" s="1"/>
  <c r="AP74" i="37" s="1"/>
  <c r="AQ74" i="37"/>
  <c r="AR74" i="37" s="1"/>
  <c r="AM75" i="37"/>
  <c r="AN75" i="37"/>
  <c r="AO75" i="37"/>
  <c r="AP75" i="37" s="1"/>
  <c r="AQ75" i="37"/>
  <c r="AR75" i="37" s="1"/>
  <c r="AM76" i="37"/>
  <c r="AN76" i="37"/>
  <c r="AO76" i="37"/>
  <c r="AQ76" i="37"/>
  <c r="AR76" i="37"/>
  <c r="AM77" i="37"/>
  <c r="AN77" i="37"/>
  <c r="AO77" i="37" s="1"/>
  <c r="AP77" i="37" s="1"/>
  <c r="AQ77" i="37"/>
  <c r="AR77" i="37" s="1"/>
  <c r="AQ56" i="37"/>
  <c r="AR56" i="37" s="1"/>
  <c r="AN56" i="37"/>
  <c r="AO56" i="37" s="1"/>
  <c r="AP56" i="37" s="1"/>
  <c r="AM56" i="37"/>
  <c r="AM15" i="37"/>
  <c r="AN15" i="37"/>
  <c r="AO15" i="37" s="1"/>
  <c r="AP15" i="37" s="1"/>
  <c r="AQ15" i="37"/>
  <c r="AR15" i="37" s="1"/>
  <c r="AM16" i="37"/>
  <c r="AN16" i="37"/>
  <c r="AO16" i="37" s="1"/>
  <c r="AP16" i="37" s="1"/>
  <c r="AQ16" i="37"/>
  <c r="AR16" i="37" s="1"/>
  <c r="AM17" i="37"/>
  <c r="AN17" i="37"/>
  <c r="AO17" i="37"/>
  <c r="AP17" i="37" s="1"/>
  <c r="AS17" i="37" s="1"/>
  <c r="AT17" i="37" s="1"/>
  <c r="AU17" i="37" s="1"/>
  <c r="AV17" i="37" s="1"/>
  <c r="AQ17" i="37"/>
  <c r="AR17" i="37"/>
  <c r="AM18" i="37"/>
  <c r="AN18" i="37"/>
  <c r="AO18" i="37" s="1"/>
  <c r="AQ18" i="37"/>
  <c r="AR18" i="37" s="1"/>
  <c r="AM19" i="37"/>
  <c r="AN19" i="37"/>
  <c r="AO19" i="37" s="1"/>
  <c r="AP19" i="37" s="1"/>
  <c r="AQ19" i="37"/>
  <c r="AR19" i="37" s="1"/>
  <c r="AM20" i="37"/>
  <c r="AN20" i="37"/>
  <c r="AO20" i="37" s="1"/>
  <c r="AP20" i="37" s="1"/>
  <c r="AQ20" i="37"/>
  <c r="AR20" i="37" s="1"/>
  <c r="AM21" i="37"/>
  <c r="AN21" i="37"/>
  <c r="AO21" i="37" s="1"/>
  <c r="AP21" i="37" s="1"/>
  <c r="AS21" i="37" s="1"/>
  <c r="AT21" i="37" s="1"/>
  <c r="AU21" i="37" s="1"/>
  <c r="AV21" i="37" s="1"/>
  <c r="AQ21" i="37"/>
  <c r="AR21" i="37"/>
  <c r="AM22" i="37"/>
  <c r="AN22" i="37"/>
  <c r="AO22" i="37" s="1"/>
  <c r="AP22" i="37" s="1"/>
  <c r="AQ22" i="37"/>
  <c r="AR22" i="37" s="1"/>
  <c r="AM23" i="37"/>
  <c r="AN23" i="37"/>
  <c r="AO23" i="37" s="1"/>
  <c r="AQ23" i="37"/>
  <c r="AR23" i="37"/>
  <c r="AM24" i="37"/>
  <c r="AN24" i="37"/>
  <c r="AO24" i="37" s="1"/>
  <c r="AQ24" i="37"/>
  <c r="AR24" i="37"/>
  <c r="AM25" i="37"/>
  <c r="AN25" i="37"/>
  <c r="AO25" i="37" s="1"/>
  <c r="AP25" i="37" s="1"/>
  <c r="AQ25" i="37"/>
  <c r="AR25" i="37" s="1"/>
  <c r="AM26" i="37"/>
  <c r="AN26" i="37"/>
  <c r="AO26" i="37" s="1"/>
  <c r="AQ26" i="37"/>
  <c r="AR26" i="37" s="1"/>
  <c r="AM27" i="37"/>
  <c r="AN27" i="37"/>
  <c r="AO27" i="37" s="1"/>
  <c r="AP27" i="37" s="1"/>
  <c r="AS27" i="37" s="1"/>
  <c r="AT27" i="37" s="1"/>
  <c r="AU27" i="37" s="1"/>
  <c r="AV27" i="37" s="1"/>
  <c r="AQ27" i="37"/>
  <c r="AR27" i="37"/>
  <c r="AM28" i="37"/>
  <c r="AN28" i="37"/>
  <c r="AO28" i="37" s="1"/>
  <c r="AQ28" i="37"/>
  <c r="AR28" i="37"/>
  <c r="AM29" i="37"/>
  <c r="AN29" i="37"/>
  <c r="AO29" i="37"/>
  <c r="AP29" i="37"/>
  <c r="AQ29" i="37"/>
  <c r="AR29" i="37" s="1"/>
  <c r="AM30" i="37"/>
  <c r="AN30" i="37"/>
  <c r="AO30" i="37" s="1"/>
  <c r="AP30" i="37" s="1"/>
  <c r="AQ30" i="37"/>
  <c r="AR30" i="37" s="1"/>
  <c r="AM31" i="37"/>
  <c r="AN31" i="37"/>
  <c r="AO31" i="37"/>
  <c r="AP31" i="37" s="1"/>
  <c r="AQ31" i="37"/>
  <c r="AR31" i="37" s="1"/>
  <c r="AM32" i="37"/>
  <c r="AN32" i="37"/>
  <c r="AO32" i="37"/>
  <c r="AP32" i="37" s="1"/>
  <c r="AS32" i="37" s="1"/>
  <c r="AT32" i="37" s="1"/>
  <c r="AU32" i="37" s="1"/>
  <c r="AV32" i="37" s="1"/>
  <c r="AQ32" i="37"/>
  <c r="AR32" i="37" s="1"/>
  <c r="AM33" i="37"/>
  <c r="AN33" i="37"/>
  <c r="AO33" i="37" s="1"/>
  <c r="AP33" i="37" s="1"/>
  <c r="AQ33" i="37"/>
  <c r="AR33" i="37" s="1"/>
  <c r="AM34" i="37"/>
  <c r="AN34" i="37"/>
  <c r="AO34" i="37" s="1"/>
  <c r="AQ34" i="37"/>
  <c r="AR34" i="37" s="1"/>
  <c r="AM35" i="37"/>
  <c r="AN35" i="37"/>
  <c r="AO35" i="37" s="1"/>
  <c r="AP35" i="37" s="1"/>
  <c r="AQ35" i="37"/>
  <c r="AR35" i="37"/>
  <c r="AM36" i="37"/>
  <c r="AN36" i="37"/>
  <c r="AO36" i="37" s="1"/>
  <c r="AP36" i="37" s="1"/>
  <c r="AQ36" i="37"/>
  <c r="AR36" i="37" s="1"/>
  <c r="AM37" i="37"/>
  <c r="AN37" i="37"/>
  <c r="AO37" i="37"/>
  <c r="AP37" i="37" s="1"/>
  <c r="AS37" i="37" s="1"/>
  <c r="AT37" i="37" s="1"/>
  <c r="AU37" i="37" s="1"/>
  <c r="AV37" i="37" s="1"/>
  <c r="AQ37" i="37"/>
  <c r="AR37" i="37" s="1"/>
  <c r="AM38" i="37"/>
  <c r="AN38" i="37"/>
  <c r="AO38" i="37" s="1"/>
  <c r="AP38" i="37" s="1"/>
  <c r="AQ38" i="37"/>
  <c r="AR38" i="37" s="1"/>
  <c r="AM39" i="37"/>
  <c r="AN39" i="37"/>
  <c r="AO39" i="37"/>
  <c r="AP39" i="37" s="1"/>
  <c r="AQ39" i="37"/>
  <c r="AR39" i="37" s="1"/>
  <c r="AM40" i="37"/>
  <c r="AN40" i="37"/>
  <c r="AO40" i="37" s="1"/>
  <c r="AP40" i="37" s="1"/>
  <c r="AQ40" i="37"/>
  <c r="AR40" i="37"/>
  <c r="AM41" i="37"/>
  <c r="AN41" i="37"/>
  <c r="AO41" i="37"/>
  <c r="AP41" i="37"/>
  <c r="AQ41" i="37"/>
  <c r="AR41" i="37" s="1"/>
  <c r="AM42" i="37"/>
  <c r="AN42" i="37"/>
  <c r="AO42" i="37" s="1"/>
  <c r="AP42" i="37" s="1"/>
  <c r="AQ42" i="37"/>
  <c r="AR42" i="37" s="1"/>
  <c r="AM43" i="37"/>
  <c r="AN43" i="37"/>
  <c r="AO43" i="37"/>
  <c r="AP43" i="37" s="1"/>
  <c r="AS43" i="37" s="1"/>
  <c r="AT43" i="37" s="1"/>
  <c r="AU43" i="37" s="1"/>
  <c r="AV43" i="37" s="1"/>
  <c r="AQ43" i="37"/>
  <c r="AR43" i="37" s="1"/>
  <c r="AM44" i="37"/>
  <c r="AN44" i="37"/>
  <c r="AO44" i="37"/>
  <c r="AP44" i="37" s="1"/>
  <c r="AS44" i="37" s="1"/>
  <c r="AT44" i="37" s="1"/>
  <c r="AU44" i="37" s="1"/>
  <c r="AV44" i="37" s="1"/>
  <c r="AQ44" i="37"/>
  <c r="AR44" i="37"/>
  <c r="AM45" i="37"/>
  <c r="AN45" i="37"/>
  <c r="AO45" i="37" s="1"/>
  <c r="AP45" i="37" s="1"/>
  <c r="AQ45" i="37"/>
  <c r="AR45" i="37" s="1"/>
  <c r="AM46" i="37"/>
  <c r="AN46" i="37"/>
  <c r="AO46" i="37" s="1"/>
  <c r="AP46" i="37" s="1"/>
  <c r="AQ46" i="37"/>
  <c r="AR46" i="37" s="1"/>
  <c r="AM47" i="37"/>
  <c r="AN47" i="37"/>
  <c r="AO47" i="37"/>
  <c r="AQ47" i="37"/>
  <c r="AR47" i="37"/>
  <c r="AM48" i="37"/>
  <c r="AN48" i="37"/>
  <c r="AO48" i="37"/>
  <c r="AP48" i="37"/>
  <c r="AQ48" i="37"/>
  <c r="AR48" i="37" s="1"/>
  <c r="AM49" i="37"/>
  <c r="AN49" i="37"/>
  <c r="AO49" i="37" s="1"/>
  <c r="AP49" i="37" s="1"/>
  <c r="AQ49" i="37"/>
  <c r="AR49" i="37" s="1"/>
  <c r="AM50" i="37"/>
  <c r="AN50" i="37"/>
  <c r="AO50" i="37" s="1"/>
  <c r="AP50" i="37" s="1"/>
  <c r="AQ50" i="37"/>
  <c r="AR50" i="37" s="1"/>
  <c r="AM51" i="37"/>
  <c r="AN51" i="37"/>
  <c r="AO51" i="37"/>
  <c r="AP51" i="37" s="1"/>
  <c r="AQ51" i="37"/>
  <c r="AR51" i="37" s="1"/>
  <c r="AM52" i="37"/>
  <c r="AN52" i="37"/>
  <c r="AO52" i="37"/>
  <c r="AP52" i="37" s="1"/>
  <c r="AQ52" i="37"/>
  <c r="AR52" i="37"/>
  <c r="AM53" i="37"/>
  <c r="AN53" i="37"/>
  <c r="AO53" i="37" s="1"/>
  <c r="AP53" i="37" s="1"/>
  <c r="AQ53" i="37"/>
  <c r="AR53" i="37" s="1"/>
  <c r="AM54" i="37"/>
  <c r="AN54" i="37"/>
  <c r="AO54" i="37" s="1"/>
  <c r="AP54" i="37" s="1"/>
  <c r="AQ54" i="37"/>
  <c r="AR54" i="37" s="1"/>
  <c r="AM55" i="37"/>
  <c r="AN55" i="37"/>
  <c r="AO55" i="37" s="1"/>
  <c r="AP55" i="37" s="1"/>
  <c r="AS55" i="37" s="1"/>
  <c r="AT55" i="37" s="1"/>
  <c r="AU55" i="37" s="1"/>
  <c r="AV55" i="37" s="1"/>
  <c r="AQ55" i="37"/>
  <c r="AR55" i="37"/>
  <c r="AQ14" i="37"/>
  <c r="AR14" i="37" s="1"/>
  <c r="AN14" i="37"/>
  <c r="AO14" i="37" s="1"/>
  <c r="AM14" i="37"/>
  <c r="AS36" i="37" l="1"/>
  <c r="AT36" i="37" s="1"/>
  <c r="AU36" i="37" s="1"/>
  <c r="AV36" i="37" s="1"/>
  <c r="AP34" i="37"/>
  <c r="AS34" i="37" s="1"/>
  <c r="AT34" i="37" s="1"/>
  <c r="AU34" i="37" s="1"/>
  <c r="AV34" i="37" s="1"/>
  <c r="AP24" i="37"/>
  <c r="AP23" i="37"/>
  <c r="AS23" i="37" s="1"/>
  <c r="AT23" i="37" s="1"/>
  <c r="AU23" i="37" s="1"/>
  <c r="AV23" i="37" s="1"/>
  <c r="AP18" i="37"/>
  <c r="AS39" i="37"/>
  <c r="AT39" i="37" s="1"/>
  <c r="AU39" i="37" s="1"/>
  <c r="AV39" i="37" s="1"/>
  <c r="AS19" i="37"/>
  <c r="AT19" i="37" s="1"/>
  <c r="AU19" i="37" s="1"/>
  <c r="AV19" i="37" s="1"/>
  <c r="BJ79" i="27"/>
  <c r="AP14" i="37"/>
  <c r="AP47" i="37"/>
  <c r="AP28" i="37"/>
  <c r="AP26" i="37"/>
  <c r="AS26" i="37" s="1"/>
  <c r="AT26" i="37" s="1"/>
  <c r="AU26" i="37" s="1"/>
  <c r="AV26" i="37" s="1"/>
  <c r="AP76" i="37"/>
  <c r="AS76" i="37" s="1"/>
  <c r="AT76" i="37" s="1"/>
  <c r="AU76" i="37" s="1"/>
  <c r="AV76" i="37" s="1"/>
  <c r="AP72" i="37"/>
  <c r="AS72" i="37" s="1"/>
  <c r="AT72" i="37" s="1"/>
  <c r="AU72" i="37" s="1"/>
  <c r="AV72" i="37" s="1"/>
  <c r="AP68" i="37"/>
  <c r="AP64" i="37"/>
  <c r="AP60" i="37"/>
  <c r="BE73" i="27"/>
  <c r="AS31" i="37"/>
  <c r="AT31" i="37" s="1"/>
  <c r="AU31" i="37" s="1"/>
  <c r="AV31" i="37" s="1"/>
  <c r="AS51" i="37"/>
  <c r="AT51" i="37" s="1"/>
  <c r="AU51" i="37" s="1"/>
  <c r="AV51" i="37" s="1"/>
  <c r="AS45" i="37"/>
  <c r="AT45" i="37" s="1"/>
  <c r="AU45" i="37" s="1"/>
  <c r="AV45" i="37" s="1"/>
  <c r="AS42" i="37"/>
  <c r="AT42" i="37" s="1"/>
  <c r="AU42" i="37" s="1"/>
  <c r="AV42" i="37" s="1"/>
  <c r="AS30" i="37"/>
  <c r="AT30" i="37" s="1"/>
  <c r="AU30" i="37" s="1"/>
  <c r="AV30" i="37" s="1"/>
  <c r="AS15" i="37"/>
  <c r="AT15" i="37" s="1"/>
  <c r="AU15" i="37" s="1"/>
  <c r="AV15" i="37" s="1"/>
  <c r="AS75" i="37"/>
  <c r="AT75" i="37" s="1"/>
  <c r="AU75" i="37" s="1"/>
  <c r="AV75" i="37" s="1"/>
  <c r="AS71" i="37"/>
  <c r="AT71" i="37" s="1"/>
  <c r="AU71" i="37" s="1"/>
  <c r="AV71" i="37" s="1"/>
  <c r="AS67" i="37"/>
  <c r="AT67" i="37" s="1"/>
  <c r="AU67" i="37" s="1"/>
  <c r="AV67" i="37" s="1"/>
  <c r="AS63" i="37"/>
  <c r="AT63" i="37" s="1"/>
  <c r="AU63" i="37" s="1"/>
  <c r="AV63" i="37" s="1"/>
  <c r="AS59" i="37"/>
  <c r="AT59" i="37" s="1"/>
  <c r="AU59" i="37" s="1"/>
  <c r="AV59" i="37" s="1"/>
  <c r="AS69" i="37"/>
  <c r="AT69" i="37" s="1"/>
  <c r="AU69" i="37" s="1"/>
  <c r="AV69" i="37" s="1"/>
  <c r="AS65" i="37"/>
  <c r="AT65" i="37" s="1"/>
  <c r="AU65" i="37" s="1"/>
  <c r="AV65" i="37" s="1"/>
  <c r="AS14" i="37"/>
  <c r="AT14" i="37" s="1"/>
  <c r="AU14" i="37" s="1"/>
  <c r="AV14" i="37" s="1"/>
  <c r="AS47" i="37"/>
  <c r="AT47" i="37" s="1"/>
  <c r="AU47" i="37" s="1"/>
  <c r="AV47" i="37" s="1"/>
  <c r="AS40" i="37"/>
  <c r="AT40" i="37" s="1"/>
  <c r="AU40" i="37" s="1"/>
  <c r="AV40" i="37" s="1"/>
  <c r="AS28" i="37"/>
  <c r="AT28" i="37" s="1"/>
  <c r="AU28" i="37" s="1"/>
  <c r="AV28" i="37" s="1"/>
  <c r="AS73" i="37"/>
  <c r="AT73" i="37" s="1"/>
  <c r="AU73" i="37" s="1"/>
  <c r="AV73" i="37" s="1"/>
  <c r="AS57" i="37"/>
  <c r="AT57" i="37" s="1"/>
  <c r="AU57" i="37" s="1"/>
  <c r="AV57" i="37" s="1"/>
  <c r="AS52" i="37"/>
  <c r="AT52" i="37" s="1"/>
  <c r="AU52" i="37" s="1"/>
  <c r="AV52" i="37" s="1"/>
  <c r="AS35" i="37"/>
  <c r="AT35" i="37" s="1"/>
  <c r="AU35" i="37" s="1"/>
  <c r="AV35" i="37" s="1"/>
  <c r="AS24" i="37"/>
  <c r="AT24" i="37" s="1"/>
  <c r="AU24" i="37" s="1"/>
  <c r="AV24" i="37" s="1"/>
  <c r="AS18" i="37"/>
  <c r="AT18" i="37" s="1"/>
  <c r="AU18" i="37" s="1"/>
  <c r="AV18" i="37" s="1"/>
  <c r="AS77" i="37"/>
  <c r="AT77" i="37" s="1"/>
  <c r="AU77" i="37" s="1"/>
  <c r="AV77" i="37" s="1"/>
  <c r="AS61" i="37"/>
  <c r="AT61" i="37" s="1"/>
  <c r="AU61" i="37" s="1"/>
  <c r="AV61" i="37" s="1"/>
  <c r="AS48" i="37"/>
  <c r="AT48" i="37" s="1"/>
  <c r="AU48" i="37" s="1"/>
  <c r="AV48" i="37" s="1"/>
  <c r="AS41" i="37"/>
  <c r="AT41" i="37" s="1"/>
  <c r="AU41" i="37" s="1"/>
  <c r="AV41" i="37" s="1"/>
  <c r="AS38" i="37"/>
  <c r="AT38" i="37" s="1"/>
  <c r="AU38" i="37" s="1"/>
  <c r="AV38" i="37" s="1"/>
  <c r="AS29" i="37"/>
  <c r="AT29" i="37" s="1"/>
  <c r="AU29" i="37" s="1"/>
  <c r="AV29" i="37" s="1"/>
  <c r="AS20" i="37"/>
  <c r="AT20" i="37" s="1"/>
  <c r="AU20" i="37" s="1"/>
  <c r="AV20" i="37" s="1"/>
  <c r="AS16" i="37"/>
  <c r="AT16" i="37" s="1"/>
  <c r="AU16" i="37" s="1"/>
  <c r="AV16" i="37" s="1"/>
  <c r="AS74" i="37"/>
  <c r="AT74" i="37" s="1"/>
  <c r="AU74" i="37" s="1"/>
  <c r="AV74" i="37" s="1"/>
  <c r="AS70" i="37"/>
  <c r="AT70" i="37" s="1"/>
  <c r="AU70" i="37" s="1"/>
  <c r="AV70" i="37" s="1"/>
  <c r="AS66" i="37"/>
  <c r="AT66" i="37" s="1"/>
  <c r="AU66" i="37" s="1"/>
  <c r="AV66" i="37" s="1"/>
  <c r="AS62" i="37"/>
  <c r="AT62" i="37" s="1"/>
  <c r="AU62" i="37" s="1"/>
  <c r="AV62" i="37" s="1"/>
  <c r="AS58" i="37"/>
  <c r="AT58" i="37" s="1"/>
  <c r="AU58" i="37" s="1"/>
  <c r="AV58" i="37" s="1"/>
  <c r="AS68" i="37"/>
  <c r="AT68" i="37" s="1"/>
  <c r="AU68" i="37" s="1"/>
  <c r="AV68" i="37" s="1"/>
  <c r="AS64" i="37"/>
  <c r="AT64" i="37" s="1"/>
  <c r="AU64" i="37" s="1"/>
  <c r="AV64" i="37" s="1"/>
  <c r="AS60" i="37"/>
  <c r="AT60" i="37" s="1"/>
  <c r="AU60" i="37" s="1"/>
  <c r="AV60" i="37" s="1"/>
  <c r="AS56" i="37"/>
  <c r="AT56" i="37" s="1"/>
  <c r="AU56" i="37" s="1"/>
  <c r="AV56" i="37" s="1"/>
  <c r="AS53" i="37"/>
  <c r="AT53" i="37" s="1"/>
  <c r="AU53" i="37" s="1"/>
  <c r="AV53" i="37" s="1"/>
  <c r="AS25" i="37"/>
  <c r="AT25" i="37" s="1"/>
  <c r="AU25" i="37" s="1"/>
  <c r="AV25" i="37" s="1"/>
  <c r="AS50" i="37"/>
  <c r="AT50" i="37" s="1"/>
  <c r="AU50" i="37" s="1"/>
  <c r="AV50" i="37" s="1"/>
  <c r="AS46" i="37"/>
  <c r="AT46" i="37" s="1"/>
  <c r="AU46" i="37" s="1"/>
  <c r="AV46" i="37" s="1"/>
  <c r="AS49" i="37"/>
  <c r="AT49" i="37" s="1"/>
  <c r="AU49" i="37" s="1"/>
  <c r="AV49" i="37" s="1"/>
  <c r="AS54" i="37"/>
  <c r="AT54" i="37" s="1"/>
  <c r="AU54" i="37" s="1"/>
  <c r="AV54" i="37" s="1"/>
  <c r="AS33" i="37"/>
  <c r="AT33" i="37" s="1"/>
  <c r="AU33" i="37" s="1"/>
  <c r="AV33" i="37" s="1"/>
  <c r="AS22" i="37"/>
  <c r="AT22" i="37" s="1"/>
  <c r="AU22" i="37" s="1"/>
  <c r="AV22" i="37" s="1"/>
  <c r="V2" i="37"/>
  <c r="M3" i="37"/>
  <c r="M4" i="37" s="1"/>
  <c r="I5" i="37"/>
  <c r="V14" i="37"/>
  <c r="V15" i="37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57" i="37"/>
  <c r="V58" i="37"/>
  <c r="V59" i="37"/>
  <c r="V60" i="37"/>
  <c r="V61" i="37"/>
  <c r="V62" i="37"/>
  <c r="V63" i="37"/>
  <c r="V64" i="37"/>
  <c r="V65" i="37"/>
  <c r="V66" i="37"/>
  <c r="V67" i="37"/>
  <c r="V68" i="37"/>
  <c r="V69" i="37"/>
  <c r="V70" i="37"/>
  <c r="V71" i="37"/>
  <c r="V72" i="37"/>
  <c r="V73" i="37"/>
  <c r="V74" i="37"/>
  <c r="V75" i="37"/>
  <c r="V76" i="37"/>
  <c r="V77" i="37"/>
  <c r="V78" i="37"/>
  <c r="V79" i="37"/>
  <c r="V80" i="37"/>
  <c r="V81" i="37"/>
  <c r="V82" i="37"/>
  <c r="V83" i="37"/>
  <c r="V84" i="37"/>
  <c r="V85" i="37"/>
  <c r="V86" i="37"/>
  <c r="V87" i="37"/>
  <c r="V88" i="37"/>
  <c r="V89" i="37"/>
  <c r="V90" i="37"/>
  <c r="V91" i="37"/>
  <c r="V92" i="37"/>
  <c r="V93" i="37"/>
  <c r="V94" i="37"/>
  <c r="V95" i="37"/>
  <c r="V96" i="37"/>
  <c r="V97" i="37"/>
  <c r="V98" i="37"/>
  <c r="V99" i="37"/>
  <c r="V100" i="37"/>
  <c r="V101" i="37"/>
  <c r="V102" i="37"/>
  <c r="V103" i="37"/>
  <c r="V104" i="37"/>
  <c r="V105" i="37"/>
  <c r="V106" i="37"/>
  <c r="V107" i="37"/>
  <c r="V108" i="37"/>
  <c r="V109" i="37"/>
  <c r="V110" i="37"/>
  <c r="V111" i="37"/>
  <c r="V112" i="37"/>
  <c r="V113" i="37"/>
  <c r="V114" i="37"/>
  <c r="V115" i="37"/>
  <c r="V116" i="37"/>
  <c r="V117" i="37"/>
  <c r="V118" i="37"/>
  <c r="V119" i="37"/>
  <c r="V120" i="37"/>
  <c r="V121" i="37"/>
  <c r="V122" i="37"/>
  <c r="V123" i="37"/>
  <c r="V124" i="37"/>
  <c r="V125" i="37"/>
  <c r="V126" i="37"/>
  <c r="V127" i="37"/>
  <c r="V128" i="37"/>
  <c r="V129" i="37"/>
  <c r="V130" i="37"/>
  <c r="V131" i="37"/>
  <c r="V132" i="37"/>
  <c r="V133" i="37"/>
  <c r="V134" i="37"/>
  <c r="V135" i="37"/>
  <c r="V136" i="37"/>
  <c r="V137" i="37"/>
  <c r="V138" i="37"/>
  <c r="V139" i="37"/>
  <c r="V140" i="37"/>
  <c r="V141" i="37"/>
  <c r="V142" i="37"/>
  <c r="V143" i="37"/>
  <c r="V144" i="37"/>
  <c r="V145" i="37"/>
  <c r="V146" i="37"/>
  <c r="V147" i="37"/>
  <c r="V148" i="37"/>
  <c r="V149" i="37"/>
  <c r="V150" i="37"/>
  <c r="V151" i="37"/>
  <c r="V152" i="37"/>
  <c r="V153" i="37"/>
  <c r="V154" i="37"/>
  <c r="V155" i="37"/>
  <c r="V156" i="37"/>
  <c r="V157" i="37"/>
  <c r="V158" i="37"/>
  <c r="V159" i="37"/>
  <c r="V160" i="37"/>
  <c r="V161" i="37"/>
  <c r="V162" i="37"/>
  <c r="V163" i="37"/>
  <c r="V164" i="37"/>
  <c r="V165" i="37"/>
  <c r="V166" i="37"/>
  <c r="V167" i="37"/>
  <c r="V168" i="37"/>
  <c r="V169" i="37"/>
  <c r="V170" i="37"/>
  <c r="V171" i="37"/>
  <c r="V172" i="37"/>
  <c r="V173" i="37"/>
  <c r="V174" i="37"/>
  <c r="V175" i="37"/>
  <c r="V176" i="37"/>
  <c r="V177" i="37"/>
  <c r="V178" i="37"/>
  <c r="V179" i="37"/>
  <c r="V180" i="37"/>
  <c r="V181" i="37"/>
  <c r="V182" i="37"/>
  <c r="V183" i="37"/>
  <c r="V184" i="37"/>
  <c r="V185" i="37"/>
  <c r="V186" i="37"/>
  <c r="V187" i="37"/>
  <c r="V188" i="37"/>
  <c r="V189" i="37"/>
  <c r="V190" i="37"/>
  <c r="V191" i="37"/>
  <c r="V192" i="37"/>
  <c r="V193" i="37"/>
  <c r="V194" i="37"/>
  <c r="V195" i="37"/>
  <c r="V196" i="37"/>
  <c r="V197" i="37"/>
  <c r="V198" i="37"/>
  <c r="V199" i="37"/>
  <c r="V200" i="37"/>
  <c r="V201" i="37"/>
  <c r="V202" i="37"/>
  <c r="V203" i="37"/>
  <c r="V204" i="37"/>
  <c r="V205" i="37"/>
  <c r="V206" i="37"/>
  <c r="V207" i="37"/>
  <c r="V208" i="37"/>
  <c r="V209" i="37"/>
  <c r="V210" i="37"/>
  <c r="V211" i="37"/>
  <c r="V212" i="37"/>
  <c r="V213" i="37"/>
  <c r="V214" i="37"/>
  <c r="V215" i="37"/>
  <c r="V216" i="37"/>
  <c r="V217" i="37"/>
  <c r="V218" i="37"/>
  <c r="V219" i="37"/>
  <c r="V220" i="37"/>
  <c r="V221" i="37"/>
  <c r="V222" i="37"/>
  <c r="V223" i="37"/>
  <c r="V224" i="37"/>
  <c r="V225" i="37"/>
  <c r="V226" i="37"/>
  <c r="V227" i="37"/>
  <c r="V228" i="37"/>
  <c r="V229" i="37"/>
  <c r="V230" i="37"/>
  <c r="V231" i="37"/>
  <c r="V232" i="37"/>
  <c r="V233" i="37"/>
  <c r="V234" i="37"/>
  <c r="V235" i="37"/>
  <c r="V236" i="37"/>
  <c r="V237" i="37"/>
  <c r="V238" i="37"/>
  <c r="V239" i="37"/>
  <c r="V240" i="37"/>
  <c r="V241" i="37"/>
  <c r="V242" i="37"/>
  <c r="V243" i="37"/>
  <c r="V244" i="37"/>
  <c r="V245" i="37"/>
  <c r="V246" i="37"/>
  <c r="V247" i="37"/>
  <c r="V248" i="37"/>
  <c r="V249" i="37"/>
  <c r="V250" i="37"/>
  <c r="V251" i="37"/>
  <c r="V252" i="37"/>
  <c r="V253" i="37"/>
  <c r="V254" i="37"/>
  <c r="V255" i="37"/>
  <c r="V256" i="37"/>
  <c r="V257" i="37"/>
  <c r="V258" i="37"/>
  <c r="V259" i="37"/>
  <c r="V260" i="37"/>
  <c r="V261" i="37"/>
  <c r="V262" i="37"/>
  <c r="V263" i="37"/>
  <c r="V264" i="37"/>
  <c r="V265" i="37"/>
  <c r="V266" i="37"/>
  <c r="V267" i="37"/>
  <c r="V268" i="37"/>
  <c r="V269" i="37"/>
  <c r="V270" i="37"/>
  <c r="V271" i="37"/>
  <c r="V272" i="37"/>
  <c r="V273" i="37"/>
  <c r="V274" i="37"/>
  <c r="V275" i="37"/>
  <c r="V276" i="37"/>
  <c r="V277" i="37"/>
  <c r="V278" i="37"/>
  <c r="V279" i="37"/>
  <c r="V280" i="37"/>
  <c r="V281" i="37"/>
  <c r="V282" i="37"/>
  <c r="V283" i="37"/>
  <c r="V284" i="37"/>
  <c r="V285" i="37"/>
  <c r="V286" i="37"/>
  <c r="V287" i="37"/>
  <c r="V288" i="37"/>
  <c r="V289" i="37"/>
  <c r="V290" i="37"/>
  <c r="V291" i="37"/>
  <c r="V292" i="37"/>
  <c r="V293" i="37"/>
  <c r="V294" i="37"/>
  <c r="V295" i="37"/>
  <c r="V296" i="37"/>
  <c r="V297" i="37"/>
  <c r="V298" i="37"/>
  <c r="V299" i="37"/>
  <c r="V300" i="37"/>
  <c r="V301" i="37"/>
  <c r="V302" i="37"/>
  <c r="V303" i="37"/>
  <c r="V304" i="37"/>
  <c r="V305" i="37"/>
  <c r="V306" i="37"/>
  <c r="V307" i="37"/>
  <c r="V308" i="37"/>
  <c r="V309" i="37"/>
  <c r="V310" i="37"/>
  <c r="V311" i="37"/>
  <c r="V312" i="37"/>
  <c r="V313" i="37"/>
  <c r="V314" i="37"/>
  <c r="V315" i="37"/>
  <c r="V316" i="37"/>
  <c r="V317" i="37"/>
  <c r="V318" i="37"/>
  <c r="V319" i="37"/>
  <c r="V320" i="37"/>
  <c r="V321" i="37"/>
  <c r="V322" i="37"/>
  <c r="V323" i="37"/>
  <c r="V324" i="37"/>
  <c r="V325" i="37"/>
  <c r="V326" i="37"/>
  <c r="V327" i="37"/>
  <c r="V328" i="37"/>
  <c r="V329" i="37"/>
  <c r="V330" i="37"/>
  <c r="V331" i="37"/>
  <c r="V332" i="37"/>
  <c r="V333" i="37"/>
  <c r="V334" i="37"/>
  <c r="V335" i="37"/>
  <c r="V336" i="37"/>
  <c r="V337" i="37"/>
  <c r="V338" i="37"/>
  <c r="V339" i="37"/>
  <c r="V340" i="37"/>
  <c r="V341" i="37"/>
  <c r="V342" i="37"/>
  <c r="V343" i="37"/>
  <c r="V344" i="37"/>
  <c r="V345" i="37"/>
  <c r="V346" i="37"/>
  <c r="V347" i="37"/>
  <c r="V348" i="37"/>
  <c r="V349" i="37"/>
  <c r="V350" i="37"/>
  <c r="V351" i="37"/>
  <c r="V352" i="37"/>
  <c r="V353" i="37"/>
  <c r="V354" i="37"/>
  <c r="V355" i="37"/>
  <c r="V356" i="37"/>
  <c r="V357" i="37"/>
  <c r="V358" i="37"/>
  <c r="V359" i="37"/>
  <c r="V360" i="37"/>
  <c r="V361" i="37"/>
  <c r="V362" i="37"/>
  <c r="V363" i="37"/>
  <c r="V364" i="37"/>
  <c r="V365" i="37"/>
  <c r="V366" i="37"/>
  <c r="V367" i="37"/>
  <c r="V368" i="37"/>
  <c r="V369" i="37"/>
  <c r="V370" i="37"/>
  <c r="V371" i="37"/>
  <c r="V372" i="37"/>
  <c r="V373" i="37"/>
  <c r="V374" i="37"/>
  <c r="V375" i="37"/>
  <c r="V376" i="37"/>
  <c r="V377" i="37"/>
  <c r="V378" i="37"/>
  <c r="V379" i="37"/>
  <c r="V380" i="37"/>
  <c r="V381" i="37"/>
  <c r="V382" i="37"/>
  <c r="V383" i="37"/>
  <c r="V384" i="37"/>
  <c r="V385" i="37"/>
  <c r="V386" i="37"/>
  <c r="V387" i="37"/>
  <c r="V388" i="37"/>
  <c r="V389" i="37"/>
  <c r="V390" i="37"/>
  <c r="V391" i="37"/>
  <c r="V392" i="37"/>
  <c r="V393" i="37"/>
  <c r="V394" i="37"/>
  <c r="V395" i="37"/>
  <c r="V396" i="37"/>
  <c r="V397" i="37"/>
  <c r="V398" i="37"/>
  <c r="V399" i="37"/>
  <c r="V400" i="37"/>
  <c r="V401" i="37"/>
  <c r="V402" i="37"/>
  <c r="V403" i="37"/>
  <c r="V404" i="37"/>
  <c r="V405" i="37"/>
  <c r="V406" i="37"/>
  <c r="V407" i="37"/>
  <c r="V408" i="37"/>
  <c r="V409" i="37"/>
  <c r="V410" i="37"/>
  <c r="V411" i="37"/>
  <c r="V412" i="37"/>
  <c r="V413" i="37"/>
  <c r="V414" i="37"/>
  <c r="V415" i="37"/>
  <c r="V416" i="37"/>
  <c r="V417" i="37"/>
  <c r="V418" i="37"/>
  <c r="V419" i="37"/>
  <c r="V420" i="37"/>
  <c r="V421" i="37"/>
  <c r="V422" i="37"/>
  <c r="V423" i="37"/>
  <c r="V424" i="37"/>
  <c r="V425" i="37"/>
  <c r="V426" i="37"/>
  <c r="V427" i="37"/>
  <c r="V428" i="37"/>
  <c r="V429" i="37"/>
  <c r="V430" i="37"/>
  <c r="V431" i="37"/>
  <c r="V432" i="37"/>
  <c r="V433" i="37"/>
  <c r="V434" i="37"/>
  <c r="V435" i="37"/>
  <c r="V436" i="37"/>
  <c r="V437" i="37"/>
  <c r="V438" i="37"/>
  <c r="V439" i="37"/>
  <c r="V440" i="37"/>
  <c r="V441" i="37"/>
  <c r="V442" i="37"/>
  <c r="V443" i="37"/>
  <c r="V444" i="37"/>
  <c r="V445" i="37"/>
  <c r="V446" i="37"/>
  <c r="V447" i="37"/>
  <c r="V448" i="37"/>
  <c r="V449" i="37"/>
  <c r="V450" i="37"/>
  <c r="V451" i="37"/>
  <c r="V452" i="37"/>
  <c r="V453" i="37"/>
  <c r="V454" i="37"/>
  <c r="V455" i="37"/>
  <c r="V456" i="37"/>
  <c r="V457" i="37"/>
  <c r="V458" i="37"/>
  <c r="V459" i="37"/>
  <c r="V460" i="37"/>
  <c r="V461" i="37"/>
  <c r="V462" i="37"/>
  <c r="V463" i="37"/>
  <c r="V464" i="37"/>
  <c r="V465" i="37"/>
  <c r="V466" i="37"/>
  <c r="V467" i="37"/>
  <c r="V468" i="37"/>
  <c r="V469" i="37"/>
  <c r="V470" i="37"/>
  <c r="V471" i="37"/>
  <c r="V472" i="37"/>
  <c r="V473" i="37"/>
  <c r="V474" i="37"/>
  <c r="V475" i="37"/>
  <c r="V476" i="37"/>
  <c r="V477" i="37"/>
  <c r="V478" i="37"/>
  <c r="V479" i="37"/>
  <c r="V480" i="37"/>
  <c r="V481" i="37"/>
  <c r="V482" i="37"/>
  <c r="V483" i="37"/>
  <c r="V484" i="37"/>
  <c r="V485" i="37"/>
  <c r="V486" i="37"/>
  <c r="V487" i="37"/>
  <c r="V488" i="37"/>
  <c r="V489" i="37"/>
  <c r="V490" i="37"/>
  <c r="V491" i="37"/>
  <c r="V492" i="37"/>
  <c r="V493" i="37"/>
  <c r="V494" i="37"/>
  <c r="V495" i="37"/>
  <c r="V496" i="37"/>
  <c r="V497" i="37"/>
  <c r="V498" i="37"/>
  <c r="V499" i="37"/>
  <c r="V500" i="37"/>
  <c r="V501" i="37"/>
  <c r="V502" i="37"/>
  <c r="V503" i="37"/>
  <c r="V504" i="37"/>
  <c r="V505" i="37"/>
  <c r="V506" i="37"/>
  <c r="V507" i="37"/>
  <c r="V508" i="37"/>
  <c r="V509" i="37"/>
  <c r="V510" i="37"/>
  <c r="V511" i="37"/>
  <c r="V512" i="37"/>
  <c r="V513" i="37"/>
  <c r="V514" i="37"/>
  <c r="V515" i="37"/>
  <c r="V516" i="37"/>
  <c r="V517" i="37"/>
  <c r="V518" i="37"/>
  <c r="V519" i="37"/>
  <c r="V520" i="37"/>
  <c r="V521" i="37"/>
  <c r="V522" i="37"/>
  <c r="V523" i="37"/>
  <c r="V524" i="37"/>
  <c r="V525" i="37"/>
  <c r="V526" i="37"/>
  <c r="V527" i="37"/>
  <c r="V528" i="37"/>
  <c r="V529" i="37"/>
  <c r="V530" i="37"/>
  <c r="V531" i="37"/>
  <c r="V532" i="37"/>
  <c r="V533" i="37"/>
  <c r="V534" i="37"/>
  <c r="V535" i="37"/>
  <c r="V536" i="37"/>
  <c r="V537" i="37"/>
  <c r="V538" i="37"/>
  <c r="V539" i="37"/>
  <c r="V540" i="37"/>
  <c r="V541" i="37"/>
  <c r="V542" i="37"/>
  <c r="V543" i="37"/>
  <c r="V544" i="37"/>
  <c r="V545" i="37"/>
  <c r="V546" i="37"/>
  <c r="V547" i="37"/>
  <c r="V548" i="37"/>
  <c r="V549" i="37"/>
  <c r="V550" i="37"/>
  <c r="V551" i="37"/>
  <c r="V552" i="37"/>
  <c r="V553" i="37"/>
  <c r="V554" i="37"/>
  <c r="V555" i="37"/>
  <c r="V556" i="37"/>
  <c r="V557" i="37"/>
  <c r="V558" i="37"/>
  <c r="V559" i="37"/>
  <c r="V560" i="37"/>
  <c r="V561" i="37"/>
  <c r="V562" i="37"/>
  <c r="V563" i="37"/>
  <c r="V564" i="37"/>
  <c r="V565" i="37"/>
  <c r="V566" i="37"/>
  <c r="V567" i="37"/>
  <c r="V568" i="37"/>
  <c r="V569" i="37"/>
  <c r="V570" i="37"/>
  <c r="V571" i="37"/>
  <c r="V572" i="37"/>
  <c r="V573" i="37"/>
  <c r="V574" i="37"/>
  <c r="V575" i="37"/>
  <c r="V576" i="37"/>
  <c r="V577" i="37"/>
  <c r="V578" i="37"/>
  <c r="V579" i="37"/>
  <c r="V580" i="37"/>
  <c r="V581" i="37"/>
  <c r="V582" i="37"/>
  <c r="V583" i="37"/>
  <c r="V584" i="37"/>
  <c r="V585" i="37"/>
  <c r="V586" i="37"/>
  <c r="V587" i="37"/>
  <c r="V588" i="37"/>
  <c r="V589" i="37"/>
  <c r="V590" i="37"/>
  <c r="V591" i="37"/>
  <c r="V592" i="37"/>
  <c r="V593" i="37"/>
  <c r="V594" i="37"/>
  <c r="V595" i="37"/>
  <c r="V596" i="37"/>
  <c r="V597" i="37"/>
  <c r="V598" i="37"/>
  <c r="V599" i="37"/>
  <c r="V600" i="37"/>
  <c r="V601" i="37"/>
  <c r="V602" i="37"/>
  <c r="V603" i="37"/>
  <c r="V604" i="37"/>
  <c r="V605" i="37"/>
  <c r="V606" i="37"/>
  <c r="V607" i="37"/>
  <c r="V608" i="37"/>
  <c r="V609" i="37"/>
  <c r="V610" i="37"/>
  <c r="V611" i="37"/>
  <c r="V612" i="37"/>
  <c r="V613" i="37"/>
  <c r="V614" i="37"/>
  <c r="V615" i="37"/>
  <c r="V616" i="37"/>
  <c r="V617" i="37"/>
  <c r="V618" i="37"/>
  <c r="V619" i="37"/>
  <c r="V620" i="37"/>
  <c r="V621" i="37"/>
  <c r="V622" i="37"/>
  <c r="V623" i="37"/>
  <c r="V624" i="37"/>
  <c r="V625" i="37"/>
  <c r="V626" i="37"/>
  <c r="V627" i="37"/>
  <c r="V628" i="37"/>
  <c r="V629" i="37"/>
  <c r="V630" i="37"/>
  <c r="V631" i="37"/>
  <c r="V632" i="37"/>
  <c r="V633" i="37"/>
  <c r="V634" i="37"/>
  <c r="V635" i="37"/>
  <c r="V636" i="37"/>
  <c r="V637" i="37"/>
  <c r="V638" i="37"/>
  <c r="V639" i="37"/>
  <c r="V640" i="37"/>
  <c r="V641" i="37"/>
  <c r="V642" i="37"/>
  <c r="V643" i="37"/>
  <c r="V644" i="37"/>
  <c r="V645" i="37"/>
  <c r="V646" i="37"/>
  <c r="V647" i="37"/>
  <c r="V648" i="37"/>
  <c r="V649" i="37"/>
  <c r="V650" i="37"/>
  <c r="V651" i="37"/>
  <c r="V652" i="37"/>
  <c r="V653" i="37"/>
  <c r="V654" i="37"/>
  <c r="V655" i="37"/>
  <c r="V656" i="37"/>
  <c r="V657" i="37"/>
  <c r="V658" i="37"/>
  <c r="V659" i="37"/>
  <c r="V660" i="37"/>
  <c r="V661" i="37"/>
  <c r="V662" i="37"/>
  <c r="V663" i="37"/>
  <c r="V664" i="37"/>
  <c r="V665" i="37"/>
  <c r="V666" i="37"/>
  <c r="V667" i="37"/>
  <c r="V668" i="37"/>
  <c r="V669" i="37"/>
  <c r="V670" i="37"/>
  <c r="V671" i="37"/>
  <c r="V672" i="37"/>
  <c r="V673" i="37"/>
  <c r="V674" i="37"/>
  <c r="V675" i="37"/>
  <c r="V676" i="37"/>
  <c r="V677" i="37"/>
  <c r="V678" i="37"/>
  <c r="V679" i="37"/>
  <c r="V680" i="37"/>
  <c r="V681" i="37"/>
  <c r="V682" i="37"/>
  <c r="V683" i="37"/>
  <c r="V684" i="37"/>
  <c r="V685" i="37"/>
  <c r="V686" i="37"/>
  <c r="V687" i="37"/>
  <c r="V688" i="37"/>
  <c r="V689" i="37"/>
  <c r="V690" i="37"/>
  <c r="V691" i="37"/>
  <c r="V692" i="37"/>
  <c r="V693" i="37"/>
  <c r="V694" i="37"/>
  <c r="V695" i="37"/>
  <c r="V696" i="37"/>
  <c r="V697" i="37"/>
  <c r="V698" i="37"/>
  <c r="V699" i="37"/>
  <c r="V700" i="37"/>
  <c r="V701" i="37"/>
  <c r="V702" i="37"/>
  <c r="V703" i="37"/>
  <c r="V704" i="37"/>
  <c r="V705" i="37"/>
  <c r="V706" i="37"/>
  <c r="V707" i="37"/>
  <c r="V708" i="37"/>
  <c r="V709" i="37"/>
  <c r="V710" i="37"/>
  <c r="V711" i="37"/>
  <c r="V712" i="37"/>
  <c r="V713" i="37"/>
  <c r="V714" i="37"/>
  <c r="V715" i="37"/>
  <c r="V716" i="37"/>
  <c r="V717" i="37"/>
  <c r="V718" i="37"/>
  <c r="V719" i="37"/>
  <c r="V720" i="37"/>
  <c r="V721" i="37"/>
  <c r="V722" i="37"/>
  <c r="V723" i="37"/>
  <c r="V724" i="37"/>
  <c r="V725" i="37"/>
  <c r="V726" i="37"/>
  <c r="V727" i="37"/>
  <c r="V728" i="37"/>
  <c r="V729" i="37"/>
  <c r="V730" i="37"/>
  <c r="V731" i="37"/>
  <c r="V732" i="37"/>
  <c r="V733" i="37"/>
  <c r="V734" i="37"/>
  <c r="V735" i="37"/>
  <c r="V736" i="37"/>
  <c r="V737" i="37"/>
  <c r="V738" i="37"/>
  <c r="V739" i="37"/>
  <c r="V740" i="37"/>
  <c r="V741" i="37"/>
  <c r="V742" i="37"/>
  <c r="V743" i="37"/>
  <c r="V744" i="37"/>
  <c r="V745" i="37"/>
  <c r="V746" i="37"/>
  <c r="V747" i="37"/>
  <c r="V748" i="37"/>
  <c r="V749" i="37"/>
  <c r="V750" i="37"/>
  <c r="V751" i="37"/>
  <c r="V752" i="37"/>
  <c r="V753" i="37"/>
  <c r="V754" i="37"/>
  <c r="V755" i="37"/>
  <c r="V756" i="37"/>
  <c r="V757" i="37"/>
  <c r="V758" i="37"/>
  <c r="V759" i="37"/>
  <c r="V760" i="37"/>
  <c r="V761" i="37"/>
  <c r="V762" i="37"/>
  <c r="V763" i="37"/>
  <c r="V764" i="37"/>
  <c r="V765" i="37"/>
  <c r="V766" i="37"/>
  <c r="V767" i="37"/>
  <c r="V768" i="37"/>
  <c r="V769" i="37"/>
  <c r="V770" i="37"/>
  <c r="V771" i="37"/>
  <c r="V772" i="37"/>
  <c r="V773" i="37"/>
  <c r="V774" i="37"/>
  <c r="V775" i="37"/>
  <c r="V776" i="37"/>
  <c r="V777" i="37"/>
  <c r="V778" i="37"/>
  <c r="V779" i="37"/>
  <c r="V780" i="37"/>
  <c r="V781" i="37"/>
  <c r="V782" i="37"/>
  <c r="V783" i="37"/>
  <c r="V784" i="37"/>
  <c r="V785" i="37"/>
  <c r="V786" i="37"/>
  <c r="V787" i="37"/>
  <c r="V788" i="37"/>
  <c r="V789" i="37"/>
  <c r="V790" i="37"/>
  <c r="V791" i="37"/>
  <c r="V792" i="37"/>
  <c r="V793" i="37"/>
  <c r="V794" i="37"/>
  <c r="V795" i="37"/>
  <c r="V796" i="37"/>
  <c r="V797" i="37"/>
  <c r="V798" i="37"/>
  <c r="V799" i="37"/>
  <c r="V800" i="37"/>
  <c r="V801" i="37"/>
  <c r="V802" i="37"/>
  <c r="V803" i="37"/>
  <c r="V804" i="37"/>
  <c r="V805" i="37"/>
  <c r="V806" i="37"/>
  <c r="V807" i="37"/>
  <c r="V808" i="37"/>
  <c r="V809" i="37"/>
  <c r="V810" i="37"/>
  <c r="V811" i="37"/>
  <c r="V812" i="37"/>
  <c r="V813" i="37"/>
  <c r="V814" i="37"/>
  <c r="V815" i="37"/>
  <c r="V816" i="37"/>
  <c r="V817" i="37"/>
  <c r="V818" i="37"/>
  <c r="V819" i="37"/>
  <c r="V820" i="37"/>
  <c r="V821" i="37"/>
  <c r="V822" i="37"/>
  <c r="V823" i="37"/>
  <c r="V824" i="37"/>
  <c r="V825" i="37"/>
  <c r="V826" i="37"/>
  <c r="V827" i="37"/>
  <c r="V828" i="37"/>
  <c r="V829" i="37"/>
  <c r="V830" i="37"/>
  <c r="V831" i="37"/>
  <c r="V832" i="37"/>
  <c r="V833" i="37"/>
  <c r="V834" i="37"/>
  <c r="V835" i="37"/>
  <c r="V836" i="37"/>
  <c r="V837" i="37"/>
  <c r="V838" i="37"/>
  <c r="V839" i="37"/>
  <c r="V840" i="37"/>
  <c r="V841" i="37"/>
  <c r="V842" i="37"/>
  <c r="V843" i="37"/>
  <c r="V844" i="37"/>
  <c r="V845" i="37"/>
  <c r="V846" i="37"/>
  <c r="V847" i="37"/>
  <c r="V848" i="37"/>
  <c r="V849" i="37"/>
  <c r="V850" i="37"/>
  <c r="V851" i="37"/>
  <c r="V852" i="37"/>
  <c r="V853" i="37"/>
  <c r="V854" i="37"/>
  <c r="V855" i="37"/>
  <c r="V856" i="37"/>
  <c r="V857" i="37"/>
  <c r="V858" i="37"/>
  <c r="V859" i="37"/>
  <c r="V860" i="37"/>
  <c r="V861" i="37"/>
  <c r="V862" i="37"/>
  <c r="V863" i="37"/>
  <c r="V864" i="37"/>
  <c r="V865" i="37"/>
  <c r="V866" i="37"/>
  <c r="V867" i="37"/>
  <c r="V868" i="37"/>
  <c r="V869" i="37"/>
  <c r="V870" i="37"/>
  <c r="V871" i="37"/>
  <c r="V872" i="37"/>
  <c r="V873" i="37"/>
  <c r="V874" i="37"/>
  <c r="V875" i="37"/>
  <c r="V876" i="37"/>
  <c r="V877" i="37"/>
  <c r="V878" i="37"/>
  <c r="V879" i="37"/>
  <c r="V880" i="37"/>
  <c r="V881" i="37"/>
  <c r="V882" i="37"/>
  <c r="V883" i="37"/>
  <c r="V884" i="37"/>
  <c r="V885" i="37"/>
  <c r="V886" i="37"/>
  <c r="V887" i="37"/>
  <c r="V888" i="37"/>
  <c r="V889" i="37"/>
  <c r="V890" i="37"/>
  <c r="V891" i="37"/>
  <c r="V892" i="37"/>
  <c r="V893" i="37"/>
  <c r="V894" i="37"/>
  <c r="V895" i="37"/>
  <c r="V896" i="37"/>
  <c r="V897" i="37"/>
  <c r="V898" i="37"/>
  <c r="V899" i="37"/>
  <c r="V900" i="37"/>
  <c r="V901" i="37"/>
  <c r="V902" i="37"/>
  <c r="V903" i="37"/>
  <c r="V904" i="37"/>
  <c r="V905" i="37"/>
  <c r="V906" i="37"/>
  <c r="V907" i="37"/>
  <c r="V908" i="37"/>
  <c r="V909" i="37"/>
  <c r="V910" i="37"/>
  <c r="V911" i="37"/>
  <c r="V912" i="37"/>
  <c r="V913" i="37"/>
  <c r="V914" i="37"/>
  <c r="V915" i="37"/>
  <c r="V916" i="37"/>
  <c r="V917" i="37"/>
  <c r="V918" i="37"/>
  <c r="V919" i="37"/>
  <c r="V920" i="37"/>
  <c r="V921" i="37"/>
  <c r="V922" i="37"/>
  <c r="V923" i="37"/>
  <c r="V924" i="37"/>
  <c r="V925" i="37"/>
  <c r="V926" i="37"/>
  <c r="V927" i="37"/>
  <c r="V928" i="37"/>
  <c r="V929" i="37"/>
  <c r="V930" i="37"/>
  <c r="V931" i="37"/>
  <c r="V932" i="37"/>
  <c r="V933" i="37"/>
  <c r="V934" i="37"/>
  <c r="V935" i="37"/>
  <c r="V936" i="37"/>
  <c r="V937" i="37"/>
  <c r="V938" i="37"/>
  <c r="V939" i="37"/>
  <c r="V940" i="37"/>
  <c r="V941" i="37"/>
  <c r="V942" i="37"/>
  <c r="V943" i="37"/>
  <c r="V944" i="37"/>
  <c r="V945" i="37"/>
  <c r="V946" i="37"/>
  <c r="V947" i="37"/>
  <c r="V948" i="37"/>
  <c r="V949" i="37"/>
  <c r="V950" i="37"/>
  <c r="V951" i="37"/>
  <c r="V952" i="37"/>
  <c r="V953" i="37"/>
  <c r="V954" i="37"/>
  <c r="V955" i="37"/>
  <c r="V956" i="37"/>
  <c r="V957" i="37"/>
  <c r="V958" i="37"/>
  <c r="V959" i="37"/>
  <c r="V960" i="37"/>
  <c r="V961" i="37"/>
  <c r="V962" i="37"/>
  <c r="V963" i="37"/>
  <c r="V964" i="37"/>
  <c r="V965" i="37"/>
  <c r="V966" i="37"/>
  <c r="V967" i="37"/>
  <c r="V968" i="37"/>
  <c r="V969" i="37"/>
  <c r="V970" i="37"/>
  <c r="V971" i="37"/>
  <c r="V972" i="37"/>
  <c r="V973" i="37"/>
  <c r="V974" i="37"/>
  <c r="V975" i="37"/>
  <c r="V976" i="37"/>
  <c r="V977" i="37"/>
  <c r="V978" i="37"/>
  <c r="V979" i="37"/>
  <c r="V980" i="37"/>
  <c r="V981" i="37"/>
  <c r="V982" i="37"/>
  <c r="V983" i="37"/>
  <c r="V984" i="37"/>
  <c r="V985" i="37"/>
  <c r="V986" i="37"/>
  <c r="V987" i="37"/>
  <c r="V988" i="37"/>
  <c r="V989" i="37"/>
  <c r="V990" i="37"/>
  <c r="V991" i="37"/>
  <c r="V992" i="37"/>
  <c r="V993" i="37"/>
  <c r="V994" i="37"/>
  <c r="V995" i="37"/>
  <c r="V996" i="37"/>
  <c r="V997" i="37"/>
  <c r="V998" i="37"/>
  <c r="V999" i="37"/>
  <c r="V1000" i="37"/>
  <c r="V1001" i="37"/>
  <c r="V1002" i="37"/>
  <c r="V1003" i="37"/>
  <c r="V1004" i="37"/>
  <c r="V1005" i="37"/>
  <c r="V1006" i="37"/>
  <c r="V1007" i="37"/>
  <c r="V1008" i="37"/>
  <c r="V1009" i="37"/>
  <c r="V1010" i="37"/>
  <c r="V1011" i="37"/>
  <c r="V1012" i="37"/>
  <c r="V1013" i="37"/>
  <c r="V1014" i="37"/>
  <c r="V1015" i="37"/>
  <c r="V1016" i="37"/>
  <c r="V1017" i="37"/>
  <c r="V1018" i="37"/>
  <c r="V1019" i="37"/>
  <c r="V1020" i="37"/>
  <c r="V1021" i="37"/>
  <c r="V1022" i="37"/>
  <c r="V1023" i="37"/>
  <c r="V1024" i="37"/>
  <c r="V1025" i="37"/>
  <c r="V1026" i="37"/>
  <c r="V1027" i="37"/>
  <c r="V1028" i="37"/>
  <c r="V1029" i="37"/>
  <c r="V1030" i="37"/>
  <c r="V1031" i="37"/>
  <c r="V1032" i="37"/>
  <c r="V1033" i="37"/>
  <c r="V1034" i="37"/>
  <c r="V1035" i="37"/>
  <c r="V1036" i="37"/>
  <c r="V1037" i="37"/>
  <c r="V1038" i="37"/>
  <c r="V1039" i="37"/>
  <c r="V1040" i="37"/>
  <c r="V1041" i="37"/>
  <c r="V1042" i="37"/>
  <c r="V1043" i="37"/>
  <c r="V1044" i="37"/>
  <c r="V1045" i="37"/>
  <c r="V1046" i="37"/>
  <c r="V1047" i="37"/>
  <c r="V1048" i="37"/>
  <c r="V1049" i="37"/>
  <c r="V1050" i="37"/>
  <c r="V1051" i="37"/>
  <c r="V1052" i="37"/>
  <c r="V1053" i="37"/>
  <c r="V1054" i="37"/>
  <c r="V1055" i="37"/>
  <c r="V1056" i="37"/>
  <c r="V1057" i="37"/>
  <c r="V1058" i="37"/>
  <c r="V1059" i="37"/>
  <c r="V1060" i="37"/>
  <c r="V1061" i="37"/>
  <c r="V1062" i="37"/>
  <c r="V1063" i="37"/>
  <c r="V1064" i="37"/>
  <c r="S3" i="37"/>
  <c r="X4" i="37"/>
  <c r="AB3" i="37"/>
  <c r="U4" i="37"/>
  <c r="B3" i="37"/>
  <c r="Y3" i="37"/>
  <c r="B6" i="35" l="1"/>
  <c r="A6" i="35" s="1"/>
  <c r="AE6" i="35"/>
  <c r="B30" i="35"/>
  <c r="A30" i="35" s="1"/>
  <c r="B31" i="35"/>
  <c r="A31" i="35" s="1"/>
  <c r="AE31" i="35"/>
  <c r="AQ72" i="35" s="1"/>
  <c r="B32" i="35"/>
  <c r="A32" i="35" s="1"/>
  <c r="AE32" i="35"/>
  <c r="AQ81" i="35" s="1"/>
  <c r="B33" i="35"/>
  <c r="A33" i="35" s="1"/>
  <c r="AE33" i="35"/>
  <c r="AM33" i="35"/>
  <c r="B34" i="35"/>
  <c r="A34" i="35" s="1"/>
  <c r="AE34" i="35"/>
  <c r="B35" i="35"/>
  <c r="A35" i="35" s="1"/>
  <c r="B36" i="35"/>
  <c r="A36" i="35" s="1"/>
  <c r="AE36" i="35"/>
  <c r="AQ78" i="35" s="1"/>
  <c r="AM36" i="35"/>
  <c r="B37" i="35"/>
  <c r="A37" i="35" s="1"/>
  <c r="AE37" i="35"/>
  <c r="AQ83" i="35" s="1"/>
  <c r="B38" i="35"/>
  <c r="A38" i="35" s="1"/>
  <c r="AE38" i="35"/>
  <c r="AQ75" i="35" s="1"/>
  <c r="AZ17" i="27" s="1"/>
  <c r="AM38" i="35"/>
  <c r="B39" i="35"/>
  <c r="A39" i="35" s="1"/>
  <c r="AE39" i="35"/>
  <c r="AM39" i="35"/>
  <c r="B40" i="35"/>
  <c r="A40" i="35" s="1"/>
  <c r="AE40" i="35"/>
  <c r="AM40" i="35"/>
  <c r="B41" i="35"/>
  <c r="A41" i="35" s="1"/>
  <c r="AE41" i="35"/>
  <c r="AM41" i="35"/>
  <c r="B42" i="35"/>
  <c r="A42" i="35" s="1"/>
  <c r="AE42" i="35"/>
  <c r="AM42" i="35"/>
  <c r="B43" i="35"/>
  <c r="A43" i="35" s="1"/>
  <c r="B44" i="35"/>
  <c r="A44" i="35" s="1"/>
  <c r="AE44" i="35"/>
  <c r="AQ79" i="35" s="1"/>
  <c r="AS79" i="35" s="1"/>
  <c r="AT79" i="35" s="1"/>
  <c r="AU79" i="35" s="1"/>
  <c r="AM44" i="35"/>
  <c r="B45" i="35"/>
  <c r="A45" i="35" s="1"/>
  <c r="AE45" i="35"/>
  <c r="B46" i="35"/>
  <c r="A46" i="35" s="1"/>
  <c r="AE46" i="35"/>
  <c r="B47" i="35"/>
  <c r="A47" i="35" s="1"/>
  <c r="AE47" i="35"/>
  <c r="B48" i="35"/>
  <c r="A48" i="35" s="1"/>
  <c r="AE48" i="35"/>
  <c r="B49" i="35"/>
  <c r="A49" i="35" s="1"/>
  <c r="AE49" i="35"/>
  <c r="B50" i="35"/>
  <c r="A50" i="35" s="1"/>
  <c r="AE50" i="35"/>
  <c r="B51" i="35"/>
  <c r="A51" i="35" s="1"/>
  <c r="AE51" i="35"/>
  <c r="B52" i="35"/>
  <c r="A52" i="35" s="1"/>
  <c r="AE52" i="35"/>
  <c r="B53" i="35"/>
  <c r="A53" i="35" s="1"/>
  <c r="AE53" i="35"/>
  <c r="B54" i="35"/>
  <c r="A54" i="35" s="1"/>
  <c r="AE54" i="35"/>
  <c r="B55" i="35"/>
  <c r="A55" i="35" s="1"/>
  <c r="AE55" i="35"/>
  <c r="B56" i="35"/>
  <c r="A56" i="35" s="1"/>
  <c r="AE56" i="35"/>
  <c r="B57" i="35"/>
  <c r="A57" i="35" s="1"/>
  <c r="AE57" i="35"/>
  <c r="B58" i="35"/>
  <c r="A58" i="35" s="1"/>
  <c r="AE58" i="35"/>
  <c r="B59" i="35"/>
  <c r="A59" i="35" s="1"/>
  <c r="AE59" i="35"/>
  <c r="B60" i="35"/>
  <c r="A60" i="35" s="1"/>
  <c r="AE60" i="35"/>
  <c r="B61" i="35"/>
  <c r="A61" i="35" s="1"/>
  <c r="AE61" i="35"/>
  <c r="B62" i="35"/>
  <c r="A62" i="35" s="1"/>
  <c r="AE62" i="35"/>
  <c r="B63" i="35"/>
  <c r="A63" i="35" s="1"/>
  <c r="AE63" i="35"/>
  <c r="B64" i="35"/>
  <c r="A64" i="35" s="1"/>
  <c r="AE64" i="35"/>
  <c r="B65" i="35"/>
  <c r="A65" i="35" s="1"/>
  <c r="AE65" i="35"/>
  <c r="R67" i="35"/>
  <c r="S67" i="35"/>
  <c r="T67" i="35"/>
  <c r="U67" i="35"/>
  <c r="V67" i="35"/>
  <c r="W67" i="35"/>
  <c r="X67" i="35"/>
  <c r="Y67" i="35"/>
  <c r="Z67" i="35"/>
  <c r="AA67" i="35"/>
  <c r="AB67" i="35"/>
  <c r="AC67" i="35"/>
  <c r="F10" i="35"/>
  <c r="F13" i="35"/>
  <c r="L8" i="35"/>
  <c r="L9" i="35"/>
  <c r="F15" i="35"/>
  <c r="F9" i="35"/>
  <c r="F11" i="35"/>
  <c r="F12" i="35"/>
  <c r="BB17" i="27" l="1"/>
  <c r="BA17" i="27"/>
  <c r="AZ77" i="27"/>
  <c r="AS78" i="35"/>
  <c r="AS81" i="35"/>
  <c r="AZ75" i="27"/>
  <c r="AQ77" i="35"/>
  <c r="AQ76" i="35"/>
  <c r="AQ73" i="35"/>
  <c r="AS73" i="35" s="1"/>
  <c r="AT73" i="35" s="1"/>
  <c r="AU73" i="35" s="1"/>
  <c r="AQ82" i="35"/>
  <c r="AS72" i="35"/>
  <c r="AE67" i="35"/>
  <c r="B18" i="35"/>
  <c r="B19" i="35" s="1"/>
  <c r="AZ63" i="27" l="1"/>
  <c r="BB77" i="27"/>
  <c r="BA77" i="27"/>
  <c r="AS76" i="35"/>
  <c r="AZ9" i="27"/>
  <c r="BC63" i="27"/>
  <c r="BE63" i="27" s="1"/>
  <c r="AS77" i="35"/>
  <c r="AZ21" i="27"/>
  <c r="BB21" i="27" s="1"/>
  <c r="BA21" i="27" s="1"/>
  <c r="AT81" i="35"/>
  <c r="AU81" i="35" s="1"/>
  <c r="BF75" i="27" s="1"/>
  <c r="BC75" i="27"/>
  <c r="BE75" i="27" s="1"/>
  <c r="BB75" i="27"/>
  <c r="BA75" i="27"/>
  <c r="AQ87" i="35"/>
  <c r="AT78" i="35"/>
  <c r="AU78" i="35" s="1"/>
  <c r="BF77" i="27" s="1"/>
  <c r="BC77" i="27"/>
  <c r="BE77" i="27" s="1"/>
  <c r="AQ84" i="35"/>
  <c r="AQ85" i="35" s="1"/>
  <c r="AS75" i="35"/>
  <c r="AT72" i="35"/>
  <c r="BN7" i="27"/>
  <c r="BM7" i="27"/>
  <c r="BE7" i="27"/>
  <c r="BD7" i="27"/>
  <c r="AV7" i="27"/>
  <c r="AU7" i="27"/>
  <c r="AT77" i="35" l="1"/>
  <c r="AU77" i="35" s="1"/>
  <c r="BF21" i="27" s="1"/>
  <c r="BC21" i="27"/>
  <c r="BE21" i="27" s="1"/>
  <c r="AT76" i="35"/>
  <c r="AU76" i="35" s="1"/>
  <c r="BF9" i="27" s="1"/>
  <c r="BC9" i="27"/>
  <c r="AT75" i="35"/>
  <c r="AU75" i="35" s="1"/>
  <c r="BF17" i="27" s="1"/>
  <c r="BC17" i="27"/>
  <c r="BE17" i="27" s="1"/>
  <c r="AZ35" i="27"/>
  <c r="BB9" i="27"/>
  <c r="BB63" i="27"/>
  <c r="BA63" i="27" s="1"/>
  <c r="AS84" i="35"/>
  <c r="AU72" i="35"/>
  <c r="AT84" i="35"/>
  <c r="AU84" i="35" l="1"/>
  <c r="BF63" i="27"/>
  <c r="BA9" i="27"/>
  <c r="BA35" i="27" s="1"/>
  <c r="BB35" i="27"/>
  <c r="BF35" i="27"/>
  <c r="BE9" i="27"/>
  <c r="BE35" i="27" s="1"/>
  <c r="BC35" i="27"/>
  <c r="BE82" i="27"/>
  <c r="BD82" i="27"/>
  <c r="BF82" i="27"/>
  <c r="BC82" i="27"/>
  <c r="BB82" i="27"/>
  <c r="BA82" i="27"/>
  <c r="BC69" i="27"/>
  <c r="BB69" i="27"/>
  <c r="BF69" i="27"/>
  <c r="BE69" i="27"/>
  <c r="BD69" i="27"/>
  <c r="AZ69" i="27"/>
  <c r="BE58" i="27"/>
  <c r="BD58" i="27"/>
  <c r="BF58" i="27"/>
  <c r="BC58" i="27"/>
  <c r="BB58" i="27"/>
  <c r="AQ69" i="27" l="1"/>
  <c r="AS82" i="27"/>
  <c r="AQ35" i="27"/>
  <c r="AS9" i="27"/>
  <c r="BF84" i="27"/>
  <c r="BF85" i="27" s="1"/>
  <c r="BB84" i="27"/>
  <c r="BD84" i="27"/>
  <c r="BA58" i="27"/>
  <c r="BE84" i="27"/>
  <c r="BC84" i="27"/>
  <c r="BC85" i="27" s="1"/>
  <c r="BA69" i="27"/>
  <c r="AZ82" i="27"/>
  <c r="AQ58" i="27"/>
  <c r="AQ82" i="27"/>
  <c r="AS35" i="27" l="1"/>
  <c r="AR9" i="27"/>
  <c r="AR82" i="27"/>
  <c r="AT82" i="27"/>
  <c r="AT69" i="27"/>
  <c r="AR69" i="27"/>
  <c r="AS69" i="27"/>
  <c r="AS58" i="27"/>
  <c r="BA84" i="27"/>
  <c r="AQ84" i="27"/>
  <c r="AQ85" i="27" s="1"/>
  <c r="AZ84" i="27"/>
  <c r="AZ85" i="27" s="1"/>
  <c r="AS84" i="27" l="1"/>
  <c r="AU82" i="27"/>
  <c r="AR58" i="27"/>
  <c r="AT58" i="27"/>
  <c r="AR35" i="27"/>
  <c r="AT35" i="27"/>
  <c r="AR84" i="27" l="1"/>
  <c r="AU35" i="27"/>
  <c r="AV82" i="27"/>
  <c r="AU69" i="27"/>
  <c r="AU58" i="27"/>
  <c r="AT84" i="27"/>
  <c r="AT85" i="27" s="1"/>
  <c r="AV35" i="27"/>
  <c r="AU84" i="27" l="1"/>
  <c r="AU85" i="27" s="1"/>
  <c r="AW82" i="27"/>
  <c r="AV69" i="27"/>
  <c r="AV58" i="27"/>
  <c r="AV84" i="27" l="1"/>
  <c r="AV85" i="27" s="1"/>
  <c r="AW69" i="27"/>
  <c r="AW58" i="27"/>
  <c r="AW35" i="27"/>
  <c r="AW84" i="27" l="1"/>
  <c r="AW85" i="27" s="1"/>
  <c r="A3" i="27" l="1"/>
  <c r="H7" i="27"/>
  <c r="O4" i="30"/>
  <c r="O3" i="30"/>
  <c r="O2" i="30"/>
  <c r="O3" i="29"/>
  <c r="O4" i="29"/>
  <c r="O2" i="29"/>
  <c r="AK15" i="32"/>
  <c r="AK16" i="32"/>
  <c r="AK17" i="32"/>
  <c r="AK18" i="32"/>
  <c r="AK19" i="32"/>
  <c r="AK20" i="32"/>
  <c r="AK21" i="32"/>
  <c r="AK22" i="32"/>
  <c r="AK23" i="32"/>
  <c r="AK24" i="32"/>
  <c r="AK25" i="32"/>
  <c r="AK26" i="32"/>
  <c r="AK27" i="32"/>
  <c r="AK28" i="32"/>
  <c r="AK29" i="32"/>
  <c r="AK30" i="32"/>
  <c r="AK31" i="32"/>
  <c r="AK32" i="32"/>
  <c r="AK33" i="32"/>
  <c r="AK34" i="32"/>
  <c r="AK35" i="32"/>
  <c r="AK14" i="32"/>
  <c r="T7" i="32"/>
  <c r="U6" i="37" s="1"/>
  <c r="AM15" i="32"/>
  <c r="AN15" i="32"/>
  <c r="AO15" i="32" s="1"/>
  <c r="AP15" i="32" s="1"/>
  <c r="AQ15" i="32"/>
  <c r="AR15" i="32" s="1"/>
  <c r="AM16" i="32"/>
  <c r="AN16" i="32"/>
  <c r="AO16" i="32" s="1"/>
  <c r="AQ16" i="32"/>
  <c r="AR16" i="32" s="1"/>
  <c r="AM17" i="32"/>
  <c r="AN17" i="32"/>
  <c r="AO17" i="32" s="1"/>
  <c r="AP17" i="32" s="1"/>
  <c r="AS17" i="32" s="1"/>
  <c r="AT17" i="32" s="1"/>
  <c r="AU17" i="32" s="1"/>
  <c r="AV17" i="32" s="1"/>
  <c r="AQ17" i="32"/>
  <c r="AR17" i="32" s="1"/>
  <c r="AM18" i="32"/>
  <c r="AN18" i="32"/>
  <c r="AO18" i="32"/>
  <c r="AP18" i="32" s="1"/>
  <c r="AS18" i="32" s="1"/>
  <c r="AT18" i="32" s="1"/>
  <c r="AU18" i="32" s="1"/>
  <c r="AV18" i="32" s="1"/>
  <c r="AQ18" i="32"/>
  <c r="AR18" i="32" s="1"/>
  <c r="AM19" i="32"/>
  <c r="AN19" i="32"/>
  <c r="AO19" i="32" s="1"/>
  <c r="AP19" i="32" s="1"/>
  <c r="AQ19" i="32"/>
  <c r="AR19" i="32" s="1"/>
  <c r="AM20" i="32"/>
  <c r="AN20" i="32"/>
  <c r="AO20" i="32" s="1"/>
  <c r="AQ20" i="32"/>
  <c r="AR20" i="32" s="1"/>
  <c r="AM21" i="32"/>
  <c r="AN21" i="32"/>
  <c r="AO21" i="32" s="1"/>
  <c r="AP21" i="32" s="1"/>
  <c r="AS21" i="32" s="1"/>
  <c r="AT21" i="32" s="1"/>
  <c r="AU21" i="32" s="1"/>
  <c r="AV21" i="32" s="1"/>
  <c r="AQ21" i="32"/>
  <c r="AR21" i="32" s="1"/>
  <c r="AM22" i="32"/>
  <c r="AN22" i="32"/>
  <c r="AO22" i="32"/>
  <c r="AP22" i="32" s="1"/>
  <c r="AS22" i="32" s="1"/>
  <c r="AT22" i="32" s="1"/>
  <c r="AU22" i="32" s="1"/>
  <c r="AV22" i="32" s="1"/>
  <c r="AQ22" i="32"/>
  <c r="AR22" i="32" s="1"/>
  <c r="AM23" i="32"/>
  <c r="AN23" i="32"/>
  <c r="AO23" i="32" s="1"/>
  <c r="AP23" i="32" s="1"/>
  <c r="AQ23" i="32"/>
  <c r="AR23" i="32" s="1"/>
  <c r="AM24" i="32"/>
  <c r="AN24" i="32"/>
  <c r="AO24" i="32" s="1"/>
  <c r="AQ24" i="32"/>
  <c r="AR24" i="32" s="1"/>
  <c r="AM25" i="32"/>
  <c r="AN25" i="32"/>
  <c r="AO25" i="32" s="1"/>
  <c r="AP25" i="32" s="1"/>
  <c r="AS25" i="32" s="1"/>
  <c r="AT25" i="32" s="1"/>
  <c r="AU25" i="32" s="1"/>
  <c r="AV25" i="32" s="1"/>
  <c r="AQ25" i="32"/>
  <c r="AR25" i="32" s="1"/>
  <c r="AM26" i="32"/>
  <c r="AN26" i="32"/>
  <c r="AO26" i="32"/>
  <c r="AP26" i="32" s="1"/>
  <c r="AS26" i="32" s="1"/>
  <c r="AT26" i="32" s="1"/>
  <c r="AU26" i="32" s="1"/>
  <c r="AV26" i="32" s="1"/>
  <c r="AQ26" i="32"/>
  <c r="AR26" i="32" s="1"/>
  <c r="AM27" i="32"/>
  <c r="AN27" i="32"/>
  <c r="AO27" i="32" s="1"/>
  <c r="AP27" i="32" s="1"/>
  <c r="AQ27" i="32"/>
  <c r="AR27" i="32" s="1"/>
  <c r="AM28" i="32"/>
  <c r="AN28" i="32"/>
  <c r="AO28" i="32" s="1"/>
  <c r="AQ28" i="32"/>
  <c r="AR28" i="32" s="1"/>
  <c r="AM29" i="32"/>
  <c r="AN29" i="32"/>
  <c r="AO29" i="32" s="1"/>
  <c r="AP29" i="32" s="1"/>
  <c r="AQ29" i="32"/>
  <c r="AR29" i="32" s="1"/>
  <c r="AM30" i="32"/>
  <c r="AN30" i="32"/>
  <c r="AO30" i="32"/>
  <c r="AP30" i="32" s="1"/>
  <c r="AS30" i="32" s="1"/>
  <c r="AT30" i="32" s="1"/>
  <c r="AU30" i="32" s="1"/>
  <c r="AV30" i="32" s="1"/>
  <c r="AQ30" i="32"/>
  <c r="AR30" i="32" s="1"/>
  <c r="AM31" i="32"/>
  <c r="AN31" i="32"/>
  <c r="AO31" i="32" s="1"/>
  <c r="AP31" i="32" s="1"/>
  <c r="AQ31" i="32"/>
  <c r="AR31" i="32" s="1"/>
  <c r="AM32" i="32"/>
  <c r="AN32" i="32"/>
  <c r="AO32" i="32" s="1"/>
  <c r="AQ32" i="32"/>
  <c r="AR32" i="32" s="1"/>
  <c r="AM33" i="32"/>
  <c r="AN33" i="32"/>
  <c r="AO33" i="32" s="1"/>
  <c r="AP33" i="32" s="1"/>
  <c r="AQ33" i="32"/>
  <c r="AR33" i="32" s="1"/>
  <c r="AM34" i="32"/>
  <c r="AN34" i="32"/>
  <c r="AO34" i="32"/>
  <c r="AP34" i="32" s="1"/>
  <c r="AS34" i="32" s="1"/>
  <c r="AT34" i="32" s="1"/>
  <c r="AU34" i="32" s="1"/>
  <c r="AV34" i="32" s="1"/>
  <c r="AQ34" i="32"/>
  <c r="AR34" i="32" s="1"/>
  <c r="AM35" i="32"/>
  <c r="AN35" i="32"/>
  <c r="AO35" i="32" s="1"/>
  <c r="AP35" i="32" s="1"/>
  <c r="AQ35" i="32"/>
  <c r="AR35" i="32" s="1"/>
  <c r="AR14" i="32"/>
  <c r="AQ14" i="32"/>
  <c r="AO14" i="32"/>
  <c r="AP14" i="32" s="1"/>
  <c r="AS14" i="32" s="1"/>
  <c r="AT14" i="32" s="1"/>
  <c r="AU14" i="32" s="1"/>
  <c r="AV14" i="32" s="1"/>
  <c r="AN14" i="32"/>
  <c r="AM14" i="32"/>
  <c r="AK8" i="32"/>
  <c r="AS33" i="32" l="1"/>
  <c r="AT33" i="32" s="1"/>
  <c r="AU33" i="32" s="1"/>
  <c r="AV33" i="32" s="1"/>
  <c r="AS29" i="32"/>
  <c r="AT29" i="32" s="1"/>
  <c r="AU29" i="32" s="1"/>
  <c r="AV29" i="32" s="1"/>
  <c r="AP32" i="32"/>
  <c r="AS32" i="32" s="1"/>
  <c r="AT32" i="32" s="1"/>
  <c r="AU32" i="32" s="1"/>
  <c r="AV32" i="32" s="1"/>
  <c r="AP28" i="32"/>
  <c r="AS28" i="32" s="1"/>
  <c r="AT28" i="32" s="1"/>
  <c r="AU28" i="32" s="1"/>
  <c r="AV28" i="32" s="1"/>
  <c r="AP24" i="32"/>
  <c r="AS24" i="32" s="1"/>
  <c r="AT24" i="32" s="1"/>
  <c r="AU24" i="32" s="1"/>
  <c r="AV24" i="32" s="1"/>
  <c r="AP20" i="32"/>
  <c r="AS20" i="32" s="1"/>
  <c r="AT20" i="32" s="1"/>
  <c r="AU20" i="32" s="1"/>
  <c r="AV20" i="32" s="1"/>
  <c r="AP16" i="32"/>
  <c r="AS16" i="32" s="1"/>
  <c r="AT16" i="32" s="1"/>
  <c r="AU16" i="32" s="1"/>
  <c r="AV16" i="32" s="1"/>
  <c r="BF7" i="27"/>
  <c r="AW7" i="27"/>
  <c r="BO7" i="27"/>
  <c r="AS35" i="32"/>
  <c r="AT35" i="32" s="1"/>
  <c r="AU35" i="32" s="1"/>
  <c r="AV35" i="32" s="1"/>
  <c r="AS31" i="32"/>
  <c r="AT31" i="32" s="1"/>
  <c r="AU31" i="32" s="1"/>
  <c r="AV31" i="32" s="1"/>
  <c r="AS27" i="32"/>
  <c r="AT27" i="32" s="1"/>
  <c r="AU27" i="32" s="1"/>
  <c r="AV27" i="32" s="1"/>
  <c r="AS23" i="32"/>
  <c r="AT23" i="32" s="1"/>
  <c r="AU23" i="32" s="1"/>
  <c r="AV23" i="32" s="1"/>
  <c r="AS19" i="32"/>
  <c r="AT19" i="32" s="1"/>
  <c r="AU19" i="32" s="1"/>
  <c r="AV19" i="32" s="1"/>
  <c r="AS15" i="32"/>
  <c r="AT15" i="32" s="1"/>
  <c r="AU15" i="32" s="1"/>
  <c r="AV15" i="32" s="1"/>
  <c r="T6" i="32" l="1"/>
  <c r="V2" i="32"/>
  <c r="M3" i="32"/>
  <c r="M4" i="32" s="1"/>
  <c r="I5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28" i="32"/>
  <c r="V29" i="32"/>
  <c r="V30" i="32"/>
  <c r="V31" i="32"/>
  <c r="V32" i="32"/>
  <c r="V33" i="32"/>
  <c r="V34" i="32"/>
  <c r="V35" i="32"/>
  <c r="V36" i="32"/>
  <c r="V37" i="32"/>
  <c r="V38" i="32"/>
  <c r="V39" i="32"/>
  <c r="V40" i="32"/>
  <c r="V41" i="32"/>
  <c r="V42" i="32"/>
  <c r="V43" i="32"/>
  <c r="V44" i="32"/>
  <c r="V45" i="32"/>
  <c r="V46" i="32"/>
  <c r="V47" i="32"/>
  <c r="V48" i="32"/>
  <c r="V49" i="32"/>
  <c r="V50" i="32"/>
  <c r="V51" i="32"/>
  <c r="V52" i="32"/>
  <c r="V53" i="32"/>
  <c r="V54" i="32"/>
  <c r="V55" i="32"/>
  <c r="V56" i="32"/>
  <c r="V57" i="32"/>
  <c r="V58" i="32"/>
  <c r="V59" i="32"/>
  <c r="V60" i="32"/>
  <c r="V61" i="32"/>
  <c r="V62" i="32"/>
  <c r="V63" i="32"/>
  <c r="V64" i="32"/>
  <c r="V65" i="32"/>
  <c r="V66" i="32"/>
  <c r="V67" i="32"/>
  <c r="V68" i="32"/>
  <c r="V69" i="32"/>
  <c r="V70" i="32"/>
  <c r="V71" i="32"/>
  <c r="V72" i="32"/>
  <c r="V73" i="32"/>
  <c r="V74" i="32"/>
  <c r="V75" i="32"/>
  <c r="V76" i="32"/>
  <c r="V77" i="32"/>
  <c r="V78" i="32"/>
  <c r="V79" i="32"/>
  <c r="V80" i="32"/>
  <c r="V81" i="32"/>
  <c r="V82" i="32"/>
  <c r="V83" i="32"/>
  <c r="V84" i="32"/>
  <c r="V85" i="32"/>
  <c r="V86" i="32"/>
  <c r="V87" i="32"/>
  <c r="V88" i="32"/>
  <c r="V89" i="32"/>
  <c r="V90" i="32"/>
  <c r="V91" i="32"/>
  <c r="V92" i="32"/>
  <c r="V93" i="32"/>
  <c r="V94" i="32"/>
  <c r="V95" i="32"/>
  <c r="V96" i="32"/>
  <c r="V97" i="32"/>
  <c r="V98" i="32"/>
  <c r="V99" i="32"/>
  <c r="V100" i="32"/>
  <c r="V101" i="32"/>
  <c r="V102" i="32"/>
  <c r="V103" i="32"/>
  <c r="V104" i="32"/>
  <c r="V105" i="32"/>
  <c r="V106" i="32"/>
  <c r="V107" i="32"/>
  <c r="V108" i="32"/>
  <c r="V109" i="32"/>
  <c r="V110" i="32"/>
  <c r="V111" i="32"/>
  <c r="V112" i="32"/>
  <c r="V113" i="32"/>
  <c r="V114" i="32"/>
  <c r="V115" i="32"/>
  <c r="V116" i="32"/>
  <c r="V117" i="32"/>
  <c r="V118" i="32"/>
  <c r="V119" i="32"/>
  <c r="V120" i="32"/>
  <c r="V121" i="32"/>
  <c r="V122" i="32"/>
  <c r="V123" i="32"/>
  <c r="V124" i="32"/>
  <c r="V125" i="32"/>
  <c r="V126" i="32"/>
  <c r="V127" i="32"/>
  <c r="V128" i="32"/>
  <c r="V129" i="32"/>
  <c r="V130" i="32"/>
  <c r="V131" i="32"/>
  <c r="V132" i="32"/>
  <c r="V133" i="32"/>
  <c r="V134" i="32"/>
  <c r="V135" i="32"/>
  <c r="V136" i="32"/>
  <c r="V137" i="32"/>
  <c r="V138" i="32"/>
  <c r="V139" i="32"/>
  <c r="V140" i="32"/>
  <c r="V141" i="32"/>
  <c r="V142" i="32"/>
  <c r="V143" i="32"/>
  <c r="V144" i="32"/>
  <c r="V145" i="32"/>
  <c r="V146" i="32"/>
  <c r="V147" i="32"/>
  <c r="V148" i="32"/>
  <c r="V149" i="32"/>
  <c r="V150" i="32"/>
  <c r="V151" i="32"/>
  <c r="V152" i="32"/>
  <c r="V153" i="32"/>
  <c r="V154" i="32"/>
  <c r="V155" i="32"/>
  <c r="V156" i="32"/>
  <c r="V157" i="32"/>
  <c r="V158" i="32"/>
  <c r="V159" i="32"/>
  <c r="V160" i="32"/>
  <c r="V161" i="32"/>
  <c r="V162" i="32"/>
  <c r="V163" i="32"/>
  <c r="V164" i="32"/>
  <c r="V165" i="32"/>
  <c r="V166" i="32"/>
  <c r="V167" i="32"/>
  <c r="V168" i="32"/>
  <c r="V169" i="32"/>
  <c r="V170" i="32"/>
  <c r="V171" i="32"/>
  <c r="V172" i="32"/>
  <c r="V173" i="32"/>
  <c r="V174" i="32"/>
  <c r="V175" i="32"/>
  <c r="V176" i="32"/>
  <c r="V177" i="32"/>
  <c r="V178" i="32"/>
  <c r="V179" i="32"/>
  <c r="V180" i="32"/>
  <c r="V181" i="32"/>
  <c r="V182" i="32"/>
  <c r="V183" i="32"/>
  <c r="V184" i="32"/>
  <c r="V185" i="32"/>
  <c r="V186" i="32"/>
  <c r="V187" i="32"/>
  <c r="V188" i="32"/>
  <c r="V189" i="32"/>
  <c r="V190" i="32"/>
  <c r="V191" i="32"/>
  <c r="V192" i="32"/>
  <c r="V193" i="32"/>
  <c r="V194" i="32"/>
  <c r="V195" i="32"/>
  <c r="V196" i="32"/>
  <c r="V197" i="32"/>
  <c r="V198" i="32"/>
  <c r="V199" i="32"/>
  <c r="V200" i="32"/>
  <c r="V201" i="32"/>
  <c r="V202" i="32"/>
  <c r="V203" i="32"/>
  <c r="V204" i="32"/>
  <c r="V205" i="32"/>
  <c r="V206" i="32"/>
  <c r="V207" i="32"/>
  <c r="V208" i="32"/>
  <c r="V209" i="32"/>
  <c r="V210" i="32"/>
  <c r="V211" i="32"/>
  <c r="V212" i="32"/>
  <c r="V213" i="32"/>
  <c r="V214" i="32"/>
  <c r="V215" i="32"/>
  <c r="V216" i="32"/>
  <c r="V217" i="32"/>
  <c r="V218" i="32"/>
  <c r="V219" i="32"/>
  <c r="V220" i="32"/>
  <c r="V221" i="32"/>
  <c r="V222" i="32"/>
  <c r="V223" i="32"/>
  <c r="V224" i="32"/>
  <c r="V225" i="32"/>
  <c r="V226" i="32"/>
  <c r="V227" i="32"/>
  <c r="V228" i="32"/>
  <c r="V229" i="32"/>
  <c r="V230" i="32"/>
  <c r="V231" i="32"/>
  <c r="V232" i="32"/>
  <c r="V233" i="32"/>
  <c r="V234" i="32"/>
  <c r="V235" i="32"/>
  <c r="V236" i="32"/>
  <c r="V237" i="32"/>
  <c r="V238" i="32"/>
  <c r="V239" i="32"/>
  <c r="V240" i="32"/>
  <c r="V241" i="32"/>
  <c r="V242" i="32"/>
  <c r="V243" i="32"/>
  <c r="V244" i="32"/>
  <c r="V245" i="32"/>
  <c r="V246" i="32"/>
  <c r="V247" i="32"/>
  <c r="V248" i="32"/>
  <c r="V249" i="32"/>
  <c r="V250" i="32"/>
  <c r="V251" i="32"/>
  <c r="V252" i="32"/>
  <c r="V253" i="32"/>
  <c r="V254" i="32"/>
  <c r="V255" i="32"/>
  <c r="V256" i="32"/>
  <c r="V257" i="32"/>
  <c r="V258" i="32"/>
  <c r="V259" i="32"/>
  <c r="V260" i="32"/>
  <c r="V261" i="32"/>
  <c r="V262" i="32"/>
  <c r="V263" i="32"/>
  <c r="V264" i="32"/>
  <c r="V265" i="32"/>
  <c r="V266" i="32"/>
  <c r="V267" i="32"/>
  <c r="V268" i="32"/>
  <c r="V269" i="32"/>
  <c r="V270" i="32"/>
  <c r="V271" i="32"/>
  <c r="V272" i="32"/>
  <c r="V273" i="32"/>
  <c r="V274" i="32"/>
  <c r="V275" i="32"/>
  <c r="V276" i="32"/>
  <c r="V277" i="32"/>
  <c r="V278" i="32"/>
  <c r="V279" i="32"/>
  <c r="V280" i="32"/>
  <c r="V281" i="32"/>
  <c r="V282" i="32"/>
  <c r="V283" i="32"/>
  <c r="V284" i="32"/>
  <c r="V285" i="32"/>
  <c r="V286" i="32"/>
  <c r="V287" i="32"/>
  <c r="V288" i="32"/>
  <c r="V289" i="32"/>
  <c r="V290" i="32"/>
  <c r="V291" i="32"/>
  <c r="V292" i="32"/>
  <c r="V293" i="32"/>
  <c r="V294" i="32"/>
  <c r="V295" i="32"/>
  <c r="V296" i="32"/>
  <c r="V297" i="32"/>
  <c r="V298" i="32"/>
  <c r="V299" i="32"/>
  <c r="V300" i="32"/>
  <c r="V301" i="32"/>
  <c r="V302" i="32"/>
  <c r="V303" i="32"/>
  <c r="V304" i="32"/>
  <c r="V305" i="32"/>
  <c r="V306" i="32"/>
  <c r="V307" i="32"/>
  <c r="V308" i="32"/>
  <c r="V309" i="32"/>
  <c r="V310" i="32"/>
  <c r="V311" i="32"/>
  <c r="V312" i="32"/>
  <c r="V313" i="32"/>
  <c r="V314" i="32"/>
  <c r="V315" i="32"/>
  <c r="V316" i="32"/>
  <c r="V317" i="32"/>
  <c r="V318" i="32"/>
  <c r="V319" i="32"/>
  <c r="V320" i="32"/>
  <c r="V321" i="32"/>
  <c r="V322" i="32"/>
  <c r="V323" i="32"/>
  <c r="V324" i="32"/>
  <c r="V325" i="32"/>
  <c r="V326" i="32"/>
  <c r="V327" i="32"/>
  <c r="V328" i="32"/>
  <c r="V329" i="32"/>
  <c r="V330" i="32"/>
  <c r="V331" i="32"/>
  <c r="V332" i="32"/>
  <c r="V333" i="32"/>
  <c r="V334" i="32"/>
  <c r="V335" i="32"/>
  <c r="V336" i="32"/>
  <c r="V337" i="32"/>
  <c r="V338" i="32"/>
  <c r="V339" i="32"/>
  <c r="V340" i="32"/>
  <c r="V341" i="32"/>
  <c r="V342" i="32"/>
  <c r="V343" i="32"/>
  <c r="V344" i="32"/>
  <c r="V345" i="32"/>
  <c r="V346" i="32"/>
  <c r="V347" i="32"/>
  <c r="V348" i="32"/>
  <c r="V349" i="32"/>
  <c r="V350" i="32"/>
  <c r="V351" i="32"/>
  <c r="V352" i="32"/>
  <c r="V353" i="32"/>
  <c r="V354" i="32"/>
  <c r="V355" i="32"/>
  <c r="V356" i="32"/>
  <c r="V357" i="32"/>
  <c r="V358" i="32"/>
  <c r="V359" i="32"/>
  <c r="V360" i="32"/>
  <c r="V361" i="32"/>
  <c r="V362" i="32"/>
  <c r="V363" i="32"/>
  <c r="V364" i="32"/>
  <c r="V365" i="32"/>
  <c r="V366" i="32"/>
  <c r="V367" i="32"/>
  <c r="V368" i="32"/>
  <c r="V369" i="32"/>
  <c r="V370" i="32"/>
  <c r="V371" i="32"/>
  <c r="V372" i="32"/>
  <c r="V373" i="32"/>
  <c r="V374" i="32"/>
  <c r="V375" i="32"/>
  <c r="V376" i="32"/>
  <c r="V377" i="32"/>
  <c r="V378" i="32"/>
  <c r="V379" i="32"/>
  <c r="V380" i="32"/>
  <c r="V381" i="32"/>
  <c r="V382" i="32"/>
  <c r="V383" i="32"/>
  <c r="V384" i="32"/>
  <c r="V385" i="32"/>
  <c r="V386" i="32"/>
  <c r="V387" i="32"/>
  <c r="V388" i="32"/>
  <c r="V389" i="32"/>
  <c r="V390" i="32"/>
  <c r="V391" i="32"/>
  <c r="V392" i="32"/>
  <c r="V393" i="32"/>
  <c r="V394" i="32"/>
  <c r="V395" i="32"/>
  <c r="V396" i="32"/>
  <c r="V397" i="32"/>
  <c r="V398" i="32"/>
  <c r="V399" i="32"/>
  <c r="V400" i="32"/>
  <c r="V401" i="32"/>
  <c r="V402" i="32"/>
  <c r="V403" i="32"/>
  <c r="V404" i="32"/>
  <c r="V405" i="32"/>
  <c r="V406" i="32"/>
  <c r="V407" i="32"/>
  <c r="V408" i="32"/>
  <c r="V409" i="32"/>
  <c r="V410" i="32"/>
  <c r="V411" i="32"/>
  <c r="V412" i="32"/>
  <c r="V413" i="32"/>
  <c r="V414" i="32"/>
  <c r="V415" i="32"/>
  <c r="V416" i="32"/>
  <c r="V417" i="32"/>
  <c r="V418" i="32"/>
  <c r="V419" i="32"/>
  <c r="V420" i="32"/>
  <c r="V421" i="32"/>
  <c r="V422" i="32"/>
  <c r="V423" i="32"/>
  <c r="V424" i="32"/>
  <c r="V425" i="32"/>
  <c r="V426" i="32"/>
  <c r="V427" i="32"/>
  <c r="V428" i="32"/>
  <c r="V429" i="32"/>
  <c r="V430" i="32"/>
  <c r="V431" i="32"/>
  <c r="V432" i="32"/>
  <c r="V433" i="32"/>
  <c r="V434" i="32"/>
  <c r="V435" i="32"/>
  <c r="V436" i="32"/>
  <c r="V437" i="32"/>
  <c r="V438" i="32"/>
  <c r="V439" i="32"/>
  <c r="V440" i="32"/>
  <c r="V441" i="32"/>
  <c r="V442" i="32"/>
  <c r="V443" i="32"/>
  <c r="V444" i="32"/>
  <c r="V445" i="32"/>
  <c r="V446" i="32"/>
  <c r="V447" i="32"/>
  <c r="V448" i="32"/>
  <c r="V449" i="32"/>
  <c r="V450" i="32"/>
  <c r="V451" i="32"/>
  <c r="V452" i="32"/>
  <c r="V453" i="32"/>
  <c r="V454" i="32"/>
  <c r="V455" i="32"/>
  <c r="V456" i="32"/>
  <c r="V457" i="32"/>
  <c r="V458" i="32"/>
  <c r="V459" i="32"/>
  <c r="V460" i="32"/>
  <c r="V461" i="32"/>
  <c r="V462" i="32"/>
  <c r="V463" i="32"/>
  <c r="V464" i="32"/>
  <c r="V465" i="32"/>
  <c r="V466" i="32"/>
  <c r="V467" i="32"/>
  <c r="V468" i="32"/>
  <c r="V469" i="32"/>
  <c r="V470" i="32"/>
  <c r="V471" i="32"/>
  <c r="V472" i="32"/>
  <c r="V473" i="32"/>
  <c r="V474" i="32"/>
  <c r="V475" i="32"/>
  <c r="V476" i="32"/>
  <c r="V477" i="32"/>
  <c r="V478" i="32"/>
  <c r="V479" i="32"/>
  <c r="V480" i="32"/>
  <c r="V481" i="32"/>
  <c r="V482" i="32"/>
  <c r="V483" i="32"/>
  <c r="V484" i="32"/>
  <c r="V485" i="32"/>
  <c r="V486" i="32"/>
  <c r="V487" i="32"/>
  <c r="V488" i="32"/>
  <c r="V489" i="32"/>
  <c r="V490" i="32"/>
  <c r="V491" i="32"/>
  <c r="V492" i="32"/>
  <c r="V493" i="32"/>
  <c r="V494" i="32"/>
  <c r="V495" i="32"/>
  <c r="V496" i="32"/>
  <c r="V497" i="32"/>
  <c r="V498" i="32"/>
  <c r="V499" i="32"/>
  <c r="V500" i="32"/>
  <c r="V501" i="32"/>
  <c r="V502" i="32"/>
  <c r="V503" i="32"/>
  <c r="V504" i="32"/>
  <c r="V505" i="32"/>
  <c r="V506" i="32"/>
  <c r="V507" i="32"/>
  <c r="V508" i="32"/>
  <c r="V509" i="32"/>
  <c r="V510" i="32"/>
  <c r="V511" i="32"/>
  <c r="V512" i="32"/>
  <c r="V513" i="32"/>
  <c r="V514" i="32"/>
  <c r="V515" i="32"/>
  <c r="V516" i="32"/>
  <c r="V517" i="32"/>
  <c r="V518" i="32"/>
  <c r="V519" i="32"/>
  <c r="V520" i="32"/>
  <c r="V521" i="32"/>
  <c r="V522" i="32"/>
  <c r="V523" i="32"/>
  <c r="V524" i="32"/>
  <c r="V525" i="32"/>
  <c r="V526" i="32"/>
  <c r="V527" i="32"/>
  <c r="V528" i="32"/>
  <c r="V529" i="32"/>
  <c r="V530" i="32"/>
  <c r="V531" i="32"/>
  <c r="V532" i="32"/>
  <c r="V533" i="32"/>
  <c r="V534" i="32"/>
  <c r="V535" i="32"/>
  <c r="V536" i="32"/>
  <c r="V537" i="32"/>
  <c r="V538" i="32"/>
  <c r="V539" i="32"/>
  <c r="V540" i="32"/>
  <c r="V541" i="32"/>
  <c r="V542" i="32"/>
  <c r="V543" i="32"/>
  <c r="V544" i="32"/>
  <c r="V545" i="32"/>
  <c r="V546" i="32"/>
  <c r="V547" i="32"/>
  <c r="V548" i="32"/>
  <c r="V549" i="32"/>
  <c r="V550" i="32"/>
  <c r="V551" i="32"/>
  <c r="V552" i="32"/>
  <c r="V553" i="32"/>
  <c r="V554" i="32"/>
  <c r="V555" i="32"/>
  <c r="V556" i="32"/>
  <c r="V557" i="32"/>
  <c r="V558" i="32"/>
  <c r="V559" i="32"/>
  <c r="V560" i="32"/>
  <c r="V561" i="32"/>
  <c r="V562" i="32"/>
  <c r="V563" i="32"/>
  <c r="V564" i="32"/>
  <c r="V565" i="32"/>
  <c r="V566" i="32"/>
  <c r="V567" i="32"/>
  <c r="V568" i="32"/>
  <c r="V569" i="32"/>
  <c r="V570" i="32"/>
  <c r="V571" i="32"/>
  <c r="V572" i="32"/>
  <c r="V573" i="32"/>
  <c r="V574" i="32"/>
  <c r="V575" i="32"/>
  <c r="V576" i="32"/>
  <c r="V577" i="32"/>
  <c r="V578" i="32"/>
  <c r="V579" i="32"/>
  <c r="V580" i="32"/>
  <c r="V581" i="32"/>
  <c r="V582" i="32"/>
  <c r="V583" i="32"/>
  <c r="V584" i="32"/>
  <c r="V585" i="32"/>
  <c r="V586" i="32"/>
  <c r="V587" i="32"/>
  <c r="V588" i="32"/>
  <c r="V589" i="32"/>
  <c r="V590" i="32"/>
  <c r="V591" i="32"/>
  <c r="V592" i="32"/>
  <c r="V593" i="32"/>
  <c r="V594" i="32"/>
  <c r="V595" i="32"/>
  <c r="V596" i="32"/>
  <c r="V597" i="32"/>
  <c r="V598" i="32"/>
  <c r="V599" i="32"/>
  <c r="V600" i="32"/>
  <c r="V601" i="32"/>
  <c r="V602" i="32"/>
  <c r="V603" i="32"/>
  <c r="V604" i="32"/>
  <c r="V605" i="32"/>
  <c r="V606" i="32"/>
  <c r="V607" i="32"/>
  <c r="V608" i="32"/>
  <c r="V609" i="32"/>
  <c r="V610" i="32"/>
  <c r="V611" i="32"/>
  <c r="V612" i="32"/>
  <c r="V613" i="32"/>
  <c r="V614" i="32"/>
  <c r="V615" i="32"/>
  <c r="V616" i="32"/>
  <c r="V617" i="32"/>
  <c r="V618" i="32"/>
  <c r="V619" i="32"/>
  <c r="V620" i="32"/>
  <c r="V621" i="32"/>
  <c r="V622" i="32"/>
  <c r="V623" i="32"/>
  <c r="V624" i="32"/>
  <c r="V625" i="32"/>
  <c r="V626" i="32"/>
  <c r="V627" i="32"/>
  <c r="V628" i="32"/>
  <c r="V629" i="32"/>
  <c r="V630" i="32"/>
  <c r="V631" i="32"/>
  <c r="V632" i="32"/>
  <c r="V633" i="32"/>
  <c r="V634" i="32"/>
  <c r="V635" i="32"/>
  <c r="V636" i="32"/>
  <c r="V637" i="32"/>
  <c r="V638" i="32"/>
  <c r="V639" i="32"/>
  <c r="V640" i="32"/>
  <c r="V641" i="32"/>
  <c r="V642" i="32"/>
  <c r="V643" i="32"/>
  <c r="V644" i="32"/>
  <c r="V645" i="32"/>
  <c r="V646" i="32"/>
  <c r="V647" i="32"/>
  <c r="V648" i="32"/>
  <c r="V649" i="32"/>
  <c r="V650" i="32"/>
  <c r="V651" i="32"/>
  <c r="V652" i="32"/>
  <c r="V653" i="32"/>
  <c r="V654" i="32"/>
  <c r="V655" i="32"/>
  <c r="V656" i="32"/>
  <c r="V657" i="32"/>
  <c r="V658" i="32"/>
  <c r="V659" i="32"/>
  <c r="V660" i="32"/>
  <c r="V661" i="32"/>
  <c r="V662" i="32"/>
  <c r="V663" i="32"/>
  <c r="V664" i="32"/>
  <c r="V665" i="32"/>
  <c r="V666" i="32"/>
  <c r="V667" i="32"/>
  <c r="V668" i="32"/>
  <c r="V669" i="32"/>
  <c r="V670" i="32"/>
  <c r="V671" i="32"/>
  <c r="V672" i="32"/>
  <c r="V673" i="32"/>
  <c r="V674" i="32"/>
  <c r="V675" i="32"/>
  <c r="V676" i="32"/>
  <c r="V677" i="32"/>
  <c r="V678" i="32"/>
  <c r="V679" i="32"/>
  <c r="V680" i="32"/>
  <c r="V681" i="32"/>
  <c r="V682" i="32"/>
  <c r="V683" i="32"/>
  <c r="V684" i="32"/>
  <c r="V685" i="32"/>
  <c r="V686" i="32"/>
  <c r="V687" i="32"/>
  <c r="V688" i="32"/>
  <c r="V689" i="32"/>
  <c r="V690" i="32"/>
  <c r="V691" i="32"/>
  <c r="V692" i="32"/>
  <c r="V693" i="32"/>
  <c r="V694" i="32"/>
  <c r="V695" i="32"/>
  <c r="V696" i="32"/>
  <c r="V697" i="32"/>
  <c r="V698" i="32"/>
  <c r="V699" i="32"/>
  <c r="V700" i="32"/>
  <c r="V701" i="32"/>
  <c r="V702" i="32"/>
  <c r="V703" i="32"/>
  <c r="V704" i="32"/>
  <c r="V705" i="32"/>
  <c r="V706" i="32"/>
  <c r="V707" i="32"/>
  <c r="V708" i="32"/>
  <c r="V709" i="32"/>
  <c r="V710" i="32"/>
  <c r="V711" i="32"/>
  <c r="V712" i="32"/>
  <c r="V713" i="32"/>
  <c r="V714" i="32"/>
  <c r="V715" i="32"/>
  <c r="V716" i="32"/>
  <c r="V717" i="32"/>
  <c r="V718" i="32"/>
  <c r="V719" i="32"/>
  <c r="V720" i="32"/>
  <c r="V721" i="32"/>
  <c r="V722" i="32"/>
  <c r="V723" i="32"/>
  <c r="V724" i="32"/>
  <c r="V725" i="32"/>
  <c r="V726" i="32"/>
  <c r="V727" i="32"/>
  <c r="V728" i="32"/>
  <c r="V729" i="32"/>
  <c r="V730" i="32"/>
  <c r="V731" i="32"/>
  <c r="V732" i="32"/>
  <c r="V733" i="32"/>
  <c r="V734" i="32"/>
  <c r="V735" i="32"/>
  <c r="V736" i="32"/>
  <c r="V737" i="32"/>
  <c r="V738" i="32"/>
  <c r="V739" i="32"/>
  <c r="V740" i="32"/>
  <c r="V741" i="32"/>
  <c r="V742" i="32"/>
  <c r="V743" i="32"/>
  <c r="V744" i="32"/>
  <c r="V745" i="32"/>
  <c r="V746" i="32"/>
  <c r="V747" i="32"/>
  <c r="V748" i="32"/>
  <c r="V749" i="32"/>
  <c r="V750" i="32"/>
  <c r="V751" i="32"/>
  <c r="V752" i="32"/>
  <c r="V753" i="32"/>
  <c r="V754" i="32"/>
  <c r="V755" i="32"/>
  <c r="V756" i="32"/>
  <c r="V757" i="32"/>
  <c r="V758" i="32"/>
  <c r="V759" i="32"/>
  <c r="V760" i="32"/>
  <c r="V761" i="32"/>
  <c r="V762" i="32"/>
  <c r="V763" i="32"/>
  <c r="V764" i="32"/>
  <c r="V765" i="32"/>
  <c r="V766" i="32"/>
  <c r="V767" i="32"/>
  <c r="V768" i="32"/>
  <c r="V769" i="32"/>
  <c r="V770" i="32"/>
  <c r="V771" i="32"/>
  <c r="V772" i="32"/>
  <c r="V773" i="32"/>
  <c r="V774" i="32"/>
  <c r="V775" i="32"/>
  <c r="V776" i="32"/>
  <c r="V777" i="32"/>
  <c r="V778" i="32"/>
  <c r="V779" i="32"/>
  <c r="V780" i="32"/>
  <c r="V781" i="32"/>
  <c r="V782" i="32"/>
  <c r="V783" i="32"/>
  <c r="V784" i="32"/>
  <c r="V785" i="32"/>
  <c r="V786" i="32"/>
  <c r="V787" i="32"/>
  <c r="V788" i="32"/>
  <c r="V789" i="32"/>
  <c r="V790" i="32"/>
  <c r="V791" i="32"/>
  <c r="V792" i="32"/>
  <c r="V793" i="32"/>
  <c r="V794" i="32"/>
  <c r="V795" i="32"/>
  <c r="V796" i="32"/>
  <c r="V797" i="32"/>
  <c r="V798" i="32"/>
  <c r="V799" i="32"/>
  <c r="V800" i="32"/>
  <c r="V801" i="32"/>
  <c r="V802" i="32"/>
  <c r="V803" i="32"/>
  <c r="V804" i="32"/>
  <c r="V805" i="32"/>
  <c r="V806" i="32"/>
  <c r="V807" i="32"/>
  <c r="V808" i="32"/>
  <c r="V809" i="32"/>
  <c r="V810" i="32"/>
  <c r="V811" i="32"/>
  <c r="V812" i="32"/>
  <c r="V813" i="32"/>
  <c r="V814" i="32"/>
  <c r="V815" i="32"/>
  <c r="V816" i="32"/>
  <c r="V817" i="32"/>
  <c r="V818" i="32"/>
  <c r="V819" i="32"/>
  <c r="V820" i="32"/>
  <c r="V821" i="32"/>
  <c r="V822" i="32"/>
  <c r="V823" i="32"/>
  <c r="V824" i="32"/>
  <c r="V825" i="32"/>
  <c r="V826" i="32"/>
  <c r="V827" i="32"/>
  <c r="V828" i="32"/>
  <c r="V829" i="32"/>
  <c r="V830" i="32"/>
  <c r="V831" i="32"/>
  <c r="V832" i="32"/>
  <c r="V833" i="32"/>
  <c r="V834" i="32"/>
  <c r="V835" i="32"/>
  <c r="V836" i="32"/>
  <c r="V837" i="32"/>
  <c r="V838" i="32"/>
  <c r="V839" i="32"/>
  <c r="V840" i="32"/>
  <c r="V841" i="32"/>
  <c r="V842" i="32"/>
  <c r="V843" i="32"/>
  <c r="V844" i="32"/>
  <c r="V845" i="32"/>
  <c r="V846" i="32"/>
  <c r="V847" i="32"/>
  <c r="V848" i="32"/>
  <c r="V849" i="32"/>
  <c r="V850" i="32"/>
  <c r="V851" i="32"/>
  <c r="V852" i="32"/>
  <c r="V853" i="32"/>
  <c r="V854" i="32"/>
  <c r="V855" i="32"/>
  <c r="V856" i="32"/>
  <c r="V857" i="32"/>
  <c r="V858" i="32"/>
  <c r="V859" i="32"/>
  <c r="V860" i="32"/>
  <c r="V861" i="32"/>
  <c r="V862" i="32"/>
  <c r="V863" i="32"/>
  <c r="V864" i="32"/>
  <c r="V865" i="32"/>
  <c r="V866" i="32"/>
  <c r="V867" i="32"/>
  <c r="V868" i="32"/>
  <c r="V869" i="32"/>
  <c r="V870" i="32"/>
  <c r="V871" i="32"/>
  <c r="V872" i="32"/>
  <c r="V873" i="32"/>
  <c r="V874" i="32"/>
  <c r="V875" i="32"/>
  <c r="V876" i="32"/>
  <c r="V877" i="32"/>
  <c r="V878" i="32"/>
  <c r="V879" i="32"/>
  <c r="V880" i="32"/>
  <c r="V881" i="32"/>
  <c r="V882" i="32"/>
  <c r="V883" i="32"/>
  <c r="V884" i="32"/>
  <c r="V885" i="32"/>
  <c r="V886" i="32"/>
  <c r="V887" i="32"/>
  <c r="V888" i="32"/>
  <c r="V889" i="32"/>
  <c r="V890" i="32"/>
  <c r="V891" i="32"/>
  <c r="V892" i="32"/>
  <c r="V893" i="32"/>
  <c r="V894" i="32"/>
  <c r="V895" i="32"/>
  <c r="V896" i="32"/>
  <c r="V897" i="32"/>
  <c r="V898" i="32"/>
  <c r="V899" i="32"/>
  <c r="V900" i="32"/>
  <c r="V901" i="32"/>
  <c r="V902" i="32"/>
  <c r="V903" i="32"/>
  <c r="V904" i="32"/>
  <c r="V905" i="32"/>
  <c r="V906" i="32"/>
  <c r="V907" i="32"/>
  <c r="V908" i="32"/>
  <c r="V909" i="32"/>
  <c r="V910" i="32"/>
  <c r="V911" i="32"/>
  <c r="V912" i="32"/>
  <c r="V913" i="32"/>
  <c r="V914" i="32"/>
  <c r="V915" i="32"/>
  <c r="V916" i="32"/>
  <c r="V917" i="32"/>
  <c r="V918" i="32"/>
  <c r="V919" i="32"/>
  <c r="V920" i="32"/>
  <c r="V921" i="32"/>
  <c r="V922" i="32"/>
  <c r="V923" i="32"/>
  <c r="V924" i="32"/>
  <c r="V925" i="32"/>
  <c r="V926" i="32"/>
  <c r="V927" i="32"/>
  <c r="V928" i="32"/>
  <c r="V929" i="32"/>
  <c r="V930" i="32"/>
  <c r="V931" i="32"/>
  <c r="V932" i="32"/>
  <c r="V933" i="32"/>
  <c r="V934" i="32"/>
  <c r="V935" i="32"/>
  <c r="V936" i="32"/>
  <c r="V937" i="32"/>
  <c r="V938" i="32"/>
  <c r="V939" i="32"/>
  <c r="V940" i="32"/>
  <c r="V941" i="32"/>
  <c r="V942" i="32"/>
  <c r="V943" i="32"/>
  <c r="V944" i="32"/>
  <c r="V945" i="32"/>
  <c r="V946" i="32"/>
  <c r="V947" i="32"/>
  <c r="V948" i="32"/>
  <c r="V949" i="32"/>
  <c r="V950" i="32"/>
  <c r="V951" i="32"/>
  <c r="V952" i="32"/>
  <c r="V953" i="32"/>
  <c r="V954" i="32"/>
  <c r="V955" i="32"/>
  <c r="V956" i="32"/>
  <c r="V957" i="32"/>
  <c r="V958" i="32"/>
  <c r="V959" i="32"/>
  <c r="V960" i="32"/>
  <c r="V961" i="32"/>
  <c r="V962" i="32"/>
  <c r="V963" i="32"/>
  <c r="V964" i="32"/>
  <c r="V965" i="32"/>
  <c r="V966" i="32"/>
  <c r="V967" i="32"/>
  <c r="V968" i="32"/>
  <c r="V969" i="32"/>
  <c r="V970" i="32"/>
  <c r="V971" i="32"/>
  <c r="V972" i="32"/>
  <c r="V973" i="32"/>
  <c r="V974" i="32"/>
  <c r="V975" i="32"/>
  <c r="V976" i="32"/>
  <c r="V977" i="32"/>
  <c r="V978" i="32"/>
  <c r="V979" i="32"/>
  <c r="V980" i="32"/>
  <c r="V981" i="32"/>
  <c r="V982" i="32"/>
  <c r="V983" i="32"/>
  <c r="V984" i="32"/>
  <c r="V985" i="32"/>
  <c r="V986" i="32"/>
  <c r="V987" i="32"/>
  <c r="V988" i="32"/>
  <c r="V989" i="32"/>
  <c r="V990" i="32"/>
  <c r="V991" i="32"/>
  <c r="V992" i="32"/>
  <c r="V993" i="32"/>
  <c r="V994" i="32"/>
  <c r="V995" i="32"/>
  <c r="V996" i="32"/>
  <c r="V997" i="32"/>
  <c r="V998" i="32"/>
  <c r="V999" i="32"/>
  <c r="V1000" i="32"/>
  <c r="V1001" i="32"/>
  <c r="V1002" i="32"/>
  <c r="V1003" i="32"/>
  <c r="V1004" i="32"/>
  <c r="V1005" i="32"/>
  <c r="V1006" i="32"/>
  <c r="V1007" i="32"/>
  <c r="V1008" i="32"/>
  <c r="V1009" i="32"/>
  <c r="V1010" i="32"/>
  <c r="V1011" i="32"/>
  <c r="V1012" i="32"/>
  <c r="V1013" i="32"/>
  <c r="V1014" i="32"/>
  <c r="V1015" i="32"/>
  <c r="V1016" i="32"/>
  <c r="V1017" i="32"/>
  <c r="V1018" i="32"/>
  <c r="V1019" i="32"/>
  <c r="V1020" i="32"/>
  <c r="V1021" i="32"/>
  <c r="V1022" i="32"/>
  <c r="X4" i="32"/>
  <c r="U4" i="32"/>
  <c r="Y3" i="32"/>
  <c r="B3" i="32"/>
  <c r="AB3" i="32"/>
  <c r="S3" i="32"/>
  <c r="B79" i="27" l="1"/>
  <c r="BI79" i="27" s="1"/>
  <c r="T1" i="30"/>
  <c r="T1" i="29"/>
  <c r="C124" i="27" l="1"/>
  <c r="U6" i="32" s="1"/>
  <c r="C6" i="30" l="1"/>
  <c r="B6" i="29"/>
  <c r="O182" i="29"/>
  <c r="P182" i="29" s="1"/>
  <c r="Q182" i="29" s="1"/>
  <c r="O183" i="29"/>
  <c r="P183" i="29" s="1"/>
  <c r="Q183" i="29" s="1"/>
  <c r="O184" i="29"/>
  <c r="P184" i="29" s="1"/>
  <c r="Q184" i="29" s="1"/>
  <c r="O185" i="29"/>
  <c r="P185" i="29"/>
  <c r="Q185" i="29" s="1"/>
  <c r="O186" i="29"/>
  <c r="P186" i="29" s="1"/>
  <c r="Q186" i="29" s="1"/>
  <c r="O187" i="29"/>
  <c r="P187" i="29" s="1"/>
  <c r="Q187" i="29" s="1"/>
  <c r="O188" i="29"/>
  <c r="P188" i="29" s="1"/>
  <c r="Q188" i="29" s="1"/>
  <c r="O189" i="29"/>
  <c r="P189" i="29"/>
  <c r="Q189" i="29" s="1"/>
  <c r="O190" i="29"/>
  <c r="P190" i="29" s="1"/>
  <c r="Q190" i="29" s="1"/>
  <c r="O191" i="29"/>
  <c r="P191" i="29" s="1"/>
  <c r="Q191" i="29" s="1"/>
  <c r="O192" i="29"/>
  <c r="P192" i="29" s="1"/>
  <c r="Q192" i="29" s="1"/>
  <c r="L192" i="29"/>
  <c r="M192" i="29"/>
  <c r="L184" i="29"/>
  <c r="M184" i="29" s="1"/>
  <c r="L185" i="29"/>
  <c r="M185" i="29" s="1"/>
  <c r="L186" i="29"/>
  <c r="M186" i="29"/>
  <c r="L187" i="29"/>
  <c r="M187" i="29" s="1"/>
  <c r="L188" i="29"/>
  <c r="M188" i="29" s="1"/>
  <c r="L189" i="29"/>
  <c r="M189" i="29" s="1"/>
  <c r="L190" i="29"/>
  <c r="M190" i="29"/>
  <c r="L191" i="29"/>
  <c r="M191" i="29" s="1"/>
  <c r="L183" i="29"/>
  <c r="M183" i="29" s="1"/>
  <c r="L182" i="29"/>
  <c r="M182" i="29" s="1"/>
  <c r="O551" i="29"/>
  <c r="P551" i="29" s="1"/>
  <c r="Q551" i="29" s="1"/>
  <c r="O552" i="29"/>
  <c r="P552" i="29" s="1"/>
  <c r="Q552" i="29" s="1"/>
  <c r="O553" i="29"/>
  <c r="P553" i="29" s="1"/>
  <c r="Q553" i="29" s="1"/>
  <c r="O554" i="29"/>
  <c r="P554" i="29" s="1"/>
  <c r="Q554" i="29" s="1"/>
  <c r="O555" i="29"/>
  <c r="P555" i="29"/>
  <c r="Q555" i="29" s="1"/>
  <c r="L553" i="29"/>
  <c r="M553" i="29" s="1"/>
  <c r="L554" i="29"/>
  <c r="M554" i="29" s="1"/>
  <c r="L555" i="29"/>
  <c r="M555" i="29" s="1"/>
  <c r="L552" i="29"/>
  <c r="M552" i="29" s="1"/>
  <c r="L551" i="29"/>
  <c r="M551" i="29"/>
  <c r="O633" i="29"/>
  <c r="P633" i="29" s="1"/>
  <c r="Q633" i="29" s="1"/>
  <c r="O632" i="29"/>
  <c r="P632" i="29" s="1"/>
  <c r="Q632" i="29" s="1"/>
  <c r="O631" i="29"/>
  <c r="P631" i="29" s="1"/>
  <c r="Q631" i="29" s="1"/>
  <c r="L633" i="29"/>
  <c r="M633" i="29" s="1"/>
  <c r="L632" i="29"/>
  <c r="M632" i="29" s="1"/>
  <c r="L631" i="29"/>
  <c r="M631" i="29" s="1"/>
  <c r="O722" i="29"/>
  <c r="P722" i="29" s="1"/>
  <c r="Q722" i="29" s="1"/>
  <c r="L722" i="29"/>
  <c r="M722" i="29" s="1"/>
  <c r="O721" i="29"/>
  <c r="P721" i="29" s="1"/>
  <c r="Q721" i="29" s="1"/>
  <c r="L721" i="29"/>
  <c r="M721" i="29" s="1"/>
  <c r="O719" i="29"/>
  <c r="P719" i="29" s="1"/>
  <c r="Q719" i="29" s="1"/>
  <c r="O720" i="29"/>
  <c r="P720" i="29" s="1"/>
  <c r="Q720" i="29" s="1"/>
  <c r="L720" i="29"/>
  <c r="M720" i="29" s="1"/>
  <c r="L719" i="29"/>
  <c r="M719" i="29" s="1"/>
  <c r="L410" i="29" l="1"/>
  <c r="M410" i="29" s="1"/>
  <c r="L411" i="29"/>
  <c r="M411" i="29" s="1"/>
  <c r="L412" i="29"/>
  <c r="M412" i="29" s="1"/>
  <c r="L413" i="29"/>
  <c r="M413" i="29" s="1"/>
  <c r="L414" i="29"/>
  <c r="M414" i="29" s="1"/>
  <c r="L415" i="29"/>
  <c r="M415" i="29" s="1"/>
  <c r="O411" i="29"/>
  <c r="P411" i="29" s="1"/>
  <c r="Q411" i="29" s="1"/>
  <c r="O412" i="29"/>
  <c r="P412" i="29" s="1"/>
  <c r="Q412" i="29" s="1"/>
  <c r="O413" i="29"/>
  <c r="P413" i="29" s="1"/>
  <c r="Q413" i="29" s="1"/>
  <c r="O414" i="29"/>
  <c r="P414" i="29" s="1"/>
  <c r="Q414" i="29" s="1"/>
  <c r="O415" i="29"/>
  <c r="P415" i="29" s="1"/>
  <c r="Q415" i="29" s="1"/>
  <c r="O410" i="29"/>
  <c r="P410" i="29" s="1"/>
  <c r="Q410" i="29" s="1"/>
  <c r="E5" i="28"/>
  <c r="F5" i="28" s="1"/>
  <c r="O317" i="28"/>
  <c r="P317" i="28" s="1"/>
  <c r="Q317" i="28" s="1"/>
  <c r="O318" i="28"/>
  <c r="P318" i="28" s="1"/>
  <c r="Q318" i="28" s="1"/>
  <c r="O319" i="28"/>
  <c r="P319" i="28"/>
  <c r="Q319" i="28" s="1"/>
  <c r="L319" i="28"/>
  <c r="M319" i="28" s="1"/>
  <c r="L318" i="28"/>
  <c r="M318" i="28" s="1"/>
  <c r="L317" i="28"/>
  <c r="M317" i="28" s="1"/>
  <c r="O126" i="30"/>
  <c r="P126" i="30" s="1"/>
  <c r="Q126" i="30" s="1"/>
  <c r="L126" i="30"/>
  <c r="M126" i="30"/>
  <c r="L124" i="30"/>
  <c r="M124" i="30" s="1"/>
  <c r="L125" i="30"/>
  <c r="M125" i="30" s="1"/>
  <c r="O122" i="30"/>
  <c r="P122" i="30" s="1"/>
  <c r="Q122" i="30" s="1"/>
  <c r="O123" i="30"/>
  <c r="P123" i="30"/>
  <c r="Q123" i="30" s="1"/>
  <c r="O124" i="30"/>
  <c r="P124" i="30"/>
  <c r="Q124" i="30" s="1"/>
  <c r="O125" i="30"/>
  <c r="P125" i="30" s="1"/>
  <c r="Q125" i="30" s="1"/>
  <c r="L123" i="30"/>
  <c r="M123" i="30" s="1"/>
  <c r="L122" i="30"/>
  <c r="M122" i="30" s="1"/>
  <c r="O63" i="30"/>
  <c r="P63" i="30"/>
  <c r="Q63" i="30" s="1"/>
  <c r="L63" i="30"/>
  <c r="M63" i="30"/>
  <c r="O188" i="28"/>
  <c r="P188" i="28" s="1"/>
  <c r="Q188" i="28" s="1"/>
  <c r="L188" i="28"/>
  <c r="M188" i="28" s="1"/>
  <c r="O127" i="28"/>
  <c r="P127" i="28" s="1"/>
  <c r="Q127" i="28" s="1"/>
  <c r="L127" i="28"/>
  <c r="M127" i="28" s="1"/>
  <c r="O122" i="28"/>
  <c r="P122" i="28" s="1"/>
  <c r="Q122" i="28" s="1"/>
  <c r="L122" i="28"/>
  <c r="M122" i="28" s="1"/>
  <c r="O130" i="28"/>
  <c r="P130" i="28" s="1"/>
  <c r="Q130" i="28" s="1"/>
  <c r="L130" i="28"/>
  <c r="M130" i="28" s="1"/>
  <c r="O128" i="28"/>
  <c r="P128" i="28" s="1"/>
  <c r="Q128" i="28" s="1"/>
  <c r="L128" i="28"/>
  <c r="M128" i="28" s="1"/>
  <c r="O186" i="28"/>
  <c r="P186" i="28" s="1"/>
  <c r="Q186" i="28" s="1"/>
  <c r="L186" i="28"/>
  <c r="M186" i="28" s="1"/>
  <c r="L121" i="28"/>
  <c r="M121" i="28" s="1"/>
  <c r="O121" i="28"/>
  <c r="P121" i="28" s="1"/>
  <c r="Q121" i="28" s="1"/>
  <c r="D124" i="27" l="1"/>
  <c r="E124" i="27" s="1"/>
  <c r="G5" i="28"/>
  <c r="A3" i="30"/>
  <c r="A1" i="30"/>
  <c r="A3" i="29"/>
  <c r="A1" i="29"/>
  <c r="A3" i="28"/>
  <c r="A1" i="28"/>
  <c r="D122" i="27" l="1"/>
  <c r="U11" i="29" l="1"/>
  <c r="T11" i="29"/>
  <c r="E122" i="27" l="1"/>
  <c r="N516" i="28" l="1"/>
  <c r="O516" i="28" s="1"/>
  <c r="P516" i="28" s="1"/>
  <c r="Q516" i="28" s="1"/>
  <c r="L516" i="28"/>
  <c r="M516" i="28" s="1"/>
  <c r="O190" i="28" l="1"/>
  <c r="P190" i="28" s="1"/>
  <c r="Q190" i="28" s="1"/>
  <c r="L190" i="28"/>
  <c r="M190" i="28" s="1"/>
  <c r="O132" i="28"/>
  <c r="P132" i="28" s="1"/>
  <c r="Q132" i="28" s="1"/>
  <c r="L132" i="28"/>
  <c r="M132" i="28" s="1"/>
  <c r="O118" i="30"/>
  <c r="P118" i="30" s="1"/>
  <c r="Q118" i="30" s="1"/>
  <c r="L118" i="30"/>
  <c r="M118" i="30" s="1"/>
  <c r="O131" i="28"/>
  <c r="P131" i="28" s="1"/>
  <c r="Q131" i="28" s="1"/>
  <c r="L131" i="28"/>
  <c r="M131" i="28" s="1"/>
  <c r="L129" i="28"/>
  <c r="M129" i="28" s="1"/>
  <c r="O129" i="28"/>
  <c r="P129" i="28" s="1"/>
  <c r="Q129" i="28" s="1"/>
  <c r="O126" i="28"/>
  <c r="P126" i="28" s="1"/>
  <c r="Q126" i="28" s="1"/>
  <c r="L126" i="28"/>
  <c r="M126" i="28" s="1"/>
  <c r="O246" i="29"/>
  <c r="P246" i="29" s="1"/>
  <c r="Q246" i="29" s="1"/>
  <c r="L246" i="29"/>
  <c r="M246" i="29" s="1"/>
  <c r="O245" i="29"/>
  <c r="P245" i="29" s="1"/>
  <c r="Q245" i="29" s="1"/>
  <c r="L245" i="29"/>
  <c r="M245" i="29" s="1"/>
  <c r="O244" i="29"/>
  <c r="P244" i="29" s="1"/>
  <c r="Q244" i="29" s="1"/>
  <c r="L244" i="29"/>
  <c r="M244" i="29" s="1"/>
  <c r="L189" i="28"/>
  <c r="M189" i="28" s="1"/>
  <c r="O189" i="28"/>
  <c r="P189" i="28" s="1"/>
  <c r="Q189" i="28" s="1"/>
  <c r="O125" i="28"/>
  <c r="P125" i="28" s="1"/>
  <c r="Q125" i="28" s="1"/>
  <c r="L125" i="28"/>
  <c r="M125" i="28" s="1"/>
  <c r="O124" i="28"/>
  <c r="P124" i="28" s="1"/>
  <c r="Q124" i="28" s="1"/>
  <c r="L124" i="28"/>
  <c r="M124" i="28" s="1"/>
  <c r="O187" i="28"/>
  <c r="P187" i="28" s="1"/>
  <c r="Q187" i="28" s="1"/>
  <c r="L187" i="28"/>
  <c r="M187" i="28" s="1"/>
  <c r="O62" i="30"/>
  <c r="P62" i="30" s="1"/>
  <c r="Q62" i="30" s="1"/>
  <c r="L62" i="30"/>
  <c r="M62" i="30" s="1"/>
  <c r="O61" i="30"/>
  <c r="P61" i="30" s="1"/>
  <c r="Q61" i="30" s="1"/>
  <c r="L61" i="30"/>
  <c r="M61" i="30" s="1"/>
  <c r="O121" i="30"/>
  <c r="P121" i="30" s="1"/>
  <c r="Q121" i="30" s="1"/>
  <c r="L121" i="30"/>
  <c r="M121" i="30" s="1"/>
  <c r="L120" i="30"/>
  <c r="M120" i="30" s="1"/>
  <c r="O120" i="30"/>
  <c r="P120" i="30" s="1"/>
  <c r="Q120" i="30" s="1"/>
  <c r="O119" i="30"/>
  <c r="P119" i="30" s="1"/>
  <c r="Q119" i="30" s="1"/>
  <c r="L119" i="30"/>
  <c r="M119" i="30" s="1"/>
  <c r="O185" i="28"/>
  <c r="P185" i="28" s="1"/>
  <c r="Q185" i="28" s="1"/>
  <c r="L185" i="28"/>
  <c r="M185" i="28" s="1"/>
  <c r="O123" i="28"/>
  <c r="P123" i="28" s="1"/>
  <c r="Q123" i="28" s="1"/>
  <c r="L123" i="28"/>
  <c r="M123" i="28" s="1"/>
  <c r="O120" i="28"/>
  <c r="P120" i="28" s="1"/>
  <c r="Q120" i="28" s="1"/>
  <c r="L120" i="28"/>
  <c r="M120" i="28" s="1"/>
  <c r="O60" i="30"/>
  <c r="P60" i="30" s="1"/>
  <c r="Q60" i="30" s="1"/>
  <c r="L60" i="30"/>
  <c r="M60" i="30" s="1"/>
  <c r="L718" i="29"/>
  <c r="M718" i="29" s="1"/>
  <c r="O718" i="29"/>
  <c r="P718" i="29" s="1"/>
  <c r="Q718" i="29" s="1"/>
  <c r="O717" i="29"/>
  <c r="P717" i="29" s="1"/>
  <c r="Q717" i="29" s="1"/>
  <c r="L717" i="29"/>
  <c r="M717" i="29" s="1"/>
  <c r="O629" i="29"/>
  <c r="P629" i="29" s="1"/>
  <c r="Q629" i="29" s="1"/>
  <c r="L629" i="29"/>
  <c r="M629" i="29" s="1"/>
  <c r="O550" i="29"/>
  <c r="P550" i="29" s="1"/>
  <c r="Q550" i="29" s="1"/>
  <c r="L550" i="29"/>
  <c r="M550" i="29" s="1"/>
  <c r="O549" i="29"/>
  <c r="P549" i="29" s="1"/>
  <c r="Q549" i="29" s="1"/>
  <c r="L549" i="29"/>
  <c r="M549" i="29" s="1"/>
  <c r="O548" i="29"/>
  <c r="P548" i="29" s="1"/>
  <c r="Q548" i="29" s="1"/>
  <c r="L548" i="29"/>
  <c r="M548" i="29" s="1"/>
  <c r="O628" i="29"/>
  <c r="P628" i="29" s="1"/>
  <c r="Q628" i="29" s="1"/>
  <c r="L628" i="29"/>
  <c r="M628" i="29" s="1"/>
  <c r="O547" i="29"/>
  <c r="P547" i="29" s="1"/>
  <c r="Q547" i="29" s="1"/>
  <c r="L547" i="29"/>
  <c r="M547" i="29" s="1"/>
  <c r="O716" i="29"/>
  <c r="P716" i="29" s="1"/>
  <c r="Q716" i="29" s="1"/>
  <c r="L716" i="29"/>
  <c r="M716" i="29" s="1"/>
  <c r="L119" i="28"/>
  <c r="M119" i="28" s="1"/>
  <c r="O119" i="28"/>
  <c r="P119" i="28" s="1"/>
  <c r="Q119" i="28" s="1"/>
  <c r="O118" i="28"/>
  <c r="P118" i="28" s="1"/>
  <c r="Q118" i="28" s="1"/>
  <c r="L118" i="28"/>
  <c r="M118" i="28" s="1"/>
  <c r="O184" i="28"/>
  <c r="P184" i="28" s="1"/>
  <c r="Q184" i="28" s="1"/>
  <c r="L184" i="28"/>
  <c r="M184" i="28" s="1"/>
  <c r="O715" i="29"/>
  <c r="P715" i="29" s="1"/>
  <c r="Q715" i="29" s="1"/>
  <c r="L715" i="29"/>
  <c r="M715" i="29" s="1"/>
  <c r="O546" i="29"/>
  <c r="P546" i="29" s="1"/>
  <c r="Q546" i="29" s="1"/>
  <c r="L546" i="29"/>
  <c r="M546" i="29" s="1"/>
  <c r="O183" i="28"/>
  <c r="P183" i="28" s="1"/>
  <c r="Q183" i="28" s="1"/>
  <c r="L183" i="28"/>
  <c r="M183" i="28" s="1"/>
  <c r="O117" i="28"/>
  <c r="P117" i="28" s="1"/>
  <c r="Q117" i="28" s="1"/>
  <c r="L117" i="28"/>
  <c r="M117" i="28" s="1"/>
  <c r="O116" i="28"/>
  <c r="P116" i="28" s="1"/>
  <c r="Q116" i="28" s="1"/>
  <c r="L116" i="28"/>
  <c r="M116" i="28" s="1"/>
  <c r="O115" i="28"/>
  <c r="P115" i="28" s="1"/>
  <c r="Q115" i="28" s="1"/>
  <c r="L115" i="28"/>
  <c r="M115" i="28" s="1"/>
  <c r="O114" i="28"/>
  <c r="P114" i="28" s="1"/>
  <c r="Q114" i="28" s="1"/>
  <c r="L114" i="28"/>
  <c r="M114" i="28" s="1"/>
  <c r="O182" i="28"/>
  <c r="P182" i="28" s="1"/>
  <c r="Q182" i="28" s="1"/>
  <c r="L182" i="28"/>
  <c r="M182" i="28" s="1"/>
  <c r="O181" i="28"/>
  <c r="P181" i="28" s="1"/>
  <c r="Q181" i="28" s="1"/>
  <c r="L181" i="28"/>
  <c r="M181" i="28" s="1"/>
  <c r="L113" i="28"/>
  <c r="M113" i="28" s="1"/>
  <c r="O113" i="28"/>
  <c r="P113" i="28" s="1"/>
  <c r="Q113" i="28" s="1"/>
  <c r="O112" i="28"/>
  <c r="P112" i="28" s="1"/>
  <c r="Q112" i="28" s="1"/>
  <c r="L112" i="28"/>
  <c r="M112" i="28" s="1"/>
  <c r="O111" i="28"/>
  <c r="P111" i="28" s="1"/>
  <c r="Q111" i="28" s="1"/>
  <c r="L111" i="28"/>
  <c r="M111" i="28" s="1"/>
  <c r="O110" i="28"/>
  <c r="P110" i="28" s="1"/>
  <c r="Q110" i="28" s="1"/>
  <c r="L110" i="28"/>
  <c r="M110" i="28" s="1"/>
  <c r="O109" i="28"/>
  <c r="P109" i="28" s="1"/>
  <c r="Q109" i="28" s="1"/>
  <c r="L109" i="28"/>
  <c r="M109" i="28" s="1"/>
  <c r="L761" i="29"/>
  <c r="M761" i="29" s="1"/>
  <c r="O761" i="29"/>
  <c r="P761" i="29" s="1"/>
  <c r="Q761" i="29" s="1"/>
  <c r="O760" i="29"/>
  <c r="P760" i="29" s="1"/>
  <c r="Q760" i="29" s="1"/>
  <c r="L760" i="29"/>
  <c r="M760" i="29" s="1"/>
  <c r="O108" i="28"/>
  <c r="P108" i="28" s="1"/>
  <c r="Q108" i="28" s="1"/>
  <c r="L108" i="28"/>
  <c r="M108" i="28" s="1"/>
  <c r="O107" i="28"/>
  <c r="P107" i="28" s="1"/>
  <c r="Q107" i="28" s="1"/>
  <c r="L107" i="28"/>
  <c r="M107" i="28" s="1"/>
  <c r="O106" i="28"/>
  <c r="P106" i="28" s="1"/>
  <c r="Q106" i="28" s="1"/>
  <c r="L106" i="28"/>
  <c r="M106" i="28" s="1"/>
  <c r="O105" i="28"/>
  <c r="P105" i="28" s="1"/>
  <c r="Q105" i="28" s="1"/>
  <c r="L105" i="28"/>
  <c r="M105" i="28" s="1"/>
  <c r="O759" i="29"/>
  <c r="P759" i="29" s="1"/>
  <c r="Q759" i="29" s="1"/>
  <c r="L759" i="29"/>
  <c r="M759" i="29" s="1"/>
  <c r="O179" i="28"/>
  <c r="P179" i="28" s="1"/>
  <c r="Q179" i="28" s="1"/>
  <c r="O180" i="28"/>
  <c r="P180" i="28" s="1"/>
  <c r="Q180" i="28" s="1"/>
  <c r="L179" i="28"/>
  <c r="M179" i="28" s="1"/>
  <c r="L180" i="28"/>
  <c r="M180" i="28" s="1"/>
  <c r="O104" i="28"/>
  <c r="P104" i="28" s="1"/>
  <c r="Q104" i="28" s="1"/>
  <c r="L104" i="28"/>
  <c r="M104" i="28" s="1"/>
  <c r="O714" i="29"/>
  <c r="P714" i="29" s="1"/>
  <c r="Q714" i="29" s="1"/>
  <c r="L714" i="29"/>
  <c r="M714" i="29" s="1"/>
  <c r="O713" i="29"/>
  <c r="P713" i="29" s="1"/>
  <c r="Q713" i="29" s="1"/>
  <c r="L713" i="29"/>
  <c r="M713" i="29" s="1"/>
  <c r="O627" i="29"/>
  <c r="P627" i="29" s="1"/>
  <c r="Q627" i="29" s="1"/>
  <c r="L627" i="29"/>
  <c r="M627" i="29" s="1"/>
  <c r="O545" i="29"/>
  <c r="P545" i="29" s="1"/>
  <c r="Q545" i="29" s="1"/>
  <c r="L545" i="29"/>
  <c r="M545" i="29" s="1"/>
  <c r="O178" i="28"/>
  <c r="P178" i="28" s="1"/>
  <c r="Q178" i="28" s="1"/>
  <c r="L178" i="28"/>
  <c r="M178" i="28" s="1"/>
  <c r="O37" i="30"/>
  <c r="P37" i="30" s="1"/>
  <c r="Q37" i="30" s="1"/>
  <c r="L37" i="30"/>
  <c r="M37" i="30" s="1"/>
  <c r="O544" i="29"/>
  <c r="P544" i="29" s="1"/>
  <c r="Q544" i="29" s="1"/>
  <c r="L544" i="29"/>
  <c r="M544" i="29" s="1"/>
  <c r="O543" i="29"/>
  <c r="P543" i="29" s="1"/>
  <c r="Q543" i="29" s="1"/>
  <c r="L543" i="29"/>
  <c r="M543" i="29" s="1"/>
  <c r="O117" i="30"/>
  <c r="P117" i="30" s="1"/>
  <c r="Q117" i="30" s="1"/>
  <c r="L117" i="30"/>
  <c r="M117" i="30" s="1"/>
  <c r="O116" i="30"/>
  <c r="P116" i="30" s="1"/>
  <c r="Q116" i="30" s="1"/>
  <c r="L116" i="30"/>
  <c r="M116" i="30" s="1"/>
  <c r="L115" i="30"/>
  <c r="M115" i="30" s="1"/>
  <c r="O114" i="30"/>
  <c r="P114" i="30" s="1"/>
  <c r="Q114" i="30" s="1"/>
  <c r="O115" i="30"/>
  <c r="P115" i="30" s="1"/>
  <c r="Q115" i="30" s="1"/>
  <c r="L114" i="30"/>
  <c r="M114" i="30" s="1"/>
  <c r="O103" i="28"/>
  <c r="P103" i="28" s="1"/>
  <c r="Q103" i="28" s="1"/>
  <c r="L103" i="28"/>
  <c r="M103" i="28" s="1"/>
  <c r="O102" i="28"/>
  <c r="P102" i="28" s="1"/>
  <c r="Q102" i="28" s="1"/>
  <c r="L102" i="28"/>
  <c r="M102" i="28" s="1"/>
  <c r="O630" i="29"/>
  <c r="P630" i="29" s="1"/>
  <c r="Q630" i="29" s="1"/>
  <c r="L630" i="29"/>
  <c r="M630" i="29" s="1"/>
  <c r="O712" i="29"/>
  <c r="P712" i="29" s="1"/>
  <c r="Q712" i="29" s="1"/>
  <c r="L712" i="29"/>
  <c r="M712" i="29" s="1"/>
  <c r="O542" i="29"/>
  <c r="P542" i="29" s="1"/>
  <c r="Q542" i="29" s="1"/>
  <c r="L542" i="29"/>
  <c r="M542" i="29" s="1"/>
  <c r="O101" i="28"/>
  <c r="P101" i="28" s="1"/>
  <c r="Q101" i="28" s="1"/>
  <c r="L101" i="28"/>
  <c r="M101" i="28" s="1"/>
  <c r="O100" i="28"/>
  <c r="P100" i="28" s="1"/>
  <c r="Q100" i="28" s="1"/>
  <c r="L100" i="28"/>
  <c r="M100" i="28" s="1"/>
  <c r="O99" i="28"/>
  <c r="P99" i="28" s="1"/>
  <c r="Q99" i="28" s="1"/>
  <c r="L99" i="28"/>
  <c r="M99" i="28" s="1"/>
  <c r="O177" i="28" l="1"/>
  <c r="P177" i="28" s="1"/>
  <c r="Q177" i="28" s="1"/>
  <c r="L177" i="28"/>
  <c r="M177" i="28" s="1"/>
  <c r="O94" i="28"/>
  <c r="P94" i="28" s="1"/>
  <c r="Q94" i="28" s="1"/>
  <c r="L94" i="28"/>
  <c r="M94" i="28" s="1"/>
  <c r="O98" i="28"/>
  <c r="P98" i="28" s="1"/>
  <c r="Q98" i="28" s="1"/>
  <c r="L98" i="28"/>
  <c r="M98" i="28" s="1"/>
  <c r="O97" i="28"/>
  <c r="P97" i="28" s="1"/>
  <c r="Q97" i="28" s="1"/>
  <c r="L97" i="28"/>
  <c r="M97" i="28" s="1"/>
  <c r="O96" i="28"/>
  <c r="P96" i="28" s="1"/>
  <c r="Q96" i="28" s="1"/>
  <c r="L96" i="28"/>
  <c r="M96" i="28" s="1"/>
  <c r="O95" i="28"/>
  <c r="P95" i="28" s="1"/>
  <c r="Q95" i="28" s="1"/>
  <c r="L95" i="28"/>
  <c r="M95" i="28" s="1"/>
  <c r="O92" i="28" l="1"/>
  <c r="P92" i="28" s="1"/>
  <c r="Q92" i="28" s="1"/>
  <c r="L92" i="28"/>
  <c r="M92" i="28" s="1"/>
  <c r="X162" i="30" l="1"/>
  <c r="Z162" i="30" s="1"/>
  <c r="AB151" i="30"/>
  <c r="X158" i="30"/>
  <c r="Z158" i="30" s="1"/>
  <c r="X103" i="30"/>
  <c r="X104" i="30"/>
  <c r="X105" i="30"/>
  <c r="Z105" i="30" s="1"/>
  <c r="X54" i="30"/>
  <c r="X30" i="30"/>
  <c r="X31" i="30"/>
  <c r="Z31" i="30" s="1"/>
  <c r="X32" i="30"/>
  <c r="Z32" i="30" s="1"/>
  <c r="Z30" i="30" l="1"/>
  <c r="Z103" i="30"/>
  <c r="Z104" i="30"/>
  <c r="Z54" i="30"/>
  <c r="AF194" i="29" l="1"/>
  <c r="AG194" i="29"/>
  <c r="AI194" i="29"/>
  <c r="AJ194" i="29"/>
  <c r="AB248" i="29"/>
  <c r="AE248" i="29"/>
  <c r="AF248" i="29"/>
  <c r="AG248" i="29"/>
  <c r="AH248" i="29"/>
  <c r="AI248" i="29"/>
  <c r="AJ248" i="29"/>
  <c r="AF417" i="29"/>
  <c r="AG417" i="29"/>
  <c r="AI417" i="29"/>
  <c r="AB563" i="29"/>
  <c r="AE724" i="29"/>
  <c r="AF724" i="29"/>
  <c r="AH724" i="29"/>
  <c r="AI724" i="29"/>
  <c r="AB763" i="29"/>
  <c r="AE763" i="29"/>
  <c r="AF763" i="29"/>
  <c r="AG763" i="29"/>
  <c r="AH763" i="29"/>
  <c r="AI763" i="29"/>
  <c r="AJ763" i="29"/>
  <c r="AB776" i="29"/>
  <c r="AE776" i="29"/>
  <c r="AF776" i="29"/>
  <c r="AG776" i="29"/>
  <c r="AH776" i="29"/>
  <c r="AI776" i="29"/>
  <c r="AJ776" i="29"/>
  <c r="AE635" i="29"/>
  <c r="AG635" i="29"/>
  <c r="AH635" i="29"/>
  <c r="AJ635" i="29"/>
  <c r="X595" i="29"/>
  <c r="Z595" i="29" s="1"/>
  <c r="X596" i="29"/>
  <c r="X597" i="29"/>
  <c r="Z597" i="29" s="1"/>
  <c r="AE563" i="29"/>
  <c r="AF563" i="29"/>
  <c r="AG563" i="29"/>
  <c r="AH563" i="29"/>
  <c r="AI563" i="29"/>
  <c r="AJ563" i="29"/>
  <c r="AF557" i="29"/>
  <c r="AG557" i="29"/>
  <c r="AI557" i="29"/>
  <c r="AJ557" i="29"/>
  <c r="X478" i="29"/>
  <c r="Z478" i="29" s="1"/>
  <c r="X479" i="29"/>
  <c r="Z479" i="29" s="1"/>
  <c r="Z596" i="29" l="1"/>
  <c r="T11" i="30" l="1"/>
  <c r="O179" i="30"/>
  <c r="P179" i="30" s="1"/>
  <c r="Q179" i="30" s="1"/>
  <c r="L179" i="30"/>
  <c r="M179" i="30" s="1"/>
  <c r="O178" i="30"/>
  <c r="P178" i="30" s="1"/>
  <c r="Q178" i="30" s="1"/>
  <c r="L178" i="30"/>
  <c r="M178" i="30" s="1"/>
  <c r="O175" i="30"/>
  <c r="P175" i="30" s="1"/>
  <c r="Q175" i="30" s="1"/>
  <c r="L175" i="30"/>
  <c r="M175" i="30" s="1"/>
  <c r="O172" i="30"/>
  <c r="P172" i="30" s="1"/>
  <c r="Q172" i="30" s="1"/>
  <c r="L172" i="30"/>
  <c r="M172" i="30" s="1"/>
  <c r="O169" i="30"/>
  <c r="P169" i="30" s="1"/>
  <c r="Q169" i="30" s="1"/>
  <c r="L169" i="30"/>
  <c r="M169" i="30" s="1"/>
  <c r="W162" i="30"/>
  <c r="O158" i="30"/>
  <c r="P158" i="30" s="1"/>
  <c r="Q158" i="30" s="1"/>
  <c r="L158" i="30"/>
  <c r="M158" i="30" s="1"/>
  <c r="O157" i="30"/>
  <c r="P157" i="30" s="1"/>
  <c r="Q157" i="30" s="1"/>
  <c r="L157" i="30"/>
  <c r="M157" i="30" s="1"/>
  <c r="L156" i="30"/>
  <c r="M156" i="30" s="1"/>
  <c r="L155" i="30"/>
  <c r="M155" i="30" s="1"/>
  <c r="O154" i="30"/>
  <c r="L154" i="30"/>
  <c r="M154" i="30" s="1"/>
  <c r="O148" i="30"/>
  <c r="P148" i="30" s="1"/>
  <c r="Q148" i="30" s="1"/>
  <c r="L148" i="30"/>
  <c r="M148" i="30" s="1"/>
  <c r="N147" i="30"/>
  <c r="O147" i="30" s="1"/>
  <c r="P147" i="30" s="1"/>
  <c r="Q147" i="30" s="1"/>
  <c r="L147" i="30"/>
  <c r="M147" i="30" s="1"/>
  <c r="N146" i="30"/>
  <c r="O146" i="30" s="1"/>
  <c r="P146" i="30" s="1"/>
  <c r="Q146" i="30" s="1"/>
  <c r="L146" i="30"/>
  <c r="M146" i="30" s="1"/>
  <c r="N145" i="30"/>
  <c r="O145" i="30" s="1"/>
  <c r="L145" i="30"/>
  <c r="M145" i="30" s="1"/>
  <c r="O140" i="30"/>
  <c r="P140" i="30" s="1"/>
  <c r="Q140" i="30" s="1"/>
  <c r="L140" i="30"/>
  <c r="M140" i="30" s="1"/>
  <c r="N139" i="30"/>
  <c r="L139" i="30"/>
  <c r="M139" i="30" s="1"/>
  <c r="N138" i="30"/>
  <c r="O138" i="30" s="1"/>
  <c r="P138" i="30" s="1"/>
  <c r="Q138" i="30" s="1"/>
  <c r="L138" i="30"/>
  <c r="M138" i="30" s="1"/>
  <c r="N137" i="30"/>
  <c r="L137" i="30"/>
  <c r="M137" i="30" s="1"/>
  <c r="O136" i="30"/>
  <c r="P136" i="30" s="1"/>
  <c r="Q136" i="30" s="1"/>
  <c r="L136" i="30"/>
  <c r="M136" i="30" s="1"/>
  <c r="N135" i="30"/>
  <c r="O135" i="30" s="1"/>
  <c r="P135" i="30" s="1"/>
  <c r="Q135" i="30" s="1"/>
  <c r="L135" i="30"/>
  <c r="M135" i="30" s="1"/>
  <c r="N134" i="30"/>
  <c r="L134" i="30"/>
  <c r="M134" i="30" s="1"/>
  <c r="O133" i="30"/>
  <c r="P133" i="30" s="1"/>
  <c r="Q133" i="30" s="1"/>
  <c r="L133" i="30"/>
  <c r="M133" i="30" s="1"/>
  <c r="O132" i="30"/>
  <c r="P132" i="30" s="1"/>
  <c r="Q132" i="30" s="1"/>
  <c r="L132" i="30"/>
  <c r="M132" i="30" s="1"/>
  <c r="N113" i="30"/>
  <c r="L113" i="30"/>
  <c r="M113" i="30" s="1"/>
  <c r="O112" i="30"/>
  <c r="P112" i="30" s="1"/>
  <c r="Q112" i="30" s="1"/>
  <c r="L112" i="30"/>
  <c r="M112" i="30" s="1"/>
  <c r="O111" i="30"/>
  <c r="P111" i="30" s="1"/>
  <c r="Q111" i="30" s="1"/>
  <c r="L111" i="30"/>
  <c r="M111" i="30" s="1"/>
  <c r="O110" i="30"/>
  <c r="P110" i="30" s="1"/>
  <c r="Q110" i="30" s="1"/>
  <c r="L110" i="30"/>
  <c r="M110" i="30" s="1"/>
  <c r="O109" i="30"/>
  <c r="P109" i="30" s="1"/>
  <c r="Q109" i="30" s="1"/>
  <c r="L109" i="30"/>
  <c r="M109" i="30" s="1"/>
  <c r="O108" i="30"/>
  <c r="P108" i="30" s="1"/>
  <c r="Q108" i="30" s="1"/>
  <c r="L108" i="30"/>
  <c r="M108" i="30" s="1"/>
  <c r="O107" i="30"/>
  <c r="P107" i="30" s="1"/>
  <c r="Q107" i="30" s="1"/>
  <c r="L107" i="30"/>
  <c r="M107" i="30" s="1"/>
  <c r="O106" i="30"/>
  <c r="P106" i="30" s="1"/>
  <c r="Q106" i="30" s="1"/>
  <c r="L106" i="30"/>
  <c r="M106" i="30" s="1"/>
  <c r="O105" i="30"/>
  <c r="P105" i="30" s="1"/>
  <c r="Q105" i="30" s="1"/>
  <c r="L105" i="30"/>
  <c r="M105" i="30" s="1"/>
  <c r="O104" i="30"/>
  <c r="P104" i="30" s="1"/>
  <c r="Q104" i="30" s="1"/>
  <c r="L104" i="30"/>
  <c r="M104" i="30" s="1"/>
  <c r="O103" i="30"/>
  <c r="P103" i="30" s="1"/>
  <c r="Q103" i="30" s="1"/>
  <c r="L103" i="30"/>
  <c r="M103" i="30" s="1"/>
  <c r="O102" i="30"/>
  <c r="P102" i="30" s="1"/>
  <c r="Q102" i="30" s="1"/>
  <c r="L102" i="30"/>
  <c r="M102" i="30" s="1"/>
  <c r="O101" i="30"/>
  <c r="P101" i="30" s="1"/>
  <c r="Q101" i="30" s="1"/>
  <c r="L101" i="30"/>
  <c r="M101" i="30" s="1"/>
  <c r="O100" i="30"/>
  <c r="P100" i="30" s="1"/>
  <c r="Q100" i="30" s="1"/>
  <c r="L100" i="30"/>
  <c r="M100" i="30" s="1"/>
  <c r="O99" i="30"/>
  <c r="P99" i="30" s="1"/>
  <c r="Q99" i="30" s="1"/>
  <c r="L99" i="30"/>
  <c r="M99" i="30" s="1"/>
  <c r="O98" i="30"/>
  <c r="P98" i="30" s="1"/>
  <c r="Q98" i="30" s="1"/>
  <c r="L98" i="30"/>
  <c r="M98" i="30" s="1"/>
  <c r="O97" i="30"/>
  <c r="P97" i="30" s="1"/>
  <c r="Q97" i="30" s="1"/>
  <c r="L97" i="30"/>
  <c r="M97" i="30" s="1"/>
  <c r="O96" i="30"/>
  <c r="P96" i="30" s="1"/>
  <c r="Q96" i="30" s="1"/>
  <c r="L96" i="30"/>
  <c r="M96" i="30" s="1"/>
  <c r="O95" i="30"/>
  <c r="P95" i="30" s="1"/>
  <c r="Q95" i="30" s="1"/>
  <c r="L95" i="30"/>
  <c r="M95" i="30" s="1"/>
  <c r="O94" i="30"/>
  <c r="P94" i="30" s="1"/>
  <c r="Q94" i="30" s="1"/>
  <c r="L94" i="30"/>
  <c r="M94" i="30" s="1"/>
  <c r="O93" i="30"/>
  <c r="P93" i="30" s="1"/>
  <c r="Q93" i="30" s="1"/>
  <c r="L93" i="30"/>
  <c r="M93" i="30" s="1"/>
  <c r="O92" i="30"/>
  <c r="P92" i="30" s="1"/>
  <c r="Q92" i="30" s="1"/>
  <c r="L92" i="30"/>
  <c r="M92" i="30" s="1"/>
  <c r="O91" i="30"/>
  <c r="P91" i="30" s="1"/>
  <c r="Q91" i="30" s="1"/>
  <c r="L91" i="30"/>
  <c r="M91" i="30" s="1"/>
  <c r="O90" i="30"/>
  <c r="P90" i="30" s="1"/>
  <c r="Q90" i="30" s="1"/>
  <c r="L90" i="30"/>
  <c r="M90" i="30" s="1"/>
  <c r="O89" i="30"/>
  <c r="P89" i="30" s="1"/>
  <c r="Q89" i="30" s="1"/>
  <c r="L89" i="30"/>
  <c r="M89" i="30" s="1"/>
  <c r="O88" i="30"/>
  <c r="P88" i="30" s="1"/>
  <c r="Q88" i="30" s="1"/>
  <c r="L88" i="30"/>
  <c r="M88" i="30" s="1"/>
  <c r="O87" i="30"/>
  <c r="P87" i="30" s="1"/>
  <c r="Q87" i="30" s="1"/>
  <c r="L87" i="30"/>
  <c r="M87" i="30" s="1"/>
  <c r="O86" i="30"/>
  <c r="P86" i="30" s="1"/>
  <c r="Q86" i="30" s="1"/>
  <c r="L86" i="30"/>
  <c r="M86" i="30" s="1"/>
  <c r="N85" i="30"/>
  <c r="O85" i="30" s="1"/>
  <c r="P85" i="30" s="1"/>
  <c r="Q85" i="30" s="1"/>
  <c r="L85" i="30"/>
  <c r="M85" i="30" s="1"/>
  <c r="O84" i="30"/>
  <c r="P84" i="30" s="1"/>
  <c r="Q84" i="30" s="1"/>
  <c r="L84" i="30"/>
  <c r="M84" i="30" s="1"/>
  <c r="N83" i="30"/>
  <c r="O83" i="30" s="1"/>
  <c r="P83" i="30" s="1"/>
  <c r="Q83" i="30" s="1"/>
  <c r="L83" i="30"/>
  <c r="M83" i="30" s="1"/>
  <c r="O82" i="30"/>
  <c r="P82" i="30" s="1"/>
  <c r="Q82" i="30" s="1"/>
  <c r="L82" i="30"/>
  <c r="M82" i="30" s="1"/>
  <c r="O81" i="30"/>
  <c r="P81" i="30" s="1"/>
  <c r="Q81" i="30" s="1"/>
  <c r="L81" i="30"/>
  <c r="M81" i="30" s="1"/>
  <c r="O80" i="30"/>
  <c r="P80" i="30" s="1"/>
  <c r="Q80" i="30" s="1"/>
  <c r="L80" i="30"/>
  <c r="M80" i="30" s="1"/>
  <c r="O79" i="30"/>
  <c r="P79" i="30" s="1"/>
  <c r="Q79" i="30" s="1"/>
  <c r="L79" i="30"/>
  <c r="M79" i="30" s="1"/>
  <c r="O78" i="30"/>
  <c r="P78" i="30" s="1"/>
  <c r="Q78" i="30" s="1"/>
  <c r="L78" i="30"/>
  <c r="M78" i="30" s="1"/>
  <c r="O77" i="30"/>
  <c r="P77" i="30" s="1"/>
  <c r="Q77" i="30" s="1"/>
  <c r="L77" i="30"/>
  <c r="M77" i="30" s="1"/>
  <c r="O76" i="30"/>
  <c r="P76" i="30" s="1"/>
  <c r="Q76" i="30" s="1"/>
  <c r="L76" i="30"/>
  <c r="M76" i="30" s="1"/>
  <c r="N75" i="30"/>
  <c r="O75" i="30" s="1"/>
  <c r="P75" i="30" s="1"/>
  <c r="Q75" i="30" s="1"/>
  <c r="L75" i="30"/>
  <c r="M75" i="30" s="1"/>
  <c r="N74" i="30"/>
  <c r="L74" i="30"/>
  <c r="M74" i="30" s="1"/>
  <c r="O73" i="30"/>
  <c r="P73" i="30" s="1"/>
  <c r="Q73" i="30" s="1"/>
  <c r="L73" i="30"/>
  <c r="M73" i="30" s="1"/>
  <c r="O72" i="30"/>
  <c r="P72" i="30" s="1"/>
  <c r="Q72" i="30" s="1"/>
  <c r="L72" i="30"/>
  <c r="M72" i="30" s="1"/>
  <c r="O71" i="30"/>
  <c r="P71" i="30" s="1"/>
  <c r="Q71" i="30" s="1"/>
  <c r="L71" i="30"/>
  <c r="M71" i="30" s="1"/>
  <c r="O70" i="30"/>
  <c r="P70" i="30" s="1"/>
  <c r="Q70" i="30" s="1"/>
  <c r="L70" i="30"/>
  <c r="M70" i="30" s="1"/>
  <c r="O69" i="30"/>
  <c r="P69" i="30" s="1"/>
  <c r="L69" i="30"/>
  <c r="M69" i="30" s="1"/>
  <c r="O59" i="30"/>
  <c r="P59" i="30" s="1"/>
  <c r="Q59" i="30" s="1"/>
  <c r="L59" i="30"/>
  <c r="M59" i="30" s="1"/>
  <c r="O58" i="30"/>
  <c r="P58" i="30" s="1"/>
  <c r="Q58" i="30" s="1"/>
  <c r="L58" i="30"/>
  <c r="M58" i="30" s="1"/>
  <c r="O57" i="30"/>
  <c r="P57" i="30" s="1"/>
  <c r="Q57" i="30" s="1"/>
  <c r="L57" i="30"/>
  <c r="M57" i="30" s="1"/>
  <c r="O56" i="30"/>
  <c r="P56" i="30" s="1"/>
  <c r="Q56" i="30" s="1"/>
  <c r="L56" i="30"/>
  <c r="M56" i="30" s="1"/>
  <c r="O55" i="30"/>
  <c r="P55" i="30" s="1"/>
  <c r="Q55" i="30" s="1"/>
  <c r="L55" i="30"/>
  <c r="M55" i="30" s="1"/>
  <c r="O54" i="30"/>
  <c r="P54" i="30" s="1"/>
  <c r="Q54" i="30" s="1"/>
  <c r="L54" i="30"/>
  <c r="M54" i="30" s="1"/>
  <c r="O53" i="30"/>
  <c r="P53" i="30" s="1"/>
  <c r="Q53" i="30" s="1"/>
  <c r="L53" i="30"/>
  <c r="M53" i="30" s="1"/>
  <c r="O52" i="30"/>
  <c r="P52" i="30" s="1"/>
  <c r="Q52" i="30" s="1"/>
  <c r="L52" i="30"/>
  <c r="M52" i="30" s="1"/>
  <c r="O51" i="30"/>
  <c r="P51" i="30" s="1"/>
  <c r="Q51" i="30" s="1"/>
  <c r="L51" i="30"/>
  <c r="M51" i="30" s="1"/>
  <c r="L49" i="30"/>
  <c r="M49" i="30" s="1"/>
  <c r="L47" i="30"/>
  <c r="M47" i="30" s="1"/>
  <c r="O46" i="30"/>
  <c r="P46" i="30" s="1"/>
  <c r="Q46" i="30" s="1"/>
  <c r="L46" i="30"/>
  <c r="M46" i="30" s="1"/>
  <c r="L44" i="30"/>
  <c r="O36" i="30"/>
  <c r="P36" i="30" s="1"/>
  <c r="Q36" i="30" s="1"/>
  <c r="L36" i="30"/>
  <c r="M36" i="30" s="1"/>
  <c r="O35" i="30"/>
  <c r="P35" i="30" s="1"/>
  <c r="Q35" i="30" s="1"/>
  <c r="L35" i="30"/>
  <c r="M35" i="30" s="1"/>
  <c r="O34" i="30"/>
  <c r="P34" i="30" s="1"/>
  <c r="Q34" i="30" s="1"/>
  <c r="L34" i="30"/>
  <c r="M34" i="30" s="1"/>
  <c r="O33" i="30"/>
  <c r="P33" i="30" s="1"/>
  <c r="Q33" i="30" s="1"/>
  <c r="L33" i="30"/>
  <c r="M33" i="30" s="1"/>
  <c r="O32" i="30"/>
  <c r="P32" i="30" s="1"/>
  <c r="Q32" i="30" s="1"/>
  <c r="L32" i="30"/>
  <c r="M32" i="30" s="1"/>
  <c r="O31" i="30"/>
  <c r="P31" i="30" s="1"/>
  <c r="Q31" i="30" s="1"/>
  <c r="L31" i="30"/>
  <c r="M31" i="30" s="1"/>
  <c r="O30" i="30"/>
  <c r="P30" i="30" s="1"/>
  <c r="Q30" i="30" s="1"/>
  <c r="L30" i="30"/>
  <c r="M30" i="30" s="1"/>
  <c r="O29" i="30"/>
  <c r="P29" i="30" s="1"/>
  <c r="Q29" i="30" s="1"/>
  <c r="L29" i="30"/>
  <c r="M29" i="30" s="1"/>
  <c r="O28" i="30"/>
  <c r="P28" i="30" s="1"/>
  <c r="Q28" i="30" s="1"/>
  <c r="L28" i="30"/>
  <c r="M28" i="30" s="1"/>
  <c r="O27" i="30"/>
  <c r="P27" i="30" s="1"/>
  <c r="Q27" i="30" s="1"/>
  <c r="L27" i="30"/>
  <c r="M27" i="30" s="1"/>
  <c r="N26" i="30"/>
  <c r="O26" i="30" s="1"/>
  <c r="P26" i="30" s="1"/>
  <c r="Q26" i="30" s="1"/>
  <c r="L26" i="30"/>
  <c r="M26" i="30" s="1"/>
  <c r="O25" i="30"/>
  <c r="P25" i="30" s="1"/>
  <c r="Q25" i="30" s="1"/>
  <c r="L25" i="30"/>
  <c r="M25" i="30" s="1"/>
  <c r="O24" i="30"/>
  <c r="P24" i="30" s="1"/>
  <c r="Q24" i="30" s="1"/>
  <c r="L24" i="30"/>
  <c r="M24" i="30" s="1"/>
  <c r="O23" i="30"/>
  <c r="P23" i="30" s="1"/>
  <c r="Q23" i="30" s="1"/>
  <c r="L23" i="30"/>
  <c r="M23" i="30" s="1"/>
  <c r="O22" i="30"/>
  <c r="P22" i="30" s="1"/>
  <c r="Q22" i="30" s="1"/>
  <c r="L22" i="30"/>
  <c r="M22" i="30" s="1"/>
  <c r="N21" i="30"/>
  <c r="O21" i="30" s="1"/>
  <c r="P21" i="30" s="1"/>
  <c r="Q21" i="30" s="1"/>
  <c r="L21" i="30"/>
  <c r="M21" i="30" s="1"/>
  <c r="O20" i="30"/>
  <c r="P20" i="30" s="1"/>
  <c r="Q20" i="30" s="1"/>
  <c r="L20" i="30"/>
  <c r="M20" i="30" s="1"/>
  <c r="O19" i="30"/>
  <c r="P19" i="30" s="1"/>
  <c r="Q19" i="30" s="1"/>
  <c r="L19" i="30"/>
  <c r="M19" i="30" s="1"/>
  <c r="O18" i="30"/>
  <c r="P18" i="30" s="1"/>
  <c r="Q18" i="30" s="1"/>
  <c r="L18" i="30"/>
  <c r="M18" i="30" s="1"/>
  <c r="O17" i="30"/>
  <c r="P17" i="30" s="1"/>
  <c r="Q17" i="30" s="1"/>
  <c r="L17" i="30"/>
  <c r="M17" i="30" s="1"/>
  <c r="L15" i="30"/>
  <c r="M15" i="30" s="1"/>
  <c r="L13" i="30"/>
  <c r="T2" i="30"/>
  <c r="U11" i="30" s="1"/>
  <c r="B1317" i="29"/>
  <c r="O1315" i="29"/>
  <c r="P1315" i="29" s="1"/>
  <c r="Q1315" i="29" s="1"/>
  <c r="L1315" i="29"/>
  <c r="M1315" i="29" s="1"/>
  <c r="O1314" i="29"/>
  <c r="P1314" i="29" s="1"/>
  <c r="Q1314" i="29" s="1"/>
  <c r="L1314" i="29"/>
  <c r="M1314" i="29" s="1"/>
  <c r="O1313" i="29"/>
  <c r="P1313" i="29" s="1"/>
  <c r="Q1313" i="29" s="1"/>
  <c r="L1313" i="29"/>
  <c r="M1313" i="29" s="1"/>
  <c r="O1312" i="29"/>
  <c r="P1312" i="29" s="1"/>
  <c r="Q1312" i="29" s="1"/>
  <c r="L1312" i="29"/>
  <c r="M1312" i="29" s="1"/>
  <c r="O1311" i="29"/>
  <c r="P1311" i="29" s="1"/>
  <c r="Q1311" i="29" s="1"/>
  <c r="L1311" i="29"/>
  <c r="M1311" i="29" s="1"/>
  <c r="O1310" i="29"/>
  <c r="P1310" i="29" s="1"/>
  <c r="Q1310" i="29" s="1"/>
  <c r="L1310" i="29"/>
  <c r="M1310" i="29" s="1"/>
  <c r="O1309" i="29"/>
  <c r="P1309" i="29" s="1"/>
  <c r="Q1309" i="29" s="1"/>
  <c r="L1309" i="29"/>
  <c r="M1309" i="29" s="1"/>
  <c r="O1308" i="29"/>
  <c r="P1308" i="29" s="1"/>
  <c r="Q1308" i="29" s="1"/>
  <c r="L1308" i="29"/>
  <c r="M1308" i="29" s="1"/>
  <c r="B1303" i="29"/>
  <c r="O1301" i="29"/>
  <c r="P1301" i="29" s="1"/>
  <c r="Q1301" i="29" s="1"/>
  <c r="L1301" i="29"/>
  <c r="M1301" i="29" s="1"/>
  <c r="O1300" i="29"/>
  <c r="P1300" i="29" s="1"/>
  <c r="Q1300" i="29" s="1"/>
  <c r="L1300" i="29"/>
  <c r="M1300" i="29" s="1"/>
  <c r="O1299" i="29"/>
  <c r="P1299" i="29" s="1"/>
  <c r="Q1299" i="29" s="1"/>
  <c r="L1299" i="29"/>
  <c r="M1299" i="29" s="1"/>
  <c r="O1298" i="29"/>
  <c r="P1298" i="29" s="1"/>
  <c r="Q1298" i="29" s="1"/>
  <c r="L1298" i="29"/>
  <c r="M1298" i="29" s="1"/>
  <c r="O1297" i="29"/>
  <c r="P1297" i="29" s="1"/>
  <c r="Q1297" i="29" s="1"/>
  <c r="L1297" i="29"/>
  <c r="M1297" i="29" s="1"/>
  <c r="O1296" i="29"/>
  <c r="P1296" i="29" s="1"/>
  <c r="Q1296" i="29" s="1"/>
  <c r="L1296" i="29"/>
  <c r="M1296" i="29" s="1"/>
  <c r="O1295" i="29"/>
  <c r="P1295" i="29" s="1"/>
  <c r="Q1295" i="29" s="1"/>
  <c r="L1295" i="29"/>
  <c r="M1295" i="29" s="1"/>
  <c r="O1294" i="29"/>
  <c r="P1294" i="29" s="1"/>
  <c r="Q1294" i="29" s="1"/>
  <c r="L1294" i="29"/>
  <c r="M1294" i="29" s="1"/>
  <c r="O1293" i="29"/>
  <c r="P1293" i="29" s="1"/>
  <c r="Q1293" i="29" s="1"/>
  <c r="L1293" i="29"/>
  <c r="M1293" i="29" s="1"/>
  <c r="O1292" i="29"/>
  <c r="P1292" i="29" s="1"/>
  <c r="Q1292" i="29" s="1"/>
  <c r="L1292" i="29"/>
  <c r="M1292" i="29" s="1"/>
  <c r="B1290" i="29"/>
  <c r="O1288" i="29"/>
  <c r="P1288" i="29" s="1"/>
  <c r="Q1288" i="29" s="1"/>
  <c r="L1288" i="29"/>
  <c r="M1288" i="29" s="1"/>
  <c r="O1287" i="29"/>
  <c r="P1287" i="29" s="1"/>
  <c r="Q1287" i="29" s="1"/>
  <c r="L1287" i="29"/>
  <c r="M1287" i="29" s="1"/>
  <c r="O1286" i="29"/>
  <c r="P1286" i="29" s="1"/>
  <c r="Q1286" i="29" s="1"/>
  <c r="L1286" i="29"/>
  <c r="M1286" i="29" s="1"/>
  <c r="O1285" i="29"/>
  <c r="P1285" i="29" s="1"/>
  <c r="Q1285" i="29" s="1"/>
  <c r="L1285" i="29"/>
  <c r="M1285" i="29" s="1"/>
  <c r="O1284" i="29"/>
  <c r="P1284" i="29" s="1"/>
  <c r="Q1284" i="29" s="1"/>
  <c r="L1284" i="29"/>
  <c r="M1284" i="29" s="1"/>
  <c r="O1283" i="29"/>
  <c r="P1283" i="29" s="1"/>
  <c r="Q1283" i="29" s="1"/>
  <c r="L1283" i="29"/>
  <c r="M1283" i="29" s="1"/>
  <c r="O1282" i="29"/>
  <c r="P1282" i="29" s="1"/>
  <c r="Q1282" i="29" s="1"/>
  <c r="L1282" i="29"/>
  <c r="M1282" i="29" s="1"/>
  <c r="O1281" i="29"/>
  <c r="P1281" i="29" s="1"/>
  <c r="Q1281" i="29" s="1"/>
  <c r="L1281" i="29"/>
  <c r="M1281" i="29" s="1"/>
  <c r="O1280" i="29"/>
  <c r="P1280" i="29" s="1"/>
  <c r="Q1280" i="29" s="1"/>
  <c r="L1280" i="29"/>
  <c r="M1280" i="29" s="1"/>
  <c r="O1279" i="29"/>
  <c r="P1279" i="29" s="1"/>
  <c r="Q1279" i="29" s="1"/>
  <c r="L1279" i="29"/>
  <c r="M1279" i="29" s="1"/>
  <c r="O1278" i="29"/>
  <c r="P1278" i="29" s="1"/>
  <c r="Q1278" i="29" s="1"/>
  <c r="L1278" i="29"/>
  <c r="M1278" i="29" s="1"/>
  <c r="O1277" i="29"/>
  <c r="P1277" i="29" s="1"/>
  <c r="Q1277" i="29" s="1"/>
  <c r="L1277" i="29"/>
  <c r="M1277" i="29" s="1"/>
  <c r="O1276" i="29"/>
  <c r="P1276" i="29" s="1"/>
  <c r="Q1276" i="29" s="1"/>
  <c r="L1276" i="29"/>
  <c r="M1276" i="29" s="1"/>
  <c r="O1275" i="29"/>
  <c r="P1275" i="29" s="1"/>
  <c r="Q1275" i="29" s="1"/>
  <c r="L1275" i="29"/>
  <c r="M1275" i="29" s="1"/>
  <c r="O1274" i="29"/>
  <c r="P1274" i="29" s="1"/>
  <c r="Q1274" i="29" s="1"/>
  <c r="L1274" i="29"/>
  <c r="M1274" i="29" s="1"/>
  <c r="O1273" i="29"/>
  <c r="P1273" i="29" s="1"/>
  <c r="Q1273" i="29" s="1"/>
  <c r="L1273" i="29"/>
  <c r="M1273" i="29" s="1"/>
  <c r="O1272" i="29"/>
  <c r="P1272" i="29" s="1"/>
  <c r="Q1272" i="29" s="1"/>
  <c r="L1272" i="29"/>
  <c r="M1272" i="29" s="1"/>
  <c r="O1271" i="29"/>
  <c r="P1271" i="29" s="1"/>
  <c r="Q1271" i="29" s="1"/>
  <c r="L1271" i="29"/>
  <c r="M1271" i="29" s="1"/>
  <c r="O1270" i="29"/>
  <c r="P1270" i="29" s="1"/>
  <c r="Q1270" i="29" s="1"/>
  <c r="L1270" i="29"/>
  <c r="M1270" i="29" s="1"/>
  <c r="O1269" i="29"/>
  <c r="P1269" i="29" s="1"/>
  <c r="Q1269" i="29" s="1"/>
  <c r="L1269" i="29"/>
  <c r="M1269" i="29" s="1"/>
  <c r="O1268" i="29"/>
  <c r="P1268" i="29" s="1"/>
  <c r="Q1268" i="29" s="1"/>
  <c r="L1268" i="29"/>
  <c r="M1268" i="29" s="1"/>
  <c r="O1267" i="29"/>
  <c r="P1267" i="29" s="1"/>
  <c r="Q1267" i="29" s="1"/>
  <c r="L1267" i="29"/>
  <c r="M1267" i="29" s="1"/>
  <c r="O1266" i="29"/>
  <c r="P1266" i="29" s="1"/>
  <c r="Q1266" i="29" s="1"/>
  <c r="L1266" i="29"/>
  <c r="M1266" i="29" s="1"/>
  <c r="O1265" i="29"/>
  <c r="P1265" i="29" s="1"/>
  <c r="Q1265" i="29" s="1"/>
  <c r="L1265" i="29"/>
  <c r="M1265" i="29" s="1"/>
  <c r="O1264" i="29"/>
  <c r="P1264" i="29" s="1"/>
  <c r="Q1264" i="29" s="1"/>
  <c r="L1264" i="29"/>
  <c r="M1264" i="29" s="1"/>
  <c r="O1263" i="29"/>
  <c r="P1263" i="29" s="1"/>
  <c r="Q1263" i="29" s="1"/>
  <c r="L1263" i="29"/>
  <c r="M1263" i="29" s="1"/>
  <c r="O1262" i="29"/>
  <c r="P1262" i="29" s="1"/>
  <c r="Q1262" i="29" s="1"/>
  <c r="L1262" i="29"/>
  <c r="M1262" i="29" s="1"/>
  <c r="O1261" i="29"/>
  <c r="P1261" i="29" s="1"/>
  <c r="Q1261" i="29" s="1"/>
  <c r="L1261" i="29"/>
  <c r="M1261" i="29" s="1"/>
  <c r="O1260" i="29"/>
  <c r="P1260" i="29" s="1"/>
  <c r="Q1260" i="29" s="1"/>
  <c r="L1260" i="29"/>
  <c r="M1260" i="29" s="1"/>
  <c r="O1259" i="29"/>
  <c r="P1259" i="29" s="1"/>
  <c r="Q1259" i="29" s="1"/>
  <c r="L1259" i="29"/>
  <c r="M1259" i="29" s="1"/>
  <c r="O1258" i="29"/>
  <c r="P1258" i="29" s="1"/>
  <c r="Q1258" i="29" s="1"/>
  <c r="L1258" i="29"/>
  <c r="M1258" i="29" s="1"/>
  <c r="O1257" i="29"/>
  <c r="P1257" i="29" s="1"/>
  <c r="Q1257" i="29" s="1"/>
  <c r="L1257" i="29"/>
  <c r="M1257" i="29" s="1"/>
  <c r="B1255" i="29"/>
  <c r="O1253" i="29"/>
  <c r="P1253" i="29" s="1"/>
  <c r="Q1253" i="29" s="1"/>
  <c r="L1253" i="29"/>
  <c r="M1253" i="29" s="1"/>
  <c r="O1252" i="29"/>
  <c r="P1252" i="29" s="1"/>
  <c r="Q1252" i="29" s="1"/>
  <c r="L1252" i="29"/>
  <c r="M1252" i="29" s="1"/>
  <c r="O1251" i="29"/>
  <c r="P1251" i="29" s="1"/>
  <c r="Q1251" i="29" s="1"/>
  <c r="L1251" i="29"/>
  <c r="M1251" i="29" s="1"/>
  <c r="O1250" i="29"/>
  <c r="P1250" i="29" s="1"/>
  <c r="Q1250" i="29" s="1"/>
  <c r="L1250" i="29"/>
  <c r="M1250" i="29" s="1"/>
  <c r="O1249" i="29"/>
  <c r="P1249" i="29" s="1"/>
  <c r="Q1249" i="29" s="1"/>
  <c r="L1249" i="29"/>
  <c r="M1249" i="29" s="1"/>
  <c r="O1248" i="29"/>
  <c r="P1248" i="29" s="1"/>
  <c r="Q1248" i="29" s="1"/>
  <c r="L1248" i="29"/>
  <c r="M1248" i="29" s="1"/>
  <c r="O1247" i="29"/>
  <c r="P1247" i="29" s="1"/>
  <c r="Q1247" i="29" s="1"/>
  <c r="L1247" i="29"/>
  <c r="M1247" i="29" s="1"/>
  <c r="O1246" i="29"/>
  <c r="P1246" i="29" s="1"/>
  <c r="Q1246" i="29" s="1"/>
  <c r="L1246" i="29"/>
  <c r="M1246" i="29" s="1"/>
  <c r="O1245" i="29"/>
  <c r="P1245" i="29" s="1"/>
  <c r="Q1245" i="29" s="1"/>
  <c r="L1245" i="29"/>
  <c r="M1245" i="29" s="1"/>
  <c r="O1244" i="29"/>
  <c r="P1244" i="29" s="1"/>
  <c r="Q1244" i="29" s="1"/>
  <c r="L1244" i="29"/>
  <c r="M1244" i="29" s="1"/>
  <c r="O1243" i="29"/>
  <c r="P1243" i="29" s="1"/>
  <c r="Q1243" i="29" s="1"/>
  <c r="L1243" i="29"/>
  <c r="M1243" i="29" s="1"/>
  <c r="O1242" i="29"/>
  <c r="P1242" i="29" s="1"/>
  <c r="Q1242" i="29" s="1"/>
  <c r="L1242" i="29"/>
  <c r="M1242" i="29" s="1"/>
  <c r="N1241" i="29"/>
  <c r="L1241" i="29"/>
  <c r="M1241" i="29" s="1"/>
  <c r="O1240" i="29"/>
  <c r="P1240" i="29" s="1"/>
  <c r="Q1240" i="29" s="1"/>
  <c r="L1240" i="29"/>
  <c r="M1240" i="29" s="1"/>
  <c r="O1239" i="29"/>
  <c r="P1239" i="29" s="1"/>
  <c r="Q1239" i="29" s="1"/>
  <c r="L1239" i="29"/>
  <c r="M1239" i="29" s="1"/>
  <c r="O1238" i="29"/>
  <c r="P1238" i="29" s="1"/>
  <c r="Q1238" i="29" s="1"/>
  <c r="L1238" i="29"/>
  <c r="M1238" i="29" s="1"/>
  <c r="O1237" i="29"/>
  <c r="P1237" i="29" s="1"/>
  <c r="Q1237" i="29" s="1"/>
  <c r="L1237" i="29"/>
  <c r="M1237" i="29" s="1"/>
  <c r="O1236" i="29"/>
  <c r="P1236" i="29" s="1"/>
  <c r="Q1236" i="29" s="1"/>
  <c r="L1236" i="29"/>
  <c r="M1236" i="29" s="1"/>
  <c r="O1235" i="29"/>
  <c r="P1235" i="29" s="1"/>
  <c r="Q1235" i="29" s="1"/>
  <c r="L1235" i="29"/>
  <c r="M1235" i="29" s="1"/>
  <c r="O1234" i="29"/>
  <c r="P1234" i="29" s="1"/>
  <c r="Q1234" i="29" s="1"/>
  <c r="L1234" i="29"/>
  <c r="M1234" i="29" s="1"/>
  <c r="O1233" i="29"/>
  <c r="P1233" i="29" s="1"/>
  <c r="Q1233" i="29" s="1"/>
  <c r="L1233" i="29"/>
  <c r="M1233" i="29" s="1"/>
  <c r="O1232" i="29"/>
  <c r="P1232" i="29" s="1"/>
  <c r="Q1232" i="29" s="1"/>
  <c r="L1232" i="29"/>
  <c r="M1232" i="29" s="1"/>
  <c r="O1231" i="29"/>
  <c r="P1231" i="29" s="1"/>
  <c r="Q1231" i="29" s="1"/>
  <c r="L1231" i="29"/>
  <c r="M1231" i="29" s="1"/>
  <c r="O1230" i="29"/>
  <c r="P1230" i="29" s="1"/>
  <c r="Q1230" i="29" s="1"/>
  <c r="L1230" i="29"/>
  <c r="M1230" i="29" s="1"/>
  <c r="O1229" i="29"/>
  <c r="P1229" i="29" s="1"/>
  <c r="Q1229" i="29" s="1"/>
  <c r="L1229" i="29"/>
  <c r="M1229" i="29" s="1"/>
  <c r="O1228" i="29"/>
  <c r="P1228" i="29" s="1"/>
  <c r="Q1228" i="29" s="1"/>
  <c r="L1228" i="29"/>
  <c r="M1228" i="29" s="1"/>
  <c r="O1227" i="29"/>
  <c r="P1227" i="29" s="1"/>
  <c r="Q1227" i="29" s="1"/>
  <c r="L1227" i="29"/>
  <c r="M1227" i="29" s="1"/>
  <c r="O1226" i="29"/>
  <c r="P1226" i="29" s="1"/>
  <c r="Q1226" i="29" s="1"/>
  <c r="L1226" i="29"/>
  <c r="M1226" i="29" s="1"/>
  <c r="B1220" i="29"/>
  <c r="O1218" i="29"/>
  <c r="P1218" i="29" s="1"/>
  <c r="Q1218" i="29" s="1"/>
  <c r="L1218" i="29"/>
  <c r="M1218" i="29" s="1"/>
  <c r="O1217" i="29"/>
  <c r="P1217" i="29" s="1"/>
  <c r="Q1217" i="29" s="1"/>
  <c r="L1217" i="29"/>
  <c r="M1217" i="29" s="1"/>
  <c r="O1216" i="29"/>
  <c r="P1216" i="29" s="1"/>
  <c r="Q1216" i="29" s="1"/>
  <c r="L1216" i="29"/>
  <c r="M1216" i="29" s="1"/>
  <c r="O1215" i="29"/>
  <c r="P1215" i="29" s="1"/>
  <c r="Q1215" i="29" s="1"/>
  <c r="L1215" i="29"/>
  <c r="M1215" i="29" s="1"/>
  <c r="O1214" i="29"/>
  <c r="P1214" i="29" s="1"/>
  <c r="Q1214" i="29" s="1"/>
  <c r="L1214" i="29"/>
  <c r="M1214" i="29" s="1"/>
  <c r="B1212" i="29"/>
  <c r="O1210" i="29"/>
  <c r="P1210" i="29" s="1"/>
  <c r="Q1210" i="29" s="1"/>
  <c r="L1210" i="29"/>
  <c r="M1210" i="29" s="1"/>
  <c r="O1209" i="29"/>
  <c r="P1209" i="29" s="1"/>
  <c r="Q1209" i="29" s="1"/>
  <c r="L1209" i="29"/>
  <c r="M1209" i="29" s="1"/>
  <c r="O1208" i="29"/>
  <c r="P1208" i="29" s="1"/>
  <c r="Q1208" i="29" s="1"/>
  <c r="L1208" i="29"/>
  <c r="M1208" i="29" s="1"/>
  <c r="B1206" i="29"/>
  <c r="O1204" i="29"/>
  <c r="P1204" i="29" s="1"/>
  <c r="Q1204" i="29" s="1"/>
  <c r="L1204" i="29"/>
  <c r="M1204" i="29" s="1"/>
  <c r="O1203" i="29"/>
  <c r="P1203" i="29" s="1"/>
  <c r="Q1203" i="29" s="1"/>
  <c r="L1203" i="29"/>
  <c r="M1203" i="29" s="1"/>
  <c r="O1202" i="29"/>
  <c r="P1202" i="29" s="1"/>
  <c r="Q1202" i="29" s="1"/>
  <c r="L1202" i="29"/>
  <c r="M1202" i="29" s="1"/>
  <c r="O1201" i="29"/>
  <c r="P1201" i="29" s="1"/>
  <c r="Q1201" i="29" s="1"/>
  <c r="L1201" i="29"/>
  <c r="M1201" i="29" s="1"/>
  <c r="O1200" i="29"/>
  <c r="P1200" i="29" s="1"/>
  <c r="Q1200" i="29" s="1"/>
  <c r="L1200" i="29"/>
  <c r="M1200" i="29" s="1"/>
  <c r="O1199" i="29"/>
  <c r="P1199" i="29" s="1"/>
  <c r="Q1199" i="29" s="1"/>
  <c r="L1199" i="29"/>
  <c r="M1199" i="29" s="1"/>
  <c r="O1198" i="29"/>
  <c r="P1198" i="29" s="1"/>
  <c r="Q1198" i="29" s="1"/>
  <c r="L1198" i="29"/>
  <c r="M1198" i="29" s="1"/>
  <c r="O1197" i="29"/>
  <c r="P1197" i="29" s="1"/>
  <c r="Q1197" i="29" s="1"/>
  <c r="L1197" i="29"/>
  <c r="M1197" i="29" s="1"/>
  <c r="O1196" i="29"/>
  <c r="P1196" i="29" s="1"/>
  <c r="Q1196" i="29" s="1"/>
  <c r="L1196" i="29"/>
  <c r="M1196" i="29" s="1"/>
  <c r="O1195" i="29"/>
  <c r="P1195" i="29" s="1"/>
  <c r="Q1195" i="29" s="1"/>
  <c r="L1195" i="29"/>
  <c r="M1195" i="29" s="1"/>
  <c r="O1194" i="29"/>
  <c r="P1194" i="29" s="1"/>
  <c r="Q1194" i="29" s="1"/>
  <c r="L1194" i="29"/>
  <c r="M1194" i="29" s="1"/>
  <c r="O1193" i="29"/>
  <c r="P1193" i="29" s="1"/>
  <c r="Q1193" i="29" s="1"/>
  <c r="L1193" i="29"/>
  <c r="M1193" i="29" s="1"/>
  <c r="O1192" i="29"/>
  <c r="P1192" i="29" s="1"/>
  <c r="Q1192" i="29" s="1"/>
  <c r="L1192" i="29"/>
  <c r="M1192" i="29" s="1"/>
  <c r="O1191" i="29"/>
  <c r="P1191" i="29" s="1"/>
  <c r="Q1191" i="29" s="1"/>
  <c r="L1191" i="29"/>
  <c r="M1191" i="29" s="1"/>
  <c r="O1190" i="29"/>
  <c r="P1190" i="29" s="1"/>
  <c r="Q1190" i="29" s="1"/>
  <c r="L1190" i="29"/>
  <c r="M1190" i="29" s="1"/>
  <c r="O1189" i="29"/>
  <c r="P1189" i="29" s="1"/>
  <c r="Q1189" i="29" s="1"/>
  <c r="L1189" i="29"/>
  <c r="M1189" i="29" s="1"/>
  <c r="O1188" i="29"/>
  <c r="P1188" i="29" s="1"/>
  <c r="Q1188" i="29" s="1"/>
  <c r="L1188" i="29"/>
  <c r="M1188" i="29" s="1"/>
  <c r="O1187" i="29"/>
  <c r="P1187" i="29" s="1"/>
  <c r="Q1187" i="29" s="1"/>
  <c r="L1187" i="29"/>
  <c r="M1187" i="29" s="1"/>
  <c r="O1186" i="29"/>
  <c r="P1186" i="29" s="1"/>
  <c r="Q1186" i="29" s="1"/>
  <c r="L1186" i="29"/>
  <c r="M1186" i="29" s="1"/>
  <c r="O1185" i="29"/>
  <c r="P1185" i="29" s="1"/>
  <c r="Q1185" i="29" s="1"/>
  <c r="L1185" i="29"/>
  <c r="M1185" i="29" s="1"/>
  <c r="O1184" i="29"/>
  <c r="P1184" i="29" s="1"/>
  <c r="Q1184" i="29" s="1"/>
  <c r="L1184" i="29"/>
  <c r="M1184" i="29" s="1"/>
  <c r="O1183" i="29"/>
  <c r="P1183" i="29" s="1"/>
  <c r="Q1183" i="29" s="1"/>
  <c r="L1183" i="29"/>
  <c r="M1183" i="29" s="1"/>
  <c r="O1182" i="29"/>
  <c r="P1182" i="29" s="1"/>
  <c r="Q1182" i="29" s="1"/>
  <c r="L1182" i="29"/>
  <c r="M1182" i="29" s="1"/>
  <c r="O1181" i="29"/>
  <c r="P1181" i="29" s="1"/>
  <c r="Q1181" i="29" s="1"/>
  <c r="L1181" i="29"/>
  <c r="M1181" i="29" s="1"/>
  <c r="O1180" i="29"/>
  <c r="P1180" i="29" s="1"/>
  <c r="Q1180" i="29" s="1"/>
  <c r="L1180" i="29"/>
  <c r="M1180" i="29" s="1"/>
  <c r="O1179" i="29"/>
  <c r="P1179" i="29" s="1"/>
  <c r="Q1179" i="29" s="1"/>
  <c r="L1179" i="29"/>
  <c r="M1179" i="29" s="1"/>
  <c r="O1178" i="29"/>
  <c r="P1178" i="29" s="1"/>
  <c r="Q1178" i="29" s="1"/>
  <c r="L1178" i="29"/>
  <c r="M1178" i="29" s="1"/>
  <c r="O1177" i="29"/>
  <c r="P1177" i="29" s="1"/>
  <c r="Q1177" i="29" s="1"/>
  <c r="L1177" i="29"/>
  <c r="M1177" i="29" s="1"/>
  <c r="B1175" i="29"/>
  <c r="O1173" i="29"/>
  <c r="P1173" i="29" s="1"/>
  <c r="Q1173" i="29" s="1"/>
  <c r="L1173" i="29"/>
  <c r="M1173" i="29" s="1"/>
  <c r="O1172" i="29"/>
  <c r="P1172" i="29" s="1"/>
  <c r="Q1172" i="29" s="1"/>
  <c r="L1172" i="29"/>
  <c r="M1172" i="29" s="1"/>
  <c r="B1170" i="29"/>
  <c r="O1168" i="29"/>
  <c r="P1168" i="29" s="1"/>
  <c r="Q1168" i="29" s="1"/>
  <c r="L1168" i="29"/>
  <c r="M1168" i="29" s="1"/>
  <c r="O1167" i="29"/>
  <c r="P1167" i="29" s="1"/>
  <c r="Q1167" i="29" s="1"/>
  <c r="L1167" i="29"/>
  <c r="M1167" i="29" s="1"/>
  <c r="O1166" i="29"/>
  <c r="P1166" i="29" s="1"/>
  <c r="Q1166" i="29" s="1"/>
  <c r="L1166" i="29"/>
  <c r="M1166" i="29" s="1"/>
  <c r="O1165" i="29"/>
  <c r="P1165" i="29" s="1"/>
  <c r="Q1165" i="29" s="1"/>
  <c r="L1165" i="29"/>
  <c r="M1165" i="29" s="1"/>
  <c r="O1164" i="29"/>
  <c r="P1164" i="29" s="1"/>
  <c r="Q1164" i="29" s="1"/>
  <c r="L1164" i="29"/>
  <c r="M1164" i="29" s="1"/>
  <c r="O1163" i="29"/>
  <c r="P1163" i="29" s="1"/>
  <c r="Q1163" i="29" s="1"/>
  <c r="L1163" i="29"/>
  <c r="M1163" i="29" s="1"/>
  <c r="O1162" i="29"/>
  <c r="P1162" i="29" s="1"/>
  <c r="Q1162" i="29" s="1"/>
  <c r="L1162" i="29"/>
  <c r="M1162" i="29" s="1"/>
  <c r="O1161" i="29"/>
  <c r="P1161" i="29" s="1"/>
  <c r="Q1161" i="29" s="1"/>
  <c r="L1161" i="29"/>
  <c r="M1161" i="29" s="1"/>
  <c r="O1160" i="29"/>
  <c r="P1160" i="29" s="1"/>
  <c r="Q1160" i="29" s="1"/>
  <c r="L1160" i="29"/>
  <c r="M1160" i="29" s="1"/>
  <c r="O1159" i="29"/>
  <c r="P1159" i="29" s="1"/>
  <c r="Q1159" i="29" s="1"/>
  <c r="L1159" i="29"/>
  <c r="M1159" i="29" s="1"/>
  <c r="O1158" i="29"/>
  <c r="P1158" i="29" s="1"/>
  <c r="Q1158" i="29" s="1"/>
  <c r="L1158" i="29"/>
  <c r="M1158" i="29" s="1"/>
  <c r="O1157" i="29"/>
  <c r="P1157" i="29" s="1"/>
  <c r="Q1157" i="29" s="1"/>
  <c r="L1157" i="29"/>
  <c r="M1157" i="29" s="1"/>
  <c r="O1156" i="29"/>
  <c r="P1156" i="29" s="1"/>
  <c r="Q1156" i="29" s="1"/>
  <c r="L1156" i="29"/>
  <c r="M1156" i="29" s="1"/>
  <c r="B1154" i="29"/>
  <c r="O1152" i="29"/>
  <c r="P1152" i="29" s="1"/>
  <c r="Q1152" i="29" s="1"/>
  <c r="L1152" i="29"/>
  <c r="M1152" i="29" s="1"/>
  <c r="O1151" i="29"/>
  <c r="P1151" i="29" s="1"/>
  <c r="Q1151" i="29" s="1"/>
  <c r="L1151" i="29"/>
  <c r="M1151" i="29" s="1"/>
  <c r="O1150" i="29"/>
  <c r="P1150" i="29" s="1"/>
  <c r="Q1150" i="29" s="1"/>
  <c r="L1150" i="29"/>
  <c r="M1150" i="29" s="1"/>
  <c r="B1148" i="29"/>
  <c r="O1146" i="29"/>
  <c r="P1146" i="29" s="1"/>
  <c r="Q1146" i="29" s="1"/>
  <c r="L1146" i="29"/>
  <c r="M1146" i="29" s="1"/>
  <c r="O1145" i="29"/>
  <c r="P1145" i="29" s="1"/>
  <c r="Q1145" i="29" s="1"/>
  <c r="L1145" i="29"/>
  <c r="M1145" i="29" s="1"/>
  <c r="O1144" i="29"/>
  <c r="P1144" i="29" s="1"/>
  <c r="Q1144" i="29" s="1"/>
  <c r="L1144" i="29"/>
  <c r="M1144" i="29" s="1"/>
  <c r="O1143" i="29"/>
  <c r="P1143" i="29" s="1"/>
  <c r="Q1143" i="29" s="1"/>
  <c r="L1143" i="29"/>
  <c r="M1143" i="29" s="1"/>
  <c r="O1142" i="29"/>
  <c r="P1142" i="29" s="1"/>
  <c r="Q1142" i="29" s="1"/>
  <c r="L1142" i="29"/>
  <c r="M1142" i="29" s="1"/>
  <c r="O1141" i="29"/>
  <c r="P1141" i="29" s="1"/>
  <c r="Q1141" i="29" s="1"/>
  <c r="L1141" i="29"/>
  <c r="M1141" i="29" s="1"/>
  <c r="O1140" i="29"/>
  <c r="P1140" i="29" s="1"/>
  <c r="Q1140" i="29" s="1"/>
  <c r="L1140" i="29"/>
  <c r="M1140" i="29" s="1"/>
  <c r="O1139" i="29"/>
  <c r="P1139" i="29" s="1"/>
  <c r="Q1139" i="29" s="1"/>
  <c r="L1139" i="29"/>
  <c r="M1139" i="29" s="1"/>
  <c r="O1138" i="29"/>
  <c r="P1138" i="29" s="1"/>
  <c r="Q1138" i="29" s="1"/>
  <c r="L1138" i="29"/>
  <c r="M1138" i="29" s="1"/>
  <c r="O1137" i="29"/>
  <c r="P1137" i="29" s="1"/>
  <c r="Q1137" i="29" s="1"/>
  <c r="L1137" i="29"/>
  <c r="M1137" i="29" s="1"/>
  <c r="O1136" i="29"/>
  <c r="P1136" i="29" s="1"/>
  <c r="Q1136" i="29" s="1"/>
  <c r="L1136" i="29"/>
  <c r="M1136" i="29" s="1"/>
  <c r="O1135" i="29"/>
  <c r="P1135" i="29" s="1"/>
  <c r="Q1135" i="29" s="1"/>
  <c r="L1135" i="29"/>
  <c r="M1135" i="29" s="1"/>
  <c r="O1134" i="29"/>
  <c r="P1134" i="29" s="1"/>
  <c r="Q1134" i="29" s="1"/>
  <c r="L1134" i="29"/>
  <c r="M1134" i="29" s="1"/>
  <c r="O1133" i="29"/>
  <c r="P1133" i="29" s="1"/>
  <c r="Q1133" i="29" s="1"/>
  <c r="L1133" i="29"/>
  <c r="M1133" i="29" s="1"/>
  <c r="O1132" i="29"/>
  <c r="P1132" i="29" s="1"/>
  <c r="Q1132" i="29" s="1"/>
  <c r="L1132" i="29"/>
  <c r="M1132" i="29" s="1"/>
  <c r="O1131" i="29"/>
  <c r="P1131" i="29" s="1"/>
  <c r="Q1131" i="29" s="1"/>
  <c r="L1131" i="29"/>
  <c r="M1131" i="29" s="1"/>
  <c r="O1130" i="29"/>
  <c r="P1130" i="29" s="1"/>
  <c r="Q1130" i="29" s="1"/>
  <c r="L1130" i="29"/>
  <c r="M1130" i="29" s="1"/>
  <c r="O1129" i="29"/>
  <c r="P1129" i="29" s="1"/>
  <c r="Q1129" i="29" s="1"/>
  <c r="L1129" i="29"/>
  <c r="M1129" i="29" s="1"/>
  <c r="O1128" i="29"/>
  <c r="P1128" i="29" s="1"/>
  <c r="Q1128" i="29" s="1"/>
  <c r="L1128" i="29"/>
  <c r="M1128" i="29" s="1"/>
  <c r="O1127" i="29"/>
  <c r="P1127" i="29" s="1"/>
  <c r="Q1127" i="29" s="1"/>
  <c r="L1127" i="29"/>
  <c r="M1127" i="29" s="1"/>
  <c r="O1126" i="29"/>
  <c r="P1126" i="29" s="1"/>
  <c r="Q1126" i="29" s="1"/>
  <c r="L1126" i="29"/>
  <c r="M1126" i="29" s="1"/>
  <c r="O1125" i="29"/>
  <c r="P1125" i="29" s="1"/>
  <c r="Q1125" i="29" s="1"/>
  <c r="L1125" i="29"/>
  <c r="M1125" i="29" s="1"/>
  <c r="O1124" i="29"/>
  <c r="P1124" i="29" s="1"/>
  <c r="Q1124" i="29" s="1"/>
  <c r="L1124" i="29"/>
  <c r="M1124" i="29" s="1"/>
  <c r="O1123" i="29"/>
  <c r="P1123" i="29" s="1"/>
  <c r="Q1123" i="29" s="1"/>
  <c r="L1123" i="29"/>
  <c r="M1123" i="29" s="1"/>
  <c r="O1122" i="29"/>
  <c r="P1122" i="29" s="1"/>
  <c r="Q1122" i="29" s="1"/>
  <c r="L1122" i="29"/>
  <c r="M1122" i="29" s="1"/>
  <c r="O1121" i="29"/>
  <c r="P1121" i="29" s="1"/>
  <c r="Q1121" i="29" s="1"/>
  <c r="L1121" i="29"/>
  <c r="M1121" i="29" s="1"/>
  <c r="O1120" i="29"/>
  <c r="P1120" i="29" s="1"/>
  <c r="Q1120" i="29" s="1"/>
  <c r="L1120" i="29"/>
  <c r="M1120" i="29" s="1"/>
  <c r="O1119" i="29"/>
  <c r="P1119" i="29" s="1"/>
  <c r="Q1119" i="29" s="1"/>
  <c r="L1119" i="29"/>
  <c r="M1119" i="29" s="1"/>
  <c r="O1118" i="29"/>
  <c r="P1118" i="29" s="1"/>
  <c r="Q1118" i="29" s="1"/>
  <c r="L1118" i="29"/>
  <c r="M1118" i="29" s="1"/>
  <c r="O1117" i="29"/>
  <c r="P1117" i="29" s="1"/>
  <c r="Q1117" i="29" s="1"/>
  <c r="L1117" i="29"/>
  <c r="M1117" i="29" s="1"/>
  <c r="O1116" i="29"/>
  <c r="P1116" i="29" s="1"/>
  <c r="Q1116" i="29" s="1"/>
  <c r="L1116" i="29"/>
  <c r="M1116" i="29" s="1"/>
  <c r="O1115" i="29"/>
  <c r="P1115" i="29" s="1"/>
  <c r="Q1115" i="29" s="1"/>
  <c r="L1115" i="29"/>
  <c r="M1115" i="29" s="1"/>
  <c r="O1114" i="29"/>
  <c r="P1114" i="29" s="1"/>
  <c r="Q1114" i="29" s="1"/>
  <c r="L1114" i="29"/>
  <c r="M1114" i="29" s="1"/>
  <c r="O1113" i="29"/>
  <c r="P1113" i="29" s="1"/>
  <c r="Q1113" i="29" s="1"/>
  <c r="L1113" i="29"/>
  <c r="M1113" i="29" s="1"/>
  <c r="O1112" i="29"/>
  <c r="P1112" i="29" s="1"/>
  <c r="Q1112" i="29" s="1"/>
  <c r="L1112" i="29"/>
  <c r="M1112" i="29" s="1"/>
  <c r="O1111" i="29"/>
  <c r="P1111" i="29" s="1"/>
  <c r="Q1111" i="29" s="1"/>
  <c r="L1111" i="29"/>
  <c r="M1111" i="29" s="1"/>
  <c r="O1110" i="29"/>
  <c r="P1110" i="29" s="1"/>
  <c r="Q1110" i="29" s="1"/>
  <c r="L1110" i="29"/>
  <c r="M1110" i="29" s="1"/>
  <c r="O1109" i="29"/>
  <c r="P1109" i="29" s="1"/>
  <c r="Q1109" i="29" s="1"/>
  <c r="L1109" i="29"/>
  <c r="M1109" i="29" s="1"/>
  <c r="O1108" i="29"/>
  <c r="P1108" i="29" s="1"/>
  <c r="Q1108" i="29" s="1"/>
  <c r="L1108" i="29"/>
  <c r="M1108" i="29" s="1"/>
  <c r="O1107" i="29"/>
  <c r="P1107" i="29" s="1"/>
  <c r="Q1107" i="29" s="1"/>
  <c r="L1107" i="29"/>
  <c r="M1107" i="29" s="1"/>
  <c r="O1106" i="29"/>
  <c r="P1106" i="29" s="1"/>
  <c r="Q1106" i="29" s="1"/>
  <c r="L1106" i="29"/>
  <c r="M1106" i="29" s="1"/>
  <c r="O1105" i="29"/>
  <c r="P1105" i="29" s="1"/>
  <c r="Q1105" i="29" s="1"/>
  <c r="L1105" i="29"/>
  <c r="M1105" i="29" s="1"/>
  <c r="O1104" i="29"/>
  <c r="P1104" i="29" s="1"/>
  <c r="Q1104" i="29" s="1"/>
  <c r="L1104" i="29"/>
  <c r="M1104" i="29" s="1"/>
  <c r="O1103" i="29"/>
  <c r="P1103" i="29" s="1"/>
  <c r="Q1103" i="29" s="1"/>
  <c r="L1103" i="29"/>
  <c r="M1103" i="29" s="1"/>
  <c r="O1102" i="29"/>
  <c r="P1102" i="29" s="1"/>
  <c r="Q1102" i="29" s="1"/>
  <c r="L1102" i="29"/>
  <c r="M1102" i="29" s="1"/>
  <c r="O1101" i="29"/>
  <c r="P1101" i="29" s="1"/>
  <c r="Q1101" i="29" s="1"/>
  <c r="L1101" i="29"/>
  <c r="M1101" i="29" s="1"/>
  <c r="O1100" i="29"/>
  <c r="P1100" i="29" s="1"/>
  <c r="Q1100" i="29" s="1"/>
  <c r="L1100" i="29"/>
  <c r="M1100" i="29" s="1"/>
  <c r="O1099" i="29"/>
  <c r="P1099" i="29" s="1"/>
  <c r="Q1099" i="29" s="1"/>
  <c r="L1099" i="29"/>
  <c r="M1099" i="29" s="1"/>
  <c r="O1098" i="29"/>
  <c r="P1098" i="29" s="1"/>
  <c r="Q1098" i="29" s="1"/>
  <c r="L1098" i="29"/>
  <c r="M1098" i="29" s="1"/>
  <c r="O1097" i="29"/>
  <c r="P1097" i="29" s="1"/>
  <c r="Q1097" i="29" s="1"/>
  <c r="L1097" i="29"/>
  <c r="M1097" i="29" s="1"/>
  <c r="O1096" i="29"/>
  <c r="P1096" i="29" s="1"/>
  <c r="Q1096" i="29" s="1"/>
  <c r="L1096" i="29"/>
  <c r="M1096" i="29" s="1"/>
  <c r="O1095" i="29"/>
  <c r="P1095" i="29" s="1"/>
  <c r="Q1095" i="29" s="1"/>
  <c r="L1095" i="29"/>
  <c r="M1095" i="29" s="1"/>
  <c r="O1094" i="29"/>
  <c r="P1094" i="29" s="1"/>
  <c r="Q1094" i="29" s="1"/>
  <c r="L1094" i="29"/>
  <c r="M1094" i="29" s="1"/>
  <c r="O1093" i="29"/>
  <c r="P1093" i="29" s="1"/>
  <c r="Q1093" i="29" s="1"/>
  <c r="L1093" i="29"/>
  <c r="M1093" i="29" s="1"/>
  <c r="O1092" i="29"/>
  <c r="P1092" i="29" s="1"/>
  <c r="Q1092" i="29" s="1"/>
  <c r="L1092" i="29"/>
  <c r="M1092" i="29" s="1"/>
  <c r="O1091" i="29"/>
  <c r="P1091" i="29" s="1"/>
  <c r="Q1091" i="29" s="1"/>
  <c r="L1091" i="29"/>
  <c r="M1091" i="29" s="1"/>
  <c r="O1090" i="29"/>
  <c r="P1090" i="29" s="1"/>
  <c r="Q1090" i="29" s="1"/>
  <c r="L1090" i="29"/>
  <c r="M1090" i="29" s="1"/>
  <c r="O1089" i="29"/>
  <c r="P1089" i="29" s="1"/>
  <c r="Q1089" i="29" s="1"/>
  <c r="L1089" i="29"/>
  <c r="M1089" i="29" s="1"/>
  <c r="O1088" i="29"/>
  <c r="P1088" i="29" s="1"/>
  <c r="Q1088" i="29" s="1"/>
  <c r="L1088" i="29"/>
  <c r="M1088" i="29" s="1"/>
  <c r="O1087" i="29"/>
  <c r="P1087" i="29" s="1"/>
  <c r="Q1087" i="29" s="1"/>
  <c r="L1087" i="29"/>
  <c r="M1087" i="29" s="1"/>
  <c r="O1086" i="29"/>
  <c r="P1086" i="29" s="1"/>
  <c r="Q1086" i="29" s="1"/>
  <c r="L1086" i="29"/>
  <c r="M1086" i="29" s="1"/>
  <c r="O1085" i="29"/>
  <c r="P1085" i="29" s="1"/>
  <c r="Q1085" i="29" s="1"/>
  <c r="L1085" i="29"/>
  <c r="M1085" i="29" s="1"/>
  <c r="O1084" i="29"/>
  <c r="P1084" i="29" s="1"/>
  <c r="Q1084" i="29" s="1"/>
  <c r="L1084" i="29"/>
  <c r="M1084" i="29" s="1"/>
  <c r="O1083" i="29"/>
  <c r="P1083" i="29" s="1"/>
  <c r="Q1083" i="29" s="1"/>
  <c r="L1083" i="29"/>
  <c r="M1083" i="29" s="1"/>
  <c r="O1082" i="29"/>
  <c r="P1082" i="29" s="1"/>
  <c r="Q1082" i="29" s="1"/>
  <c r="L1082" i="29"/>
  <c r="M1082" i="29" s="1"/>
  <c r="O1081" i="29"/>
  <c r="P1081" i="29" s="1"/>
  <c r="Q1081" i="29" s="1"/>
  <c r="L1081" i="29"/>
  <c r="M1081" i="29" s="1"/>
  <c r="O1080" i="29"/>
  <c r="P1080" i="29" s="1"/>
  <c r="Q1080" i="29" s="1"/>
  <c r="L1080" i="29"/>
  <c r="M1080" i="29" s="1"/>
  <c r="O1079" i="29"/>
  <c r="P1079" i="29" s="1"/>
  <c r="Q1079" i="29" s="1"/>
  <c r="L1079" i="29"/>
  <c r="M1079" i="29" s="1"/>
  <c r="O1078" i="29"/>
  <c r="P1078" i="29" s="1"/>
  <c r="Q1078" i="29" s="1"/>
  <c r="L1078" i="29"/>
  <c r="M1078" i="29" s="1"/>
  <c r="O1077" i="29"/>
  <c r="P1077" i="29" s="1"/>
  <c r="Q1077" i="29" s="1"/>
  <c r="L1077" i="29"/>
  <c r="M1077" i="29" s="1"/>
  <c r="O1076" i="29"/>
  <c r="P1076" i="29" s="1"/>
  <c r="Q1076" i="29" s="1"/>
  <c r="L1076" i="29"/>
  <c r="M1076" i="29" s="1"/>
  <c r="O1075" i="29"/>
  <c r="P1075" i="29" s="1"/>
  <c r="Q1075" i="29" s="1"/>
  <c r="L1075" i="29"/>
  <c r="M1075" i="29" s="1"/>
  <c r="O1074" i="29"/>
  <c r="P1074" i="29" s="1"/>
  <c r="Q1074" i="29" s="1"/>
  <c r="L1074" i="29"/>
  <c r="M1074" i="29" s="1"/>
  <c r="O1073" i="29"/>
  <c r="P1073" i="29" s="1"/>
  <c r="Q1073" i="29" s="1"/>
  <c r="L1073" i="29"/>
  <c r="M1073" i="29" s="1"/>
  <c r="O1072" i="29"/>
  <c r="P1072" i="29" s="1"/>
  <c r="Q1072" i="29" s="1"/>
  <c r="L1072" i="29"/>
  <c r="M1072" i="29" s="1"/>
  <c r="P1071" i="29"/>
  <c r="Q1071" i="29" s="1"/>
  <c r="O1071" i="29"/>
  <c r="L1071" i="29"/>
  <c r="M1071" i="29" s="1"/>
  <c r="O1070" i="29"/>
  <c r="P1070" i="29" s="1"/>
  <c r="Q1070" i="29" s="1"/>
  <c r="L1070" i="29"/>
  <c r="M1070" i="29" s="1"/>
  <c r="O1069" i="29"/>
  <c r="P1069" i="29" s="1"/>
  <c r="Q1069" i="29" s="1"/>
  <c r="L1069" i="29"/>
  <c r="M1069" i="29" s="1"/>
  <c r="B1067" i="29"/>
  <c r="O1065" i="29"/>
  <c r="P1065" i="29" s="1"/>
  <c r="Q1065" i="29" s="1"/>
  <c r="L1065" i="29"/>
  <c r="M1065" i="29" s="1"/>
  <c r="O1064" i="29"/>
  <c r="P1064" i="29" s="1"/>
  <c r="Q1064" i="29" s="1"/>
  <c r="L1064" i="29"/>
  <c r="M1064" i="29" s="1"/>
  <c r="O1063" i="29"/>
  <c r="P1063" i="29" s="1"/>
  <c r="Q1063" i="29" s="1"/>
  <c r="L1063" i="29"/>
  <c r="M1063" i="29" s="1"/>
  <c r="O1062" i="29"/>
  <c r="P1062" i="29" s="1"/>
  <c r="Q1062" i="29" s="1"/>
  <c r="L1062" i="29"/>
  <c r="M1062" i="29" s="1"/>
  <c r="O1061" i="29"/>
  <c r="P1061" i="29" s="1"/>
  <c r="Q1061" i="29" s="1"/>
  <c r="L1061" i="29"/>
  <c r="M1061" i="29" s="1"/>
  <c r="O1060" i="29"/>
  <c r="P1060" i="29" s="1"/>
  <c r="Q1060" i="29" s="1"/>
  <c r="L1060" i="29"/>
  <c r="M1060" i="29" s="1"/>
  <c r="O1059" i="29"/>
  <c r="P1059" i="29" s="1"/>
  <c r="Q1059" i="29" s="1"/>
  <c r="L1059" i="29"/>
  <c r="M1059" i="29" s="1"/>
  <c r="O1058" i="29"/>
  <c r="P1058" i="29" s="1"/>
  <c r="Q1058" i="29" s="1"/>
  <c r="L1058" i="29"/>
  <c r="M1058" i="29" s="1"/>
  <c r="O1057" i="29"/>
  <c r="P1057" i="29" s="1"/>
  <c r="Q1057" i="29" s="1"/>
  <c r="L1057" i="29"/>
  <c r="M1057" i="29" s="1"/>
  <c r="B1055" i="29"/>
  <c r="O1053" i="29"/>
  <c r="P1053" i="29" s="1"/>
  <c r="Q1053" i="29" s="1"/>
  <c r="L1053" i="29"/>
  <c r="M1053" i="29" s="1"/>
  <c r="O1052" i="29"/>
  <c r="P1052" i="29" s="1"/>
  <c r="Q1052" i="29" s="1"/>
  <c r="L1052" i="29"/>
  <c r="M1052" i="29" s="1"/>
  <c r="O1051" i="29"/>
  <c r="P1051" i="29" s="1"/>
  <c r="Q1051" i="29" s="1"/>
  <c r="L1051" i="29"/>
  <c r="M1051" i="29" s="1"/>
  <c r="O1050" i="29"/>
  <c r="P1050" i="29" s="1"/>
  <c r="Q1050" i="29" s="1"/>
  <c r="L1050" i="29"/>
  <c r="M1050" i="29" s="1"/>
  <c r="O1049" i="29"/>
  <c r="P1049" i="29" s="1"/>
  <c r="Q1049" i="29" s="1"/>
  <c r="L1049" i="29"/>
  <c r="M1049" i="29" s="1"/>
  <c r="O1048" i="29"/>
  <c r="P1048" i="29" s="1"/>
  <c r="Q1048" i="29" s="1"/>
  <c r="L1048" i="29"/>
  <c r="M1048" i="29" s="1"/>
  <c r="O1047" i="29"/>
  <c r="P1047" i="29" s="1"/>
  <c r="Q1047" i="29" s="1"/>
  <c r="L1047" i="29"/>
  <c r="M1047" i="29" s="1"/>
  <c r="O1046" i="29"/>
  <c r="P1046" i="29" s="1"/>
  <c r="Q1046" i="29" s="1"/>
  <c r="L1046" i="29"/>
  <c r="M1046" i="29" s="1"/>
  <c r="O1045" i="29"/>
  <c r="P1045" i="29" s="1"/>
  <c r="Q1045" i="29" s="1"/>
  <c r="L1045" i="29"/>
  <c r="M1045" i="29" s="1"/>
  <c r="O1044" i="29"/>
  <c r="P1044" i="29" s="1"/>
  <c r="Q1044" i="29" s="1"/>
  <c r="L1044" i="29"/>
  <c r="M1044" i="29" s="1"/>
  <c r="O1043" i="29"/>
  <c r="P1043" i="29" s="1"/>
  <c r="Q1043" i="29" s="1"/>
  <c r="L1043" i="29"/>
  <c r="M1043" i="29" s="1"/>
  <c r="O1042" i="29"/>
  <c r="P1042" i="29" s="1"/>
  <c r="Q1042" i="29" s="1"/>
  <c r="L1042" i="29"/>
  <c r="M1042" i="29" s="1"/>
  <c r="O1041" i="29"/>
  <c r="P1041" i="29" s="1"/>
  <c r="Q1041" i="29" s="1"/>
  <c r="L1041" i="29"/>
  <c r="M1041" i="29" s="1"/>
  <c r="O1040" i="29"/>
  <c r="P1040" i="29" s="1"/>
  <c r="Q1040" i="29" s="1"/>
  <c r="L1040" i="29"/>
  <c r="M1040" i="29" s="1"/>
  <c r="O1039" i="29"/>
  <c r="P1039" i="29" s="1"/>
  <c r="Q1039" i="29" s="1"/>
  <c r="L1039" i="29"/>
  <c r="M1039" i="29" s="1"/>
  <c r="O1038" i="29"/>
  <c r="P1038" i="29" s="1"/>
  <c r="Q1038" i="29" s="1"/>
  <c r="L1038" i="29"/>
  <c r="M1038" i="29" s="1"/>
  <c r="O1037" i="29"/>
  <c r="P1037" i="29" s="1"/>
  <c r="Q1037" i="29" s="1"/>
  <c r="L1037" i="29"/>
  <c r="M1037" i="29" s="1"/>
  <c r="O1036" i="29"/>
  <c r="P1036" i="29" s="1"/>
  <c r="Q1036" i="29" s="1"/>
  <c r="L1036" i="29"/>
  <c r="M1036" i="29" s="1"/>
  <c r="O1034" i="29"/>
  <c r="P1034" i="29" s="1"/>
  <c r="Q1034" i="29" s="1"/>
  <c r="L1034" i="29"/>
  <c r="M1034" i="29" s="1"/>
  <c r="O1032" i="29"/>
  <c r="P1032" i="29" s="1"/>
  <c r="Q1032" i="29" s="1"/>
  <c r="L1032" i="29"/>
  <c r="M1032" i="29" s="1"/>
  <c r="B1030" i="29"/>
  <c r="O1028" i="29"/>
  <c r="P1028" i="29" s="1"/>
  <c r="Q1028" i="29" s="1"/>
  <c r="L1028" i="29"/>
  <c r="M1028" i="29" s="1"/>
  <c r="O1027" i="29"/>
  <c r="P1027" i="29" s="1"/>
  <c r="Q1027" i="29" s="1"/>
  <c r="L1027" i="29"/>
  <c r="M1027" i="29" s="1"/>
  <c r="O1026" i="29"/>
  <c r="P1026" i="29" s="1"/>
  <c r="Q1026" i="29" s="1"/>
  <c r="L1026" i="29"/>
  <c r="M1026" i="29" s="1"/>
  <c r="O1025" i="29"/>
  <c r="P1025" i="29" s="1"/>
  <c r="Q1025" i="29" s="1"/>
  <c r="L1025" i="29"/>
  <c r="M1025" i="29" s="1"/>
  <c r="O1024" i="29"/>
  <c r="P1024" i="29" s="1"/>
  <c r="Q1024" i="29" s="1"/>
  <c r="L1024" i="29"/>
  <c r="M1024" i="29" s="1"/>
  <c r="O1023" i="29"/>
  <c r="P1023" i="29" s="1"/>
  <c r="Q1023" i="29" s="1"/>
  <c r="L1023" i="29"/>
  <c r="M1023" i="29" s="1"/>
  <c r="O1022" i="29"/>
  <c r="P1022" i="29" s="1"/>
  <c r="Q1022" i="29" s="1"/>
  <c r="L1022" i="29"/>
  <c r="M1022" i="29" s="1"/>
  <c r="O1021" i="29"/>
  <c r="P1021" i="29" s="1"/>
  <c r="Q1021" i="29" s="1"/>
  <c r="L1021" i="29"/>
  <c r="M1021" i="29" s="1"/>
  <c r="O1020" i="29"/>
  <c r="P1020" i="29" s="1"/>
  <c r="Q1020" i="29" s="1"/>
  <c r="L1020" i="29"/>
  <c r="M1020" i="29" s="1"/>
  <c r="O1019" i="29"/>
  <c r="P1019" i="29" s="1"/>
  <c r="Q1019" i="29" s="1"/>
  <c r="L1019" i="29"/>
  <c r="M1019" i="29" s="1"/>
  <c r="O1018" i="29"/>
  <c r="P1018" i="29" s="1"/>
  <c r="Q1018" i="29" s="1"/>
  <c r="L1018" i="29"/>
  <c r="M1018" i="29" s="1"/>
  <c r="B1016" i="29"/>
  <c r="O1014" i="29"/>
  <c r="P1014" i="29" s="1"/>
  <c r="Q1014" i="29" s="1"/>
  <c r="L1014" i="29"/>
  <c r="M1014" i="29" s="1"/>
  <c r="O1013" i="29"/>
  <c r="P1013" i="29" s="1"/>
  <c r="Q1013" i="29" s="1"/>
  <c r="L1013" i="29"/>
  <c r="M1013" i="29" s="1"/>
  <c r="O1012" i="29"/>
  <c r="P1012" i="29" s="1"/>
  <c r="Q1012" i="29" s="1"/>
  <c r="L1012" i="29"/>
  <c r="M1012" i="29" s="1"/>
  <c r="O1011" i="29"/>
  <c r="P1011" i="29" s="1"/>
  <c r="Q1011" i="29" s="1"/>
  <c r="L1011" i="29"/>
  <c r="M1011" i="29" s="1"/>
  <c r="O1010" i="29"/>
  <c r="P1010" i="29" s="1"/>
  <c r="Q1010" i="29" s="1"/>
  <c r="L1010" i="29"/>
  <c r="M1010" i="29" s="1"/>
  <c r="O1009" i="29"/>
  <c r="P1009" i="29" s="1"/>
  <c r="Q1009" i="29" s="1"/>
  <c r="L1009" i="29"/>
  <c r="M1009" i="29" s="1"/>
  <c r="O1008" i="29"/>
  <c r="P1008" i="29" s="1"/>
  <c r="Q1008" i="29" s="1"/>
  <c r="L1008" i="29"/>
  <c r="M1008" i="29" s="1"/>
  <c r="O1007" i="29"/>
  <c r="P1007" i="29" s="1"/>
  <c r="Q1007" i="29" s="1"/>
  <c r="L1007" i="29"/>
  <c r="M1007" i="29" s="1"/>
  <c r="O1006" i="29"/>
  <c r="P1006" i="29" s="1"/>
  <c r="Q1006" i="29" s="1"/>
  <c r="L1006" i="29"/>
  <c r="M1006" i="29" s="1"/>
  <c r="O1005" i="29"/>
  <c r="P1005" i="29" s="1"/>
  <c r="Q1005" i="29" s="1"/>
  <c r="L1005" i="29"/>
  <c r="M1005" i="29" s="1"/>
  <c r="O1004" i="29"/>
  <c r="P1004" i="29" s="1"/>
  <c r="Q1004" i="29" s="1"/>
  <c r="L1004" i="29"/>
  <c r="M1004" i="29" s="1"/>
  <c r="O1003" i="29"/>
  <c r="P1003" i="29" s="1"/>
  <c r="Q1003" i="29" s="1"/>
  <c r="L1003" i="29"/>
  <c r="M1003" i="29" s="1"/>
  <c r="O1002" i="29"/>
  <c r="P1002" i="29" s="1"/>
  <c r="Q1002" i="29" s="1"/>
  <c r="L1002" i="29"/>
  <c r="M1002" i="29" s="1"/>
  <c r="O1001" i="29"/>
  <c r="P1001" i="29" s="1"/>
  <c r="Q1001" i="29" s="1"/>
  <c r="L1001" i="29"/>
  <c r="M1001" i="29" s="1"/>
  <c r="O1000" i="29"/>
  <c r="P1000" i="29" s="1"/>
  <c r="Q1000" i="29" s="1"/>
  <c r="L1000" i="29"/>
  <c r="M1000" i="29" s="1"/>
  <c r="O999" i="29"/>
  <c r="P999" i="29" s="1"/>
  <c r="Q999" i="29" s="1"/>
  <c r="L999" i="29"/>
  <c r="M999" i="29" s="1"/>
  <c r="O998" i="29"/>
  <c r="P998" i="29" s="1"/>
  <c r="Q998" i="29" s="1"/>
  <c r="L998" i="29"/>
  <c r="M998" i="29" s="1"/>
  <c r="O997" i="29"/>
  <c r="P997" i="29" s="1"/>
  <c r="Q997" i="29" s="1"/>
  <c r="L997" i="29"/>
  <c r="M997" i="29" s="1"/>
  <c r="O996" i="29"/>
  <c r="P996" i="29" s="1"/>
  <c r="Q996" i="29" s="1"/>
  <c r="L996" i="29"/>
  <c r="M996" i="29" s="1"/>
  <c r="O995" i="29"/>
  <c r="P995" i="29" s="1"/>
  <c r="Q995" i="29" s="1"/>
  <c r="L995" i="29"/>
  <c r="M995" i="29" s="1"/>
  <c r="O994" i="29"/>
  <c r="P994" i="29" s="1"/>
  <c r="Q994" i="29" s="1"/>
  <c r="L994" i="29"/>
  <c r="M994" i="29" s="1"/>
  <c r="O993" i="29"/>
  <c r="P993" i="29" s="1"/>
  <c r="Q993" i="29" s="1"/>
  <c r="L993" i="29"/>
  <c r="M993" i="29" s="1"/>
  <c r="O992" i="29"/>
  <c r="P992" i="29" s="1"/>
  <c r="Q992" i="29" s="1"/>
  <c r="L992" i="29"/>
  <c r="M992" i="29" s="1"/>
  <c r="O991" i="29"/>
  <c r="P991" i="29" s="1"/>
  <c r="Q991" i="29" s="1"/>
  <c r="L991" i="29"/>
  <c r="M991" i="29" s="1"/>
  <c r="O990" i="29"/>
  <c r="P990" i="29" s="1"/>
  <c r="Q990" i="29" s="1"/>
  <c r="L990" i="29"/>
  <c r="M990" i="29" s="1"/>
  <c r="O989" i="29"/>
  <c r="P989" i="29" s="1"/>
  <c r="Q989" i="29" s="1"/>
  <c r="L989" i="29"/>
  <c r="M989" i="29" s="1"/>
  <c r="O988" i="29"/>
  <c r="P988" i="29" s="1"/>
  <c r="Q988" i="29" s="1"/>
  <c r="L988" i="29"/>
  <c r="M988" i="29" s="1"/>
  <c r="O987" i="29"/>
  <c r="P987" i="29" s="1"/>
  <c r="Q987" i="29" s="1"/>
  <c r="L987" i="29"/>
  <c r="M987" i="29" s="1"/>
  <c r="O986" i="29"/>
  <c r="P986" i="29" s="1"/>
  <c r="Q986" i="29" s="1"/>
  <c r="L986" i="29"/>
  <c r="M986" i="29" s="1"/>
  <c r="O985" i="29"/>
  <c r="P985" i="29" s="1"/>
  <c r="Q985" i="29" s="1"/>
  <c r="L985" i="29"/>
  <c r="M985" i="29" s="1"/>
  <c r="O984" i="29"/>
  <c r="P984" i="29" s="1"/>
  <c r="Q984" i="29" s="1"/>
  <c r="L984" i="29"/>
  <c r="M984" i="29" s="1"/>
  <c r="O983" i="29"/>
  <c r="P983" i="29" s="1"/>
  <c r="Q983" i="29" s="1"/>
  <c r="L983" i="29"/>
  <c r="M983" i="29" s="1"/>
  <c r="O982" i="29"/>
  <c r="P982" i="29" s="1"/>
  <c r="Q982" i="29" s="1"/>
  <c r="L982" i="29"/>
  <c r="M982" i="29" s="1"/>
  <c r="O981" i="29"/>
  <c r="P981" i="29" s="1"/>
  <c r="Q981" i="29" s="1"/>
  <c r="L981" i="29"/>
  <c r="M981" i="29" s="1"/>
  <c r="B979" i="29"/>
  <c r="O977" i="29"/>
  <c r="P977" i="29" s="1"/>
  <c r="Q977" i="29" s="1"/>
  <c r="L977" i="29"/>
  <c r="M977" i="29" s="1"/>
  <c r="O976" i="29"/>
  <c r="P976" i="29" s="1"/>
  <c r="Q976" i="29" s="1"/>
  <c r="L976" i="29"/>
  <c r="M976" i="29" s="1"/>
  <c r="O975" i="29"/>
  <c r="P975" i="29" s="1"/>
  <c r="Q975" i="29" s="1"/>
  <c r="L975" i="29"/>
  <c r="M975" i="29" s="1"/>
  <c r="O974" i="29"/>
  <c r="P974" i="29" s="1"/>
  <c r="Q974" i="29" s="1"/>
  <c r="L974" i="29"/>
  <c r="M974" i="29" s="1"/>
  <c r="O973" i="29"/>
  <c r="P973" i="29" s="1"/>
  <c r="Q973" i="29" s="1"/>
  <c r="L973" i="29"/>
  <c r="M973" i="29" s="1"/>
  <c r="O972" i="29"/>
  <c r="P972" i="29" s="1"/>
  <c r="Q972" i="29" s="1"/>
  <c r="L972" i="29"/>
  <c r="M972" i="29" s="1"/>
  <c r="O971" i="29"/>
  <c r="P971" i="29" s="1"/>
  <c r="Q971" i="29" s="1"/>
  <c r="L971" i="29"/>
  <c r="M971" i="29" s="1"/>
  <c r="O970" i="29"/>
  <c r="P970" i="29" s="1"/>
  <c r="Q970" i="29" s="1"/>
  <c r="L970" i="29"/>
  <c r="M970" i="29" s="1"/>
  <c r="O969" i="29"/>
  <c r="P969" i="29" s="1"/>
  <c r="Q969" i="29" s="1"/>
  <c r="L969" i="29"/>
  <c r="M969" i="29" s="1"/>
  <c r="O968" i="29"/>
  <c r="P968" i="29" s="1"/>
  <c r="Q968" i="29" s="1"/>
  <c r="L968" i="29"/>
  <c r="M968" i="29" s="1"/>
  <c r="O967" i="29"/>
  <c r="P967" i="29" s="1"/>
  <c r="Q967" i="29" s="1"/>
  <c r="L967" i="29"/>
  <c r="M967" i="29" s="1"/>
  <c r="O966" i="29"/>
  <c r="P966" i="29" s="1"/>
  <c r="Q966" i="29" s="1"/>
  <c r="L966" i="29"/>
  <c r="M966" i="29" s="1"/>
  <c r="O965" i="29"/>
  <c r="P965" i="29" s="1"/>
  <c r="Q965" i="29" s="1"/>
  <c r="L965" i="29"/>
  <c r="M965" i="29" s="1"/>
  <c r="O964" i="29"/>
  <c r="P964" i="29" s="1"/>
  <c r="Q964" i="29" s="1"/>
  <c r="L964" i="29"/>
  <c r="M964" i="29" s="1"/>
  <c r="O963" i="29"/>
  <c r="P963" i="29" s="1"/>
  <c r="Q963" i="29" s="1"/>
  <c r="L963" i="29"/>
  <c r="M963" i="29" s="1"/>
  <c r="O962" i="29"/>
  <c r="P962" i="29" s="1"/>
  <c r="Q962" i="29" s="1"/>
  <c r="L962" i="29"/>
  <c r="M962" i="29" s="1"/>
  <c r="O961" i="29"/>
  <c r="P961" i="29" s="1"/>
  <c r="Q961" i="29" s="1"/>
  <c r="L961" i="29"/>
  <c r="M961" i="29" s="1"/>
  <c r="O960" i="29"/>
  <c r="P960" i="29" s="1"/>
  <c r="Q960" i="29" s="1"/>
  <c r="L960" i="29"/>
  <c r="M960" i="29" s="1"/>
  <c r="O959" i="29"/>
  <c r="P959" i="29" s="1"/>
  <c r="Q959" i="29" s="1"/>
  <c r="L959" i="29"/>
  <c r="M959" i="29" s="1"/>
  <c r="O958" i="29"/>
  <c r="P958" i="29" s="1"/>
  <c r="Q958" i="29" s="1"/>
  <c r="L958" i="29"/>
  <c r="M958" i="29" s="1"/>
  <c r="O957" i="29"/>
  <c r="P957" i="29" s="1"/>
  <c r="Q957" i="29" s="1"/>
  <c r="L957" i="29"/>
  <c r="M957" i="29" s="1"/>
  <c r="O956" i="29"/>
  <c r="P956" i="29" s="1"/>
  <c r="Q956" i="29" s="1"/>
  <c r="L956" i="29"/>
  <c r="M956" i="29" s="1"/>
  <c r="O955" i="29"/>
  <c r="P955" i="29" s="1"/>
  <c r="Q955" i="29" s="1"/>
  <c r="L955" i="29"/>
  <c r="M955" i="29" s="1"/>
  <c r="O954" i="29"/>
  <c r="P954" i="29" s="1"/>
  <c r="Q954" i="29" s="1"/>
  <c r="L954" i="29"/>
  <c r="M954" i="29" s="1"/>
  <c r="B952" i="29"/>
  <c r="O950" i="29"/>
  <c r="P950" i="29" s="1"/>
  <c r="Q950" i="29" s="1"/>
  <c r="L950" i="29"/>
  <c r="M950" i="29" s="1"/>
  <c r="O949" i="29"/>
  <c r="P949" i="29" s="1"/>
  <c r="Q949" i="29" s="1"/>
  <c r="L949" i="29"/>
  <c r="M949" i="29" s="1"/>
  <c r="O948" i="29"/>
  <c r="P948" i="29" s="1"/>
  <c r="Q948" i="29" s="1"/>
  <c r="L948" i="29"/>
  <c r="M948" i="29" s="1"/>
  <c r="O947" i="29"/>
  <c r="P947" i="29" s="1"/>
  <c r="Q947" i="29" s="1"/>
  <c r="L947" i="29"/>
  <c r="M947" i="29" s="1"/>
  <c r="O946" i="29"/>
  <c r="P946" i="29" s="1"/>
  <c r="Q946" i="29" s="1"/>
  <c r="L946" i="29"/>
  <c r="M946" i="29" s="1"/>
  <c r="O945" i="29"/>
  <c r="P945" i="29" s="1"/>
  <c r="Q945" i="29" s="1"/>
  <c r="L945" i="29"/>
  <c r="M945" i="29" s="1"/>
  <c r="O944" i="29"/>
  <c r="P944" i="29" s="1"/>
  <c r="Q944" i="29" s="1"/>
  <c r="L944" i="29"/>
  <c r="M944" i="29" s="1"/>
  <c r="O943" i="29"/>
  <c r="P943" i="29" s="1"/>
  <c r="Q943" i="29" s="1"/>
  <c r="L943" i="29"/>
  <c r="M943" i="29" s="1"/>
  <c r="O942" i="29"/>
  <c r="P942" i="29" s="1"/>
  <c r="Q942" i="29" s="1"/>
  <c r="L942" i="29"/>
  <c r="M942" i="29" s="1"/>
  <c r="O941" i="29"/>
  <c r="P941" i="29" s="1"/>
  <c r="Q941" i="29" s="1"/>
  <c r="L941" i="29"/>
  <c r="M941" i="29" s="1"/>
  <c r="O940" i="29"/>
  <c r="P940" i="29" s="1"/>
  <c r="Q940" i="29" s="1"/>
  <c r="L940" i="29"/>
  <c r="M940" i="29" s="1"/>
  <c r="O939" i="29"/>
  <c r="P939" i="29" s="1"/>
  <c r="Q939" i="29" s="1"/>
  <c r="L939" i="29"/>
  <c r="M939" i="29" s="1"/>
  <c r="O938" i="29"/>
  <c r="P938" i="29" s="1"/>
  <c r="Q938" i="29" s="1"/>
  <c r="L938" i="29"/>
  <c r="M938" i="29" s="1"/>
  <c r="O937" i="29"/>
  <c r="P937" i="29" s="1"/>
  <c r="Q937" i="29" s="1"/>
  <c r="L937" i="29"/>
  <c r="M937" i="29" s="1"/>
  <c r="O936" i="29"/>
  <c r="P936" i="29" s="1"/>
  <c r="Q936" i="29" s="1"/>
  <c r="L936" i="29"/>
  <c r="M936" i="29" s="1"/>
  <c r="O935" i="29"/>
  <c r="P935" i="29" s="1"/>
  <c r="Q935" i="29" s="1"/>
  <c r="L935" i="29"/>
  <c r="M935" i="29" s="1"/>
  <c r="O934" i="29"/>
  <c r="P934" i="29" s="1"/>
  <c r="Q934" i="29" s="1"/>
  <c r="L934" i="29"/>
  <c r="M934" i="29" s="1"/>
  <c r="O933" i="29"/>
  <c r="P933" i="29" s="1"/>
  <c r="Q933" i="29" s="1"/>
  <c r="L933" i="29"/>
  <c r="M933" i="29" s="1"/>
  <c r="O932" i="29"/>
  <c r="P932" i="29" s="1"/>
  <c r="Q932" i="29" s="1"/>
  <c r="L932" i="29"/>
  <c r="M932" i="29" s="1"/>
  <c r="O931" i="29"/>
  <c r="P931" i="29" s="1"/>
  <c r="Q931" i="29" s="1"/>
  <c r="L931" i="29"/>
  <c r="M931" i="29" s="1"/>
  <c r="O930" i="29"/>
  <c r="P930" i="29" s="1"/>
  <c r="Q930" i="29" s="1"/>
  <c r="L930" i="29"/>
  <c r="M930" i="29" s="1"/>
  <c r="O929" i="29"/>
  <c r="P929" i="29" s="1"/>
  <c r="Q929" i="29" s="1"/>
  <c r="L929" i="29"/>
  <c r="M929" i="29" s="1"/>
  <c r="O928" i="29"/>
  <c r="P928" i="29" s="1"/>
  <c r="Q928" i="29" s="1"/>
  <c r="L928" i="29"/>
  <c r="M928" i="29" s="1"/>
  <c r="O927" i="29"/>
  <c r="P927" i="29" s="1"/>
  <c r="Q927" i="29" s="1"/>
  <c r="L927" i="29"/>
  <c r="M927" i="29" s="1"/>
  <c r="O926" i="29"/>
  <c r="P926" i="29" s="1"/>
  <c r="Q926" i="29" s="1"/>
  <c r="L926" i="29"/>
  <c r="M926" i="29" s="1"/>
  <c r="B924" i="29"/>
  <c r="O922" i="29"/>
  <c r="P922" i="29" s="1"/>
  <c r="Q922" i="29" s="1"/>
  <c r="L922" i="29"/>
  <c r="M922" i="29" s="1"/>
  <c r="O921" i="29"/>
  <c r="P921" i="29" s="1"/>
  <c r="Q921" i="29" s="1"/>
  <c r="L921" i="29"/>
  <c r="M921" i="29" s="1"/>
  <c r="B919" i="29"/>
  <c r="O917" i="29"/>
  <c r="P917" i="29" s="1"/>
  <c r="Q917" i="29" s="1"/>
  <c r="L917" i="29"/>
  <c r="M917" i="29" s="1"/>
  <c r="O916" i="29"/>
  <c r="P916" i="29" s="1"/>
  <c r="Q916" i="29" s="1"/>
  <c r="L916" i="29"/>
  <c r="M916" i="29" s="1"/>
  <c r="O915" i="29"/>
  <c r="P915" i="29" s="1"/>
  <c r="Q915" i="29" s="1"/>
  <c r="L915" i="29"/>
  <c r="M915" i="29" s="1"/>
  <c r="O914" i="29"/>
  <c r="P914" i="29" s="1"/>
  <c r="Q914" i="29" s="1"/>
  <c r="L914" i="29"/>
  <c r="M914" i="29" s="1"/>
  <c r="O913" i="29"/>
  <c r="P913" i="29" s="1"/>
  <c r="Q913" i="29" s="1"/>
  <c r="L913" i="29"/>
  <c r="M913" i="29" s="1"/>
  <c r="O912" i="29"/>
  <c r="P912" i="29" s="1"/>
  <c r="Q912" i="29" s="1"/>
  <c r="L912" i="29"/>
  <c r="M912" i="29" s="1"/>
  <c r="O911" i="29"/>
  <c r="P911" i="29" s="1"/>
  <c r="Q911" i="29" s="1"/>
  <c r="L911" i="29"/>
  <c r="M911" i="29" s="1"/>
  <c r="O910" i="29"/>
  <c r="P910" i="29" s="1"/>
  <c r="Q910" i="29" s="1"/>
  <c r="L910" i="29"/>
  <c r="M910" i="29" s="1"/>
  <c r="O909" i="29"/>
  <c r="P909" i="29" s="1"/>
  <c r="Q909" i="29" s="1"/>
  <c r="L909" i="29"/>
  <c r="M909" i="29" s="1"/>
  <c r="O908" i="29"/>
  <c r="P908" i="29" s="1"/>
  <c r="Q908" i="29" s="1"/>
  <c r="L908" i="29"/>
  <c r="M908" i="29" s="1"/>
  <c r="O907" i="29"/>
  <c r="P907" i="29" s="1"/>
  <c r="Q907" i="29" s="1"/>
  <c r="L907" i="29"/>
  <c r="M907" i="29" s="1"/>
  <c r="O906" i="29"/>
  <c r="P906" i="29" s="1"/>
  <c r="Q906" i="29" s="1"/>
  <c r="L906" i="29"/>
  <c r="M906" i="29" s="1"/>
  <c r="O905" i="29"/>
  <c r="P905" i="29" s="1"/>
  <c r="Q905" i="29" s="1"/>
  <c r="L905" i="29"/>
  <c r="M905" i="29" s="1"/>
  <c r="O904" i="29"/>
  <c r="P904" i="29" s="1"/>
  <c r="Q904" i="29" s="1"/>
  <c r="L904" i="29"/>
  <c r="M904" i="29" s="1"/>
  <c r="O903" i="29"/>
  <c r="P903" i="29" s="1"/>
  <c r="Q903" i="29" s="1"/>
  <c r="L903" i="29"/>
  <c r="M903" i="29" s="1"/>
  <c r="B901" i="29"/>
  <c r="O899" i="29"/>
  <c r="P899" i="29" s="1"/>
  <c r="Q899" i="29" s="1"/>
  <c r="L899" i="29"/>
  <c r="M899" i="29" s="1"/>
  <c r="O898" i="29"/>
  <c r="P898" i="29" s="1"/>
  <c r="Q898" i="29" s="1"/>
  <c r="L898" i="29"/>
  <c r="M898" i="29" s="1"/>
  <c r="O897" i="29"/>
  <c r="P897" i="29" s="1"/>
  <c r="Q897" i="29" s="1"/>
  <c r="L897" i="29"/>
  <c r="M897" i="29" s="1"/>
  <c r="O896" i="29"/>
  <c r="P896" i="29" s="1"/>
  <c r="Q896" i="29" s="1"/>
  <c r="L896" i="29"/>
  <c r="M896" i="29" s="1"/>
  <c r="O895" i="29"/>
  <c r="P895" i="29" s="1"/>
  <c r="Q895" i="29" s="1"/>
  <c r="L895" i="29"/>
  <c r="M895" i="29" s="1"/>
  <c r="O894" i="29"/>
  <c r="P894" i="29" s="1"/>
  <c r="Q894" i="29" s="1"/>
  <c r="L894" i="29"/>
  <c r="M894" i="29" s="1"/>
  <c r="O893" i="29"/>
  <c r="P893" i="29" s="1"/>
  <c r="Q893" i="29" s="1"/>
  <c r="L893" i="29"/>
  <c r="M893" i="29" s="1"/>
  <c r="O892" i="29"/>
  <c r="P892" i="29" s="1"/>
  <c r="Q892" i="29" s="1"/>
  <c r="L892" i="29"/>
  <c r="M892" i="29" s="1"/>
  <c r="O891" i="29"/>
  <c r="P891" i="29" s="1"/>
  <c r="Q891" i="29" s="1"/>
  <c r="L891" i="29"/>
  <c r="M891" i="29" s="1"/>
  <c r="O890" i="29"/>
  <c r="P890" i="29" s="1"/>
  <c r="Q890" i="29" s="1"/>
  <c r="L890" i="29"/>
  <c r="M890" i="29" s="1"/>
  <c r="O889" i="29"/>
  <c r="P889" i="29" s="1"/>
  <c r="Q889" i="29" s="1"/>
  <c r="L889" i="29"/>
  <c r="M889" i="29" s="1"/>
  <c r="O888" i="29"/>
  <c r="P888" i="29" s="1"/>
  <c r="Q888" i="29" s="1"/>
  <c r="L888" i="29"/>
  <c r="M888" i="29" s="1"/>
  <c r="O887" i="29"/>
  <c r="P887" i="29" s="1"/>
  <c r="Q887" i="29" s="1"/>
  <c r="L887" i="29"/>
  <c r="M887" i="29" s="1"/>
  <c r="O886" i="29"/>
  <c r="P886" i="29" s="1"/>
  <c r="Q886" i="29" s="1"/>
  <c r="L886" i="29"/>
  <c r="M886" i="29" s="1"/>
  <c r="O885" i="29"/>
  <c r="P885" i="29" s="1"/>
  <c r="Q885" i="29" s="1"/>
  <c r="L885" i="29"/>
  <c r="M885" i="29" s="1"/>
  <c r="O884" i="29"/>
  <c r="P884" i="29" s="1"/>
  <c r="Q884" i="29" s="1"/>
  <c r="L884" i="29"/>
  <c r="M884" i="29" s="1"/>
  <c r="O883" i="29"/>
  <c r="P883" i="29" s="1"/>
  <c r="Q883" i="29" s="1"/>
  <c r="L883" i="29"/>
  <c r="M883" i="29" s="1"/>
  <c r="O882" i="29"/>
  <c r="P882" i="29" s="1"/>
  <c r="Q882" i="29" s="1"/>
  <c r="L882" i="29"/>
  <c r="M882" i="29" s="1"/>
  <c r="O881" i="29"/>
  <c r="P881" i="29" s="1"/>
  <c r="Q881" i="29" s="1"/>
  <c r="L881" i="29"/>
  <c r="M881" i="29" s="1"/>
  <c r="O880" i="29"/>
  <c r="P880" i="29" s="1"/>
  <c r="Q880" i="29" s="1"/>
  <c r="L880" i="29"/>
  <c r="M880" i="29" s="1"/>
  <c r="O879" i="29"/>
  <c r="P879" i="29" s="1"/>
  <c r="Q879" i="29" s="1"/>
  <c r="L879" i="29"/>
  <c r="M879" i="29" s="1"/>
  <c r="O878" i="29"/>
  <c r="P878" i="29" s="1"/>
  <c r="Q878" i="29" s="1"/>
  <c r="L878" i="29"/>
  <c r="M878" i="29" s="1"/>
  <c r="O877" i="29"/>
  <c r="P877" i="29" s="1"/>
  <c r="Q877" i="29" s="1"/>
  <c r="L877" i="29"/>
  <c r="M877" i="29" s="1"/>
  <c r="O876" i="29"/>
  <c r="P876" i="29" s="1"/>
  <c r="Q876" i="29" s="1"/>
  <c r="L876" i="29"/>
  <c r="M876" i="29" s="1"/>
  <c r="O875" i="29"/>
  <c r="P875" i="29" s="1"/>
  <c r="Q875" i="29" s="1"/>
  <c r="L875" i="29"/>
  <c r="M875" i="29" s="1"/>
  <c r="O874" i="29"/>
  <c r="P874" i="29" s="1"/>
  <c r="Q874" i="29" s="1"/>
  <c r="L874" i="29"/>
  <c r="M874" i="29" s="1"/>
  <c r="O873" i="29"/>
  <c r="P873" i="29" s="1"/>
  <c r="Q873" i="29" s="1"/>
  <c r="L873" i="29"/>
  <c r="M873" i="29" s="1"/>
  <c r="O872" i="29"/>
  <c r="P872" i="29" s="1"/>
  <c r="Q872" i="29" s="1"/>
  <c r="L872" i="29"/>
  <c r="M872" i="29" s="1"/>
  <c r="O871" i="29"/>
  <c r="P871" i="29" s="1"/>
  <c r="Q871" i="29" s="1"/>
  <c r="L871" i="29"/>
  <c r="M871" i="29" s="1"/>
  <c r="O870" i="29"/>
  <c r="P870" i="29" s="1"/>
  <c r="Q870" i="29" s="1"/>
  <c r="L870" i="29"/>
  <c r="M870" i="29" s="1"/>
  <c r="O869" i="29"/>
  <c r="P869" i="29" s="1"/>
  <c r="Q869" i="29" s="1"/>
  <c r="L869" i="29"/>
  <c r="M869" i="29" s="1"/>
  <c r="O868" i="29"/>
  <c r="P868" i="29" s="1"/>
  <c r="Q868" i="29" s="1"/>
  <c r="L868" i="29"/>
  <c r="M868" i="29" s="1"/>
  <c r="O867" i="29"/>
  <c r="P867" i="29" s="1"/>
  <c r="Q867" i="29" s="1"/>
  <c r="L867" i="29"/>
  <c r="M867" i="29" s="1"/>
  <c r="O866" i="29"/>
  <c r="P866" i="29" s="1"/>
  <c r="Q866" i="29" s="1"/>
  <c r="L866" i="29"/>
  <c r="M866" i="29" s="1"/>
  <c r="O865" i="29"/>
  <c r="P865" i="29" s="1"/>
  <c r="Q865" i="29" s="1"/>
  <c r="L865" i="29"/>
  <c r="M865" i="29" s="1"/>
  <c r="O864" i="29"/>
  <c r="P864" i="29" s="1"/>
  <c r="Q864" i="29" s="1"/>
  <c r="L864" i="29"/>
  <c r="M864" i="29" s="1"/>
  <c r="O863" i="29"/>
  <c r="P863" i="29" s="1"/>
  <c r="Q863" i="29" s="1"/>
  <c r="L863" i="29"/>
  <c r="M863" i="29" s="1"/>
  <c r="O862" i="29"/>
  <c r="P862" i="29" s="1"/>
  <c r="Q862" i="29" s="1"/>
  <c r="L862" i="29"/>
  <c r="M862" i="29" s="1"/>
  <c r="O861" i="29"/>
  <c r="P861" i="29" s="1"/>
  <c r="Q861" i="29" s="1"/>
  <c r="L861" i="29"/>
  <c r="M861" i="29" s="1"/>
  <c r="O860" i="29"/>
  <c r="P860" i="29" s="1"/>
  <c r="Q860" i="29" s="1"/>
  <c r="L860" i="29"/>
  <c r="M860" i="29" s="1"/>
  <c r="O859" i="29"/>
  <c r="P859" i="29" s="1"/>
  <c r="Q859" i="29" s="1"/>
  <c r="L859" i="29"/>
  <c r="M859" i="29" s="1"/>
  <c r="O858" i="29"/>
  <c r="P858" i="29" s="1"/>
  <c r="Q858" i="29" s="1"/>
  <c r="L858" i="29"/>
  <c r="M858" i="29" s="1"/>
  <c r="O857" i="29"/>
  <c r="P857" i="29" s="1"/>
  <c r="Q857" i="29" s="1"/>
  <c r="L857" i="29"/>
  <c r="M857" i="29" s="1"/>
  <c r="O856" i="29"/>
  <c r="P856" i="29" s="1"/>
  <c r="Q856" i="29" s="1"/>
  <c r="L856" i="29"/>
  <c r="M856" i="29" s="1"/>
  <c r="O855" i="29"/>
  <c r="P855" i="29" s="1"/>
  <c r="Q855" i="29" s="1"/>
  <c r="L855" i="29"/>
  <c r="M855" i="29" s="1"/>
  <c r="O854" i="29"/>
  <c r="P854" i="29" s="1"/>
  <c r="Q854" i="29" s="1"/>
  <c r="L854" i="29"/>
  <c r="M854" i="29" s="1"/>
  <c r="O853" i="29"/>
  <c r="P853" i="29" s="1"/>
  <c r="Q853" i="29" s="1"/>
  <c r="L853" i="29"/>
  <c r="M853" i="29" s="1"/>
  <c r="O852" i="29"/>
  <c r="P852" i="29" s="1"/>
  <c r="Q852" i="29" s="1"/>
  <c r="L852" i="29"/>
  <c r="M852" i="29" s="1"/>
  <c r="O851" i="29"/>
  <c r="P851" i="29" s="1"/>
  <c r="Q851" i="29" s="1"/>
  <c r="L851" i="29"/>
  <c r="M851" i="29" s="1"/>
  <c r="O850" i="29"/>
  <c r="P850" i="29" s="1"/>
  <c r="Q850" i="29" s="1"/>
  <c r="L850" i="29"/>
  <c r="M850" i="29" s="1"/>
  <c r="O849" i="29"/>
  <c r="P849" i="29" s="1"/>
  <c r="Q849" i="29" s="1"/>
  <c r="L849" i="29"/>
  <c r="M849" i="29" s="1"/>
  <c r="O848" i="29"/>
  <c r="P848" i="29" s="1"/>
  <c r="Q848" i="29" s="1"/>
  <c r="L848" i="29"/>
  <c r="M848" i="29" s="1"/>
  <c r="O847" i="29"/>
  <c r="P847" i="29" s="1"/>
  <c r="Q847" i="29" s="1"/>
  <c r="L847" i="29"/>
  <c r="M847" i="29" s="1"/>
  <c r="O846" i="29"/>
  <c r="P846" i="29" s="1"/>
  <c r="Q846" i="29" s="1"/>
  <c r="L846" i="29"/>
  <c r="M846" i="29" s="1"/>
  <c r="O845" i="29"/>
  <c r="P845" i="29" s="1"/>
  <c r="Q845" i="29" s="1"/>
  <c r="L845" i="29"/>
  <c r="M845" i="29" s="1"/>
  <c r="O844" i="29"/>
  <c r="P844" i="29" s="1"/>
  <c r="Q844" i="29" s="1"/>
  <c r="L844" i="29"/>
  <c r="M844" i="29" s="1"/>
  <c r="O843" i="29"/>
  <c r="P843" i="29" s="1"/>
  <c r="Q843" i="29" s="1"/>
  <c r="L843" i="29"/>
  <c r="M843" i="29" s="1"/>
  <c r="O842" i="29"/>
  <c r="P842" i="29" s="1"/>
  <c r="Q842" i="29" s="1"/>
  <c r="L842" i="29"/>
  <c r="M842" i="29" s="1"/>
  <c r="O841" i="29"/>
  <c r="P841" i="29" s="1"/>
  <c r="Q841" i="29" s="1"/>
  <c r="L841" i="29"/>
  <c r="M841" i="29" s="1"/>
  <c r="N791" i="29"/>
  <c r="O791" i="29" s="1"/>
  <c r="P791" i="29" s="1"/>
  <c r="Q791" i="29" s="1"/>
  <c r="L791" i="29"/>
  <c r="M791" i="29" s="1"/>
  <c r="N790" i="29"/>
  <c r="O790" i="29" s="1"/>
  <c r="P790" i="29" s="1"/>
  <c r="Q790" i="29" s="1"/>
  <c r="L790" i="29"/>
  <c r="M790" i="29" s="1"/>
  <c r="O787" i="29"/>
  <c r="P787" i="29" s="1"/>
  <c r="Q787" i="29" s="1"/>
  <c r="L787" i="29"/>
  <c r="N776" i="29"/>
  <c r="B56" i="27" s="1"/>
  <c r="BI56" i="27" s="1"/>
  <c r="O774" i="29"/>
  <c r="P774" i="29" s="1"/>
  <c r="Q774" i="29" s="1"/>
  <c r="L774" i="29"/>
  <c r="M774" i="29" s="1"/>
  <c r="O773" i="29"/>
  <c r="P773" i="29" s="1"/>
  <c r="Q773" i="29" s="1"/>
  <c r="L773" i="29"/>
  <c r="M773" i="29" s="1"/>
  <c r="O772" i="29"/>
  <c r="P772" i="29" s="1"/>
  <c r="Q772" i="29" s="1"/>
  <c r="L772" i="29"/>
  <c r="M772" i="29" s="1"/>
  <c r="O771" i="29"/>
  <c r="P771" i="29" s="1"/>
  <c r="Q771" i="29" s="1"/>
  <c r="L771" i="29"/>
  <c r="M771" i="29" s="1"/>
  <c r="O770" i="29"/>
  <c r="P770" i="29" s="1"/>
  <c r="Q770" i="29" s="1"/>
  <c r="L770" i="29"/>
  <c r="M770" i="29" s="1"/>
  <c r="O769" i="29"/>
  <c r="P769" i="29" s="1"/>
  <c r="Q769" i="29" s="1"/>
  <c r="L769" i="29"/>
  <c r="M769" i="29" s="1"/>
  <c r="O768" i="29"/>
  <c r="P768" i="29" s="1"/>
  <c r="Q768" i="29" s="1"/>
  <c r="L768" i="29"/>
  <c r="M768" i="29" s="1"/>
  <c r="O767" i="29"/>
  <c r="P767" i="29" s="1"/>
  <c r="L767" i="29"/>
  <c r="M767" i="29" s="1"/>
  <c r="O766" i="29"/>
  <c r="L766" i="29"/>
  <c r="M766" i="29" s="1"/>
  <c r="N758" i="29"/>
  <c r="L758" i="29"/>
  <c r="M758" i="29" s="1"/>
  <c r="O757" i="29"/>
  <c r="P757" i="29" s="1"/>
  <c r="Q757" i="29" s="1"/>
  <c r="L757" i="29"/>
  <c r="M757" i="29" s="1"/>
  <c r="O756" i="29"/>
  <c r="P756" i="29" s="1"/>
  <c r="Q756" i="29" s="1"/>
  <c r="L756" i="29"/>
  <c r="M756" i="29" s="1"/>
  <c r="O755" i="29"/>
  <c r="P755" i="29" s="1"/>
  <c r="Q755" i="29" s="1"/>
  <c r="L755" i="29"/>
  <c r="M755" i="29" s="1"/>
  <c r="O754" i="29"/>
  <c r="P754" i="29" s="1"/>
  <c r="Q754" i="29" s="1"/>
  <c r="L754" i="29"/>
  <c r="M754" i="29" s="1"/>
  <c r="O753" i="29"/>
  <c r="P753" i="29" s="1"/>
  <c r="Q753" i="29" s="1"/>
  <c r="L753" i="29"/>
  <c r="M753" i="29" s="1"/>
  <c r="O752" i="29"/>
  <c r="P752" i="29" s="1"/>
  <c r="Q752" i="29" s="1"/>
  <c r="L752" i="29"/>
  <c r="M752" i="29" s="1"/>
  <c r="O751" i="29"/>
  <c r="P751" i="29" s="1"/>
  <c r="Q751" i="29" s="1"/>
  <c r="L751" i="29"/>
  <c r="M751" i="29" s="1"/>
  <c r="O750" i="29"/>
  <c r="P750" i="29" s="1"/>
  <c r="Q750" i="29" s="1"/>
  <c r="L750" i="29"/>
  <c r="M750" i="29" s="1"/>
  <c r="O749" i="29"/>
  <c r="P749" i="29" s="1"/>
  <c r="Q749" i="29" s="1"/>
  <c r="L749" i="29"/>
  <c r="M749" i="29" s="1"/>
  <c r="O748" i="29"/>
  <c r="P748" i="29" s="1"/>
  <c r="Q748" i="29" s="1"/>
  <c r="L748" i="29"/>
  <c r="M748" i="29" s="1"/>
  <c r="O747" i="29"/>
  <c r="P747" i="29" s="1"/>
  <c r="Q747" i="29" s="1"/>
  <c r="L747" i="29"/>
  <c r="M747" i="29" s="1"/>
  <c r="O746" i="29"/>
  <c r="P746" i="29" s="1"/>
  <c r="Q746" i="29" s="1"/>
  <c r="L746" i="29"/>
  <c r="M746" i="29" s="1"/>
  <c r="O745" i="29"/>
  <c r="P745" i="29" s="1"/>
  <c r="Q745" i="29" s="1"/>
  <c r="L745" i="29"/>
  <c r="M745" i="29" s="1"/>
  <c r="O744" i="29"/>
  <c r="P744" i="29" s="1"/>
  <c r="Q744" i="29" s="1"/>
  <c r="L744" i="29"/>
  <c r="M744" i="29" s="1"/>
  <c r="O743" i="29"/>
  <c r="P743" i="29" s="1"/>
  <c r="Q743" i="29" s="1"/>
  <c r="L743" i="29"/>
  <c r="M743" i="29" s="1"/>
  <c r="O742" i="29"/>
  <c r="P742" i="29" s="1"/>
  <c r="Q742" i="29" s="1"/>
  <c r="L742" i="29"/>
  <c r="M742" i="29" s="1"/>
  <c r="O741" i="29"/>
  <c r="P741" i="29" s="1"/>
  <c r="Q741" i="29" s="1"/>
  <c r="L741" i="29"/>
  <c r="M741" i="29" s="1"/>
  <c r="O740" i="29"/>
  <c r="P740" i="29" s="1"/>
  <c r="Q740" i="29" s="1"/>
  <c r="L740" i="29"/>
  <c r="M740" i="29" s="1"/>
  <c r="O739" i="29"/>
  <c r="P739" i="29" s="1"/>
  <c r="Q739" i="29" s="1"/>
  <c r="L739" i="29"/>
  <c r="M739" i="29" s="1"/>
  <c r="O738" i="29"/>
  <c r="P738" i="29" s="1"/>
  <c r="Q738" i="29" s="1"/>
  <c r="L738" i="29"/>
  <c r="M738" i="29" s="1"/>
  <c r="O737" i="29"/>
  <c r="P737" i="29" s="1"/>
  <c r="Q737" i="29" s="1"/>
  <c r="L737" i="29"/>
  <c r="M737" i="29" s="1"/>
  <c r="N736" i="29"/>
  <c r="O736" i="29" s="1"/>
  <c r="P736" i="29" s="1"/>
  <c r="Q736" i="29" s="1"/>
  <c r="L736" i="29"/>
  <c r="M736" i="29" s="1"/>
  <c r="O735" i="29"/>
  <c r="P735" i="29" s="1"/>
  <c r="Q735" i="29" s="1"/>
  <c r="L735" i="29"/>
  <c r="M735" i="29" s="1"/>
  <c r="O734" i="29"/>
  <c r="P734" i="29" s="1"/>
  <c r="Q734" i="29" s="1"/>
  <c r="L734" i="29"/>
  <c r="M734" i="29" s="1"/>
  <c r="O733" i="29"/>
  <c r="P733" i="29" s="1"/>
  <c r="Q733" i="29" s="1"/>
  <c r="L733" i="29"/>
  <c r="M733" i="29" s="1"/>
  <c r="O732" i="29"/>
  <c r="P732" i="29" s="1"/>
  <c r="Q732" i="29" s="1"/>
  <c r="L732" i="29"/>
  <c r="M732" i="29" s="1"/>
  <c r="O731" i="29"/>
  <c r="P731" i="29" s="1"/>
  <c r="Q731" i="29" s="1"/>
  <c r="L731" i="29"/>
  <c r="M731" i="29" s="1"/>
  <c r="O730" i="29"/>
  <c r="P730" i="29" s="1"/>
  <c r="Q730" i="29" s="1"/>
  <c r="L730" i="29"/>
  <c r="M730" i="29" s="1"/>
  <c r="O729" i="29"/>
  <c r="P729" i="29" s="1"/>
  <c r="Q729" i="29" s="1"/>
  <c r="L729" i="29"/>
  <c r="M729" i="29" s="1"/>
  <c r="O728" i="29"/>
  <c r="P728" i="29" s="1"/>
  <c r="Q728" i="29" s="1"/>
  <c r="L728" i="29"/>
  <c r="M728" i="29" s="1"/>
  <c r="O727" i="29"/>
  <c r="L727" i="29"/>
  <c r="M727" i="29" s="1"/>
  <c r="O711" i="29"/>
  <c r="P711" i="29" s="1"/>
  <c r="Q711" i="29" s="1"/>
  <c r="L711" i="29"/>
  <c r="M711" i="29" s="1"/>
  <c r="N710" i="29"/>
  <c r="O710" i="29" s="1"/>
  <c r="P710" i="29" s="1"/>
  <c r="Q710" i="29" s="1"/>
  <c r="L710" i="29"/>
  <c r="M710" i="29" s="1"/>
  <c r="B710" i="29"/>
  <c r="O709" i="29"/>
  <c r="P709" i="29" s="1"/>
  <c r="Q709" i="29" s="1"/>
  <c r="L709" i="29"/>
  <c r="M709" i="29" s="1"/>
  <c r="O708" i="29"/>
  <c r="P708" i="29" s="1"/>
  <c r="Q708" i="29" s="1"/>
  <c r="L708" i="29"/>
  <c r="M708" i="29" s="1"/>
  <c r="O707" i="29"/>
  <c r="P707" i="29" s="1"/>
  <c r="Q707" i="29" s="1"/>
  <c r="L707" i="29"/>
  <c r="M707" i="29" s="1"/>
  <c r="O706" i="29"/>
  <c r="P706" i="29" s="1"/>
  <c r="Q706" i="29" s="1"/>
  <c r="L706" i="29"/>
  <c r="M706" i="29" s="1"/>
  <c r="O705" i="29"/>
  <c r="P705" i="29" s="1"/>
  <c r="Q705" i="29" s="1"/>
  <c r="L705" i="29"/>
  <c r="M705" i="29" s="1"/>
  <c r="O704" i="29"/>
  <c r="P704" i="29" s="1"/>
  <c r="Q704" i="29" s="1"/>
  <c r="L704" i="29"/>
  <c r="M704" i="29" s="1"/>
  <c r="O703" i="29"/>
  <c r="P703" i="29" s="1"/>
  <c r="Q703" i="29" s="1"/>
  <c r="L703" i="29"/>
  <c r="M703" i="29" s="1"/>
  <c r="O702" i="29"/>
  <c r="P702" i="29" s="1"/>
  <c r="Q702" i="29" s="1"/>
  <c r="L702" i="29"/>
  <c r="M702" i="29" s="1"/>
  <c r="O701" i="29"/>
  <c r="P701" i="29" s="1"/>
  <c r="Q701" i="29" s="1"/>
  <c r="L701" i="29"/>
  <c r="M701" i="29" s="1"/>
  <c r="O700" i="29"/>
  <c r="P700" i="29" s="1"/>
  <c r="Q700" i="29" s="1"/>
  <c r="L700" i="29"/>
  <c r="M700" i="29" s="1"/>
  <c r="O699" i="29"/>
  <c r="P699" i="29" s="1"/>
  <c r="Q699" i="29" s="1"/>
  <c r="L699" i="29"/>
  <c r="M699" i="29" s="1"/>
  <c r="O698" i="29"/>
  <c r="P698" i="29" s="1"/>
  <c r="Q698" i="29" s="1"/>
  <c r="L698" i="29"/>
  <c r="M698" i="29" s="1"/>
  <c r="O697" i="29"/>
  <c r="P697" i="29" s="1"/>
  <c r="Q697" i="29" s="1"/>
  <c r="L697" i="29"/>
  <c r="M697" i="29" s="1"/>
  <c r="O696" i="29"/>
  <c r="P696" i="29" s="1"/>
  <c r="Q696" i="29" s="1"/>
  <c r="L696" i="29"/>
  <c r="M696" i="29" s="1"/>
  <c r="O695" i="29"/>
  <c r="P695" i="29" s="1"/>
  <c r="Q695" i="29" s="1"/>
  <c r="L695" i="29"/>
  <c r="M695" i="29" s="1"/>
  <c r="O694" i="29"/>
  <c r="P694" i="29" s="1"/>
  <c r="Q694" i="29" s="1"/>
  <c r="L694" i="29"/>
  <c r="M694" i="29" s="1"/>
  <c r="O693" i="29"/>
  <c r="P693" i="29" s="1"/>
  <c r="Q693" i="29" s="1"/>
  <c r="L693" i="29"/>
  <c r="M693" i="29" s="1"/>
  <c r="O692" i="29"/>
  <c r="P692" i="29" s="1"/>
  <c r="Q692" i="29" s="1"/>
  <c r="L692" i="29"/>
  <c r="M692" i="29" s="1"/>
  <c r="O691" i="29"/>
  <c r="P691" i="29" s="1"/>
  <c r="Q691" i="29" s="1"/>
  <c r="L691" i="29"/>
  <c r="M691" i="29" s="1"/>
  <c r="N690" i="29"/>
  <c r="L690" i="29"/>
  <c r="M690" i="29" s="1"/>
  <c r="B690" i="29"/>
  <c r="O689" i="29"/>
  <c r="P689" i="29" s="1"/>
  <c r="Q689" i="29" s="1"/>
  <c r="L689" i="29"/>
  <c r="M689" i="29" s="1"/>
  <c r="O688" i="29"/>
  <c r="P688" i="29" s="1"/>
  <c r="Q688" i="29" s="1"/>
  <c r="L688" i="29"/>
  <c r="M688" i="29" s="1"/>
  <c r="O687" i="29"/>
  <c r="P687" i="29" s="1"/>
  <c r="Q687" i="29" s="1"/>
  <c r="L687" i="29"/>
  <c r="M687" i="29" s="1"/>
  <c r="O686" i="29"/>
  <c r="P686" i="29" s="1"/>
  <c r="Q686" i="29" s="1"/>
  <c r="L686" i="29"/>
  <c r="M686" i="29" s="1"/>
  <c r="O685" i="29"/>
  <c r="P685" i="29" s="1"/>
  <c r="Q685" i="29" s="1"/>
  <c r="L685" i="29"/>
  <c r="M685" i="29" s="1"/>
  <c r="O684" i="29"/>
  <c r="P684" i="29" s="1"/>
  <c r="Q684" i="29" s="1"/>
  <c r="L684" i="29"/>
  <c r="M684" i="29" s="1"/>
  <c r="O683" i="29"/>
  <c r="P683" i="29" s="1"/>
  <c r="Q683" i="29" s="1"/>
  <c r="L683" i="29"/>
  <c r="M683" i="29" s="1"/>
  <c r="N682" i="29"/>
  <c r="O682" i="29" s="1"/>
  <c r="P682" i="29" s="1"/>
  <c r="Q682" i="29" s="1"/>
  <c r="L682" i="29"/>
  <c r="M682" i="29" s="1"/>
  <c r="B682" i="29"/>
  <c r="O681" i="29"/>
  <c r="P681" i="29" s="1"/>
  <c r="Q681" i="29" s="1"/>
  <c r="L681" i="29"/>
  <c r="M681" i="29" s="1"/>
  <c r="O680" i="29"/>
  <c r="P680" i="29" s="1"/>
  <c r="Q680" i="29" s="1"/>
  <c r="L680" i="29"/>
  <c r="M680" i="29" s="1"/>
  <c r="O679" i="29"/>
  <c r="P679" i="29" s="1"/>
  <c r="Q679" i="29" s="1"/>
  <c r="L679" i="29"/>
  <c r="M679" i="29" s="1"/>
  <c r="O678" i="29"/>
  <c r="P678" i="29" s="1"/>
  <c r="Q678" i="29" s="1"/>
  <c r="L678" i="29"/>
  <c r="M678" i="29" s="1"/>
  <c r="O677" i="29"/>
  <c r="P677" i="29" s="1"/>
  <c r="Q677" i="29" s="1"/>
  <c r="L677" i="29"/>
  <c r="M677" i="29" s="1"/>
  <c r="N676" i="29"/>
  <c r="O676" i="29" s="1"/>
  <c r="P676" i="29" s="1"/>
  <c r="Q676" i="29" s="1"/>
  <c r="L676" i="29"/>
  <c r="M676" i="29" s="1"/>
  <c r="N675" i="29"/>
  <c r="O675" i="29" s="1"/>
  <c r="P675" i="29" s="1"/>
  <c r="Q675" i="29" s="1"/>
  <c r="L675" i="29"/>
  <c r="M675" i="29" s="1"/>
  <c r="O674" i="29"/>
  <c r="P674" i="29" s="1"/>
  <c r="Q674" i="29" s="1"/>
  <c r="L674" i="29"/>
  <c r="M674" i="29" s="1"/>
  <c r="O673" i="29"/>
  <c r="P673" i="29" s="1"/>
  <c r="Q673" i="29" s="1"/>
  <c r="L673" i="29"/>
  <c r="M673" i="29" s="1"/>
  <c r="O672" i="29"/>
  <c r="P672" i="29" s="1"/>
  <c r="Q672" i="29" s="1"/>
  <c r="L672" i="29"/>
  <c r="M672" i="29" s="1"/>
  <c r="O671" i="29"/>
  <c r="P671" i="29" s="1"/>
  <c r="Q671" i="29" s="1"/>
  <c r="L671" i="29"/>
  <c r="M671" i="29" s="1"/>
  <c r="O670" i="29"/>
  <c r="P670" i="29" s="1"/>
  <c r="Q670" i="29" s="1"/>
  <c r="L670" i="29"/>
  <c r="M670" i="29" s="1"/>
  <c r="O669" i="29"/>
  <c r="P669" i="29" s="1"/>
  <c r="Q669" i="29" s="1"/>
  <c r="L669" i="29"/>
  <c r="M669" i="29" s="1"/>
  <c r="O668" i="29"/>
  <c r="P668" i="29" s="1"/>
  <c r="Q668" i="29" s="1"/>
  <c r="L668" i="29"/>
  <c r="M668" i="29" s="1"/>
  <c r="O667" i="29"/>
  <c r="P667" i="29" s="1"/>
  <c r="Q667" i="29" s="1"/>
  <c r="L667" i="29"/>
  <c r="M667" i="29" s="1"/>
  <c r="O666" i="29"/>
  <c r="P666" i="29" s="1"/>
  <c r="Q666" i="29" s="1"/>
  <c r="L666" i="29"/>
  <c r="M666" i="29" s="1"/>
  <c r="O665" i="29"/>
  <c r="P665" i="29" s="1"/>
  <c r="Q665" i="29" s="1"/>
  <c r="L665" i="29"/>
  <c r="M665" i="29" s="1"/>
  <c r="O664" i="29"/>
  <c r="P664" i="29" s="1"/>
  <c r="Q664" i="29" s="1"/>
  <c r="L664" i="29"/>
  <c r="M664" i="29" s="1"/>
  <c r="O663" i="29"/>
  <c r="P663" i="29" s="1"/>
  <c r="Q663" i="29" s="1"/>
  <c r="L663" i="29"/>
  <c r="M663" i="29" s="1"/>
  <c r="O662" i="29"/>
  <c r="P662" i="29" s="1"/>
  <c r="Q662" i="29" s="1"/>
  <c r="L662" i="29"/>
  <c r="M662" i="29" s="1"/>
  <c r="O661" i="29"/>
  <c r="P661" i="29" s="1"/>
  <c r="Q661" i="29" s="1"/>
  <c r="L661" i="29"/>
  <c r="M661" i="29" s="1"/>
  <c r="O660" i="29"/>
  <c r="P660" i="29" s="1"/>
  <c r="Q660" i="29" s="1"/>
  <c r="L660" i="29"/>
  <c r="M660" i="29" s="1"/>
  <c r="O659" i="29"/>
  <c r="P659" i="29" s="1"/>
  <c r="Q659" i="29" s="1"/>
  <c r="L659" i="29"/>
  <c r="M659" i="29" s="1"/>
  <c r="O658" i="29"/>
  <c r="P658" i="29" s="1"/>
  <c r="Q658" i="29" s="1"/>
  <c r="L658" i="29"/>
  <c r="M658" i="29" s="1"/>
  <c r="O657" i="29"/>
  <c r="P657" i="29" s="1"/>
  <c r="Q657" i="29" s="1"/>
  <c r="L657" i="29"/>
  <c r="M657" i="29" s="1"/>
  <c r="O656" i="29"/>
  <c r="P656" i="29" s="1"/>
  <c r="Q656" i="29" s="1"/>
  <c r="L656" i="29"/>
  <c r="M656" i="29" s="1"/>
  <c r="O655" i="29"/>
  <c r="P655" i="29" s="1"/>
  <c r="Q655" i="29" s="1"/>
  <c r="L655" i="29"/>
  <c r="M655" i="29" s="1"/>
  <c r="O654" i="29"/>
  <c r="P654" i="29" s="1"/>
  <c r="Q654" i="29" s="1"/>
  <c r="L654" i="29"/>
  <c r="M654" i="29" s="1"/>
  <c r="O653" i="29"/>
  <c r="P653" i="29" s="1"/>
  <c r="Q653" i="29" s="1"/>
  <c r="L653" i="29"/>
  <c r="M653" i="29" s="1"/>
  <c r="O652" i="29"/>
  <c r="P652" i="29" s="1"/>
  <c r="Q652" i="29" s="1"/>
  <c r="L652" i="29"/>
  <c r="M652" i="29" s="1"/>
  <c r="O651" i="29"/>
  <c r="P651" i="29" s="1"/>
  <c r="Q651" i="29" s="1"/>
  <c r="L651" i="29"/>
  <c r="M651" i="29" s="1"/>
  <c r="O650" i="29"/>
  <c r="P650" i="29" s="1"/>
  <c r="Q650" i="29" s="1"/>
  <c r="L650" i="29"/>
  <c r="M650" i="29" s="1"/>
  <c r="O649" i="29"/>
  <c r="P649" i="29" s="1"/>
  <c r="Q649" i="29" s="1"/>
  <c r="L649" i="29"/>
  <c r="M649" i="29" s="1"/>
  <c r="O648" i="29"/>
  <c r="P648" i="29" s="1"/>
  <c r="Q648" i="29" s="1"/>
  <c r="L648" i="29"/>
  <c r="M648" i="29" s="1"/>
  <c r="O647" i="29"/>
  <c r="P647" i="29" s="1"/>
  <c r="Q647" i="29" s="1"/>
  <c r="L647" i="29"/>
  <c r="M647" i="29" s="1"/>
  <c r="O646" i="29"/>
  <c r="P646" i="29" s="1"/>
  <c r="Q646" i="29" s="1"/>
  <c r="L646" i="29"/>
  <c r="M646" i="29" s="1"/>
  <c r="O645" i="29"/>
  <c r="P645" i="29" s="1"/>
  <c r="Q645" i="29" s="1"/>
  <c r="L645" i="29"/>
  <c r="M645" i="29" s="1"/>
  <c r="O644" i="29"/>
  <c r="P644" i="29" s="1"/>
  <c r="Q644" i="29" s="1"/>
  <c r="L644" i="29"/>
  <c r="M644" i="29" s="1"/>
  <c r="O643" i="29"/>
  <c r="P643" i="29" s="1"/>
  <c r="Q643" i="29" s="1"/>
  <c r="L643" i="29"/>
  <c r="M643" i="29" s="1"/>
  <c r="O642" i="29"/>
  <c r="P642" i="29" s="1"/>
  <c r="Q642" i="29" s="1"/>
  <c r="L642" i="29"/>
  <c r="M642" i="29" s="1"/>
  <c r="O641" i="29"/>
  <c r="P641" i="29" s="1"/>
  <c r="Q641" i="29" s="1"/>
  <c r="L641" i="29"/>
  <c r="M641" i="29" s="1"/>
  <c r="O640" i="29"/>
  <c r="P640" i="29" s="1"/>
  <c r="Q640" i="29" s="1"/>
  <c r="L640" i="29"/>
  <c r="M640" i="29" s="1"/>
  <c r="O639" i="29"/>
  <c r="P639" i="29" s="1"/>
  <c r="Q639" i="29" s="1"/>
  <c r="L639" i="29"/>
  <c r="M639" i="29" s="1"/>
  <c r="O638" i="29"/>
  <c r="L638" i="29"/>
  <c r="M638" i="29" s="1"/>
  <c r="O626" i="29"/>
  <c r="P626" i="29" s="1"/>
  <c r="Q626" i="29" s="1"/>
  <c r="L626" i="29"/>
  <c r="M626" i="29" s="1"/>
  <c r="O625" i="29"/>
  <c r="P625" i="29" s="1"/>
  <c r="Q625" i="29" s="1"/>
  <c r="L625" i="29"/>
  <c r="M625" i="29" s="1"/>
  <c r="O624" i="29"/>
  <c r="P624" i="29" s="1"/>
  <c r="Q624" i="29" s="1"/>
  <c r="L624" i="29"/>
  <c r="M624" i="29" s="1"/>
  <c r="O623" i="29"/>
  <c r="P623" i="29" s="1"/>
  <c r="Q623" i="29" s="1"/>
  <c r="L623" i="29"/>
  <c r="M623" i="29" s="1"/>
  <c r="O622" i="29"/>
  <c r="P622" i="29" s="1"/>
  <c r="Q622" i="29" s="1"/>
  <c r="L622" i="29"/>
  <c r="M622" i="29" s="1"/>
  <c r="O621" i="29"/>
  <c r="P621" i="29" s="1"/>
  <c r="Q621" i="29" s="1"/>
  <c r="L621" i="29"/>
  <c r="M621" i="29" s="1"/>
  <c r="O620" i="29"/>
  <c r="P620" i="29" s="1"/>
  <c r="Q620" i="29" s="1"/>
  <c r="L620" i="29"/>
  <c r="M620" i="29" s="1"/>
  <c r="O619" i="29"/>
  <c r="P619" i="29" s="1"/>
  <c r="Q619" i="29" s="1"/>
  <c r="L619" i="29"/>
  <c r="M619" i="29" s="1"/>
  <c r="O618" i="29"/>
  <c r="P618" i="29" s="1"/>
  <c r="Q618" i="29" s="1"/>
  <c r="L618" i="29"/>
  <c r="M618" i="29" s="1"/>
  <c r="O617" i="29"/>
  <c r="P617" i="29" s="1"/>
  <c r="Q617" i="29" s="1"/>
  <c r="L617" i="29"/>
  <c r="M617" i="29" s="1"/>
  <c r="O616" i="29"/>
  <c r="P616" i="29" s="1"/>
  <c r="Q616" i="29" s="1"/>
  <c r="L616" i="29"/>
  <c r="M616" i="29" s="1"/>
  <c r="O615" i="29"/>
  <c r="P615" i="29" s="1"/>
  <c r="Q615" i="29" s="1"/>
  <c r="L615" i="29"/>
  <c r="M615" i="29" s="1"/>
  <c r="O614" i="29"/>
  <c r="P614" i="29" s="1"/>
  <c r="Q614" i="29" s="1"/>
  <c r="L614" i="29"/>
  <c r="M614" i="29" s="1"/>
  <c r="O613" i="29"/>
  <c r="P613" i="29" s="1"/>
  <c r="Q613" i="29" s="1"/>
  <c r="L613" i="29"/>
  <c r="M613" i="29" s="1"/>
  <c r="O612" i="29"/>
  <c r="P612" i="29" s="1"/>
  <c r="Q612" i="29" s="1"/>
  <c r="L612" i="29"/>
  <c r="M612" i="29" s="1"/>
  <c r="O611" i="29"/>
  <c r="P611" i="29" s="1"/>
  <c r="Q611" i="29" s="1"/>
  <c r="L611" i="29"/>
  <c r="M611" i="29" s="1"/>
  <c r="O610" i="29"/>
  <c r="P610" i="29" s="1"/>
  <c r="Q610" i="29" s="1"/>
  <c r="L610" i="29"/>
  <c r="M610" i="29" s="1"/>
  <c r="O609" i="29"/>
  <c r="P609" i="29" s="1"/>
  <c r="Q609" i="29" s="1"/>
  <c r="L609" i="29"/>
  <c r="M609" i="29" s="1"/>
  <c r="O608" i="29"/>
  <c r="P608" i="29" s="1"/>
  <c r="Q608" i="29" s="1"/>
  <c r="L608" i="29"/>
  <c r="M608" i="29" s="1"/>
  <c r="N607" i="29"/>
  <c r="L607" i="29"/>
  <c r="M607" i="29" s="1"/>
  <c r="B607" i="29"/>
  <c r="O606" i="29"/>
  <c r="P606" i="29" s="1"/>
  <c r="Q606" i="29" s="1"/>
  <c r="L606" i="29"/>
  <c r="M606" i="29" s="1"/>
  <c r="O605" i="29"/>
  <c r="P605" i="29" s="1"/>
  <c r="Q605" i="29" s="1"/>
  <c r="L605" i="29"/>
  <c r="M605" i="29" s="1"/>
  <c r="O604" i="29"/>
  <c r="P604" i="29" s="1"/>
  <c r="Q604" i="29" s="1"/>
  <c r="L604" i="29"/>
  <c r="M604" i="29" s="1"/>
  <c r="O603" i="29"/>
  <c r="P603" i="29" s="1"/>
  <c r="Q603" i="29" s="1"/>
  <c r="L603" i="29"/>
  <c r="M603" i="29" s="1"/>
  <c r="O602" i="29"/>
  <c r="P602" i="29" s="1"/>
  <c r="Q602" i="29" s="1"/>
  <c r="L602" i="29"/>
  <c r="M602" i="29" s="1"/>
  <c r="N601" i="29"/>
  <c r="O601" i="29" s="1"/>
  <c r="P601" i="29" s="1"/>
  <c r="Q601" i="29" s="1"/>
  <c r="L601" i="29"/>
  <c r="M601" i="29" s="1"/>
  <c r="B601" i="29"/>
  <c r="O600" i="29"/>
  <c r="P600" i="29" s="1"/>
  <c r="Q600" i="29" s="1"/>
  <c r="L600" i="29"/>
  <c r="M600" i="29" s="1"/>
  <c r="O599" i="29"/>
  <c r="P599" i="29" s="1"/>
  <c r="Q599" i="29" s="1"/>
  <c r="L599" i="29"/>
  <c r="M599" i="29" s="1"/>
  <c r="O598" i="29"/>
  <c r="P598" i="29" s="1"/>
  <c r="Q598" i="29" s="1"/>
  <c r="L598" i="29"/>
  <c r="M598" i="29" s="1"/>
  <c r="O597" i="29"/>
  <c r="P597" i="29" s="1"/>
  <c r="Q597" i="29" s="1"/>
  <c r="L597" i="29"/>
  <c r="M597" i="29" s="1"/>
  <c r="N596" i="29"/>
  <c r="O596" i="29" s="1"/>
  <c r="P596" i="29" s="1"/>
  <c r="Q596" i="29" s="1"/>
  <c r="L596" i="29"/>
  <c r="M596" i="29" s="1"/>
  <c r="B596" i="29"/>
  <c r="N595" i="29"/>
  <c r="O595" i="29" s="1"/>
  <c r="P595" i="29" s="1"/>
  <c r="Q595" i="29" s="1"/>
  <c r="L595" i="29"/>
  <c r="M595" i="29" s="1"/>
  <c r="B595" i="29"/>
  <c r="O594" i="29"/>
  <c r="P594" i="29" s="1"/>
  <c r="Q594" i="29" s="1"/>
  <c r="L594" i="29"/>
  <c r="M594" i="29" s="1"/>
  <c r="O593" i="29"/>
  <c r="P593" i="29" s="1"/>
  <c r="Q593" i="29" s="1"/>
  <c r="L593" i="29"/>
  <c r="M593" i="29" s="1"/>
  <c r="N592" i="29"/>
  <c r="L592" i="29"/>
  <c r="M592" i="29" s="1"/>
  <c r="B592" i="29"/>
  <c r="O591" i="29"/>
  <c r="P591" i="29" s="1"/>
  <c r="Q591" i="29" s="1"/>
  <c r="L591" i="29"/>
  <c r="M591" i="29" s="1"/>
  <c r="O590" i="29"/>
  <c r="P590" i="29" s="1"/>
  <c r="Q590" i="29" s="1"/>
  <c r="L590" i="29"/>
  <c r="M590" i="29" s="1"/>
  <c r="O589" i="29"/>
  <c r="P589" i="29" s="1"/>
  <c r="Q589" i="29" s="1"/>
  <c r="L589" i="29"/>
  <c r="M589" i="29" s="1"/>
  <c r="O588" i="29"/>
  <c r="P588" i="29" s="1"/>
  <c r="Q588" i="29" s="1"/>
  <c r="L588" i="29"/>
  <c r="M588" i="29" s="1"/>
  <c r="O587" i="29"/>
  <c r="P587" i="29" s="1"/>
  <c r="Q587" i="29" s="1"/>
  <c r="L587" i="29"/>
  <c r="M587" i="29" s="1"/>
  <c r="O586" i="29"/>
  <c r="P586" i="29" s="1"/>
  <c r="Q586" i="29" s="1"/>
  <c r="L586" i="29"/>
  <c r="M586" i="29" s="1"/>
  <c r="O585" i="29"/>
  <c r="P585" i="29" s="1"/>
  <c r="Q585" i="29" s="1"/>
  <c r="L585" i="29"/>
  <c r="M585" i="29" s="1"/>
  <c r="O584" i="29"/>
  <c r="P584" i="29" s="1"/>
  <c r="Q584" i="29" s="1"/>
  <c r="L584" i="29"/>
  <c r="M584" i="29" s="1"/>
  <c r="O583" i="29"/>
  <c r="P583" i="29" s="1"/>
  <c r="Q583" i="29" s="1"/>
  <c r="L583" i="29"/>
  <c r="M583" i="29" s="1"/>
  <c r="O582" i="29"/>
  <c r="P582" i="29" s="1"/>
  <c r="Q582" i="29" s="1"/>
  <c r="L582" i="29"/>
  <c r="M582" i="29" s="1"/>
  <c r="O581" i="29"/>
  <c r="P581" i="29" s="1"/>
  <c r="Q581" i="29" s="1"/>
  <c r="L581" i="29"/>
  <c r="M581" i="29" s="1"/>
  <c r="O580" i="29"/>
  <c r="P580" i="29" s="1"/>
  <c r="Q580" i="29" s="1"/>
  <c r="L580" i="29"/>
  <c r="M580" i="29" s="1"/>
  <c r="O579" i="29"/>
  <c r="P579" i="29" s="1"/>
  <c r="Q579" i="29" s="1"/>
  <c r="L579" i="29"/>
  <c r="M579" i="29" s="1"/>
  <c r="O578" i="29"/>
  <c r="P578" i="29" s="1"/>
  <c r="Q578" i="29" s="1"/>
  <c r="L578" i="29"/>
  <c r="M578" i="29" s="1"/>
  <c r="O577" i="29"/>
  <c r="P577" i="29" s="1"/>
  <c r="Q577" i="29" s="1"/>
  <c r="L577" i="29"/>
  <c r="M577" i="29" s="1"/>
  <c r="O576" i="29"/>
  <c r="P576" i="29" s="1"/>
  <c r="Q576" i="29" s="1"/>
  <c r="L576" i="29"/>
  <c r="M576" i="29" s="1"/>
  <c r="O575" i="29"/>
  <c r="P575" i="29" s="1"/>
  <c r="Q575" i="29" s="1"/>
  <c r="L575" i="29"/>
  <c r="M575" i="29" s="1"/>
  <c r="O574" i="29"/>
  <c r="P574" i="29" s="1"/>
  <c r="Q574" i="29" s="1"/>
  <c r="L574" i="29"/>
  <c r="M574" i="29" s="1"/>
  <c r="O573" i="29"/>
  <c r="P573" i="29" s="1"/>
  <c r="Q573" i="29" s="1"/>
  <c r="L573" i="29"/>
  <c r="M573" i="29" s="1"/>
  <c r="O572" i="29"/>
  <c r="P572" i="29" s="1"/>
  <c r="Q572" i="29" s="1"/>
  <c r="L572" i="29"/>
  <c r="M572" i="29" s="1"/>
  <c r="O571" i="29"/>
  <c r="P571" i="29" s="1"/>
  <c r="Q571" i="29" s="1"/>
  <c r="L571" i="29"/>
  <c r="M571" i="29" s="1"/>
  <c r="O570" i="29"/>
  <c r="P570" i="29" s="1"/>
  <c r="Q570" i="29" s="1"/>
  <c r="L570" i="29"/>
  <c r="M570" i="29" s="1"/>
  <c r="O569" i="29"/>
  <c r="P569" i="29" s="1"/>
  <c r="Q569" i="29" s="1"/>
  <c r="L569" i="29"/>
  <c r="M569" i="29" s="1"/>
  <c r="O568" i="29"/>
  <c r="P568" i="29" s="1"/>
  <c r="Q568" i="29" s="1"/>
  <c r="L568" i="29"/>
  <c r="M568" i="29" s="1"/>
  <c r="O567" i="29"/>
  <c r="P567" i="29" s="1"/>
  <c r="Q567" i="29" s="1"/>
  <c r="L567" i="29"/>
  <c r="M567" i="29" s="1"/>
  <c r="O566" i="29"/>
  <c r="P566" i="29" s="1"/>
  <c r="Q566" i="29" s="1"/>
  <c r="L566" i="29"/>
  <c r="M566" i="29" s="1"/>
  <c r="O565" i="29"/>
  <c r="P565" i="29" s="1"/>
  <c r="Q565" i="29" s="1"/>
  <c r="L565" i="29"/>
  <c r="M565" i="29" s="1"/>
  <c r="O561" i="29"/>
  <c r="P561" i="29" s="1"/>
  <c r="Q561" i="29" s="1"/>
  <c r="L561" i="29"/>
  <c r="M561" i="29" s="1"/>
  <c r="N560" i="29"/>
  <c r="N563" i="29" s="1"/>
  <c r="B48" i="27" s="1"/>
  <c r="BI48" i="27" s="1"/>
  <c r="L560" i="29"/>
  <c r="M560" i="29" s="1"/>
  <c r="B560" i="29"/>
  <c r="O541" i="29"/>
  <c r="P541" i="29" s="1"/>
  <c r="Q541" i="29" s="1"/>
  <c r="L541" i="29"/>
  <c r="M541" i="29" s="1"/>
  <c r="O540" i="29"/>
  <c r="P540" i="29" s="1"/>
  <c r="Q540" i="29" s="1"/>
  <c r="L540" i="29"/>
  <c r="M540" i="29" s="1"/>
  <c r="O539" i="29"/>
  <c r="P539" i="29" s="1"/>
  <c r="Q539" i="29" s="1"/>
  <c r="L539" i="29"/>
  <c r="M539" i="29" s="1"/>
  <c r="O538" i="29"/>
  <c r="P538" i="29" s="1"/>
  <c r="Q538" i="29" s="1"/>
  <c r="L538" i="29"/>
  <c r="M538" i="29" s="1"/>
  <c r="O537" i="29"/>
  <c r="P537" i="29" s="1"/>
  <c r="Q537" i="29" s="1"/>
  <c r="L537" i="29"/>
  <c r="M537" i="29" s="1"/>
  <c r="N536" i="29"/>
  <c r="O536" i="29" s="1"/>
  <c r="P536" i="29" s="1"/>
  <c r="Q536" i="29" s="1"/>
  <c r="L536" i="29"/>
  <c r="M536" i="29" s="1"/>
  <c r="B536" i="29"/>
  <c r="O535" i="29"/>
  <c r="P535" i="29" s="1"/>
  <c r="Q535" i="29" s="1"/>
  <c r="L535" i="29"/>
  <c r="M535" i="29" s="1"/>
  <c r="O534" i="29"/>
  <c r="P534" i="29" s="1"/>
  <c r="Q534" i="29" s="1"/>
  <c r="L534" i="29"/>
  <c r="M534" i="29" s="1"/>
  <c r="O533" i="29"/>
  <c r="P533" i="29" s="1"/>
  <c r="Q533" i="29" s="1"/>
  <c r="L533" i="29"/>
  <c r="M533" i="29" s="1"/>
  <c r="O532" i="29"/>
  <c r="P532" i="29" s="1"/>
  <c r="Q532" i="29" s="1"/>
  <c r="L532" i="29"/>
  <c r="M532" i="29" s="1"/>
  <c r="O531" i="29"/>
  <c r="P531" i="29" s="1"/>
  <c r="Q531" i="29" s="1"/>
  <c r="L531" i="29"/>
  <c r="M531" i="29" s="1"/>
  <c r="O530" i="29"/>
  <c r="P530" i="29" s="1"/>
  <c r="Q530" i="29" s="1"/>
  <c r="L530" i="29"/>
  <c r="M530" i="29" s="1"/>
  <c r="O529" i="29"/>
  <c r="P529" i="29" s="1"/>
  <c r="Q529" i="29" s="1"/>
  <c r="L529" i="29"/>
  <c r="M529" i="29" s="1"/>
  <c r="O528" i="29"/>
  <c r="P528" i="29" s="1"/>
  <c r="Q528" i="29" s="1"/>
  <c r="L528" i="29"/>
  <c r="M528" i="29" s="1"/>
  <c r="O527" i="29"/>
  <c r="P527" i="29" s="1"/>
  <c r="Q527" i="29" s="1"/>
  <c r="L527" i="29"/>
  <c r="M527" i="29" s="1"/>
  <c r="O526" i="29"/>
  <c r="P526" i="29" s="1"/>
  <c r="Q526" i="29" s="1"/>
  <c r="L526" i="29"/>
  <c r="M526" i="29" s="1"/>
  <c r="O525" i="29"/>
  <c r="P525" i="29" s="1"/>
  <c r="Q525" i="29" s="1"/>
  <c r="L525" i="29"/>
  <c r="M525" i="29" s="1"/>
  <c r="O524" i="29"/>
  <c r="P524" i="29" s="1"/>
  <c r="Q524" i="29" s="1"/>
  <c r="L524" i="29"/>
  <c r="M524" i="29" s="1"/>
  <c r="O523" i="29"/>
  <c r="P523" i="29" s="1"/>
  <c r="Q523" i="29" s="1"/>
  <c r="L523" i="29"/>
  <c r="M523" i="29" s="1"/>
  <c r="O522" i="29"/>
  <c r="P522" i="29" s="1"/>
  <c r="Q522" i="29" s="1"/>
  <c r="L522" i="29"/>
  <c r="M522" i="29" s="1"/>
  <c r="O521" i="29"/>
  <c r="P521" i="29" s="1"/>
  <c r="Q521" i="29" s="1"/>
  <c r="L521" i="29"/>
  <c r="M521" i="29" s="1"/>
  <c r="O520" i="29"/>
  <c r="P520" i="29" s="1"/>
  <c r="Q520" i="29" s="1"/>
  <c r="L520" i="29"/>
  <c r="M520" i="29" s="1"/>
  <c r="O519" i="29"/>
  <c r="P519" i="29" s="1"/>
  <c r="Q519" i="29" s="1"/>
  <c r="L519" i="29"/>
  <c r="M519" i="29" s="1"/>
  <c r="O518" i="29"/>
  <c r="P518" i="29" s="1"/>
  <c r="Q518" i="29" s="1"/>
  <c r="L518" i="29"/>
  <c r="M518" i="29" s="1"/>
  <c r="O517" i="29"/>
  <c r="P517" i="29" s="1"/>
  <c r="Q517" i="29" s="1"/>
  <c r="L517" i="29"/>
  <c r="M517" i="29" s="1"/>
  <c r="O516" i="29"/>
  <c r="P516" i="29" s="1"/>
  <c r="Q516" i="29" s="1"/>
  <c r="L516" i="29"/>
  <c r="M516" i="29" s="1"/>
  <c r="O515" i="29"/>
  <c r="P515" i="29" s="1"/>
  <c r="Q515" i="29" s="1"/>
  <c r="L515" i="29"/>
  <c r="M515" i="29" s="1"/>
  <c r="O514" i="29"/>
  <c r="P514" i="29" s="1"/>
  <c r="Q514" i="29" s="1"/>
  <c r="L514" i="29"/>
  <c r="M514" i="29" s="1"/>
  <c r="O513" i="29"/>
  <c r="P513" i="29" s="1"/>
  <c r="Q513" i="29" s="1"/>
  <c r="L513" i="29"/>
  <c r="M513" i="29" s="1"/>
  <c r="O512" i="29"/>
  <c r="P512" i="29" s="1"/>
  <c r="Q512" i="29" s="1"/>
  <c r="L512" i="29"/>
  <c r="M512" i="29" s="1"/>
  <c r="O511" i="29"/>
  <c r="P511" i="29" s="1"/>
  <c r="Q511" i="29" s="1"/>
  <c r="L511" i="29"/>
  <c r="M511" i="29" s="1"/>
  <c r="O510" i="29"/>
  <c r="P510" i="29" s="1"/>
  <c r="Q510" i="29" s="1"/>
  <c r="L510" i="29"/>
  <c r="M510" i="29" s="1"/>
  <c r="O509" i="29"/>
  <c r="P509" i="29" s="1"/>
  <c r="Q509" i="29" s="1"/>
  <c r="L509" i="29"/>
  <c r="M509" i="29" s="1"/>
  <c r="O508" i="29"/>
  <c r="P508" i="29" s="1"/>
  <c r="Q508" i="29" s="1"/>
  <c r="L508" i="29"/>
  <c r="M508" i="29" s="1"/>
  <c r="O507" i="29"/>
  <c r="P507" i="29" s="1"/>
  <c r="Q507" i="29" s="1"/>
  <c r="L507" i="29"/>
  <c r="M507" i="29" s="1"/>
  <c r="O506" i="29"/>
  <c r="P506" i="29" s="1"/>
  <c r="Q506" i="29" s="1"/>
  <c r="L506" i="29"/>
  <c r="M506" i="29" s="1"/>
  <c r="N505" i="29"/>
  <c r="O505" i="29" s="1"/>
  <c r="P505" i="29" s="1"/>
  <c r="Q505" i="29" s="1"/>
  <c r="L505" i="29"/>
  <c r="M505" i="29" s="1"/>
  <c r="B505" i="29"/>
  <c r="O504" i="29"/>
  <c r="P504" i="29" s="1"/>
  <c r="Q504" i="29" s="1"/>
  <c r="L504" i="29"/>
  <c r="M504" i="29" s="1"/>
  <c r="O503" i="29"/>
  <c r="P503" i="29" s="1"/>
  <c r="Q503" i="29" s="1"/>
  <c r="L503" i="29"/>
  <c r="M503" i="29" s="1"/>
  <c r="O502" i="29"/>
  <c r="P502" i="29" s="1"/>
  <c r="Q502" i="29" s="1"/>
  <c r="L502" i="29"/>
  <c r="M502" i="29" s="1"/>
  <c r="N501" i="29"/>
  <c r="O501" i="29" s="1"/>
  <c r="P501" i="29" s="1"/>
  <c r="Q501" i="29" s="1"/>
  <c r="L501" i="29"/>
  <c r="M501" i="29" s="1"/>
  <c r="B501" i="29"/>
  <c r="O500" i="29"/>
  <c r="P500" i="29" s="1"/>
  <c r="Q500" i="29" s="1"/>
  <c r="L500" i="29"/>
  <c r="M500" i="29" s="1"/>
  <c r="N499" i="29"/>
  <c r="O499" i="29" s="1"/>
  <c r="P499" i="29" s="1"/>
  <c r="Q499" i="29" s="1"/>
  <c r="L499" i="29"/>
  <c r="M499" i="29" s="1"/>
  <c r="B499" i="29"/>
  <c r="O498" i="29"/>
  <c r="P498" i="29" s="1"/>
  <c r="Q498" i="29" s="1"/>
  <c r="L498" i="29"/>
  <c r="M498" i="29" s="1"/>
  <c r="O497" i="29"/>
  <c r="P497" i="29" s="1"/>
  <c r="Q497" i="29" s="1"/>
  <c r="L497" i="29"/>
  <c r="M497" i="29" s="1"/>
  <c r="O496" i="29"/>
  <c r="P496" i="29" s="1"/>
  <c r="Q496" i="29" s="1"/>
  <c r="L496" i="29"/>
  <c r="M496" i="29" s="1"/>
  <c r="O495" i="29"/>
  <c r="P495" i="29" s="1"/>
  <c r="Q495" i="29" s="1"/>
  <c r="L495" i="29"/>
  <c r="M495" i="29" s="1"/>
  <c r="O494" i="29"/>
  <c r="P494" i="29" s="1"/>
  <c r="Q494" i="29" s="1"/>
  <c r="L494" i="29"/>
  <c r="M494" i="29" s="1"/>
  <c r="O493" i="29"/>
  <c r="P493" i="29" s="1"/>
  <c r="Q493" i="29" s="1"/>
  <c r="L493" i="29"/>
  <c r="M493" i="29" s="1"/>
  <c r="O492" i="29"/>
  <c r="P492" i="29" s="1"/>
  <c r="Q492" i="29" s="1"/>
  <c r="L492" i="29"/>
  <c r="M492" i="29" s="1"/>
  <c r="N491" i="29"/>
  <c r="O491" i="29" s="1"/>
  <c r="P491" i="29" s="1"/>
  <c r="Q491" i="29" s="1"/>
  <c r="L491" i="29"/>
  <c r="M491" i="29" s="1"/>
  <c r="B491" i="29"/>
  <c r="O490" i="29"/>
  <c r="P490" i="29" s="1"/>
  <c r="Q490" i="29" s="1"/>
  <c r="L490" i="29"/>
  <c r="M490" i="29" s="1"/>
  <c r="O489" i="29"/>
  <c r="P489" i="29" s="1"/>
  <c r="Q489" i="29" s="1"/>
  <c r="L489" i="29"/>
  <c r="M489" i="29" s="1"/>
  <c r="O488" i="29"/>
  <c r="P488" i="29" s="1"/>
  <c r="Q488" i="29" s="1"/>
  <c r="L488" i="29"/>
  <c r="M488" i="29" s="1"/>
  <c r="O487" i="29"/>
  <c r="P487" i="29" s="1"/>
  <c r="Q487" i="29" s="1"/>
  <c r="L487" i="29"/>
  <c r="M487" i="29" s="1"/>
  <c r="O486" i="29"/>
  <c r="P486" i="29" s="1"/>
  <c r="Q486" i="29" s="1"/>
  <c r="L486" i="29"/>
  <c r="M486" i="29" s="1"/>
  <c r="O485" i="29"/>
  <c r="P485" i="29" s="1"/>
  <c r="Q485" i="29" s="1"/>
  <c r="L485" i="29"/>
  <c r="M485" i="29" s="1"/>
  <c r="O484" i="29"/>
  <c r="P484" i="29" s="1"/>
  <c r="Q484" i="29" s="1"/>
  <c r="L484" i="29"/>
  <c r="M484" i="29" s="1"/>
  <c r="O483" i="29"/>
  <c r="P483" i="29" s="1"/>
  <c r="Q483" i="29" s="1"/>
  <c r="L483" i="29"/>
  <c r="M483" i="29" s="1"/>
  <c r="O482" i="29"/>
  <c r="P482" i="29" s="1"/>
  <c r="Q482" i="29" s="1"/>
  <c r="L482" i="29"/>
  <c r="M482" i="29" s="1"/>
  <c r="O481" i="29"/>
  <c r="P481" i="29" s="1"/>
  <c r="Q481" i="29" s="1"/>
  <c r="L481" i="29"/>
  <c r="M481" i="29" s="1"/>
  <c r="O480" i="29"/>
  <c r="P480" i="29" s="1"/>
  <c r="Q480" i="29" s="1"/>
  <c r="L480" i="29"/>
  <c r="M480" i="29" s="1"/>
  <c r="O479" i="29"/>
  <c r="P479" i="29" s="1"/>
  <c r="Q479" i="29" s="1"/>
  <c r="L479" i="29"/>
  <c r="M479" i="29" s="1"/>
  <c r="O478" i="29"/>
  <c r="P478" i="29" s="1"/>
  <c r="Q478" i="29" s="1"/>
  <c r="L478" i="29"/>
  <c r="M478" i="29" s="1"/>
  <c r="N477" i="29"/>
  <c r="O477" i="29" s="1"/>
  <c r="P477" i="29" s="1"/>
  <c r="Q477" i="29" s="1"/>
  <c r="L477" i="29"/>
  <c r="M477" i="29" s="1"/>
  <c r="B477" i="29"/>
  <c r="O476" i="29"/>
  <c r="P476" i="29" s="1"/>
  <c r="Q476" i="29" s="1"/>
  <c r="L476" i="29"/>
  <c r="M476" i="29" s="1"/>
  <c r="O475" i="29"/>
  <c r="P475" i="29" s="1"/>
  <c r="Q475" i="29" s="1"/>
  <c r="L475" i="29"/>
  <c r="M475" i="29" s="1"/>
  <c r="N474" i="29"/>
  <c r="O474" i="29" s="1"/>
  <c r="P474" i="29" s="1"/>
  <c r="Q474" i="29" s="1"/>
  <c r="L474" i="29"/>
  <c r="M474" i="29" s="1"/>
  <c r="B474" i="29"/>
  <c r="O473" i="29"/>
  <c r="P473" i="29" s="1"/>
  <c r="Q473" i="29" s="1"/>
  <c r="L473" i="29"/>
  <c r="M473" i="29" s="1"/>
  <c r="O472" i="29"/>
  <c r="P472" i="29" s="1"/>
  <c r="Q472" i="29" s="1"/>
  <c r="L472" i="29"/>
  <c r="M472" i="29" s="1"/>
  <c r="O471" i="29"/>
  <c r="P471" i="29" s="1"/>
  <c r="Q471" i="29" s="1"/>
  <c r="L471" i="29"/>
  <c r="M471" i="29" s="1"/>
  <c r="O470" i="29"/>
  <c r="P470" i="29" s="1"/>
  <c r="Q470" i="29" s="1"/>
  <c r="L470" i="29"/>
  <c r="M470" i="29" s="1"/>
  <c r="O469" i="29"/>
  <c r="P469" i="29" s="1"/>
  <c r="Q469" i="29" s="1"/>
  <c r="L469" i="29"/>
  <c r="M469" i="29" s="1"/>
  <c r="O468" i="29"/>
  <c r="P468" i="29" s="1"/>
  <c r="Q468" i="29" s="1"/>
  <c r="L468" i="29"/>
  <c r="M468" i="29" s="1"/>
  <c r="O467" i="29"/>
  <c r="P467" i="29" s="1"/>
  <c r="Q467" i="29" s="1"/>
  <c r="L467" i="29"/>
  <c r="M467" i="29" s="1"/>
  <c r="O466" i="29"/>
  <c r="P466" i="29" s="1"/>
  <c r="Q466" i="29" s="1"/>
  <c r="L466" i="29"/>
  <c r="M466" i="29" s="1"/>
  <c r="O465" i="29"/>
  <c r="P465" i="29" s="1"/>
  <c r="Q465" i="29" s="1"/>
  <c r="L465" i="29"/>
  <c r="M465" i="29" s="1"/>
  <c r="O464" i="29"/>
  <c r="P464" i="29" s="1"/>
  <c r="Q464" i="29" s="1"/>
  <c r="L464" i="29"/>
  <c r="M464" i="29" s="1"/>
  <c r="O463" i="29"/>
  <c r="P463" i="29" s="1"/>
  <c r="Q463" i="29" s="1"/>
  <c r="L463" i="29"/>
  <c r="M463" i="29" s="1"/>
  <c r="O462" i="29"/>
  <c r="P462" i="29" s="1"/>
  <c r="Q462" i="29" s="1"/>
  <c r="L462" i="29"/>
  <c r="M462" i="29" s="1"/>
  <c r="O461" i="29"/>
  <c r="P461" i="29" s="1"/>
  <c r="Q461" i="29" s="1"/>
  <c r="L461" i="29"/>
  <c r="M461" i="29" s="1"/>
  <c r="O460" i="29"/>
  <c r="P460" i="29" s="1"/>
  <c r="Q460" i="29" s="1"/>
  <c r="L460" i="29"/>
  <c r="M460" i="29" s="1"/>
  <c r="O459" i="29"/>
  <c r="P459" i="29" s="1"/>
  <c r="Q459" i="29" s="1"/>
  <c r="L459" i="29"/>
  <c r="M459" i="29" s="1"/>
  <c r="O458" i="29"/>
  <c r="P458" i="29" s="1"/>
  <c r="Q458" i="29" s="1"/>
  <c r="L458" i="29"/>
  <c r="M458" i="29" s="1"/>
  <c r="O457" i="29"/>
  <c r="P457" i="29" s="1"/>
  <c r="Q457" i="29" s="1"/>
  <c r="L457" i="29"/>
  <c r="M457" i="29" s="1"/>
  <c r="O456" i="29"/>
  <c r="P456" i="29" s="1"/>
  <c r="Q456" i="29" s="1"/>
  <c r="L456" i="29"/>
  <c r="M456" i="29" s="1"/>
  <c r="O455" i="29"/>
  <c r="P455" i="29" s="1"/>
  <c r="Q455" i="29" s="1"/>
  <c r="L455" i="29"/>
  <c r="M455" i="29" s="1"/>
  <c r="O454" i="29"/>
  <c r="P454" i="29" s="1"/>
  <c r="Q454" i="29" s="1"/>
  <c r="L454" i="29"/>
  <c r="M454" i="29" s="1"/>
  <c r="O453" i="29"/>
  <c r="P453" i="29" s="1"/>
  <c r="Q453" i="29" s="1"/>
  <c r="L453" i="29"/>
  <c r="M453" i="29" s="1"/>
  <c r="O452" i="29"/>
  <c r="P452" i="29" s="1"/>
  <c r="Q452" i="29" s="1"/>
  <c r="L452" i="29"/>
  <c r="M452" i="29" s="1"/>
  <c r="O451" i="29"/>
  <c r="P451" i="29" s="1"/>
  <c r="Q451" i="29" s="1"/>
  <c r="L451" i="29"/>
  <c r="M451" i="29" s="1"/>
  <c r="O450" i="29"/>
  <c r="P450" i="29" s="1"/>
  <c r="Q450" i="29" s="1"/>
  <c r="L450" i="29"/>
  <c r="M450" i="29" s="1"/>
  <c r="O449" i="29"/>
  <c r="P449" i="29" s="1"/>
  <c r="Q449" i="29" s="1"/>
  <c r="L449" i="29"/>
  <c r="M449" i="29" s="1"/>
  <c r="O448" i="29"/>
  <c r="P448" i="29" s="1"/>
  <c r="Q448" i="29" s="1"/>
  <c r="L448" i="29"/>
  <c r="M448" i="29" s="1"/>
  <c r="O447" i="29"/>
  <c r="P447" i="29" s="1"/>
  <c r="Q447" i="29" s="1"/>
  <c r="L447" i="29"/>
  <c r="M447" i="29" s="1"/>
  <c r="O446" i="29"/>
  <c r="P446" i="29" s="1"/>
  <c r="Q446" i="29" s="1"/>
  <c r="L446" i="29"/>
  <c r="M446" i="29" s="1"/>
  <c r="O445" i="29"/>
  <c r="P445" i="29" s="1"/>
  <c r="Q445" i="29" s="1"/>
  <c r="L445" i="29"/>
  <c r="M445" i="29" s="1"/>
  <c r="O444" i="29"/>
  <c r="P444" i="29" s="1"/>
  <c r="Q444" i="29" s="1"/>
  <c r="L444" i="29"/>
  <c r="M444" i="29" s="1"/>
  <c r="O443" i="29"/>
  <c r="P443" i="29" s="1"/>
  <c r="Q443" i="29" s="1"/>
  <c r="L443" i="29"/>
  <c r="M443" i="29" s="1"/>
  <c r="O442" i="29"/>
  <c r="P442" i="29" s="1"/>
  <c r="Q442" i="29" s="1"/>
  <c r="L442" i="29"/>
  <c r="M442" i="29" s="1"/>
  <c r="O441" i="29"/>
  <c r="P441" i="29" s="1"/>
  <c r="Q441" i="29" s="1"/>
  <c r="L441" i="29"/>
  <c r="M441" i="29" s="1"/>
  <c r="O440" i="29"/>
  <c r="P440" i="29" s="1"/>
  <c r="Q440" i="29" s="1"/>
  <c r="L440" i="29"/>
  <c r="M440" i="29" s="1"/>
  <c r="O439" i="29"/>
  <c r="P439" i="29" s="1"/>
  <c r="Q439" i="29" s="1"/>
  <c r="L439" i="29"/>
  <c r="M439" i="29" s="1"/>
  <c r="O438" i="29"/>
  <c r="P438" i="29" s="1"/>
  <c r="Q438" i="29" s="1"/>
  <c r="L438" i="29"/>
  <c r="M438" i="29" s="1"/>
  <c r="O437" i="29"/>
  <c r="P437" i="29" s="1"/>
  <c r="Q437" i="29" s="1"/>
  <c r="L437" i="29"/>
  <c r="M437" i="29" s="1"/>
  <c r="O436" i="29"/>
  <c r="P436" i="29" s="1"/>
  <c r="Q436" i="29" s="1"/>
  <c r="L436" i="29"/>
  <c r="M436" i="29" s="1"/>
  <c r="O435" i="29"/>
  <c r="P435" i="29" s="1"/>
  <c r="Q435" i="29" s="1"/>
  <c r="L435" i="29"/>
  <c r="M435" i="29" s="1"/>
  <c r="O434" i="29"/>
  <c r="P434" i="29" s="1"/>
  <c r="Q434" i="29" s="1"/>
  <c r="L434" i="29"/>
  <c r="M434" i="29" s="1"/>
  <c r="O433" i="29"/>
  <c r="P433" i="29" s="1"/>
  <c r="Q433" i="29" s="1"/>
  <c r="L433" i="29"/>
  <c r="M433" i="29" s="1"/>
  <c r="O432" i="29"/>
  <c r="P432" i="29" s="1"/>
  <c r="Q432" i="29" s="1"/>
  <c r="L432" i="29"/>
  <c r="M432" i="29" s="1"/>
  <c r="O431" i="29"/>
  <c r="P431" i="29" s="1"/>
  <c r="Q431" i="29" s="1"/>
  <c r="L431" i="29"/>
  <c r="M431" i="29" s="1"/>
  <c r="O430" i="29"/>
  <c r="P430" i="29" s="1"/>
  <c r="Q430" i="29" s="1"/>
  <c r="L430" i="29"/>
  <c r="M430" i="29" s="1"/>
  <c r="O429" i="29"/>
  <c r="P429" i="29" s="1"/>
  <c r="Q429" i="29" s="1"/>
  <c r="L429" i="29"/>
  <c r="M429" i="29" s="1"/>
  <c r="O428" i="29"/>
  <c r="P428" i="29" s="1"/>
  <c r="Q428" i="29" s="1"/>
  <c r="L428" i="29"/>
  <c r="M428" i="29" s="1"/>
  <c r="O427" i="29"/>
  <c r="P427" i="29" s="1"/>
  <c r="Q427" i="29" s="1"/>
  <c r="L427" i="29"/>
  <c r="M427" i="29" s="1"/>
  <c r="O426" i="29"/>
  <c r="P426" i="29" s="1"/>
  <c r="Q426" i="29" s="1"/>
  <c r="L426" i="29"/>
  <c r="M426" i="29" s="1"/>
  <c r="O425" i="29"/>
  <c r="P425" i="29" s="1"/>
  <c r="Q425" i="29" s="1"/>
  <c r="L425" i="29"/>
  <c r="M425" i="29" s="1"/>
  <c r="O424" i="29"/>
  <c r="P424" i="29" s="1"/>
  <c r="Q424" i="29" s="1"/>
  <c r="L424" i="29"/>
  <c r="M424" i="29" s="1"/>
  <c r="O423" i="29"/>
  <c r="P423" i="29" s="1"/>
  <c r="Q423" i="29" s="1"/>
  <c r="L423" i="29"/>
  <c r="M423" i="29" s="1"/>
  <c r="O422" i="29"/>
  <c r="P422" i="29" s="1"/>
  <c r="Q422" i="29" s="1"/>
  <c r="L422" i="29"/>
  <c r="M422" i="29" s="1"/>
  <c r="O421" i="29"/>
  <c r="P421" i="29" s="1"/>
  <c r="Q421" i="29" s="1"/>
  <c r="L421" i="29"/>
  <c r="M421" i="29" s="1"/>
  <c r="O420" i="29"/>
  <c r="P420" i="29" s="1"/>
  <c r="Q420" i="29" s="1"/>
  <c r="L420" i="29"/>
  <c r="M420" i="29" s="1"/>
  <c r="O409" i="29"/>
  <c r="P409" i="29" s="1"/>
  <c r="Q409" i="29" s="1"/>
  <c r="L409" i="29"/>
  <c r="M409" i="29" s="1"/>
  <c r="O408" i="29"/>
  <c r="P408" i="29" s="1"/>
  <c r="Q408" i="29" s="1"/>
  <c r="L408" i="29"/>
  <c r="M408" i="29" s="1"/>
  <c r="O407" i="29"/>
  <c r="P407" i="29" s="1"/>
  <c r="Q407" i="29" s="1"/>
  <c r="L407" i="29"/>
  <c r="M407" i="29" s="1"/>
  <c r="O406" i="29"/>
  <c r="P406" i="29" s="1"/>
  <c r="Q406" i="29" s="1"/>
  <c r="L406" i="29"/>
  <c r="M406" i="29" s="1"/>
  <c r="O405" i="29"/>
  <c r="P405" i="29" s="1"/>
  <c r="Q405" i="29" s="1"/>
  <c r="L405" i="29"/>
  <c r="M405" i="29" s="1"/>
  <c r="O404" i="29"/>
  <c r="P404" i="29" s="1"/>
  <c r="Q404" i="29" s="1"/>
  <c r="L404" i="29"/>
  <c r="M404" i="29" s="1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M401" i="29" s="1"/>
  <c r="O400" i="29"/>
  <c r="P400" i="29" s="1"/>
  <c r="Q400" i="29" s="1"/>
  <c r="L400" i="29"/>
  <c r="M400" i="29" s="1"/>
  <c r="O399" i="29"/>
  <c r="P399" i="29" s="1"/>
  <c r="Q399" i="29" s="1"/>
  <c r="L399" i="29"/>
  <c r="M399" i="29" s="1"/>
  <c r="O398" i="29"/>
  <c r="P398" i="29" s="1"/>
  <c r="Q398" i="29" s="1"/>
  <c r="L398" i="29"/>
  <c r="M398" i="29" s="1"/>
  <c r="O397" i="29"/>
  <c r="P397" i="29" s="1"/>
  <c r="Q397" i="29" s="1"/>
  <c r="L397" i="29"/>
  <c r="M397" i="29" s="1"/>
  <c r="O396" i="29"/>
  <c r="P396" i="29" s="1"/>
  <c r="Q396" i="29" s="1"/>
  <c r="L396" i="29"/>
  <c r="M396" i="29" s="1"/>
  <c r="O395" i="29"/>
  <c r="P395" i="29" s="1"/>
  <c r="Q395" i="29" s="1"/>
  <c r="L395" i="29"/>
  <c r="M395" i="29" s="1"/>
  <c r="O394" i="29"/>
  <c r="P394" i="29" s="1"/>
  <c r="Q394" i="29" s="1"/>
  <c r="L394" i="29"/>
  <c r="M394" i="29" s="1"/>
  <c r="O393" i="29"/>
  <c r="P393" i="29" s="1"/>
  <c r="Q393" i="29" s="1"/>
  <c r="L393" i="29"/>
  <c r="M393" i="29" s="1"/>
  <c r="O392" i="29"/>
  <c r="P392" i="29" s="1"/>
  <c r="Q392" i="29" s="1"/>
  <c r="L392" i="29"/>
  <c r="M392" i="29" s="1"/>
  <c r="O391" i="29"/>
  <c r="P391" i="29" s="1"/>
  <c r="Q391" i="29" s="1"/>
  <c r="L391" i="29"/>
  <c r="M391" i="29" s="1"/>
  <c r="O390" i="29"/>
  <c r="P390" i="29" s="1"/>
  <c r="Q390" i="29" s="1"/>
  <c r="L390" i="29"/>
  <c r="M390" i="29" s="1"/>
  <c r="O389" i="29"/>
  <c r="P389" i="29" s="1"/>
  <c r="Q389" i="29" s="1"/>
  <c r="L389" i="29"/>
  <c r="M389" i="29" s="1"/>
  <c r="O388" i="29"/>
  <c r="P388" i="29" s="1"/>
  <c r="Q388" i="29" s="1"/>
  <c r="L388" i="29"/>
  <c r="M388" i="29" s="1"/>
  <c r="O387" i="29"/>
  <c r="P387" i="29" s="1"/>
  <c r="Q387" i="29" s="1"/>
  <c r="L387" i="29"/>
  <c r="M387" i="29" s="1"/>
  <c r="O386" i="29"/>
  <c r="P386" i="29" s="1"/>
  <c r="Q386" i="29" s="1"/>
  <c r="L386" i="29"/>
  <c r="M386" i="29" s="1"/>
  <c r="O385" i="29"/>
  <c r="P385" i="29" s="1"/>
  <c r="Q385" i="29" s="1"/>
  <c r="L385" i="29"/>
  <c r="M385" i="29" s="1"/>
  <c r="O384" i="29"/>
  <c r="P384" i="29" s="1"/>
  <c r="Q384" i="29" s="1"/>
  <c r="L384" i="29"/>
  <c r="M384" i="29" s="1"/>
  <c r="O383" i="29"/>
  <c r="P383" i="29" s="1"/>
  <c r="Q383" i="29" s="1"/>
  <c r="L383" i="29"/>
  <c r="M383" i="29" s="1"/>
  <c r="O382" i="29"/>
  <c r="P382" i="29" s="1"/>
  <c r="Q382" i="29" s="1"/>
  <c r="L382" i="29"/>
  <c r="M382" i="29" s="1"/>
  <c r="O381" i="29"/>
  <c r="P381" i="29" s="1"/>
  <c r="Q381" i="29" s="1"/>
  <c r="L381" i="29"/>
  <c r="M381" i="29" s="1"/>
  <c r="O380" i="29"/>
  <c r="P380" i="29" s="1"/>
  <c r="Q380" i="29" s="1"/>
  <c r="L380" i="29"/>
  <c r="M380" i="29" s="1"/>
  <c r="O379" i="29"/>
  <c r="P379" i="29" s="1"/>
  <c r="Q379" i="29" s="1"/>
  <c r="L379" i="29"/>
  <c r="M379" i="29" s="1"/>
  <c r="O378" i="29"/>
  <c r="P378" i="29" s="1"/>
  <c r="Q378" i="29" s="1"/>
  <c r="L378" i="29"/>
  <c r="M378" i="29" s="1"/>
  <c r="O377" i="29"/>
  <c r="P377" i="29" s="1"/>
  <c r="Q377" i="29" s="1"/>
  <c r="L377" i="29"/>
  <c r="M377" i="29" s="1"/>
  <c r="O376" i="29"/>
  <c r="P376" i="29" s="1"/>
  <c r="Q376" i="29" s="1"/>
  <c r="L376" i="29"/>
  <c r="M376" i="29" s="1"/>
  <c r="O375" i="29"/>
  <c r="P375" i="29" s="1"/>
  <c r="Q375" i="29" s="1"/>
  <c r="L375" i="29"/>
  <c r="M375" i="29" s="1"/>
  <c r="O374" i="29"/>
  <c r="P374" i="29" s="1"/>
  <c r="Q374" i="29" s="1"/>
  <c r="L374" i="29"/>
  <c r="M374" i="29" s="1"/>
  <c r="O373" i="29"/>
  <c r="P373" i="29" s="1"/>
  <c r="Q373" i="29" s="1"/>
  <c r="L373" i="29"/>
  <c r="M373" i="29" s="1"/>
  <c r="O372" i="29"/>
  <c r="P372" i="29" s="1"/>
  <c r="Q372" i="29" s="1"/>
  <c r="L372" i="29"/>
  <c r="M372" i="29" s="1"/>
  <c r="O371" i="29"/>
  <c r="P371" i="29" s="1"/>
  <c r="Q371" i="29" s="1"/>
  <c r="L371" i="29"/>
  <c r="M371" i="29" s="1"/>
  <c r="O370" i="29"/>
  <c r="P370" i="29" s="1"/>
  <c r="Q370" i="29" s="1"/>
  <c r="L370" i="29"/>
  <c r="M370" i="29" s="1"/>
  <c r="O369" i="29"/>
  <c r="P369" i="29" s="1"/>
  <c r="Q369" i="29" s="1"/>
  <c r="L369" i="29"/>
  <c r="M369" i="29" s="1"/>
  <c r="O368" i="29"/>
  <c r="P368" i="29" s="1"/>
  <c r="Q368" i="29" s="1"/>
  <c r="L368" i="29"/>
  <c r="M368" i="29" s="1"/>
  <c r="O367" i="29"/>
  <c r="P367" i="29" s="1"/>
  <c r="Q367" i="29" s="1"/>
  <c r="L367" i="29"/>
  <c r="M367" i="29" s="1"/>
  <c r="O366" i="29"/>
  <c r="P366" i="29" s="1"/>
  <c r="Q366" i="29" s="1"/>
  <c r="L366" i="29"/>
  <c r="M366" i="29" s="1"/>
  <c r="O365" i="29"/>
  <c r="P365" i="29" s="1"/>
  <c r="Q365" i="29" s="1"/>
  <c r="L365" i="29"/>
  <c r="M365" i="29" s="1"/>
  <c r="O364" i="29"/>
  <c r="P364" i="29" s="1"/>
  <c r="Q364" i="29" s="1"/>
  <c r="L364" i="29"/>
  <c r="M364" i="29" s="1"/>
  <c r="O363" i="29"/>
  <c r="P363" i="29" s="1"/>
  <c r="Q363" i="29" s="1"/>
  <c r="L363" i="29"/>
  <c r="M363" i="29" s="1"/>
  <c r="O362" i="29"/>
  <c r="P362" i="29" s="1"/>
  <c r="Q362" i="29" s="1"/>
  <c r="L362" i="29"/>
  <c r="M362" i="29" s="1"/>
  <c r="O361" i="29"/>
  <c r="P361" i="29" s="1"/>
  <c r="Q361" i="29" s="1"/>
  <c r="L361" i="29"/>
  <c r="M361" i="29" s="1"/>
  <c r="O360" i="29"/>
  <c r="P360" i="29" s="1"/>
  <c r="Q360" i="29" s="1"/>
  <c r="L360" i="29"/>
  <c r="M360" i="29" s="1"/>
  <c r="N359" i="29"/>
  <c r="O359" i="29" s="1"/>
  <c r="P359" i="29" s="1"/>
  <c r="Q359" i="29" s="1"/>
  <c r="L359" i="29"/>
  <c r="M359" i="29" s="1"/>
  <c r="B359" i="29"/>
  <c r="N358" i="29"/>
  <c r="L358" i="29"/>
  <c r="M358" i="29" s="1"/>
  <c r="B358" i="29"/>
  <c r="O357" i="29"/>
  <c r="P357" i="29" s="1"/>
  <c r="Q357" i="29" s="1"/>
  <c r="L357" i="29"/>
  <c r="M357" i="29" s="1"/>
  <c r="O356" i="29"/>
  <c r="P356" i="29" s="1"/>
  <c r="Q356" i="29" s="1"/>
  <c r="L356" i="29"/>
  <c r="M356" i="29" s="1"/>
  <c r="O355" i="29"/>
  <c r="P355" i="29" s="1"/>
  <c r="Q355" i="29" s="1"/>
  <c r="L355" i="29"/>
  <c r="M355" i="29" s="1"/>
  <c r="O354" i="29"/>
  <c r="P354" i="29" s="1"/>
  <c r="Q354" i="29" s="1"/>
  <c r="L354" i="29"/>
  <c r="M354" i="29" s="1"/>
  <c r="O353" i="29"/>
  <c r="P353" i="29" s="1"/>
  <c r="Q353" i="29" s="1"/>
  <c r="L353" i="29"/>
  <c r="M353" i="29" s="1"/>
  <c r="O352" i="29"/>
  <c r="P352" i="29" s="1"/>
  <c r="Q352" i="29" s="1"/>
  <c r="L352" i="29"/>
  <c r="M352" i="29" s="1"/>
  <c r="O351" i="29"/>
  <c r="P351" i="29" s="1"/>
  <c r="Q351" i="29" s="1"/>
  <c r="L351" i="29"/>
  <c r="M351" i="29" s="1"/>
  <c r="O350" i="29"/>
  <c r="P350" i="29" s="1"/>
  <c r="Q350" i="29" s="1"/>
  <c r="L350" i="29"/>
  <c r="M350" i="29" s="1"/>
  <c r="O349" i="29"/>
  <c r="P349" i="29" s="1"/>
  <c r="Q349" i="29" s="1"/>
  <c r="L349" i="29"/>
  <c r="M349" i="29" s="1"/>
  <c r="O348" i="29"/>
  <c r="P348" i="29" s="1"/>
  <c r="Q348" i="29" s="1"/>
  <c r="L348" i="29"/>
  <c r="M348" i="29" s="1"/>
  <c r="O347" i="29"/>
  <c r="P347" i="29" s="1"/>
  <c r="Q347" i="29" s="1"/>
  <c r="L347" i="29"/>
  <c r="M347" i="29" s="1"/>
  <c r="O346" i="29"/>
  <c r="P346" i="29" s="1"/>
  <c r="Q346" i="29" s="1"/>
  <c r="L346" i="29"/>
  <c r="M346" i="29" s="1"/>
  <c r="O345" i="29"/>
  <c r="P345" i="29" s="1"/>
  <c r="Q345" i="29" s="1"/>
  <c r="L345" i="29"/>
  <c r="M345" i="29" s="1"/>
  <c r="O344" i="29"/>
  <c r="P344" i="29" s="1"/>
  <c r="Q344" i="29" s="1"/>
  <c r="L344" i="29"/>
  <c r="M344" i="29" s="1"/>
  <c r="O343" i="29"/>
  <c r="P343" i="29" s="1"/>
  <c r="Q343" i="29" s="1"/>
  <c r="L343" i="29"/>
  <c r="M343" i="29" s="1"/>
  <c r="N342" i="29"/>
  <c r="O342" i="29" s="1"/>
  <c r="P342" i="29" s="1"/>
  <c r="Q342" i="29" s="1"/>
  <c r="L342" i="29"/>
  <c r="M342" i="29" s="1"/>
  <c r="O341" i="29"/>
  <c r="P341" i="29" s="1"/>
  <c r="Q341" i="29" s="1"/>
  <c r="L341" i="29"/>
  <c r="M341" i="29" s="1"/>
  <c r="O340" i="29"/>
  <c r="P340" i="29" s="1"/>
  <c r="Q340" i="29" s="1"/>
  <c r="L340" i="29"/>
  <c r="M340" i="29" s="1"/>
  <c r="O339" i="29"/>
  <c r="P339" i="29" s="1"/>
  <c r="Q339" i="29" s="1"/>
  <c r="L339" i="29"/>
  <c r="M339" i="29" s="1"/>
  <c r="O338" i="29"/>
  <c r="P338" i="29" s="1"/>
  <c r="Q338" i="29" s="1"/>
  <c r="L338" i="29"/>
  <c r="M338" i="29" s="1"/>
  <c r="O337" i="29"/>
  <c r="P337" i="29" s="1"/>
  <c r="Q337" i="29" s="1"/>
  <c r="L337" i="29"/>
  <c r="M337" i="29" s="1"/>
  <c r="O336" i="29"/>
  <c r="P336" i="29" s="1"/>
  <c r="Q336" i="29" s="1"/>
  <c r="L336" i="29"/>
  <c r="M336" i="29" s="1"/>
  <c r="O335" i="29"/>
  <c r="P335" i="29" s="1"/>
  <c r="Q335" i="29" s="1"/>
  <c r="L335" i="29"/>
  <c r="M335" i="29" s="1"/>
  <c r="O334" i="29"/>
  <c r="P334" i="29" s="1"/>
  <c r="Q334" i="29" s="1"/>
  <c r="L334" i="29"/>
  <c r="M334" i="29" s="1"/>
  <c r="O333" i="29"/>
  <c r="P333" i="29" s="1"/>
  <c r="Q333" i="29" s="1"/>
  <c r="L333" i="29"/>
  <c r="M333" i="29" s="1"/>
  <c r="O332" i="29"/>
  <c r="P332" i="29" s="1"/>
  <c r="Q332" i="29" s="1"/>
  <c r="L332" i="29"/>
  <c r="M332" i="29" s="1"/>
  <c r="O331" i="29"/>
  <c r="P331" i="29" s="1"/>
  <c r="Q331" i="29" s="1"/>
  <c r="L331" i="29"/>
  <c r="M331" i="29" s="1"/>
  <c r="O330" i="29"/>
  <c r="P330" i="29" s="1"/>
  <c r="Q330" i="29" s="1"/>
  <c r="L330" i="29"/>
  <c r="M330" i="29" s="1"/>
  <c r="O329" i="29"/>
  <c r="P329" i="29" s="1"/>
  <c r="Q329" i="29" s="1"/>
  <c r="L329" i="29"/>
  <c r="M329" i="29" s="1"/>
  <c r="O328" i="29"/>
  <c r="P328" i="29" s="1"/>
  <c r="Q328" i="29" s="1"/>
  <c r="L328" i="29"/>
  <c r="M328" i="29" s="1"/>
  <c r="O327" i="29"/>
  <c r="P327" i="29" s="1"/>
  <c r="Q327" i="29" s="1"/>
  <c r="L327" i="29"/>
  <c r="M327" i="29" s="1"/>
  <c r="O326" i="29"/>
  <c r="P326" i="29" s="1"/>
  <c r="Q326" i="29" s="1"/>
  <c r="L326" i="29"/>
  <c r="M326" i="29" s="1"/>
  <c r="O325" i="29"/>
  <c r="P325" i="29" s="1"/>
  <c r="Q325" i="29" s="1"/>
  <c r="L325" i="29"/>
  <c r="M325" i="29" s="1"/>
  <c r="O324" i="29"/>
  <c r="P324" i="29" s="1"/>
  <c r="Q324" i="29" s="1"/>
  <c r="L324" i="29"/>
  <c r="M324" i="29" s="1"/>
  <c r="O323" i="29"/>
  <c r="P323" i="29" s="1"/>
  <c r="Q323" i="29" s="1"/>
  <c r="L323" i="29"/>
  <c r="M323" i="29" s="1"/>
  <c r="O322" i="29"/>
  <c r="P322" i="29" s="1"/>
  <c r="Q322" i="29" s="1"/>
  <c r="L322" i="29"/>
  <c r="M322" i="29" s="1"/>
  <c r="O321" i="29"/>
  <c r="P321" i="29" s="1"/>
  <c r="Q321" i="29" s="1"/>
  <c r="L321" i="29"/>
  <c r="M321" i="29" s="1"/>
  <c r="O320" i="29"/>
  <c r="P320" i="29" s="1"/>
  <c r="Q320" i="29" s="1"/>
  <c r="L320" i="29"/>
  <c r="M320" i="29" s="1"/>
  <c r="O319" i="29"/>
  <c r="P319" i="29" s="1"/>
  <c r="Q319" i="29" s="1"/>
  <c r="L319" i="29"/>
  <c r="M319" i="29" s="1"/>
  <c r="O318" i="29"/>
  <c r="P318" i="29" s="1"/>
  <c r="Q318" i="29" s="1"/>
  <c r="L318" i="29"/>
  <c r="M318" i="29" s="1"/>
  <c r="O317" i="29"/>
  <c r="P317" i="29" s="1"/>
  <c r="Q317" i="29" s="1"/>
  <c r="L317" i="29"/>
  <c r="M317" i="29" s="1"/>
  <c r="O316" i="29"/>
  <c r="P316" i="29" s="1"/>
  <c r="Q316" i="29" s="1"/>
  <c r="L316" i="29"/>
  <c r="M316" i="29" s="1"/>
  <c r="O315" i="29"/>
  <c r="P315" i="29" s="1"/>
  <c r="Q315" i="29" s="1"/>
  <c r="L315" i="29"/>
  <c r="M315" i="29" s="1"/>
  <c r="O314" i="29"/>
  <c r="P314" i="29" s="1"/>
  <c r="Q314" i="29" s="1"/>
  <c r="L314" i="29"/>
  <c r="M314" i="29" s="1"/>
  <c r="O313" i="29"/>
  <c r="P313" i="29" s="1"/>
  <c r="Q313" i="29" s="1"/>
  <c r="L313" i="29"/>
  <c r="M313" i="29" s="1"/>
  <c r="O312" i="29"/>
  <c r="P312" i="29" s="1"/>
  <c r="Q312" i="29" s="1"/>
  <c r="L312" i="29"/>
  <c r="M312" i="29" s="1"/>
  <c r="O311" i="29"/>
  <c r="P311" i="29" s="1"/>
  <c r="Q311" i="29" s="1"/>
  <c r="L311" i="29"/>
  <c r="M311" i="29" s="1"/>
  <c r="O310" i="29"/>
  <c r="P310" i="29" s="1"/>
  <c r="Q310" i="29" s="1"/>
  <c r="L310" i="29"/>
  <c r="M310" i="29" s="1"/>
  <c r="O309" i="29"/>
  <c r="P309" i="29" s="1"/>
  <c r="Q309" i="29" s="1"/>
  <c r="L309" i="29"/>
  <c r="M309" i="29" s="1"/>
  <c r="O308" i="29"/>
  <c r="P308" i="29" s="1"/>
  <c r="Q308" i="29" s="1"/>
  <c r="L308" i="29"/>
  <c r="M308" i="29" s="1"/>
  <c r="N307" i="29"/>
  <c r="O307" i="29" s="1"/>
  <c r="P307" i="29" s="1"/>
  <c r="Q307" i="29" s="1"/>
  <c r="L307" i="29"/>
  <c r="M307" i="29" s="1"/>
  <c r="O306" i="29"/>
  <c r="P306" i="29" s="1"/>
  <c r="Q306" i="29" s="1"/>
  <c r="L306" i="29"/>
  <c r="M306" i="29" s="1"/>
  <c r="O305" i="29"/>
  <c r="P305" i="29" s="1"/>
  <c r="Q305" i="29" s="1"/>
  <c r="L305" i="29"/>
  <c r="M305" i="29" s="1"/>
  <c r="O304" i="29"/>
  <c r="P304" i="29" s="1"/>
  <c r="Q304" i="29" s="1"/>
  <c r="L304" i="29"/>
  <c r="M304" i="29" s="1"/>
  <c r="O303" i="29"/>
  <c r="P303" i="29" s="1"/>
  <c r="Q303" i="29" s="1"/>
  <c r="L303" i="29"/>
  <c r="M303" i="29" s="1"/>
  <c r="O302" i="29"/>
  <c r="P302" i="29" s="1"/>
  <c r="Q302" i="29" s="1"/>
  <c r="L302" i="29"/>
  <c r="M302" i="29" s="1"/>
  <c r="O301" i="29"/>
  <c r="P301" i="29" s="1"/>
  <c r="Q301" i="29" s="1"/>
  <c r="L301" i="29"/>
  <c r="M301" i="29" s="1"/>
  <c r="O300" i="29"/>
  <c r="P300" i="29" s="1"/>
  <c r="Q300" i="29" s="1"/>
  <c r="L300" i="29"/>
  <c r="M300" i="29" s="1"/>
  <c r="O299" i="29"/>
  <c r="P299" i="29" s="1"/>
  <c r="Q299" i="29" s="1"/>
  <c r="L299" i="29"/>
  <c r="M299" i="29" s="1"/>
  <c r="O298" i="29"/>
  <c r="P298" i="29" s="1"/>
  <c r="Q298" i="29" s="1"/>
  <c r="L298" i="29"/>
  <c r="M298" i="29" s="1"/>
  <c r="O297" i="29"/>
  <c r="P297" i="29" s="1"/>
  <c r="Q297" i="29" s="1"/>
  <c r="L297" i="29"/>
  <c r="M297" i="29" s="1"/>
  <c r="O296" i="29"/>
  <c r="P296" i="29" s="1"/>
  <c r="Q296" i="29" s="1"/>
  <c r="L296" i="29"/>
  <c r="M296" i="29" s="1"/>
  <c r="O295" i="29"/>
  <c r="P295" i="29" s="1"/>
  <c r="Q295" i="29" s="1"/>
  <c r="L295" i="29"/>
  <c r="M295" i="29" s="1"/>
  <c r="O294" i="29"/>
  <c r="P294" i="29" s="1"/>
  <c r="Q294" i="29" s="1"/>
  <c r="L294" i="29"/>
  <c r="M294" i="29" s="1"/>
  <c r="O293" i="29"/>
  <c r="P293" i="29" s="1"/>
  <c r="Q293" i="29" s="1"/>
  <c r="L293" i="29"/>
  <c r="M293" i="29" s="1"/>
  <c r="O292" i="29"/>
  <c r="P292" i="29" s="1"/>
  <c r="Q292" i="29" s="1"/>
  <c r="L292" i="29"/>
  <c r="M292" i="29" s="1"/>
  <c r="O291" i="29"/>
  <c r="P291" i="29" s="1"/>
  <c r="Q291" i="29" s="1"/>
  <c r="L291" i="29"/>
  <c r="M291" i="29" s="1"/>
  <c r="O290" i="29"/>
  <c r="P290" i="29" s="1"/>
  <c r="Q290" i="29" s="1"/>
  <c r="L290" i="29"/>
  <c r="M290" i="29" s="1"/>
  <c r="O289" i="29"/>
  <c r="P289" i="29" s="1"/>
  <c r="Q289" i="29" s="1"/>
  <c r="L289" i="29"/>
  <c r="M289" i="29" s="1"/>
  <c r="O288" i="29"/>
  <c r="P288" i="29" s="1"/>
  <c r="Q288" i="29" s="1"/>
  <c r="L288" i="29"/>
  <c r="M288" i="29" s="1"/>
  <c r="O287" i="29"/>
  <c r="P287" i="29" s="1"/>
  <c r="Q287" i="29" s="1"/>
  <c r="L287" i="29"/>
  <c r="M287" i="29" s="1"/>
  <c r="O286" i="29"/>
  <c r="P286" i="29" s="1"/>
  <c r="Q286" i="29" s="1"/>
  <c r="L286" i="29"/>
  <c r="M286" i="29" s="1"/>
  <c r="O285" i="29"/>
  <c r="P285" i="29" s="1"/>
  <c r="Q285" i="29" s="1"/>
  <c r="L285" i="29"/>
  <c r="M285" i="29" s="1"/>
  <c r="O284" i="29"/>
  <c r="P284" i="29" s="1"/>
  <c r="Q284" i="29" s="1"/>
  <c r="L284" i="29"/>
  <c r="M284" i="29" s="1"/>
  <c r="O283" i="29"/>
  <c r="P283" i="29" s="1"/>
  <c r="Q283" i="29" s="1"/>
  <c r="L283" i="29"/>
  <c r="M283" i="29" s="1"/>
  <c r="O282" i="29"/>
  <c r="P282" i="29" s="1"/>
  <c r="Q282" i="29" s="1"/>
  <c r="L282" i="29"/>
  <c r="M282" i="29" s="1"/>
  <c r="O281" i="29"/>
  <c r="P281" i="29" s="1"/>
  <c r="Q281" i="29" s="1"/>
  <c r="L281" i="29"/>
  <c r="M281" i="29" s="1"/>
  <c r="O280" i="29"/>
  <c r="P280" i="29" s="1"/>
  <c r="Q280" i="29" s="1"/>
  <c r="L280" i="29"/>
  <c r="M280" i="29" s="1"/>
  <c r="O279" i="29"/>
  <c r="P279" i="29" s="1"/>
  <c r="Q279" i="29" s="1"/>
  <c r="L279" i="29"/>
  <c r="M279" i="29" s="1"/>
  <c r="O278" i="29"/>
  <c r="P278" i="29" s="1"/>
  <c r="Q278" i="29" s="1"/>
  <c r="L278" i="29"/>
  <c r="M278" i="29" s="1"/>
  <c r="O277" i="29"/>
  <c r="P277" i="29" s="1"/>
  <c r="Q277" i="29" s="1"/>
  <c r="L277" i="29"/>
  <c r="M277" i="29" s="1"/>
  <c r="O276" i="29"/>
  <c r="P276" i="29" s="1"/>
  <c r="Q276" i="29" s="1"/>
  <c r="L276" i="29"/>
  <c r="M276" i="29" s="1"/>
  <c r="O275" i="29"/>
  <c r="P275" i="29" s="1"/>
  <c r="Q275" i="29" s="1"/>
  <c r="L275" i="29"/>
  <c r="M275" i="29" s="1"/>
  <c r="O274" i="29"/>
  <c r="P274" i="29" s="1"/>
  <c r="Q274" i="29" s="1"/>
  <c r="L274" i="29"/>
  <c r="M274" i="29" s="1"/>
  <c r="O273" i="29"/>
  <c r="P273" i="29" s="1"/>
  <c r="Q273" i="29" s="1"/>
  <c r="L273" i="29"/>
  <c r="M273" i="29" s="1"/>
  <c r="O272" i="29"/>
  <c r="P272" i="29" s="1"/>
  <c r="Q272" i="29" s="1"/>
  <c r="L272" i="29"/>
  <c r="M272" i="29" s="1"/>
  <c r="O271" i="29"/>
  <c r="P271" i="29" s="1"/>
  <c r="Q271" i="29" s="1"/>
  <c r="L271" i="29"/>
  <c r="M271" i="29" s="1"/>
  <c r="O270" i="29"/>
  <c r="P270" i="29" s="1"/>
  <c r="Q270" i="29" s="1"/>
  <c r="L270" i="29"/>
  <c r="M270" i="29" s="1"/>
  <c r="O269" i="29"/>
  <c r="P269" i="29" s="1"/>
  <c r="Q269" i="29" s="1"/>
  <c r="L269" i="29"/>
  <c r="M269" i="29" s="1"/>
  <c r="O268" i="29"/>
  <c r="P268" i="29" s="1"/>
  <c r="Q268" i="29" s="1"/>
  <c r="L268" i="29"/>
  <c r="M268" i="29" s="1"/>
  <c r="O267" i="29"/>
  <c r="P267" i="29" s="1"/>
  <c r="Q267" i="29" s="1"/>
  <c r="L267" i="29"/>
  <c r="M267" i="29" s="1"/>
  <c r="O266" i="29"/>
  <c r="P266" i="29" s="1"/>
  <c r="Q266" i="29" s="1"/>
  <c r="L266" i="29"/>
  <c r="M266" i="29" s="1"/>
  <c r="O265" i="29"/>
  <c r="P265" i="29" s="1"/>
  <c r="Q265" i="29" s="1"/>
  <c r="L265" i="29"/>
  <c r="M265" i="29" s="1"/>
  <c r="O264" i="29"/>
  <c r="P264" i="29" s="1"/>
  <c r="Q264" i="29" s="1"/>
  <c r="L264" i="29"/>
  <c r="M264" i="29" s="1"/>
  <c r="O263" i="29"/>
  <c r="P263" i="29" s="1"/>
  <c r="Q263" i="29" s="1"/>
  <c r="L263" i="29"/>
  <c r="M263" i="29" s="1"/>
  <c r="O262" i="29"/>
  <c r="P262" i="29" s="1"/>
  <c r="Q262" i="29" s="1"/>
  <c r="L262" i="29"/>
  <c r="M262" i="29" s="1"/>
  <c r="O261" i="29"/>
  <c r="P261" i="29" s="1"/>
  <c r="Q261" i="29" s="1"/>
  <c r="L261" i="29"/>
  <c r="M261" i="29" s="1"/>
  <c r="O260" i="29"/>
  <c r="P260" i="29" s="1"/>
  <c r="Q260" i="29" s="1"/>
  <c r="L260" i="29"/>
  <c r="M260" i="29" s="1"/>
  <c r="O259" i="29"/>
  <c r="P259" i="29" s="1"/>
  <c r="Q259" i="29" s="1"/>
  <c r="L259" i="29"/>
  <c r="M259" i="29" s="1"/>
  <c r="O258" i="29"/>
  <c r="P258" i="29" s="1"/>
  <c r="Q258" i="29" s="1"/>
  <c r="L258" i="29"/>
  <c r="M258" i="29" s="1"/>
  <c r="O257" i="29"/>
  <c r="P257" i="29" s="1"/>
  <c r="Q257" i="29" s="1"/>
  <c r="L257" i="29"/>
  <c r="M257" i="29" s="1"/>
  <c r="O256" i="29"/>
  <c r="P256" i="29" s="1"/>
  <c r="Q256" i="29" s="1"/>
  <c r="L256" i="29"/>
  <c r="M256" i="29" s="1"/>
  <c r="O255" i="29"/>
  <c r="P255" i="29" s="1"/>
  <c r="Q255" i="29" s="1"/>
  <c r="L255" i="29"/>
  <c r="M255" i="29" s="1"/>
  <c r="O254" i="29"/>
  <c r="P254" i="29" s="1"/>
  <c r="Q254" i="29" s="1"/>
  <c r="L254" i="29"/>
  <c r="M254" i="29" s="1"/>
  <c r="O253" i="29"/>
  <c r="P253" i="29" s="1"/>
  <c r="Q253" i="29" s="1"/>
  <c r="L253" i="29"/>
  <c r="M253" i="29" s="1"/>
  <c r="O252" i="29"/>
  <c r="P252" i="29" s="1"/>
  <c r="Q252" i="29" s="1"/>
  <c r="L252" i="29"/>
  <c r="M252" i="29" s="1"/>
  <c r="O251" i="29"/>
  <c r="L251" i="29"/>
  <c r="M251" i="29" s="1"/>
  <c r="O243" i="29"/>
  <c r="P243" i="29" s="1"/>
  <c r="Q243" i="29" s="1"/>
  <c r="L243" i="29"/>
  <c r="M243" i="29" s="1"/>
  <c r="O242" i="29"/>
  <c r="P242" i="29" s="1"/>
  <c r="Q242" i="29" s="1"/>
  <c r="L242" i="29"/>
  <c r="M242" i="29" s="1"/>
  <c r="O241" i="29"/>
  <c r="P241" i="29" s="1"/>
  <c r="Q241" i="29" s="1"/>
  <c r="L241" i="29"/>
  <c r="M241" i="29" s="1"/>
  <c r="O240" i="29"/>
  <c r="P240" i="29" s="1"/>
  <c r="Q240" i="29" s="1"/>
  <c r="L240" i="29"/>
  <c r="M240" i="29" s="1"/>
  <c r="O239" i="29"/>
  <c r="P239" i="29" s="1"/>
  <c r="Q239" i="29" s="1"/>
  <c r="L239" i="29"/>
  <c r="M239" i="29" s="1"/>
  <c r="O238" i="29"/>
  <c r="P238" i="29" s="1"/>
  <c r="Q238" i="29" s="1"/>
  <c r="L238" i="29"/>
  <c r="M238" i="29" s="1"/>
  <c r="O237" i="29"/>
  <c r="P237" i="29" s="1"/>
  <c r="Q237" i="29" s="1"/>
  <c r="L237" i="29"/>
  <c r="M237" i="29" s="1"/>
  <c r="O236" i="29"/>
  <c r="P236" i="29" s="1"/>
  <c r="Q236" i="29" s="1"/>
  <c r="L236" i="29"/>
  <c r="M236" i="29" s="1"/>
  <c r="O235" i="29"/>
  <c r="P235" i="29" s="1"/>
  <c r="Q235" i="29" s="1"/>
  <c r="L235" i="29"/>
  <c r="M235" i="29" s="1"/>
  <c r="O234" i="29"/>
  <c r="P234" i="29" s="1"/>
  <c r="Q234" i="29" s="1"/>
  <c r="L234" i="29"/>
  <c r="M234" i="29" s="1"/>
  <c r="O233" i="29"/>
  <c r="P233" i="29" s="1"/>
  <c r="Q233" i="29" s="1"/>
  <c r="L233" i="29"/>
  <c r="M233" i="29" s="1"/>
  <c r="O232" i="29"/>
  <c r="P232" i="29" s="1"/>
  <c r="Q232" i="29" s="1"/>
  <c r="L232" i="29"/>
  <c r="M232" i="29" s="1"/>
  <c r="N231" i="29"/>
  <c r="L231" i="29"/>
  <c r="M231" i="29" s="1"/>
  <c r="N230" i="29"/>
  <c r="L230" i="29"/>
  <c r="M230" i="29" s="1"/>
  <c r="B230" i="29"/>
  <c r="O229" i="29"/>
  <c r="P229" i="29" s="1"/>
  <c r="Q229" i="29" s="1"/>
  <c r="L229" i="29"/>
  <c r="M229" i="29" s="1"/>
  <c r="O228" i="29"/>
  <c r="P228" i="29" s="1"/>
  <c r="Q228" i="29" s="1"/>
  <c r="L228" i="29"/>
  <c r="M228" i="29" s="1"/>
  <c r="O227" i="29"/>
  <c r="P227" i="29" s="1"/>
  <c r="Q227" i="29" s="1"/>
  <c r="L227" i="29"/>
  <c r="M227" i="29" s="1"/>
  <c r="O226" i="29"/>
  <c r="P226" i="29" s="1"/>
  <c r="Q226" i="29" s="1"/>
  <c r="L226" i="29"/>
  <c r="M226" i="29" s="1"/>
  <c r="O225" i="29"/>
  <c r="P225" i="29" s="1"/>
  <c r="Q225" i="29" s="1"/>
  <c r="L225" i="29"/>
  <c r="M225" i="29" s="1"/>
  <c r="O224" i="29"/>
  <c r="P224" i="29" s="1"/>
  <c r="Q224" i="29" s="1"/>
  <c r="L224" i="29"/>
  <c r="M224" i="29" s="1"/>
  <c r="O223" i="29"/>
  <c r="P223" i="29" s="1"/>
  <c r="Q223" i="29" s="1"/>
  <c r="L223" i="29"/>
  <c r="M223" i="29" s="1"/>
  <c r="O222" i="29"/>
  <c r="P222" i="29" s="1"/>
  <c r="Q222" i="29" s="1"/>
  <c r="L222" i="29"/>
  <c r="M222" i="29" s="1"/>
  <c r="N221" i="29"/>
  <c r="O221" i="29" s="1"/>
  <c r="P221" i="29" s="1"/>
  <c r="Q221" i="29" s="1"/>
  <c r="L221" i="29"/>
  <c r="M221" i="29" s="1"/>
  <c r="B221" i="29"/>
  <c r="O220" i="29"/>
  <c r="P220" i="29" s="1"/>
  <c r="Q220" i="29" s="1"/>
  <c r="L220" i="29"/>
  <c r="M220" i="29" s="1"/>
  <c r="O219" i="29"/>
  <c r="P219" i="29" s="1"/>
  <c r="Q219" i="29" s="1"/>
  <c r="L219" i="29"/>
  <c r="M219" i="29" s="1"/>
  <c r="O218" i="29"/>
  <c r="P218" i="29" s="1"/>
  <c r="Q218" i="29" s="1"/>
  <c r="L218" i="29"/>
  <c r="M218" i="29" s="1"/>
  <c r="O217" i="29"/>
  <c r="P217" i="29" s="1"/>
  <c r="Q217" i="29" s="1"/>
  <c r="L217" i="29"/>
  <c r="M217" i="29" s="1"/>
  <c r="O216" i="29"/>
  <c r="P216" i="29" s="1"/>
  <c r="Q216" i="29" s="1"/>
  <c r="L216" i="29"/>
  <c r="M216" i="29" s="1"/>
  <c r="O215" i="29"/>
  <c r="P215" i="29" s="1"/>
  <c r="Q215" i="29" s="1"/>
  <c r="L215" i="29"/>
  <c r="M215" i="29" s="1"/>
  <c r="O214" i="29"/>
  <c r="P214" i="29" s="1"/>
  <c r="Q214" i="29" s="1"/>
  <c r="L214" i="29"/>
  <c r="M214" i="29" s="1"/>
  <c r="O213" i="29"/>
  <c r="P213" i="29" s="1"/>
  <c r="Q213" i="29" s="1"/>
  <c r="L213" i="29"/>
  <c r="M213" i="29" s="1"/>
  <c r="O212" i="29"/>
  <c r="P212" i="29" s="1"/>
  <c r="Q212" i="29" s="1"/>
  <c r="L212" i="29"/>
  <c r="M212" i="29" s="1"/>
  <c r="O211" i="29"/>
  <c r="P211" i="29" s="1"/>
  <c r="Q211" i="29" s="1"/>
  <c r="L211" i="29"/>
  <c r="M211" i="29" s="1"/>
  <c r="O210" i="29"/>
  <c r="P210" i="29" s="1"/>
  <c r="Q210" i="29" s="1"/>
  <c r="L210" i="29"/>
  <c r="M210" i="29" s="1"/>
  <c r="O209" i="29"/>
  <c r="P209" i="29" s="1"/>
  <c r="Q209" i="29" s="1"/>
  <c r="L209" i="29"/>
  <c r="M209" i="29" s="1"/>
  <c r="N208" i="29"/>
  <c r="L208" i="29"/>
  <c r="M208" i="29" s="1"/>
  <c r="O207" i="29"/>
  <c r="P207" i="29" s="1"/>
  <c r="Q207" i="29" s="1"/>
  <c r="L207" i="29"/>
  <c r="M207" i="29" s="1"/>
  <c r="O206" i="29"/>
  <c r="P206" i="29" s="1"/>
  <c r="Q206" i="29" s="1"/>
  <c r="L206" i="29"/>
  <c r="M206" i="29" s="1"/>
  <c r="O205" i="29"/>
  <c r="P205" i="29" s="1"/>
  <c r="Q205" i="29" s="1"/>
  <c r="L205" i="29"/>
  <c r="M205" i="29" s="1"/>
  <c r="O204" i="29"/>
  <c r="P204" i="29" s="1"/>
  <c r="Q204" i="29" s="1"/>
  <c r="L204" i="29"/>
  <c r="M204" i="29" s="1"/>
  <c r="O203" i="29"/>
  <c r="P203" i="29" s="1"/>
  <c r="Q203" i="29" s="1"/>
  <c r="L203" i="29"/>
  <c r="M203" i="29" s="1"/>
  <c r="O202" i="29"/>
  <c r="P202" i="29" s="1"/>
  <c r="Q202" i="29" s="1"/>
  <c r="L202" i="29"/>
  <c r="M202" i="29" s="1"/>
  <c r="O201" i="29"/>
  <c r="P201" i="29" s="1"/>
  <c r="Q201" i="29" s="1"/>
  <c r="L201" i="29"/>
  <c r="M201" i="29" s="1"/>
  <c r="O200" i="29"/>
  <c r="P200" i="29" s="1"/>
  <c r="Q200" i="29" s="1"/>
  <c r="L200" i="29"/>
  <c r="M200" i="29" s="1"/>
  <c r="O199" i="29"/>
  <c r="P199" i="29" s="1"/>
  <c r="Q199" i="29" s="1"/>
  <c r="L199" i="29"/>
  <c r="M199" i="29" s="1"/>
  <c r="N198" i="29"/>
  <c r="O198" i="29" s="1"/>
  <c r="P198" i="29" s="1"/>
  <c r="Q198" i="29" s="1"/>
  <c r="L198" i="29"/>
  <c r="M198" i="29" s="1"/>
  <c r="B198" i="29"/>
  <c r="O197" i="29"/>
  <c r="P197" i="29" s="1"/>
  <c r="L197" i="29"/>
  <c r="M197" i="29" s="1"/>
  <c r="O159" i="29"/>
  <c r="P159" i="29" s="1"/>
  <c r="Q159" i="29" s="1"/>
  <c r="L159" i="29"/>
  <c r="M159" i="29" s="1"/>
  <c r="O158" i="29"/>
  <c r="P158" i="29" s="1"/>
  <c r="Q158" i="29" s="1"/>
  <c r="L158" i="29"/>
  <c r="M158" i="29" s="1"/>
  <c r="O157" i="29"/>
  <c r="P157" i="29" s="1"/>
  <c r="Q157" i="29" s="1"/>
  <c r="L157" i="29"/>
  <c r="M157" i="29" s="1"/>
  <c r="O174" i="29"/>
  <c r="P174" i="29" s="1"/>
  <c r="Q174" i="29" s="1"/>
  <c r="L174" i="29"/>
  <c r="M174" i="29" s="1"/>
  <c r="O77" i="29"/>
  <c r="P77" i="29" s="1"/>
  <c r="Q77" i="29" s="1"/>
  <c r="L77" i="29"/>
  <c r="M77" i="29" s="1"/>
  <c r="O91" i="29"/>
  <c r="P91" i="29" s="1"/>
  <c r="Q91" i="29" s="1"/>
  <c r="L91" i="29"/>
  <c r="M91" i="29" s="1"/>
  <c r="O161" i="29"/>
  <c r="P161" i="29" s="1"/>
  <c r="Q161" i="29" s="1"/>
  <c r="L161" i="29"/>
  <c r="M161" i="29" s="1"/>
  <c r="O166" i="29"/>
  <c r="P166" i="29" s="1"/>
  <c r="Q166" i="29" s="1"/>
  <c r="L166" i="29"/>
  <c r="M166" i="29" s="1"/>
  <c r="O173" i="29"/>
  <c r="P173" i="29" s="1"/>
  <c r="Q173" i="29" s="1"/>
  <c r="L173" i="29"/>
  <c r="M173" i="29" s="1"/>
  <c r="O150" i="29"/>
  <c r="P150" i="29" s="1"/>
  <c r="Q150" i="29" s="1"/>
  <c r="L150" i="29"/>
  <c r="M150" i="29" s="1"/>
  <c r="O154" i="29"/>
  <c r="P154" i="29" s="1"/>
  <c r="Q154" i="29" s="1"/>
  <c r="L154" i="29"/>
  <c r="M154" i="29" s="1"/>
  <c r="O153" i="29"/>
  <c r="P153" i="29" s="1"/>
  <c r="Q153" i="29" s="1"/>
  <c r="L153" i="29"/>
  <c r="M153" i="29" s="1"/>
  <c r="O152" i="29"/>
  <c r="P152" i="29" s="1"/>
  <c r="Q152" i="29" s="1"/>
  <c r="L152" i="29"/>
  <c r="M152" i="29" s="1"/>
  <c r="O151" i="29"/>
  <c r="P151" i="29" s="1"/>
  <c r="Q151" i="29" s="1"/>
  <c r="L151" i="29"/>
  <c r="M151" i="29" s="1"/>
  <c r="O149" i="29"/>
  <c r="P149" i="29" s="1"/>
  <c r="Q149" i="29" s="1"/>
  <c r="L149" i="29"/>
  <c r="M149" i="29" s="1"/>
  <c r="O99" i="29"/>
  <c r="P99" i="29" s="1"/>
  <c r="Q99" i="29" s="1"/>
  <c r="L99" i="29"/>
  <c r="M99" i="29" s="1"/>
  <c r="O126" i="29"/>
  <c r="P126" i="29" s="1"/>
  <c r="Q126" i="29" s="1"/>
  <c r="L126" i="29"/>
  <c r="M126" i="29" s="1"/>
  <c r="O90" i="29"/>
  <c r="P90" i="29" s="1"/>
  <c r="Q90" i="29" s="1"/>
  <c r="L90" i="29"/>
  <c r="M90" i="29" s="1"/>
  <c r="O108" i="29"/>
  <c r="P108" i="29" s="1"/>
  <c r="Q108" i="29" s="1"/>
  <c r="L108" i="29"/>
  <c r="M108" i="29" s="1"/>
  <c r="O107" i="29"/>
  <c r="P107" i="29" s="1"/>
  <c r="Q107" i="29" s="1"/>
  <c r="L107" i="29"/>
  <c r="M107" i="29" s="1"/>
  <c r="O84" i="29"/>
  <c r="P84" i="29" s="1"/>
  <c r="Q84" i="29" s="1"/>
  <c r="L84" i="29"/>
  <c r="M84" i="29" s="1"/>
  <c r="O83" i="29"/>
  <c r="P83" i="29" s="1"/>
  <c r="Q83" i="29" s="1"/>
  <c r="L83" i="29"/>
  <c r="M83" i="29" s="1"/>
  <c r="O82" i="29"/>
  <c r="P82" i="29" s="1"/>
  <c r="Q82" i="29" s="1"/>
  <c r="L82" i="29"/>
  <c r="M82" i="29" s="1"/>
  <c r="O106" i="29"/>
  <c r="P106" i="29" s="1"/>
  <c r="Q106" i="29" s="1"/>
  <c r="L106" i="29"/>
  <c r="M106" i="29" s="1"/>
  <c r="O81" i="29"/>
  <c r="P81" i="29" s="1"/>
  <c r="Q81" i="29" s="1"/>
  <c r="L81" i="29"/>
  <c r="M81" i="29" s="1"/>
  <c r="O165" i="29"/>
  <c r="P165" i="29" s="1"/>
  <c r="Q165" i="29" s="1"/>
  <c r="L165" i="29"/>
  <c r="M165" i="29" s="1"/>
  <c r="O164" i="29"/>
  <c r="P164" i="29" s="1"/>
  <c r="Q164" i="29" s="1"/>
  <c r="L164" i="29"/>
  <c r="M164" i="29" s="1"/>
  <c r="O105" i="29"/>
  <c r="P105" i="29" s="1"/>
  <c r="Q105" i="29" s="1"/>
  <c r="L105" i="29"/>
  <c r="M105" i="29" s="1"/>
  <c r="O104" i="29"/>
  <c r="P104" i="29" s="1"/>
  <c r="Q104" i="29" s="1"/>
  <c r="L104" i="29"/>
  <c r="M104" i="29" s="1"/>
  <c r="O134" i="29"/>
  <c r="P134" i="29" s="1"/>
  <c r="Q134" i="29" s="1"/>
  <c r="L134" i="29"/>
  <c r="M134" i="29" s="1"/>
  <c r="O133" i="29"/>
  <c r="P133" i="29" s="1"/>
  <c r="Q133" i="29" s="1"/>
  <c r="L133" i="29"/>
  <c r="M133" i="29" s="1"/>
  <c r="N94" i="29"/>
  <c r="O94" i="29" s="1"/>
  <c r="P94" i="29" s="1"/>
  <c r="Q94" i="29" s="1"/>
  <c r="L94" i="29"/>
  <c r="M94" i="29" s="1"/>
  <c r="O156" i="29"/>
  <c r="P156" i="29" s="1"/>
  <c r="Q156" i="29" s="1"/>
  <c r="L156" i="29"/>
  <c r="M156" i="29" s="1"/>
  <c r="O147" i="29"/>
  <c r="P147" i="29" s="1"/>
  <c r="Q147" i="29" s="1"/>
  <c r="L147" i="29"/>
  <c r="M147" i="29" s="1"/>
  <c r="O141" i="29"/>
  <c r="P141" i="29" s="1"/>
  <c r="Q141" i="29" s="1"/>
  <c r="L141" i="29"/>
  <c r="M141" i="29" s="1"/>
  <c r="O160" i="29"/>
  <c r="P160" i="29" s="1"/>
  <c r="Q160" i="29" s="1"/>
  <c r="L160" i="29"/>
  <c r="M160" i="29" s="1"/>
  <c r="O144" i="29"/>
  <c r="P144" i="29" s="1"/>
  <c r="Q144" i="29" s="1"/>
  <c r="L144" i="29"/>
  <c r="M144" i="29" s="1"/>
  <c r="O85" i="29"/>
  <c r="P85" i="29" s="1"/>
  <c r="Q85" i="29" s="1"/>
  <c r="L85" i="29"/>
  <c r="M85" i="29" s="1"/>
  <c r="O47" i="29"/>
  <c r="P47" i="29" s="1"/>
  <c r="Q47" i="29" s="1"/>
  <c r="L47" i="29"/>
  <c r="M47" i="29" s="1"/>
  <c r="O64" i="29"/>
  <c r="P64" i="29" s="1"/>
  <c r="Q64" i="29" s="1"/>
  <c r="L64" i="29"/>
  <c r="M64" i="29" s="1"/>
  <c r="O89" i="29"/>
  <c r="P89" i="29" s="1"/>
  <c r="Q89" i="29" s="1"/>
  <c r="L89" i="29"/>
  <c r="M89" i="29" s="1"/>
  <c r="O58" i="29"/>
  <c r="P58" i="29" s="1"/>
  <c r="Q58" i="29" s="1"/>
  <c r="L58" i="29"/>
  <c r="M58" i="29" s="1"/>
  <c r="O114" i="29"/>
  <c r="P114" i="29" s="1"/>
  <c r="Q114" i="29" s="1"/>
  <c r="L114" i="29"/>
  <c r="M114" i="29" s="1"/>
  <c r="N122" i="29"/>
  <c r="O122" i="29" s="1"/>
  <c r="P122" i="29" s="1"/>
  <c r="Q122" i="29" s="1"/>
  <c r="L122" i="29"/>
  <c r="M122" i="29" s="1"/>
  <c r="O113" i="29"/>
  <c r="P113" i="29" s="1"/>
  <c r="Q113" i="29" s="1"/>
  <c r="L113" i="29"/>
  <c r="M113" i="29" s="1"/>
  <c r="O163" i="29"/>
  <c r="P163" i="29" s="1"/>
  <c r="Q163" i="29" s="1"/>
  <c r="L163" i="29"/>
  <c r="M163" i="29" s="1"/>
  <c r="O137" i="29"/>
  <c r="P137" i="29" s="1"/>
  <c r="Q137" i="29" s="1"/>
  <c r="L137" i="29"/>
  <c r="M137" i="29" s="1"/>
  <c r="N93" i="29"/>
  <c r="L93" i="29"/>
  <c r="M93" i="29" s="1"/>
  <c r="O72" i="29"/>
  <c r="P72" i="29" s="1"/>
  <c r="Q72" i="29" s="1"/>
  <c r="L72" i="29"/>
  <c r="M72" i="29" s="1"/>
  <c r="O178" i="29"/>
  <c r="P178" i="29" s="1"/>
  <c r="Q178" i="29" s="1"/>
  <c r="L178" i="29"/>
  <c r="M178" i="29" s="1"/>
  <c r="O75" i="29"/>
  <c r="P75" i="29" s="1"/>
  <c r="Q75" i="29" s="1"/>
  <c r="L75" i="29"/>
  <c r="M75" i="29" s="1"/>
  <c r="O63" i="29"/>
  <c r="P63" i="29" s="1"/>
  <c r="Q63" i="29" s="1"/>
  <c r="L63" i="29"/>
  <c r="M63" i="29" s="1"/>
  <c r="N92" i="29"/>
  <c r="O92" i="29" s="1"/>
  <c r="P92" i="29" s="1"/>
  <c r="Q92" i="29" s="1"/>
  <c r="L92" i="29"/>
  <c r="M92" i="29" s="1"/>
  <c r="O88" i="29"/>
  <c r="P88" i="29" s="1"/>
  <c r="Q88" i="29" s="1"/>
  <c r="L88" i="29"/>
  <c r="M88" i="29" s="1"/>
  <c r="N119" i="29"/>
  <c r="O119" i="29" s="1"/>
  <c r="P119" i="29" s="1"/>
  <c r="Q119" i="29" s="1"/>
  <c r="L119" i="29"/>
  <c r="M119" i="29" s="1"/>
  <c r="B119" i="29"/>
  <c r="O112" i="29"/>
  <c r="P112" i="29" s="1"/>
  <c r="Q112" i="29" s="1"/>
  <c r="L112" i="29"/>
  <c r="M112" i="29" s="1"/>
  <c r="O111" i="29"/>
  <c r="P111" i="29" s="1"/>
  <c r="Q111" i="29" s="1"/>
  <c r="L111" i="29"/>
  <c r="M111" i="29" s="1"/>
  <c r="O79" i="29"/>
  <c r="P79" i="29" s="1"/>
  <c r="Q79" i="29" s="1"/>
  <c r="L79" i="29"/>
  <c r="M79" i="29" s="1"/>
  <c r="O172" i="29"/>
  <c r="P172" i="29" s="1"/>
  <c r="Q172" i="29" s="1"/>
  <c r="L172" i="29"/>
  <c r="M172" i="29" s="1"/>
  <c r="O110" i="29"/>
  <c r="P110" i="29" s="1"/>
  <c r="Q110" i="29" s="1"/>
  <c r="L110" i="29"/>
  <c r="M110" i="29" s="1"/>
  <c r="O148" i="29"/>
  <c r="P148" i="29" s="1"/>
  <c r="Q148" i="29" s="1"/>
  <c r="L148" i="29"/>
  <c r="M148" i="29" s="1"/>
  <c r="N181" i="29"/>
  <c r="O181" i="29" s="1"/>
  <c r="P181" i="29" s="1"/>
  <c r="Q181" i="29" s="1"/>
  <c r="L181" i="29"/>
  <c r="M181" i="29" s="1"/>
  <c r="B181" i="29"/>
  <c r="O177" i="29"/>
  <c r="P177" i="29" s="1"/>
  <c r="Q177" i="29" s="1"/>
  <c r="L177" i="29"/>
  <c r="M177" i="29" s="1"/>
  <c r="O18" i="29"/>
  <c r="P18" i="29" s="1"/>
  <c r="Q18" i="29" s="1"/>
  <c r="L18" i="29"/>
  <c r="M18" i="29" s="1"/>
  <c r="O76" i="29"/>
  <c r="P76" i="29" s="1"/>
  <c r="Q76" i="29" s="1"/>
  <c r="L76" i="29"/>
  <c r="M76" i="29" s="1"/>
  <c r="O103" i="29"/>
  <c r="P103" i="29" s="1"/>
  <c r="Q103" i="29" s="1"/>
  <c r="L103" i="29"/>
  <c r="M103" i="29" s="1"/>
  <c r="O74" i="29"/>
  <c r="P74" i="29" s="1"/>
  <c r="Q74" i="29" s="1"/>
  <c r="L74" i="29"/>
  <c r="M74" i="29" s="1"/>
  <c r="O73" i="29"/>
  <c r="P73" i="29" s="1"/>
  <c r="Q73" i="29" s="1"/>
  <c r="L73" i="29"/>
  <c r="M73" i="29" s="1"/>
  <c r="O51" i="29"/>
  <c r="P51" i="29" s="1"/>
  <c r="Q51" i="29" s="1"/>
  <c r="L51" i="29"/>
  <c r="M51" i="29" s="1"/>
  <c r="O23" i="29"/>
  <c r="P23" i="29" s="1"/>
  <c r="Q23" i="29" s="1"/>
  <c r="L23" i="29"/>
  <c r="M23" i="29" s="1"/>
  <c r="O50" i="29"/>
  <c r="P50" i="29" s="1"/>
  <c r="Q50" i="29" s="1"/>
  <c r="L50" i="29"/>
  <c r="M50" i="29" s="1"/>
  <c r="O26" i="29"/>
  <c r="P26" i="29" s="1"/>
  <c r="Q26" i="29" s="1"/>
  <c r="L26" i="29"/>
  <c r="M26" i="29" s="1"/>
  <c r="O52" i="29"/>
  <c r="P52" i="29" s="1"/>
  <c r="Q52" i="29" s="1"/>
  <c r="L52" i="29"/>
  <c r="M52" i="29" s="1"/>
  <c r="O57" i="29"/>
  <c r="P57" i="29" s="1"/>
  <c r="Q57" i="29" s="1"/>
  <c r="L57" i="29"/>
  <c r="M57" i="29" s="1"/>
  <c r="O56" i="29"/>
  <c r="P56" i="29" s="1"/>
  <c r="Q56" i="29" s="1"/>
  <c r="L56" i="29"/>
  <c r="M56" i="29" s="1"/>
  <c r="O46" i="29"/>
  <c r="P46" i="29" s="1"/>
  <c r="Q46" i="29" s="1"/>
  <c r="L46" i="29"/>
  <c r="M46" i="29" s="1"/>
  <c r="O43" i="29"/>
  <c r="P43" i="29" s="1"/>
  <c r="Q43" i="29" s="1"/>
  <c r="L43" i="29"/>
  <c r="M43" i="29" s="1"/>
  <c r="O22" i="29"/>
  <c r="P22" i="29" s="1"/>
  <c r="Q22" i="29" s="1"/>
  <c r="L22" i="29"/>
  <c r="M22" i="29" s="1"/>
  <c r="O71" i="29"/>
  <c r="P71" i="29" s="1"/>
  <c r="Q71" i="29" s="1"/>
  <c r="L71" i="29"/>
  <c r="M71" i="29" s="1"/>
  <c r="O132" i="29"/>
  <c r="P132" i="29" s="1"/>
  <c r="Q132" i="29" s="1"/>
  <c r="L132" i="29"/>
  <c r="M132" i="29" s="1"/>
  <c r="O129" i="29"/>
  <c r="P129" i="29" s="1"/>
  <c r="Q129" i="29" s="1"/>
  <c r="L129" i="29"/>
  <c r="M129" i="29" s="1"/>
  <c r="O146" i="29"/>
  <c r="P146" i="29" s="1"/>
  <c r="Q146" i="29" s="1"/>
  <c r="L146" i="29"/>
  <c r="M146" i="29" s="1"/>
  <c r="O131" i="29"/>
  <c r="P131" i="29" s="1"/>
  <c r="Q131" i="29" s="1"/>
  <c r="L131" i="29"/>
  <c r="M131" i="29" s="1"/>
  <c r="O130" i="29"/>
  <c r="P130" i="29" s="1"/>
  <c r="Q130" i="29" s="1"/>
  <c r="L130" i="29"/>
  <c r="M130" i="29" s="1"/>
  <c r="O142" i="29"/>
  <c r="P142" i="29" s="1"/>
  <c r="Q142" i="29" s="1"/>
  <c r="L142" i="29"/>
  <c r="M142" i="29" s="1"/>
  <c r="O143" i="29"/>
  <c r="P143" i="29" s="1"/>
  <c r="Q143" i="29" s="1"/>
  <c r="L143" i="29"/>
  <c r="M143" i="29" s="1"/>
  <c r="N116" i="29"/>
  <c r="O116" i="29" s="1"/>
  <c r="P116" i="29" s="1"/>
  <c r="Q116" i="29" s="1"/>
  <c r="L116" i="29"/>
  <c r="M116" i="29" s="1"/>
  <c r="B116" i="29"/>
  <c r="O176" i="29"/>
  <c r="P176" i="29" s="1"/>
  <c r="Q176" i="29" s="1"/>
  <c r="L176" i="29"/>
  <c r="M176" i="29" s="1"/>
  <c r="O17" i="29"/>
  <c r="P17" i="29" s="1"/>
  <c r="Q17" i="29" s="1"/>
  <c r="L17" i="29"/>
  <c r="M17" i="29" s="1"/>
  <c r="O55" i="29"/>
  <c r="P55" i="29" s="1"/>
  <c r="Q55" i="29" s="1"/>
  <c r="L55" i="29"/>
  <c r="M55" i="29" s="1"/>
  <c r="O66" i="29"/>
  <c r="P66" i="29" s="1"/>
  <c r="Q66" i="29" s="1"/>
  <c r="L66" i="29"/>
  <c r="M66" i="29" s="1"/>
  <c r="O65" i="29"/>
  <c r="P65" i="29" s="1"/>
  <c r="Q65" i="29" s="1"/>
  <c r="L65" i="29"/>
  <c r="M65" i="29" s="1"/>
  <c r="O42" i="29"/>
  <c r="P42" i="29" s="1"/>
  <c r="Q42" i="29" s="1"/>
  <c r="L42" i="29"/>
  <c r="M42" i="29" s="1"/>
  <c r="O41" i="29"/>
  <c r="P41" i="29" s="1"/>
  <c r="Q41" i="29" s="1"/>
  <c r="L41" i="29"/>
  <c r="M41" i="29" s="1"/>
  <c r="O45" i="29"/>
  <c r="P45" i="29" s="1"/>
  <c r="Q45" i="29" s="1"/>
  <c r="L45" i="29"/>
  <c r="M45" i="29" s="1"/>
  <c r="O32" i="29"/>
  <c r="P32" i="29" s="1"/>
  <c r="Q32" i="29" s="1"/>
  <c r="L32" i="29"/>
  <c r="M32" i="29" s="1"/>
  <c r="O30" i="29"/>
  <c r="P30" i="29" s="1"/>
  <c r="Q30" i="29" s="1"/>
  <c r="L30" i="29"/>
  <c r="M30" i="29" s="1"/>
  <c r="O29" i="29"/>
  <c r="P29" i="29" s="1"/>
  <c r="Q29" i="29" s="1"/>
  <c r="L29" i="29"/>
  <c r="M29" i="29" s="1"/>
  <c r="O62" i="29"/>
  <c r="P62" i="29" s="1"/>
  <c r="Q62" i="29" s="1"/>
  <c r="L62" i="29"/>
  <c r="M62" i="29" s="1"/>
  <c r="O34" i="29"/>
  <c r="P34" i="29" s="1"/>
  <c r="Q34" i="29" s="1"/>
  <c r="L34" i="29"/>
  <c r="M34" i="29" s="1"/>
  <c r="O33" i="29"/>
  <c r="P33" i="29" s="1"/>
  <c r="Q33" i="29" s="1"/>
  <c r="L33" i="29"/>
  <c r="M33" i="29" s="1"/>
  <c r="O61" i="29"/>
  <c r="P61" i="29" s="1"/>
  <c r="Q61" i="29" s="1"/>
  <c r="L61" i="29"/>
  <c r="M61" i="29" s="1"/>
  <c r="O35" i="29"/>
  <c r="P35" i="29" s="1"/>
  <c r="Q35" i="29" s="1"/>
  <c r="L35" i="29"/>
  <c r="M35" i="29" s="1"/>
  <c r="O31" i="29"/>
  <c r="P31" i="29" s="1"/>
  <c r="Q31" i="29" s="1"/>
  <c r="L31" i="29"/>
  <c r="M31" i="29" s="1"/>
  <c r="O118" i="29"/>
  <c r="P118" i="29" s="1"/>
  <c r="Q118" i="29" s="1"/>
  <c r="L118" i="29"/>
  <c r="M118" i="29" s="1"/>
  <c r="O121" i="29"/>
  <c r="P121" i="29" s="1"/>
  <c r="Q121" i="29" s="1"/>
  <c r="L121" i="29"/>
  <c r="M121" i="29" s="1"/>
  <c r="O117" i="29"/>
  <c r="P117" i="29" s="1"/>
  <c r="Q117" i="29" s="1"/>
  <c r="L117" i="29"/>
  <c r="M117" i="29" s="1"/>
  <c r="O125" i="29"/>
  <c r="P125" i="29" s="1"/>
  <c r="Q125" i="29" s="1"/>
  <c r="L125" i="29"/>
  <c r="M125" i="29" s="1"/>
  <c r="O128" i="29"/>
  <c r="P128" i="29" s="1"/>
  <c r="Q128" i="29" s="1"/>
  <c r="L128" i="29"/>
  <c r="M128" i="29" s="1"/>
  <c r="O124" i="29"/>
  <c r="P124" i="29" s="1"/>
  <c r="Q124" i="29" s="1"/>
  <c r="L124" i="29"/>
  <c r="M124" i="29" s="1"/>
  <c r="O21" i="29"/>
  <c r="P21" i="29" s="1"/>
  <c r="Q21" i="29" s="1"/>
  <c r="L21" i="29"/>
  <c r="M21" i="29" s="1"/>
  <c r="O19" i="29"/>
  <c r="P19" i="29" s="1"/>
  <c r="Q19" i="29" s="1"/>
  <c r="L19" i="29"/>
  <c r="M19" i="29" s="1"/>
  <c r="O40" i="29"/>
  <c r="P40" i="29" s="1"/>
  <c r="Q40" i="29" s="1"/>
  <c r="L40" i="29"/>
  <c r="M40" i="29" s="1"/>
  <c r="O49" i="29"/>
  <c r="P49" i="29" s="1"/>
  <c r="Q49" i="29" s="1"/>
  <c r="L49" i="29"/>
  <c r="M49" i="29" s="1"/>
  <c r="O171" i="29"/>
  <c r="P171" i="29" s="1"/>
  <c r="Q171" i="29" s="1"/>
  <c r="L171" i="29"/>
  <c r="M171" i="29" s="1"/>
  <c r="O162" i="29"/>
  <c r="P162" i="29" s="1"/>
  <c r="Q162" i="29" s="1"/>
  <c r="L162" i="29"/>
  <c r="M162" i="29" s="1"/>
  <c r="O170" i="29"/>
  <c r="P170" i="29" s="1"/>
  <c r="Q170" i="29" s="1"/>
  <c r="L170" i="29"/>
  <c r="M170" i="29" s="1"/>
  <c r="O169" i="29"/>
  <c r="P169" i="29" s="1"/>
  <c r="Q169" i="29" s="1"/>
  <c r="L169" i="29"/>
  <c r="M169" i="29" s="1"/>
  <c r="O78" i="29"/>
  <c r="P78" i="29" s="1"/>
  <c r="Q78" i="29" s="1"/>
  <c r="L78" i="29"/>
  <c r="M78" i="29" s="1"/>
  <c r="O109" i="29"/>
  <c r="P109" i="29" s="1"/>
  <c r="Q109" i="29" s="1"/>
  <c r="L109" i="29"/>
  <c r="M109" i="29" s="1"/>
  <c r="O140" i="29"/>
  <c r="P140" i="29" s="1"/>
  <c r="Q140" i="29" s="1"/>
  <c r="L140" i="29"/>
  <c r="M140" i="29" s="1"/>
  <c r="O180" i="29"/>
  <c r="P180" i="29" s="1"/>
  <c r="Q180" i="29" s="1"/>
  <c r="L180" i="29"/>
  <c r="M180" i="29" s="1"/>
  <c r="O175" i="29"/>
  <c r="P175" i="29" s="1"/>
  <c r="Q175" i="29" s="1"/>
  <c r="L175" i="29"/>
  <c r="M175" i="29" s="1"/>
  <c r="O20" i="29"/>
  <c r="P20" i="29" s="1"/>
  <c r="Q20" i="29" s="1"/>
  <c r="L20" i="29"/>
  <c r="M20" i="29" s="1"/>
  <c r="O115" i="29"/>
  <c r="P115" i="29" s="1"/>
  <c r="Q115" i="29" s="1"/>
  <c r="L115" i="29"/>
  <c r="M115" i="29" s="1"/>
  <c r="O13" i="29"/>
  <c r="P13" i="29" s="1"/>
  <c r="Q13" i="29" s="1"/>
  <c r="L13" i="29"/>
  <c r="M13" i="29" s="1"/>
  <c r="O15" i="29"/>
  <c r="P15" i="29" s="1"/>
  <c r="Q15" i="29" s="1"/>
  <c r="L15" i="29"/>
  <c r="M15" i="29" s="1"/>
  <c r="O16" i="29"/>
  <c r="P16" i="29" s="1"/>
  <c r="Q16" i="29" s="1"/>
  <c r="L16" i="29"/>
  <c r="M16" i="29" s="1"/>
  <c r="O14" i="29"/>
  <c r="P14" i="29" s="1"/>
  <c r="Q14" i="29" s="1"/>
  <c r="L14" i="29"/>
  <c r="M14" i="29" s="1"/>
  <c r="O28" i="29"/>
  <c r="P28" i="29" s="1"/>
  <c r="Q28" i="29" s="1"/>
  <c r="L28" i="29"/>
  <c r="M28" i="29" s="1"/>
  <c r="O136" i="29"/>
  <c r="P136" i="29" s="1"/>
  <c r="Q136" i="29" s="1"/>
  <c r="L136" i="29"/>
  <c r="M136" i="29" s="1"/>
  <c r="O120" i="29"/>
  <c r="P120" i="29" s="1"/>
  <c r="Q120" i="29" s="1"/>
  <c r="L120" i="29"/>
  <c r="M120" i="29" s="1"/>
  <c r="O123" i="29"/>
  <c r="P123" i="29" s="1"/>
  <c r="Q123" i="29" s="1"/>
  <c r="L123" i="29"/>
  <c r="M123" i="29" s="1"/>
  <c r="O127" i="29"/>
  <c r="P127" i="29" s="1"/>
  <c r="Q127" i="29" s="1"/>
  <c r="L127" i="29"/>
  <c r="M127" i="29" s="1"/>
  <c r="O135" i="29"/>
  <c r="P135" i="29" s="1"/>
  <c r="Q135" i="29" s="1"/>
  <c r="L135" i="29"/>
  <c r="M135" i="29" s="1"/>
  <c r="O87" i="29"/>
  <c r="P87" i="29" s="1"/>
  <c r="Q87" i="29" s="1"/>
  <c r="L87" i="29"/>
  <c r="M87" i="29" s="1"/>
  <c r="O67" i="29"/>
  <c r="P67" i="29" s="1"/>
  <c r="Q67" i="29" s="1"/>
  <c r="L67" i="29"/>
  <c r="M67" i="29" s="1"/>
  <c r="O155" i="29"/>
  <c r="P155" i="29" s="1"/>
  <c r="Q155" i="29" s="1"/>
  <c r="L155" i="29"/>
  <c r="M155" i="29" s="1"/>
  <c r="O145" i="29"/>
  <c r="P145" i="29" s="1"/>
  <c r="Q145" i="29" s="1"/>
  <c r="L145" i="29"/>
  <c r="M145" i="29" s="1"/>
  <c r="O139" i="29"/>
  <c r="P139" i="29" s="1"/>
  <c r="Q139" i="29" s="1"/>
  <c r="L139" i="29"/>
  <c r="M139" i="29" s="1"/>
  <c r="O138" i="29"/>
  <c r="P138" i="29" s="1"/>
  <c r="Q138" i="29" s="1"/>
  <c r="L138" i="29"/>
  <c r="M138" i="29" s="1"/>
  <c r="N179" i="29"/>
  <c r="O179" i="29" s="1"/>
  <c r="P179" i="29" s="1"/>
  <c r="Q179" i="29" s="1"/>
  <c r="L179" i="29"/>
  <c r="M179" i="29" s="1"/>
  <c r="B179" i="29"/>
  <c r="O98" i="29"/>
  <c r="P98" i="29" s="1"/>
  <c r="Q98" i="29" s="1"/>
  <c r="L98" i="29"/>
  <c r="M98" i="29" s="1"/>
  <c r="O97" i="29"/>
  <c r="P97" i="29" s="1"/>
  <c r="Q97" i="29" s="1"/>
  <c r="L97" i="29"/>
  <c r="M97" i="29" s="1"/>
  <c r="O60" i="29"/>
  <c r="P60" i="29" s="1"/>
  <c r="Q60" i="29" s="1"/>
  <c r="L60" i="29"/>
  <c r="M60" i="29" s="1"/>
  <c r="O59" i="29"/>
  <c r="P59" i="29" s="1"/>
  <c r="Q59" i="29" s="1"/>
  <c r="L59" i="29"/>
  <c r="M59" i="29" s="1"/>
  <c r="O53" i="29"/>
  <c r="P53" i="29" s="1"/>
  <c r="Q53" i="29" s="1"/>
  <c r="L53" i="29"/>
  <c r="M53" i="29" s="1"/>
  <c r="O48" i="29"/>
  <c r="P48" i="29" s="1"/>
  <c r="Q48" i="29" s="1"/>
  <c r="L48" i="29"/>
  <c r="M48" i="29" s="1"/>
  <c r="O44" i="29"/>
  <c r="P44" i="29" s="1"/>
  <c r="Q44" i="29" s="1"/>
  <c r="L44" i="29"/>
  <c r="M44" i="29" s="1"/>
  <c r="O69" i="29"/>
  <c r="P69" i="29" s="1"/>
  <c r="Q69" i="29" s="1"/>
  <c r="L69" i="29"/>
  <c r="M69" i="29" s="1"/>
  <c r="O39" i="29"/>
  <c r="P39" i="29" s="1"/>
  <c r="Q39" i="29" s="1"/>
  <c r="L39" i="29"/>
  <c r="M39" i="29" s="1"/>
  <c r="O38" i="29"/>
  <c r="P38" i="29" s="1"/>
  <c r="Q38" i="29" s="1"/>
  <c r="L38" i="29"/>
  <c r="M38" i="29" s="1"/>
  <c r="O25" i="29"/>
  <c r="P25" i="29" s="1"/>
  <c r="Q25" i="29" s="1"/>
  <c r="L25" i="29"/>
  <c r="M25" i="29" s="1"/>
  <c r="O27" i="29"/>
  <c r="P27" i="29" s="1"/>
  <c r="Q27" i="29" s="1"/>
  <c r="L27" i="29"/>
  <c r="M27" i="29" s="1"/>
  <c r="O54" i="29"/>
  <c r="P54" i="29" s="1"/>
  <c r="Q54" i="29" s="1"/>
  <c r="L54" i="29"/>
  <c r="M54" i="29" s="1"/>
  <c r="O68" i="29"/>
  <c r="P68" i="29" s="1"/>
  <c r="Q68" i="29" s="1"/>
  <c r="L68" i="29"/>
  <c r="M68" i="29" s="1"/>
  <c r="O37" i="29"/>
  <c r="P37" i="29" s="1"/>
  <c r="Q37" i="29" s="1"/>
  <c r="L37" i="29"/>
  <c r="M37" i="29" s="1"/>
  <c r="O36" i="29"/>
  <c r="P36" i="29" s="1"/>
  <c r="Q36" i="29" s="1"/>
  <c r="L36" i="29"/>
  <c r="M36" i="29" s="1"/>
  <c r="O24" i="29"/>
  <c r="P24" i="29" s="1"/>
  <c r="Q24" i="29" s="1"/>
  <c r="L24" i="29"/>
  <c r="M24" i="29" s="1"/>
  <c r="O70" i="29"/>
  <c r="P70" i="29" s="1"/>
  <c r="Q70" i="29" s="1"/>
  <c r="L70" i="29"/>
  <c r="M70" i="29" s="1"/>
  <c r="O102" i="29"/>
  <c r="P102" i="29" s="1"/>
  <c r="Q102" i="29" s="1"/>
  <c r="L102" i="29"/>
  <c r="M102" i="29" s="1"/>
  <c r="O101" i="29"/>
  <c r="P101" i="29" s="1"/>
  <c r="Q101" i="29" s="1"/>
  <c r="L101" i="29"/>
  <c r="M101" i="29" s="1"/>
  <c r="O86" i="29"/>
  <c r="P86" i="29" s="1"/>
  <c r="Q86" i="29" s="1"/>
  <c r="L86" i="29"/>
  <c r="M86" i="29" s="1"/>
  <c r="O168" i="29"/>
  <c r="P168" i="29" s="1"/>
  <c r="Q168" i="29" s="1"/>
  <c r="L168" i="29"/>
  <c r="M168" i="29" s="1"/>
  <c r="O167" i="29"/>
  <c r="P167" i="29" s="1"/>
  <c r="Q167" i="29" s="1"/>
  <c r="L167" i="29"/>
  <c r="M167" i="29" s="1"/>
  <c r="O96" i="29"/>
  <c r="P96" i="29" s="1"/>
  <c r="Q96" i="29" s="1"/>
  <c r="L96" i="29"/>
  <c r="M96" i="29" s="1"/>
  <c r="O95" i="29"/>
  <c r="P95" i="29" s="1"/>
  <c r="Q95" i="29" s="1"/>
  <c r="L95" i="29"/>
  <c r="M95" i="29" s="1"/>
  <c r="O100" i="29"/>
  <c r="P100" i="29" s="1"/>
  <c r="Q100" i="29" s="1"/>
  <c r="L100" i="29"/>
  <c r="M100" i="29" s="1"/>
  <c r="N80" i="29"/>
  <c r="O80" i="29" s="1"/>
  <c r="L80" i="29"/>
  <c r="M80" i="29" s="1"/>
  <c r="B80" i="29"/>
  <c r="T2" i="29"/>
  <c r="N128" i="30" l="1"/>
  <c r="Y162" i="30"/>
  <c r="H79" i="27"/>
  <c r="BO79" i="27" s="1"/>
  <c r="O560" i="29"/>
  <c r="O563" i="29" s="1"/>
  <c r="D48" i="27" s="1"/>
  <c r="BK48" i="27" s="1"/>
  <c r="N248" i="29"/>
  <c r="B40" i="27" s="1"/>
  <c r="BI40" i="27" s="1"/>
  <c r="N557" i="29"/>
  <c r="B46" i="27" s="1"/>
  <c r="BI46" i="27" s="1"/>
  <c r="O776" i="29"/>
  <c r="D56" i="27" s="1"/>
  <c r="BK56" i="27" s="1"/>
  <c r="M13" i="30"/>
  <c r="K14" i="30"/>
  <c r="L14" i="30" s="1"/>
  <c r="M14" i="30" s="1"/>
  <c r="P766" i="29"/>
  <c r="Q766" i="29" s="1"/>
  <c r="N763" i="29"/>
  <c r="B54" i="27" s="1"/>
  <c r="BI54" i="27" s="1"/>
  <c r="K50" i="30"/>
  <c r="L50" i="30" s="1"/>
  <c r="M50" i="30" s="1"/>
  <c r="AA162" i="30"/>
  <c r="B1222" i="29"/>
  <c r="K45" i="30"/>
  <c r="L45" i="30" s="1"/>
  <c r="M45" i="30" s="1"/>
  <c r="K16" i="30"/>
  <c r="L16" i="30" s="1"/>
  <c r="M16" i="30" s="1"/>
  <c r="M44" i="30"/>
  <c r="K48" i="30"/>
  <c r="L48" i="30" s="1"/>
  <c r="M48" i="30" s="1"/>
  <c r="N142" i="30"/>
  <c r="B73" i="27" s="1"/>
  <c r="BI73" i="27" s="1"/>
  <c r="O134" i="30"/>
  <c r="P134" i="30" s="1"/>
  <c r="Q134" i="30" s="1"/>
  <c r="O137" i="30"/>
  <c r="P137" i="30" s="1"/>
  <c r="Q137" i="30" s="1"/>
  <c r="Q69" i="30"/>
  <c r="B67" i="27"/>
  <c r="BI67" i="27" s="1"/>
  <c r="O74" i="30"/>
  <c r="P74" i="30" s="1"/>
  <c r="Q74" i="30" s="1"/>
  <c r="O139" i="30"/>
  <c r="P139" i="30" s="1"/>
  <c r="Q139" i="30" s="1"/>
  <c r="P145" i="30"/>
  <c r="O151" i="30"/>
  <c r="D75" i="27" s="1"/>
  <c r="BK75" i="27" s="1"/>
  <c r="P154" i="30"/>
  <c r="O113" i="30"/>
  <c r="P113" i="30" s="1"/>
  <c r="Q113" i="30" s="1"/>
  <c r="N151" i="30"/>
  <c r="B75" i="27" s="1"/>
  <c r="BI75" i="27" s="1"/>
  <c r="P80" i="29"/>
  <c r="O93" i="29"/>
  <c r="P93" i="29" s="1"/>
  <c r="Q93" i="29" s="1"/>
  <c r="N194" i="29"/>
  <c r="B38" i="27" s="1"/>
  <c r="BI38" i="27" s="1"/>
  <c r="Q197" i="29"/>
  <c r="O208" i="29"/>
  <c r="P208" i="29" s="1"/>
  <c r="Q208" i="29" s="1"/>
  <c r="O230" i="29"/>
  <c r="P230" i="29" s="1"/>
  <c r="Q230" i="29" s="1"/>
  <c r="P251" i="29"/>
  <c r="O231" i="29"/>
  <c r="P231" i="29" s="1"/>
  <c r="Q231" i="29" s="1"/>
  <c r="O358" i="29"/>
  <c r="P358" i="29" s="1"/>
  <c r="Q358" i="29" s="1"/>
  <c r="N417" i="29"/>
  <c r="B44" i="27" s="1"/>
  <c r="BI44" i="27" s="1"/>
  <c r="Q557" i="29"/>
  <c r="P557" i="29"/>
  <c r="O592" i="29"/>
  <c r="P592" i="29" s="1"/>
  <c r="Q592" i="29" s="1"/>
  <c r="N635" i="29"/>
  <c r="B50" i="27" s="1"/>
  <c r="BI50" i="27" s="1"/>
  <c r="O557" i="29"/>
  <c r="D46" i="27" s="1"/>
  <c r="BK46" i="27" s="1"/>
  <c r="Q767" i="29"/>
  <c r="Q776" i="29" s="1"/>
  <c r="P776" i="29"/>
  <c r="P638" i="29"/>
  <c r="O607" i="29"/>
  <c r="P607" i="29" s="1"/>
  <c r="Q607" i="29" s="1"/>
  <c r="O758" i="29"/>
  <c r="P758" i="29" s="1"/>
  <c r="Q758" i="29" s="1"/>
  <c r="O763" i="29"/>
  <c r="D54" i="27" s="1"/>
  <c r="BK54" i="27" s="1"/>
  <c r="P727" i="29"/>
  <c r="O690" i="29"/>
  <c r="P690" i="29" s="1"/>
  <c r="Q690" i="29" s="1"/>
  <c r="N724" i="29"/>
  <c r="O1241" i="29"/>
  <c r="P1241" i="29" s="1"/>
  <c r="Q1241" i="29" s="1"/>
  <c r="B1305" i="29"/>
  <c r="P560" i="29" l="1"/>
  <c r="P563" i="29" s="1"/>
  <c r="C48" i="27"/>
  <c r="BJ48" i="27" s="1"/>
  <c r="C56" i="27"/>
  <c r="BJ56" i="27" s="1"/>
  <c r="C54" i="27"/>
  <c r="BJ54" i="27" s="1"/>
  <c r="N779" i="29"/>
  <c r="B52" i="27"/>
  <c r="BI52" i="27" s="1"/>
  <c r="C75" i="27"/>
  <c r="BJ75" i="27" s="1"/>
  <c r="Q560" i="29"/>
  <c r="Q563" i="29" s="1"/>
  <c r="C46" i="27"/>
  <c r="BJ46" i="27" s="1"/>
  <c r="O142" i="30"/>
  <c r="D73" i="27" s="1"/>
  <c r="BK73" i="27" s="1"/>
  <c r="O724" i="29"/>
  <c r="D52" i="27" s="1"/>
  <c r="BK52" i="27" s="1"/>
  <c r="O417" i="29"/>
  <c r="D44" i="27" s="1"/>
  <c r="BK44" i="27" s="1"/>
  <c r="P142" i="30"/>
  <c r="O635" i="29"/>
  <c r="D50" i="27" s="1"/>
  <c r="BK50" i="27" s="1"/>
  <c r="Q635" i="29"/>
  <c r="O248" i="29"/>
  <c r="D40" i="27" s="1"/>
  <c r="BK40" i="27" s="1"/>
  <c r="Q142" i="30"/>
  <c r="Q154" i="30"/>
  <c r="Q128" i="30"/>
  <c r="Q145" i="30"/>
  <c r="P151" i="30"/>
  <c r="O128" i="30"/>
  <c r="D67" i="27" s="1"/>
  <c r="BK67" i="27" s="1"/>
  <c r="P128" i="30"/>
  <c r="P417" i="29"/>
  <c r="Q251" i="29"/>
  <c r="Q417" i="29" s="1"/>
  <c r="O194" i="29"/>
  <c r="D38" i="27" s="1"/>
  <c r="BK38" i="27" s="1"/>
  <c r="P248" i="29"/>
  <c r="P763" i="29"/>
  <c r="Q727" i="29"/>
  <c r="Q763" i="29" s="1"/>
  <c r="P635" i="29"/>
  <c r="P194" i="29"/>
  <c r="Q80" i="29"/>
  <c r="Q248" i="29"/>
  <c r="Q638" i="29"/>
  <c r="Q724" i="29" s="1"/>
  <c r="P724" i="29"/>
  <c r="C44" i="27" l="1"/>
  <c r="BJ44" i="27" s="1"/>
  <c r="C40" i="27"/>
  <c r="BJ40" i="27" s="1"/>
  <c r="C67" i="27"/>
  <c r="BJ67" i="27" s="1"/>
  <c r="C50" i="27"/>
  <c r="BJ50" i="27" s="1"/>
  <c r="B58" i="27"/>
  <c r="B59" i="27" s="1"/>
  <c r="BI58" i="27"/>
  <c r="D58" i="27"/>
  <c r="C73" i="27"/>
  <c r="BJ73" i="27" s="1"/>
  <c r="C38" i="27"/>
  <c r="BJ38" i="27" s="1"/>
  <c r="C52" i="27"/>
  <c r="BJ52" i="27" s="1"/>
  <c r="O779" i="29"/>
  <c r="P779" i="29"/>
  <c r="Q151" i="30"/>
  <c r="Q194" i="29"/>
  <c r="Q779" i="29" s="1"/>
  <c r="D59" i="27" l="1"/>
  <c r="BK58" i="27"/>
  <c r="BJ58" i="27"/>
  <c r="C58" i="27"/>
  <c r="O548" i="28"/>
  <c r="P548" i="28" s="1"/>
  <c r="Q548" i="28" s="1"/>
  <c r="L548" i="28"/>
  <c r="M548" i="28" s="1"/>
  <c r="N547" i="28"/>
  <c r="O547" i="28" s="1"/>
  <c r="P547" i="28" s="1"/>
  <c r="Q547" i="28" s="1"/>
  <c r="L547" i="28"/>
  <c r="M547" i="28" s="1"/>
  <c r="O546" i="28"/>
  <c r="P546" i="28" s="1"/>
  <c r="Q546" i="28" s="1"/>
  <c r="L546" i="28"/>
  <c r="M546" i="28" s="1"/>
  <c r="N545" i="28"/>
  <c r="L545" i="28"/>
  <c r="M545" i="28" s="1"/>
  <c r="L543" i="28"/>
  <c r="K544" i="28" s="1"/>
  <c r="L544" i="28" s="1"/>
  <c r="M544" i="28" s="1"/>
  <c r="L541" i="28"/>
  <c r="L539" i="28"/>
  <c r="K540" i="28" s="1"/>
  <c r="L540" i="28" s="1"/>
  <c r="M540" i="28" s="1"/>
  <c r="L512" i="28"/>
  <c r="O511" i="28"/>
  <c r="P511" i="28" s="1"/>
  <c r="Q511" i="28" s="1"/>
  <c r="L511" i="28"/>
  <c r="M511" i="28" s="1"/>
  <c r="N510" i="28"/>
  <c r="O510" i="28" s="1"/>
  <c r="P510" i="28" s="1"/>
  <c r="Q510" i="28" s="1"/>
  <c r="L510" i="28"/>
  <c r="M510" i="28" s="1"/>
  <c r="L508" i="28"/>
  <c r="K509" i="28" s="1"/>
  <c r="L509" i="28" s="1"/>
  <c r="M509" i="28" s="1"/>
  <c r="L506" i="28"/>
  <c r="M506" i="28" s="1"/>
  <c r="L504" i="28"/>
  <c r="L502" i="28"/>
  <c r="K503" i="28" s="1"/>
  <c r="L503" i="28" s="1"/>
  <c r="M503" i="28" s="1"/>
  <c r="L500" i="28"/>
  <c r="K501" i="28" s="1"/>
  <c r="L501" i="28" s="1"/>
  <c r="M501" i="28" s="1"/>
  <c r="L498" i="28"/>
  <c r="K499" i="28" s="1"/>
  <c r="L499" i="28" s="1"/>
  <c r="M499" i="28" s="1"/>
  <c r="L496" i="28"/>
  <c r="L494" i="28"/>
  <c r="K495" i="28" s="1"/>
  <c r="L495" i="28" s="1"/>
  <c r="M495" i="28" s="1"/>
  <c r="N493" i="28"/>
  <c r="O493" i="28" s="1"/>
  <c r="P493" i="28" s="1"/>
  <c r="Q493" i="28" s="1"/>
  <c r="L493" i="28"/>
  <c r="M493" i="28" s="1"/>
  <c r="L491" i="28"/>
  <c r="K492" i="28" s="1"/>
  <c r="L492" i="28" s="1"/>
  <c r="M492" i="28" s="1"/>
  <c r="O490" i="28"/>
  <c r="P490" i="28" s="1"/>
  <c r="Q490" i="28" s="1"/>
  <c r="L490" i="28"/>
  <c r="M490" i="28" s="1"/>
  <c r="O489" i="28"/>
  <c r="P489" i="28" s="1"/>
  <c r="Q489" i="28" s="1"/>
  <c r="L489" i="28"/>
  <c r="M489" i="28" s="1"/>
  <c r="O488" i="28"/>
  <c r="P488" i="28" s="1"/>
  <c r="Q488" i="28" s="1"/>
  <c r="L488" i="28"/>
  <c r="M488" i="28" s="1"/>
  <c r="O487" i="28"/>
  <c r="P487" i="28" s="1"/>
  <c r="Q487" i="28" s="1"/>
  <c r="L487" i="28"/>
  <c r="M487" i="28" s="1"/>
  <c r="O486" i="28"/>
  <c r="P486" i="28" s="1"/>
  <c r="Q486" i="28" s="1"/>
  <c r="L486" i="28"/>
  <c r="M486" i="28" s="1"/>
  <c r="O485" i="28"/>
  <c r="P485" i="28" s="1"/>
  <c r="Q485" i="28" s="1"/>
  <c r="L485" i="28"/>
  <c r="M485" i="28" s="1"/>
  <c r="O484" i="28"/>
  <c r="P484" i="28" s="1"/>
  <c r="Q484" i="28" s="1"/>
  <c r="L484" i="28"/>
  <c r="M484" i="28" s="1"/>
  <c r="O483" i="28"/>
  <c r="P483" i="28" s="1"/>
  <c r="Q483" i="28" s="1"/>
  <c r="L483" i="28"/>
  <c r="M483" i="28" s="1"/>
  <c r="O482" i="28"/>
  <c r="P482" i="28" s="1"/>
  <c r="Q482" i="28" s="1"/>
  <c r="L482" i="28"/>
  <c r="M482" i="28" s="1"/>
  <c r="O481" i="28"/>
  <c r="P481" i="28" s="1"/>
  <c r="Q481" i="28" s="1"/>
  <c r="L481" i="28"/>
  <c r="M481" i="28" s="1"/>
  <c r="O480" i="28"/>
  <c r="P480" i="28" s="1"/>
  <c r="Q480" i="28" s="1"/>
  <c r="L480" i="28"/>
  <c r="M480" i="28" s="1"/>
  <c r="O479" i="28"/>
  <c r="P479" i="28" s="1"/>
  <c r="Q479" i="28" s="1"/>
  <c r="L479" i="28"/>
  <c r="M479" i="28" s="1"/>
  <c r="O478" i="28"/>
  <c r="P478" i="28" s="1"/>
  <c r="Q478" i="28" s="1"/>
  <c r="L478" i="28"/>
  <c r="M478" i="28" s="1"/>
  <c r="O477" i="28"/>
  <c r="P477" i="28" s="1"/>
  <c r="Q477" i="28" s="1"/>
  <c r="L477" i="28"/>
  <c r="M477" i="28" s="1"/>
  <c r="O476" i="28"/>
  <c r="P476" i="28" s="1"/>
  <c r="Q476" i="28" s="1"/>
  <c r="L476" i="28"/>
  <c r="M476" i="28" s="1"/>
  <c r="O475" i="28"/>
  <c r="P475" i="28" s="1"/>
  <c r="Q475" i="28" s="1"/>
  <c r="L475" i="28"/>
  <c r="M475" i="28" s="1"/>
  <c r="O474" i="28"/>
  <c r="P474" i="28" s="1"/>
  <c r="Q474" i="28" s="1"/>
  <c r="L474" i="28"/>
  <c r="M474" i="28" s="1"/>
  <c r="O473" i="28"/>
  <c r="P473" i="28" s="1"/>
  <c r="Q473" i="28" s="1"/>
  <c r="L473" i="28"/>
  <c r="M473" i="28" s="1"/>
  <c r="O472" i="28"/>
  <c r="P472" i="28" s="1"/>
  <c r="Q472" i="28" s="1"/>
  <c r="L472" i="28"/>
  <c r="M472" i="28" s="1"/>
  <c r="O471" i="28"/>
  <c r="P471" i="28" s="1"/>
  <c r="Q471" i="28" s="1"/>
  <c r="L471" i="28"/>
  <c r="M471" i="28" s="1"/>
  <c r="O470" i="28"/>
  <c r="P470" i="28" s="1"/>
  <c r="Q470" i="28" s="1"/>
  <c r="L470" i="28"/>
  <c r="M470" i="28" s="1"/>
  <c r="O469" i="28"/>
  <c r="P469" i="28" s="1"/>
  <c r="Q469" i="28" s="1"/>
  <c r="L469" i="28"/>
  <c r="M469" i="28" s="1"/>
  <c r="O468" i="28"/>
  <c r="P468" i="28" s="1"/>
  <c r="Q468" i="28" s="1"/>
  <c r="L468" i="28"/>
  <c r="M468" i="28" s="1"/>
  <c r="O467" i="28"/>
  <c r="P467" i="28" s="1"/>
  <c r="Q467" i="28" s="1"/>
  <c r="L467" i="28"/>
  <c r="M467" i="28" s="1"/>
  <c r="O466" i="28"/>
  <c r="P466" i="28" s="1"/>
  <c r="Q466" i="28" s="1"/>
  <c r="L466" i="28"/>
  <c r="M466" i="28" s="1"/>
  <c r="O465" i="28"/>
  <c r="P465" i="28" s="1"/>
  <c r="Q465" i="28" s="1"/>
  <c r="L465" i="28"/>
  <c r="M465" i="28" s="1"/>
  <c r="L463" i="28"/>
  <c r="K464" i="28" s="1"/>
  <c r="L464" i="28" s="1"/>
  <c r="M464" i="28" s="1"/>
  <c r="L461" i="28"/>
  <c r="K462" i="28" s="1"/>
  <c r="L462" i="28" s="1"/>
  <c r="M462" i="28" s="1"/>
  <c r="L459" i="28"/>
  <c r="M459" i="28" s="1"/>
  <c r="N458" i="28"/>
  <c r="O458" i="28" s="1"/>
  <c r="P458" i="28" s="1"/>
  <c r="Q458" i="28" s="1"/>
  <c r="L458" i="28"/>
  <c r="M458" i="28" s="1"/>
  <c r="L456" i="28"/>
  <c r="K457" i="28" s="1"/>
  <c r="L457" i="28" s="1"/>
  <c r="M457" i="28" s="1"/>
  <c r="L454" i="28"/>
  <c r="L452" i="28"/>
  <c r="O451" i="28"/>
  <c r="P451" i="28" s="1"/>
  <c r="Q451" i="28" s="1"/>
  <c r="L451" i="28"/>
  <c r="M451" i="28" s="1"/>
  <c r="L449" i="28"/>
  <c r="M449" i="28" s="1"/>
  <c r="O448" i="28"/>
  <c r="P448" i="28" s="1"/>
  <c r="Q448" i="28" s="1"/>
  <c r="L448" i="28"/>
  <c r="M448" i="28" s="1"/>
  <c r="L446" i="28"/>
  <c r="K447" i="28" s="1"/>
  <c r="L447" i="28" s="1"/>
  <c r="M447" i="28" s="1"/>
  <c r="O445" i="28"/>
  <c r="P445" i="28" s="1"/>
  <c r="Q445" i="28" s="1"/>
  <c r="L445" i="28"/>
  <c r="M445" i="28" s="1"/>
  <c r="L443" i="28"/>
  <c r="K444" i="28" s="1"/>
  <c r="L444" i="28" s="1"/>
  <c r="M444" i="28" s="1"/>
  <c r="L441" i="28"/>
  <c r="M441" i="28" s="1"/>
  <c r="O440" i="28"/>
  <c r="P440" i="28" s="1"/>
  <c r="Q440" i="28" s="1"/>
  <c r="L440" i="28"/>
  <c r="M440" i="28" s="1"/>
  <c r="O439" i="28"/>
  <c r="P439" i="28" s="1"/>
  <c r="Q439" i="28" s="1"/>
  <c r="L439" i="28"/>
  <c r="M439" i="28" s="1"/>
  <c r="L437" i="28"/>
  <c r="K438" i="28" s="1"/>
  <c r="L438" i="28" s="1"/>
  <c r="M438" i="28" s="1"/>
  <c r="L435" i="28"/>
  <c r="M435" i="28" s="1"/>
  <c r="O434" i="28"/>
  <c r="P434" i="28" s="1"/>
  <c r="Q434" i="28" s="1"/>
  <c r="L434" i="28"/>
  <c r="M434" i="28" s="1"/>
  <c r="L432" i="28"/>
  <c r="L430" i="28"/>
  <c r="M430" i="28" s="1"/>
  <c r="L428" i="28"/>
  <c r="M428" i="28" s="1"/>
  <c r="L426" i="28"/>
  <c r="K427" i="28" s="1"/>
  <c r="L427" i="28" s="1"/>
  <c r="M427" i="28" s="1"/>
  <c r="L424" i="28"/>
  <c r="K425" i="28" s="1"/>
  <c r="L425" i="28" s="1"/>
  <c r="M425" i="28" s="1"/>
  <c r="O423" i="28"/>
  <c r="P423" i="28" s="1"/>
  <c r="Q423" i="28" s="1"/>
  <c r="L423" i="28"/>
  <c r="M423" i="28" s="1"/>
  <c r="L421" i="28"/>
  <c r="M421" i="28" s="1"/>
  <c r="L419" i="28"/>
  <c r="K420" i="28" s="1"/>
  <c r="L420" i="28" s="1"/>
  <c r="M420" i="28" s="1"/>
  <c r="O418" i="28"/>
  <c r="P418" i="28" s="1"/>
  <c r="Q418" i="28" s="1"/>
  <c r="L418" i="28"/>
  <c r="M418" i="28" s="1"/>
  <c r="L416" i="28"/>
  <c r="M416" i="28" s="1"/>
  <c r="L414" i="28"/>
  <c r="M414" i="28" s="1"/>
  <c r="L412" i="28"/>
  <c r="K413" i="28" s="1"/>
  <c r="L413" i="28" s="1"/>
  <c r="M413" i="28" s="1"/>
  <c r="L410" i="28"/>
  <c r="K411" i="28" s="1"/>
  <c r="L411" i="28" s="1"/>
  <c r="M411" i="28" s="1"/>
  <c r="O409" i="28"/>
  <c r="P409" i="28" s="1"/>
  <c r="Q409" i="28" s="1"/>
  <c r="L409" i="28"/>
  <c r="M409" i="28" s="1"/>
  <c r="O408" i="28"/>
  <c r="P408" i="28" s="1"/>
  <c r="Q408" i="28" s="1"/>
  <c r="L408" i="28"/>
  <c r="M408" i="28" s="1"/>
  <c r="N407" i="28"/>
  <c r="O407" i="28" s="1"/>
  <c r="P407" i="28" s="1"/>
  <c r="Q407" i="28" s="1"/>
  <c r="L407" i="28"/>
  <c r="M407" i="28" s="1"/>
  <c r="L405" i="28"/>
  <c r="K406" i="28" s="1"/>
  <c r="L406" i="28" s="1"/>
  <c r="M406" i="28" s="1"/>
  <c r="O404" i="28"/>
  <c r="P404" i="28" s="1"/>
  <c r="Q404" i="28" s="1"/>
  <c r="L404" i="28"/>
  <c r="M404" i="28" s="1"/>
  <c r="N403" i="28"/>
  <c r="O403" i="28" s="1"/>
  <c r="P403" i="28" s="1"/>
  <c r="Q403" i="28" s="1"/>
  <c r="L403" i="28"/>
  <c r="M403" i="28" s="1"/>
  <c r="L401" i="28"/>
  <c r="K402" i="28" s="1"/>
  <c r="L402" i="28" s="1"/>
  <c r="M402" i="28" s="1"/>
  <c r="N397" i="28"/>
  <c r="O397" i="28" s="1"/>
  <c r="P397" i="28" s="1"/>
  <c r="Q397" i="28" s="1"/>
  <c r="L397" i="28"/>
  <c r="M397" i="28" s="1"/>
  <c r="O396" i="28"/>
  <c r="P396" i="28" s="1"/>
  <c r="Q396" i="28" s="1"/>
  <c r="L396" i="28"/>
  <c r="M396" i="28" s="1"/>
  <c r="O395" i="28"/>
  <c r="P395" i="28" s="1"/>
  <c r="Q395" i="28" s="1"/>
  <c r="L395" i="28"/>
  <c r="M395" i="28" s="1"/>
  <c r="N394" i="28"/>
  <c r="O394" i="28" s="1"/>
  <c r="P394" i="28" s="1"/>
  <c r="Q394" i="28" s="1"/>
  <c r="L394" i="28"/>
  <c r="M394" i="28" s="1"/>
  <c r="O393" i="28"/>
  <c r="P393" i="28" s="1"/>
  <c r="Q393" i="28" s="1"/>
  <c r="L393" i="28"/>
  <c r="M393" i="28" s="1"/>
  <c r="O382" i="28"/>
  <c r="P382" i="28" s="1"/>
  <c r="Q382" i="28" s="1"/>
  <c r="L382" i="28"/>
  <c r="M382" i="28" s="1"/>
  <c r="O381" i="28"/>
  <c r="P381" i="28" s="1"/>
  <c r="Q381" i="28" s="1"/>
  <c r="L381" i="28"/>
  <c r="M381" i="28" s="1"/>
  <c r="O380" i="28"/>
  <c r="P380" i="28" s="1"/>
  <c r="Q380" i="28" s="1"/>
  <c r="L380" i="28"/>
  <c r="M380" i="28" s="1"/>
  <c r="O379" i="28"/>
  <c r="P379" i="28" s="1"/>
  <c r="Q379" i="28" s="1"/>
  <c r="L379" i="28"/>
  <c r="M379" i="28" s="1"/>
  <c r="O378" i="28"/>
  <c r="P378" i="28" s="1"/>
  <c r="Q378" i="28" s="1"/>
  <c r="L378" i="28"/>
  <c r="M378" i="28" s="1"/>
  <c r="O377" i="28"/>
  <c r="P377" i="28" s="1"/>
  <c r="Q377" i="28" s="1"/>
  <c r="L377" i="28"/>
  <c r="M377" i="28" s="1"/>
  <c r="L375" i="28"/>
  <c r="M375" i="28" s="1"/>
  <c r="L373" i="28"/>
  <c r="L371" i="28"/>
  <c r="L369" i="28"/>
  <c r="O361" i="28"/>
  <c r="P361" i="28" s="1"/>
  <c r="Q361" i="28" s="1"/>
  <c r="L361" i="28"/>
  <c r="M361" i="28" s="1"/>
  <c r="O360" i="28"/>
  <c r="P360" i="28" s="1"/>
  <c r="Q360" i="28" s="1"/>
  <c r="L360" i="28"/>
  <c r="M360" i="28" s="1"/>
  <c r="L358" i="28"/>
  <c r="O357" i="28"/>
  <c r="P357" i="28" s="1"/>
  <c r="Q357" i="28" s="1"/>
  <c r="L357" i="28"/>
  <c r="M357" i="28" s="1"/>
  <c r="L355" i="28"/>
  <c r="K356" i="28" s="1"/>
  <c r="L356" i="28" s="1"/>
  <c r="M356" i="28" s="1"/>
  <c r="L353" i="28"/>
  <c r="M353" i="28" s="1"/>
  <c r="O352" i="28"/>
  <c r="P352" i="28" s="1"/>
  <c r="Q352" i="28" s="1"/>
  <c r="L352" i="28"/>
  <c r="M352" i="28" s="1"/>
  <c r="O351" i="28"/>
  <c r="P351" i="28" s="1"/>
  <c r="Q351" i="28" s="1"/>
  <c r="L351" i="28"/>
  <c r="M351" i="28" s="1"/>
  <c r="O350" i="28"/>
  <c r="P350" i="28" s="1"/>
  <c r="Q350" i="28" s="1"/>
  <c r="L350" i="28"/>
  <c r="M350" i="28" s="1"/>
  <c r="L348" i="28"/>
  <c r="L346" i="28"/>
  <c r="K347" i="28" s="1"/>
  <c r="L347" i="28" s="1"/>
  <c r="M347" i="28" s="1"/>
  <c r="L344" i="28"/>
  <c r="M344" i="28" s="1"/>
  <c r="L342" i="28"/>
  <c r="K343" i="28" s="1"/>
  <c r="L343" i="28" s="1"/>
  <c r="M343" i="28" s="1"/>
  <c r="L340" i="28"/>
  <c r="L338" i="28"/>
  <c r="L336" i="28"/>
  <c r="L334" i="28"/>
  <c r="M334" i="28" s="1"/>
  <c r="L332" i="28"/>
  <c r="L330" i="28"/>
  <c r="K331" i="28" s="1"/>
  <c r="L331" i="28" s="1"/>
  <c r="M331" i="28" s="1"/>
  <c r="L328" i="28"/>
  <c r="M328" i="28" s="1"/>
  <c r="L326" i="28"/>
  <c r="K327" i="28" s="1"/>
  <c r="L327" i="28" s="1"/>
  <c r="M327" i="28" s="1"/>
  <c r="L324" i="28"/>
  <c r="O316" i="28"/>
  <c r="P316" i="28" s="1"/>
  <c r="Q316" i="28" s="1"/>
  <c r="L316" i="28"/>
  <c r="M316" i="28" s="1"/>
  <c r="O315" i="28"/>
  <c r="P315" i="28" s="1"/>
  <c r="Q315" i="28" s="1"/>
  <c r="L315" i="28"/>
  <c r="M315" i="28" s="1"/>
  <c r="O314" i="28"/>
  <c r="P314" i="28" s="1"/>
  <c r="Q314" i="28" s="1"/>
  <c r="L314" i="28"/>
  <c r="M314" i="28" s="1"/>
  <c r="O313" i="28"/>
  <c r="P313" i="28" s="1"/>
  <c r="Q313" i="28" s="1"/>
  <c r="L313" i="28"/>
  <c r="M313" i="28" s="1"/>
  <c r="O312" i="28"/>
  <c r="P312" i="28" s="1"/>
  <c r="Q312" i="28" s="1"/>
  <c r="L312" i="28"/>
  <c r="M312" i="28" s="1"/>
  <c r="N311" i="28"/>
  <c r="N321" i="28" s="1"/>
  <c r="B29" i="27" s="1"/>
  <c r="BI29" i="27" s="1"/>
  <c r="L311" i="28"/>
  <c r="M311" i="28" s="1"/>
  <c r="O306" i="28"/>
  <c r="P306" i="28" s="1"/>
  <c r="Q306" i="28" s="1"/>
  <c r="L306" i="28"/>
  <c r="M306" i="28" s="1"/>
  <c r="O305" i="28"/>
  <c r="P305" i="28" s="1"/>
  <c r="Q305" i="28" s="1"/>
  <c r="L305" i="28"/>
  <c r="M305" i="28" s="1"/>
  <c r="O304" i="28"/>
  <c r="P304" i="28" s="1"/>
  <c r="Q304" i="28" s="1"/>
  <c r="L304" i="28"/>
  <c r="M304" i="28" s="1"/>
  <c r="O303" i="28"/>
  <c r="P303" i="28" s="1"/>
  <c r="Q303" i="28" s="1"/>
  <c r="L303" i="28"/>
  <c r="M303" i="28" s="1"/>
  <c r="O302" i="28"/>
  <c r="P302" i="28" s="1"/>
  <c r="Q302" i="28" s="1"/>
  <c r="L302" i="28"/>
  <c r="M302" i="28" s="1"/>
  <c r="L300" i="28"/>
  <c r="O299" i="28"/>
  <c r="P299" i="28" s="1"/>
  <c r="Q299" i="28" s="1"/>
  <c r="L299" i="28"/>
  <c r="M299" i="28" s="1"/>
  <c r="L297" i="28"/>
  <c r="K298" i="28" s="1"/>
  <c r="L298" i="28" s="1"/>
  <c r="M298" i="28" s="1"/>
  <c r="O296" i="28"/>
  <c r="P296" i="28" s="1"/>
  <c r="Q296" i="28" s="1"/>
  <c r="L296" i="28"/>
  <c r="M296" i="28" s="1"/>
  <c r="N295" i="28"/>
  <c r="L295" i="28"/>
  <c r="M295" i="28" s="1"/>
  <c r="L288" i="28"/>
  <c r="M288" i="28" s="1"/>
  <c r="L286" i="28"/>
  <c r="O285" i="28"/>
  <c r="P285" i="28" s="1"/>
  <c r="Q285" i="28" s="1"/>
  <c r="L285" i="28"/>
  <c r="M285" i="28" s="1"/>
  <c r="O284" i="28"/>
  <c r="L284" i="28"/>
  <c r="M284" i="28" s="1"/>
  <c r="T283" i="28"/>
  <c r="T282" i="28"/>
  <c r="T280" i="28"/>
  <c r="O279" i="28"/>
  <c r="P279" i="28" s="1"/>
  <c r="Q279" i="28" s="1"/>
  <c r="L279" i="28"/>
  <c r="M279" i="28" s="1"/>
  <c r="O278" i="28"/>
  <c r="P278" i="28" s="1"/>
  <c r="Q278" i="28" s="1"/>
  <c r="L278" i="28"/>
  <c r="M278" i="28" s="1"/>
  <c r="O277" i="28"/>
  <c r="P277" i="28" s="1"/>
  <c r="Q277" i="28" s="1"/>
  <c r="L277" i="28"/>
  <c r="M277" i="28" s="1"/>
  <c r="N276" i="28"/>
  <c r="O276" i="28" s="1"/>
  <c r="P276" i="28" s="1"/>
  <c r="Q276" i="28" s="1"/>
  <c r="L276" i="28"/>
  <c r="M276" i="28" s="1"/>
  <c r="N275" i="28"/>
  <c r="O275" i="28" s="1"/>
  <c r="P275" i="28" s="1"/>
  <c r="Q275" i="28" s="1"/>
  <c r="L275" i="28"/>
  <c r="M275" i="28" s="1"/>
  <c r="O274" i="28"/>
  <c r="P274" i="28" s="1"/>
  <c r="Q274" i="28" s="1"/>
  <c r="L274" i="28"/>
  <c r="M274" i="28" s="1"/>
  <c r="N273" i="28"/>
  <c r="L273" i="28"/>
  <c r="M273" i="28" s="1"/>
  <c r="N517" i="28"/>
  <c r="O517" i="28" s="1"/>
  <c r="P517" i="28" s="1"/>
  <c r="Q517" i="28" s="1"/>
  <c r="L517" i="28"/>
  <c r="M517" i="28" s="1"/>
  <c r="L533" i="28"/>
  <c r="O272" i="28"/>
  <c r="P272" i="28" s="1"/>
  <c r="Q272" i="28" s="1"/>
  <c r="L272" i="28"/>
  <c r="M272" i="28" s="1"/>
  <c r="O271" i="28"/>
  <c r="P271" i="28" s="1"/>
  <c r="Q271" i="28" s="1"/>
  <c r="L271" i="28"/>
  <c r="M271" i="28" s="1"/>
  <c r="L269" i="28"/>
  <c r="K270" i="28" s="1"/>
  <c r="T268" i="28"/>
  <c r="T267" i="28"/>
  <c r="T265" i="28"/>
  <c r="O263" i="28"/>
  <c r="P263" i="28" s="1"/>
  <c r="Q263" i="28" s="1"/>
  <c r="L263" i="28"/>
  <c r="M263" i="28" s="1"/>
  <c r="N262" i="28"/>
  <c r="O262" i="28" s="1"/>
  <c r="P262" i="28" s="1"/>
  <c r="Q262" i="28" s="1"/>
  <c r="L262" i="28"/>
  <c r="M262" i="28" s="1"/>
  <c r="N261" i="28"/>
  <c r="L261" i="28"/>
  <c r="M261" i="28" s="1"/>
  <c r="N260" i="28"/>
  <c r="L260" i="28"/>
  <c r="M260" i="28" s="1"/>
  <c r="N259" i="28"/>
  <c r="O259" i="28" s="1"/>
  <c r="P259" i="28" s="1"/>
  <c r="Q259" i="28" s="1"/>
  <c r="L259" i="28"/>
  <c r="M259" i="28" s="1"/>
  <c r="N258" i="28"/>
  <c r="O258" i="28" s="1"/>
  <c r="P258" i="28" s="1"/>
  <c r="Q258" i="28" s="1"/>
  <c r="L258" i="28"/>
  <c r="M258" i="28" s="1"/>
  <c r="L526" i="28"/>
  <c r="K527" i="28" s="1"/>
  <c r="L527" i="28" s="1"/>
  <c r="M527" i="28" s="1"/>
  <c r="L256" i="28"/>
  <c r="T255" i="28"/>
  <c r="T254" i="28"/>
  <c r="T252" i="28"/>
  <c r="N251" i="28"/>
  <c r="L251" i="28"/>
  <c r="M251" i="28" s="1"/>
  <c r="O250" i="28"/>
  <c r="P250" i="28" s="1"/>
  <c r="Q250" i="28" s="1"/>
  <c r="L250" i="28"/>
  <c r="M250" i="28" s="1"/>
  <c r="N249" i="28"/>
  <c r="O249" i="28" s="1"/>
  <c r="P249" i="28" s="1"/>
  <c r="Q249" i="28" s="1"/>
  <c r="L249" i="28"/>
  <c r="M249" i="28" s="1"/>
  <c r="T248" i="28"/>
  <c r="T247" i="28"/>
  <c r="T245" i="28"/>
  <c r="O242" i="28"/>
  <c r="P242" i="28" s="1"/>
  <c r="Q242" i="28" s="1"/>
  <c r="L242" i="28"/>
  <c r="M242" i="28" s="1"/>
  <c r="O241" i="28"/>
  <c r="P241" i="28" s="1"/>
  <c r="Q241" i="28" s="1"/>
  <c r="L241" i="28"/>
  <c r="M241" i="28" s="1"/>
  <c r="O240" i="28"/>
  <c r="P240" i="28" s="1"/>
  <c r="Q240" i="28" s="1"/>
  <c r="L240" i="28"/>
  <c r="M240" i="28" s="1"/>
  <c r="O239" i="28"/>
  <c r="P239" i="28" s="1"/>
  <c r="Q239" i="28" s="1"/>
  <c r="L239" i="28"/>
  <c r="M239" i="28" s="1"/>
  <c r="O238" i="28"/>
  <c r="P238" i="28" s="1"/>
  <c r="Q238" i="28" s="1"/>
  <c r="L238" i="28"/>
  <c r="M238" i="28" s="1"/>
  <c r="O237" i="28"/>
  <c r="P237" i="28" s="1"/>
  <c r="Q237" i="28" s="1"/>
  <c r="L237" i="28"/>
  <c r="M237" i="28" s="1"/>
  <c r="O236" i="28"/>
  <c r="P236" i="28" s="1"/>
  <c r="Q236" i="28" s="1"/>
  <c r="L236" i="28"/>
  <c r="M236" i="28" s="1"/>
  <c r="O235" i="28"/>
  <c r="P235" i="28" s="1"/>
  <c r="Q235" i="28" s="1"/>
  <c r="L235" i="28"/>
  <c r="M235" i="28" s="1"/>
  <c r="O234" i="28"/>
  <c r="P234" i="28" s="1"/>
  <c r="Q234" i="28" s="1"/>
  <c r="L234" i="28"/>
  <c r="M234" i="28" s="1"/>
  <c r="O233" i="28"/>
  <c r="P233" i="28" s="1"/>
  <c r="Q233" i="28" s="1"/>
  <c r="L233" i="28"/>
  <c r="M233" i="28" s="1"/>
  <c r="O232" i="28"/>
  <c r="P232" i="28" s="1"/>
  <c r="Q232" i="28" s="1"/>
  <c r="L232" i="28"/>
  <c r="M232" i="28" s="1"/>
  <c r="O231" i="28"/>
  <c r="P231" i="28" s="1"/>
  <c r="Q231" i="28" s="1"/>
  <c r="L231" i="28"/>
  <c r="M231" i="28" s="1"/>
  <c r="N230" i="28"/>
  <c r="L230" i="28"/>
  <c r="M230" i="28" s="1"/>
  <c r="O229" i="28"/>
  <c r="P229" i="28" s="1"/>
  <c r="Q229" i="28" s="1"/>
  <c r="L229" i="28"/>
  <c r="M229" i="28" s="1"/>
  <c r="O228" i="28"/>
  <c r="P228" i="28" s="1"/>
  <c r="Q228" i="28" s="1"/>
  <c r="L228" i="28"/>
  <c r="M228" i="28" s="1"/>
  <c r="O227" i="28"/>
  <c r="P227" i="28" s="1"/>
  <c r="Q227" i="28" s="1"/>
  <c r="L227" i="28"/>
  <c r="M227" i="28" s="1"/>
  <c r="N226" i="28"/>
  <c r="O226" i="28" s="1"/>
  <c r="P226" i="28" s="1"/>
  <c r="Q226" i="28" s="1"/>
  <c r="L226" i="28"/>
  <c r="M226" i="28" s="1"/>
  <c r="O528" i="28"/>
  <c r="P528" i="28" s="1"/>
  <c r="Q528" i="28" s="1"/>
  <c r="L528" i="28"/>
  <c r="M528" i="28" s="1"/>
  <c r="N225" i="28"/>
  <c r="O225" i="28" s="1"/>
  <c r="P225" i="28" s="1"/>
  <c r="Q225" i="28" s="1"/>
  <c r="L225" i="28"/>
  <c r="M225" i="28" s="1"/>
  <c r="O224" i="28"/>
  <c r="P224" i="28" s="1"/>
  <c r="Q224" i="28" s="1"/>
  <c r="L224" i="28"/>
  <c r="M224" i="28" s="1"/>
  <c r="N223" i="28"/>
  <c r="L223" i="28"/>
  <c r="M223" i="28" s="1"/>
  <c r="N222" i="28"/>
  <c r="O222" i="28" s="1"/>
  <c r="P222" i="28" s="1"/>
  <c r="Q222" i="28" s="1"/>
  <c r="L222" i="28"/>
  <c r="M222" i="28" s="1"/>
  <c r="O221" i="28"/>
  <c r="P221" i="28" s="1"/>
  <c r="Q221" i="28" s="1"/>
  <c r="L221" i="28"/>
  <c r="M221" i="28" s="1"/>
  <c r="L219" i="28"/>
  <c r="M219" i="28" s="1"/>
  <c r="L217" i="28"/>
  <c r="M217" i="28" s="1"/>
  <c r="N216" i="28"/>
  <c r="L216" i="28"/>
  <c r="M216" i="28" s="1"/>
  <c r="N215" i="28"/>
  <c r="L215" i="28"/>
  <c r="M215" i="28" s="1"/>
  <c r="N214" i="28"/>
  <c r="O214" i="28" s="1"/>
  <c r="P214" i="28" s="1"/>
  <c r="Q214" i="28" s="1"/>
  <c r="L214" i="28"/>
  <c r="M214" i="28" s="1"/>
  <c r="L212" i="28"/>
  <c r="K213" i="28" s="1"/>
  <c r="L213" i="28" s="1"/>
  <c r="M213" i="28" s="1"/>
  <c r="L210" i="28"/>
  <c r="L208" i="28"/>
  <c r="K209" i="28" s="1"/>
  <c r="L209" i="28" s="1"/>
  <c r="M209" i="28" s="1"/>
  <c r="L206" i="28"/>
  <c r="L204" i="28"/>
  <c r="L202" i="28"/>
  <c r="L200" i="28"/>
  <c r="L531" i="28"/>
  <c r="L529" i="28"/>
  <c r="K530" i="28" s="1"/>
  <c r="L530" i="28" s="1"/>
  <c r="M530" i="28" s="1"/>
  <c r="O199" i="28"/>
  <c r="P199" i="28" s="1"/>
  <c r="Q199" i="28" s="1"/>
  <c r="L199" i="28"/>
  <c r="M199" i="28" s="1"/>
  <c r="O198" i="28"/>
  <c r="P198" i="28" s="1"/>
  <c r="Q198" i="28" s="1"/>
  <c r="L198" i="28"/>
  <c r="M198" i="28" s="1"/>
  <c r="N197" i="28"/>
  <c r="O197" i="28" s="1"/>
  <c r="P197" i="28" s="1"/>
  <c r="Q197" i="28" s="1"/>
  <c r="L197" i="28"/>
  <c r="M197" i="28" s="1"/>
  <c r="L195" i="28"/>
  <c r="M195" i="28" s="1"/>
  <c r="O175" i="28"/>
  <c r="P175" i="28" s="1"/>
  <c r="Q175" i="28" s="1"/>
  <c r="L175" i="28"/>
  <c r="M175" i="28" s="1"/>
  <c r="O174" i="28"/>
  <c r="P174" i="28" s="1"/>
  <c r="Q174" i="28" s="1"/>
  <c r="L174" i="28"/>
  <c r="M174" i="28" s="1"/>
  <c r="O173" i="28"/>
  <c r="P173" i="28" s="1"/>
  <c r="Q173" i="28" s="1"/>
  <c r="L173" i="28"/>
  <c r="M173" i="28" s="1"/>
  <c r="O172" i="28"/>
  <c r="P172" i="28" s="1"/>
  <c r="Q172" i="28" s="1"/>
  <c r="L172" i="28"/>
  <c r="M172" i="28" s="1"/>
  <c r="O171" i="28"/>
  <c r="P171" i="28" s="1"/>
  <c r="Q171" i="28" s="1"/>
  <c r="L171" i="28"/>
  <c r="M171" i="28" s="1"/>
  <c r="O170" i="28"/>
  <c r="P170" i="28" s="1"/>
  <c r="Q170" i="28" s="1"/>
  <c r="L170" i="28"/>
  <c r="M170" i="28" s="1"/>
  <c r="O169" i="28"/>
  <c r="P169" i="28" s="1"/>
  <c r="Q169" i="28" s="1"/>
  <c r="L169" i="28"/>
  <c r="M169" i="28" s="1"/>
  <c r="O168" i="28"/>
  <c r="P168" i="28" s="1"/>
  <c r="Q168" i="28" s="1"/>
  <c r="L168" i="28"/>
  <c r="M168" i="28" s="1"/>
  <c r="O167" i="28"/>
  <c r="P167" i="28" s="1"/>
  <c r="Q167" i="28" s="1"/>
  <c r="L167" i="28"/>
  <c r="M167" i="28" s="1"/>
  <c r="O166" i="28"/>
  <c r="P166" i="28" s="1"/>
  <c r="Q166" i="28" s="1"/>
  <c r="L166" i="28"/>
  <c r="M166" i="28" s="1"/>
  <c r="O165" i="28"/>
  <c r="P165" i="28" s="1"/>
  <c r="Q165" i="28" s="1"/>
  <c r="L165" i="28"/>
  <c r="M165" i="28" s="1"/>
  <c r="O164" i="28"/>
  <c r="P164" i="28" s="1"/>
  <c r="Q164" i="28" s="1"/>
  <c r="L164" i="28"/>
  <c r="M164" i="28" s="1"/>
  <c r="O163" i="28"/>
  <c r="P163" i="28" s="1"/>
  <c r="Q163" i="28" s="1"/>
  <c r="L163" i="28"/>
  <c r="M163" i="28" s="1"/>
  <c r="O162" i="28"/>
  <c r="P162" i="28" s="1"/>
  <c r="Q162" i="28" s="1"/>
  <c r="L162" i="28"/>
  <c r="M162" i="28" s="1"/>
  <c r="O161" i="28"/>
  <c r="P161" i="28" s="1"/>
  <c r="Q161" i="28" s="1"/>
  <c r="L161" i="28"/>
  <c r="M161" i="28" s="1"/>
  <c r="O160" i="28"/>
  <c r="P160" i="28" s="1"/>
  <c r="Q160" i="28" s="1"/>
  <c r="L160" i="28"/>
  <c r="M160" i="28" s="1"/>
  <c r="O159" i="28"/>
  <c r="P159" i="28" s="1"/>
  <c r="Q159" i="28" s="1"/>
  <c r="L159" i="28"/>
  <c r="M159" i="28" s="1"/>
  <c r="O158" i="28"/>
  <c r="P158" i="28" s="1"/>
  <c r="Q158" i="28" s="1"/>
  <c r="L158" i="28"/>
  <c r="M158" i="28" s="1"/>
  <c r="O524" i="28"/>
  <c r="P524" i="28" s="1"/>
  <c r="Q524" i="28" s="1"/>
  <c r="L524" i="28"/>
  <c r="M524" i="28" s="1"/>
  <c r="O522" i="28"/>
  <c r="P522" i="28" s="1"/>
  <c r="Q522" i="28" s="1"/>
  <c r="L522" i="28"/>
  <c r="M522" i="28" s="1"/>
  <c r="O157" i="28"/>
  <c r="P157" i="28" s="1"/>
  <c r="Q157" i="28" s="1"/>
  <c r="L157" i="28"/>
  <c r="M157" i="28" s="1"/>
  <c r="O525" i="28"/>
  <c r="P525" i="28" s="1"/>
  <c r="Q525" i="28" s="1"/>
  <c r="L525" i="28"/>
  <c r="M525" i="28" s="1"/>
  <c r="N523" i="28"/>
  <c r="O523" i="28" s="1"/>
  <c r="P523" i="28" s="1"/>
  <c r="Q523" i="28" s="1"/>
  <c r="L523" i="28"/>
  <c r="M523" i="28" s="1"/>
  <c r="N520" i="28"/>
  <c r="O520" i="28" s="1"/>
  <c r="P520" i="28" s="1"/>
  <c r="Q520" i="28" s="1"/>
  <c r="L520" i="28"/>
  <c r="M520" i="28" s="1"/>
  <c r="N156" i="28"/>
  <c r="O156" i="28" s="1"/>
  <c r="P156" i="28" s="1"/>
  <c r="Q156" i="28" s="1"/>
  <c r="L156" i="28"/>
  <c r="M156" i="28" s="1"/>
  <c r="N155" i="28"/>
  <c r="O155" i="28" s="1"/>
  <c r="P155" i="28" s="1"/>
  <c r="Q155" i="28" s="1"/>
  <c r="L155" i="28"/>
  <c r="M155" i="28" s="1"/>
  <c r="N154" i="28"/>
  <c r="O154" i="28" s="1"/>
  <c r="P154" i="28" s="1"/>
  <c r="Q154" i="28" s="1"/>
  <c r="L154" i="28"/>
  <c r="M154" i="28" s="1"/>
  <c r="N153" i="28"/>
  <c r="O153" i="28" s="1"/>
  <c r="P153" i="28" s="1"/>
  <c r="Q153" i="28" s="1"/>
  <c r="L153" i="28"/>
  <c r="M153" i="28" s="1"/>
  <c r="N152" i="28"/>
  <c r="O152" i="28" s="1"/>
  <c r="P152" i="28" s="1"/>
  <c r="Q152" i="28" s="1"/>
  <c r="L152" i="28"/>
  <c r="M152" i="28" s="1"/>
  <c r="O521" i="28"/>
  <c r="P521" i="28" s="1"/>
  <c r="Q521" i="28" s="1"/>
  <c r="L521" i="28"/>
  <c r="M521" i="28" s="1"/>
  <c r="L518" i="28"/>
  <c r="K519" i="28" s="1"/>
  <c r="L519" i="28" s="1"/>
  <c r="M519" i="28" s="1"/>
  <c r="L150" i="28"/>
  <c r="N149" i="28"/>
  <c r="O149" i="28" s="1"/>
  <c r="P149" i="28" s="1"/>
  <c r="Q149" i="28" s="1"/>
  <c r="L149" i="28"/>
  <c r="M149" i="28" s="1"/>
  <c r="L147" i="28"/>
  <c r="N144" i="28"/>
  <c r="B13" i="27" s="1"/>
  <c r="BI13" i="27" s="1"/>
  <c r="O142" i="28"/>
  <c r="P142" i="28" s="1"/>
  <c r="L142" i="28"/>
  <c r="M142" i="28" s="1"/>
  <c r="N137" i="28"/>
  <c r="O137" i="28" s="1"/>
  <c r="O139" i="28" s="1"/>
  <c r="D11" i="27" s="1"/>
  <c r="BK11" i="27" s="1"/>
  <c r="L137" i="28"/>
  <c r="M137" i="28" s="1"/>
  <c r="O91" i="28"/>
  <c r="P91" i="28" s="1"/>
  <c r="Q91" i="28" s="1"/>
  <c r="L91" i="28"/>
  <c r="M91" i="28" s="1"/>
  <c r="O90" i="28"/>
  <c r="P90" i="28" s="1"/>
  <c r="Q90" i="28" s="1"/>
  <c r="L90" i="28"/>
  <c r="M90" i="28" s="1"/>
  <c r="O89" i="28"/>
  <c r="P89" i="28" s="1"/>
  <c r="Q89" i="28" s="1"/>
  <c r="L89" i="28"/>
  <c r="M89" i="28" s="1"/>
  <c r="O88" i="28"/>
  <c r="P88" i="28" s="1"/>
  <c r="Q88" i="28" s="1"/>
  <c r="L88" i="28"/>
  <c r="M88" i="28" s="1"/>
  <c r="O87" i="28"/>
  <c r="P87" i="28" s="1"/>
  <c r="Q87" i="28" s="1"/>
  <c r="L87" i="28"/>
  <c r="M87" i="28" s="1"/>
  <c r="O86" i="28"/>
  <c r="P86" i="28" s="1"/>
  <c r="Q86" i="28" s="1"/>
  <c r="L86" i="28"/>
  <c r="M86" i="28" s="1"/>
  <c r="O85" i="28"/>
  <c r="P85" i="28" s="1"/>
  <c r="Q85" i="28" s="1"/>
  <c r="L85" i="28"/>
  <c r="M85" i="28" s="1"/>
  <c r="O84" i="28"/>
  <c r="P84" i="28" s="1"/>
  <c r="Q84" i="28" s="1"/>
  <c r="L84" i="28"/>
  <c r="M84" i="28" s="1"/>
  <c r="O83" i="28"/>
  <c r="P83" i="28" s="1"/>
  <c r="Q83" i="28" s="1"/>
  <c r="L83" i="28"/>
  <c r="M83" i="28" s="1"/>
  <c r="O82" i="28"/>
  <c r="P82" i="28" s="1"/>
  <c r="Q82" i="28" s="1"/>
  <c r="L82" i="28"/>
  <c r="M82" i="28" s="1"/>
  <c r="O81" i="28"/>
  <c r="P81" i="28" s="1"/>
  <c r="Q81" i="28" s="1"/>
  <c r="L81" i="28"/>
  <c r="M81" i="28" s="1"/>
  <c r="O80" i="28"/>
  <c r="P80" i="28" s="1"/>
  <c r="Q80" i="28" s="1"/>
  <c r="L80" i="28"/>
  <c r="M80" i="28" s="1"/>
  <c r="O79" i="28"/>
  <c r="P79" i="28" s="1"/>
  <c r="Q79" i="28" s="1"/>
  <c r="L79" i="28"/>
  <c r="M79" i="28" s="1"/>
  <c r="O78" i="28"/>
  <c r="P78" i="28" s="1"/>
  <c r="Q78" i="28" s="1"/>
  <c r="L78" i="28"/>
  <c r="M78" i="28" s="1"/>
  <c r="O77" i="28"/>
  <c r="P77" i="28" s="1"/>
  <c r="Q77" i="28" s="1"/>
  <c r="L77" i="28"/>
  <c r="M77" i="28" s="1"/>
  <c r="O76" i="28"/>
  <c r="P76" i="28" s="1"/>
  <c r="Q76" i="28" s="1"/>
  <c r="L76" i="28"/>
  <c r="M76" i="28" s="1"/>
  <c r="N75" i="28"/>
  <c r="L75" i="28"/>
  <c r="M75" i="28" s="1"/>
  <c r="N74" i="28"/>
  <c r="O74" i="28" s="1"/>
  <c r="P74" i="28" s="1"/>
  <c r="Q74" i="28" s="1"/>
  <c r="L74" i="28"/>
  <c r="M74" i="28" s="1"/>
  <c r="O73" i="28"/>
  <c r="P73" i="28" s="1"/>
  <c r="Q73" i="28" s="1"/>
  <c r="L73" i="28"/>
  <c r="M73" i="28" s="1"/>
  <c r="O72" i="28"/>
  <c r="P72" i="28" s="1"/>
  <c r="Q72" i="28" s="1"/>
  <c r="L72" i="28"/>
  <c r="M72" i="28" s="1"/>
  <c r="O71" i="28"/>
  <c r="P71" i="28" s="1"/>
  <c r="Q71" i="28" s="1"/>
  <c r="L71" i="28"/>
  <c r="M71" i="28" s="1"/>
  <c r="O70" i="28"/>
  <c r="P70" i="28" s="1"/>
  <c r="Q70" i="28" s="1"/>
  <c r="L70" i="28"/>
  <c r="M70" i="28" s="1"/>
  <c r="O69" i="28"/>
  <c r="P69" i="28" s="1"/>
  <c r="Q69" i="28" s="1"/>
  <c r="L69" i="28"/>
  <c r="M69" i="28" s="1"/>
  <c r="O68" i="28"/>
  <c r="P68" i="28" s="1"/>
  <c r="Q68" i="28" s="1"/>
  <c r="L68" i="28"/>
  <c r="M68" i="28" s="1"/>
  <c r="O67" i="28"/>
  <c r="P67" i="28" s="1"/>
  <c r="Q67" i="28" s="1"/>
  <c r="L67" i="28"/>
  <c r="M67" i="28" s="1"/>
  <c r="O66" i="28"/>
  <c r="P66" i="28" s="1"/>
  <c r="Q66" i="28" s="1"/>
  <c r="L66" i="28"/>
  <c r="M66" i="28" s="1"/>
  <c r="O65" i="28"/>
  <c r="P65" i="28" s="1"/>
  <c r="Q65" i="28" s="1"/>
  <c r="L65" i="28"/>
  <c r="M65" i="28" s="1"/>
  <c r="O64" i="28"/>
  <c r="P64" i="28" s="1"/>
  <c r="Q64" i="28" s="1"/>
  <c r="L64" i="28"/>
  <c r="M64" i="28" s="1"/>
  <c r="O63" i="28"/>
  <c r="P63" i="28" s="1"/>
  <c r="Q63" i="28" s="1"/>
  <c r="L63" i="28"/>
  <c r="M63" i="28" s="1"/>
  <c r="O62" i="28"/>
  <c r="P62" i="28" s="1"/>
  <c r="Q62" i="28" s="1"/>
  <c r="L62" i="28"/>
  <c r="M62" i="28" s="1"/>
  <c r="O61" i="28"/>
  <c r="P61" i="28" s="1"/>
  <c r="Q61" i="28" s="1"/>
  <c r="L61" i="28"/>
  <c r="M61" i="28" s="1"/>
  <c r="O60" i="28"/>
  <c r="P60" i="28" s="1"/>
  <c r="Q60" i="28" s="1"/>
  <c r="L60" i="28"/>
  <c r="M60" i="28" s="1"/>
  <c r="O59" i="28"/>
  <c r="P59" i="28" s="1"/>
  <c r="Q59" i="28" s="1"/>
  <c r="L59" i="28"/>
  <c r="M59" i="28" s="1"/>
  <c r="O58" i="28"/>
  <c r="P58" i="28" s="1"/>
  <c r="Q58" i="28" s="1"/>
  <c r="L58" i="28"/>
  <c r="M58" i="28" s="1"/>
  <c r="O57" i="28"/>
  <c r="P57" i="28" s="1"/>
  <c r="Q57" i="28" s="1"/>
  <c r="L57" i="28"/>
  <c r="M57" i="28" s="1"/>
  <c r="O56" i="28"/>
  <c r="P56" i="28" s="1"/>
  <c r="Q56" i="28" s="1"/>
  <c r="L56" i="28"/>
  <c r="M56" i="28" s="1"/>
  <c r="O55" i="28"/>
  <c r="P55" i="28" s="1"/>
  <c r="Q55" i="28" s="1"/>
  <c r="L55" i="28"/>
  <c r="M55" i="28" s="1"/>
  <c r="O54" i="28"/>
  <c r="P54" i="28" s="1"/>
  <c r="Q54" i="28" s="1"/>
  <c r="L54" i="28"/>
  <c r="M54" i="28" s="1"/>
  <c r="O53" i="28"/>
  <c r="P53" i="28" s="1"/>
  <c r="Q53" i="28" s="1"/>
  <c r="L53" i="28"/>
  <c r="M53" i="28" s="1"/>
  <c r="O52" i="28"/>
  <c r="P52" i="28" s="1"/>
  <c r="Q52" i="28" s="1"/>
  <c r="L52" i="28"/>
  <c r="M52" i="28" s="1"/>
  <c r="O51" i="28"/>
  <c r="P51" i="28" s="1"/>
  <c r="Q51" i="28" s="1"/>
  <c r="L51" i="28"/>
  <c r="M51" i="28" s="1"/>
  <c r="O50" i="28"/>
  <c r="P50" i="28" s="1"/>
  <c r="Q50" i="28" s="1"/>
  <c r="L50" i="28"/>
  <c r="M50" i="28" s="1"/>
  <c r="O49" i="28"/>
  <c r="P49" i="28" s="1"/>
  <c r="Q49" i="28" s="1"/>
  <c r="L49" i="28"/>
  <c r="M49" i="28" s="1"/>
  <c r="O48" i="28"/>
  <c r="P48" i="28" s="1"/>
  <c r="Q48" i="28" s="1"/>
  <c r="L48" i="28"/>
  <c r="M48" i="28" s="1"/>
  <c r="O47" i="28"/>
  <c r="P47" i="28" s="1"/>
  <c r="Q47" i="28" s="1"/>
  <c r="L47" i="28"/>
  <c r="M47" i="28" s="1"/>
  <c r="O46" i="28"/>
  <c r="P46" i="28" s="1"/>
  <c r="Q46" i="28" s="1"/>
  <c r="L46" i="28"/>
  <c r="M46" i="28" s="1"/>
  <c r="O45" i="28"/>
  <c r="P45" i="28" s="1"/>
  <c r="Q45" i="28" s="1"/>
  <c r="L45" i="28"/>
  <c r="M45" i="28" s="1"/>
  <c r="O44" i="28"/>
  <c r="P44" i="28" s="1"/>
  <c r="Q44" i="28" s="1"/>
  <c r="L44" i="28"/>
  <c r="M44" i="28" s="1"/>
  <c r="O43" i="28"/>
  <c r="P43" i="28" s="1"/>
  <c r="Q43" i="28" s="1"/>
  <c r="L43" i="28"/>
  <c r="M43" i="28" s="1"/>
  <c r="O42" i="28"/>
  <c r="P42" i="28" s="1"/>
  <c r="Q42" i="28" s="1"/>
  <c r="L42" i="28"/>
  <c r="M42" i="28" s="1"/>
  <c r="O41" i="28"/>
  <c r="P41" i="28" s="1"/>
  <c r="Q41" i="28" s="1"/>
  <c r="L41" i="28"/>
  <c r="M41" i="28" s="1"/>
  <c r="O40" i="28"/>
  <c r="P40" i="28" s="1"/>
  <c r="Q40" i="28" s="1"/>
  <c r="L40" i="28"/>
  <c r="M40" i="28" s="1"/>
  <c r="O39" i="28"/>
  <c r="P39" i="28" s="1"/>
  <c r="Q39" i="28" s="1"/>
  <c r="L39" i="28"/>
  <c r="M39" i="28" s="1"/>
  <c r="O38" i="28"/>
  <c r="P38" i="28" s="1"/>
  <c r="Q38" i="28" s="1"/>
  <c r="L38" i="28"/>
  <c r="M38" i="28" s="1"/>
  <c r="O37" i="28"/>
  <c r="P37" i="28" s="1"/>
  <c r="Q37" i="28" s="1"/>
  <c r="L37" i="28"/>
  <c r="M37" i="28" s="1"/>
  <c r="N36" i="28"/>
  <c r="O36" i="28" s="1"/>
  <c r="P36" i="28" s="1"/>
  <c r="Q36" i="28" s="1"/>
  <c r="L36" i="28"/>
  <c r="M36" i="28" s="1"/>
  <c r="O35" i="28"/>
  <c r="P35" i="28" s="1"/>
  <c r="Q35" i="28" s="1"/>
  <c r="L35" i="28"/>
  <c r="M35" i="28" s="1"/>
  <c r="O34" i="28"/>
  <c r="P34" i="28" s="1"/>
  <c r="Q34" i="28" s="1"/>
  <c r="L34" i="28"/>
  <c r="M34" i="28" s="1"/>
  <c r="N33" i="28"/>
  <c r="O33" i="28" s="1"/>
  <c r="P33" i="28" s="1"/>
  <c r="Q33" i="28" s="1"/>
  <c r="L33" i="28"/>
  <c r="M33" i="28" s="1"/>
  <c r="N32" i="28"/>
  <c r="O32" i="28" s="1"/>
  <c r="P32" i="28" s="1"/>
  <c r="Q32" i="28" s="1"/>
  <c r="L32" i="28"/>
  <c r="M32" i="28" s="1"/>
  <c r="N31" i="28"/>
  <c r="O31" i="28" s="1"/>
  <c r="P31" i="28" s="1"/>
  <c r="Q31" i="28" s="1"/>
  <c r="L31" i="28"/>
  <c r="M31" i="28" s="1"/>
  <c r="O30" i="28"/>
  <c r="P30" i="28" s="1"/>
  <c r="Q30" i="28" s="1"/>
  <c r="L30" i="28"/>
  <c r="M30" i="28" s="1"/>
  <c r="L28" i="28"/>
  <c r="L26" i="28"/>
  <c r="K27" i="28" s="1"/>
  <c r="L27" i="28" s="1"/>
  <c r="M27" i="28" s="1"/>
  <c r="L24" i="28"/>
  <c r="K25" i="28" s="1"/>
  <c r="L25" i="28" s="1"/>
  <c r="M25" i="28" s="1"/>
  <c r="L22" i="28"/>
  <c r="L20" i="28"/>
  <c r="K21" i="28" s="1"/>
  <c r="L21" i="28" s="1"/>
  <c r="M21" i="28" s="1"/>
  <c r="N19" i="28"/>
  <c r="O19" i="28" s="1"/>
  <c r="P19" i="28" s="1"/>
  <c r="Q19" i="28" s="1"/>
  <c r="L19" i="28"/>
  <c r="M19" i="28" s="1"/>
  <c r="L552" i="28"/>
  <c r="L17" i="28"/>
  <c r="K18" i="28" s="1"/>
  <c r="L18" i="28" s="1"/>
  <c r="M18" i="28" s="1"/>
  <c r="L15" i="28"/>
  <c r="M15" i="28" s="1"/>
  <c r="L535" i="28"/>
  <c r="K536" i="28" s="1"/>
  <c r="L536" i="28" s="1"/>
  <c r="M536" i="28" s="1"/>
  <c r="O14" i="28"/>
  <c r="P14" i="28" s="1"/>
  <c r="Q14" i="28" s="1"/>
  <c r="L14" i="28"/>
  <c r="M14" i="28" s="1"/>
  <c r="O5" i="28"/>
  <c r="O5" i="30" s="1"/>
  <c r="S317" i="28" l="1"/>
  <c r="S318" i="28"/>
  <c r="S319" i="28"/>
  <c r="S186" i="28"/>
  <c r="S127" i="28"/>
  <c r="S188" i="28"/>
  <c r="S122" i="28"/>
  <c r="S128" i="28"/>
  <c r="S130" i="28"/>
  <c r="S121" i="28"/>
  <c r="O5" i="29"/>
  <c r="S516" i="28"/>
  <c r="M412" i="28"/>
  <c r="S412" i="28" s="1"/>
  <c r="S190" i="28"/>
  <c r="T190" i="28" s="1"/>
  <c r="U190" i="28" s="1"/>
  <c r="W190" i="28" s="1"/>
  <c r="S119" i="28"/>
  <c r="S109" i="28"/>
  <c r="T109" i="28" s="1"/>
  <c r="U109" i="28" s="1"/>
  <c r="W109" i="28" s="1"/>
  <c r="S102" i="28"/>
  <c r="T102" i="28" s="1"/>
  <c r="U102" i="28" s="1"/>
  <c r="W102" i="28" s="1"/>
  <c r="S131" i="28"/>
  <c r="T131" i="28" s="1"/>
  <c r="U131" i="28" s="1"/>
  <c r="W131" i="28" s="1"/>
  <c r="S120" i="28"/>
  <c r="S108" i="28"/>
  <c r="T108" i="28" s="1"/>
  <c r="U108" i="28" s="1"/>
  <c r="W108" i="28" s="1"/>
  <c r="S184" i="28"/>
  <c r="S112" i="28"/>
  <c r="T112" i="28" s="1"/>
  <c r="U112" i="28" s="1"/>
  <c r="W112" i="28" s="1"/>
  <c r="S181" i="28"/>
  <c r="S104" i="28"/>
  <c r="T104" i="28" s="1"/>
  <c r="U104" i="28" s="1"/>
  <c r="W104" i="28" s="1"/>
  <c r="S124" i="28"/>
  <c r="T124" i="28" s="1"/>
  <c r="U124" i="28" s="1"/>
  <c r="W124" i="28" s="1"/>
  <c r="S178" i="28"/>
  <c r="S183" i="28"/>
  <c r="S107" i="28"/>
  <c r="T107" i="28" s="1"/>
  <c r="U107" i="28" s="1"/>
  <c r="W107" i="28" s="1"/>
  <c r="S187" i="28"/>
  <c r="S123" i="28"/>
  <c r="S114" i="28"/>
  <c r="T114" i="28" s="1"/>
  <c r="U114" i="28" s="1"/>
  <c r="W114" i="28" s="1"/>
  <c r="S113" i="28"/>
  <c r="T113" i="28" s="1"/>
  <c r="U113" i="28" s="1"/>
  <c r="W113" i="28" s="1"/>
  <c r="S106" i="28"/>
  <c r="T106" i="28" s="1"/>
  <c r="U106" i="28" s="1"/>
  <c r="W106" i="28" s="1"/>
  <c r="S110" i="28"/>
  <c r="S105" i="28"/>
  <c r="T105" i="28" s="1"/>
  <c r="U105" i="28" s="1"/>
  <c r="W105" i="28" s="1"/>
  <c r="S189" i="28"/>
  <c r="T189" i="28" s="1"/>
  <c r="U189" i="28" s="1"/>
  <c r="W189" i="28" s="1"/>
  <c r="S182" i="28"/>
  <c r="S179" i="28"/>
  <c r="S180" i="28"/>
  <c r="S125" i="28"/>
  <c r="S111" i="28"/>
  <c r="T111" i="28" s="1"/>
  <c r="U111" i="28" s="1"/>
  <c r="W111" i="28" s="1"/>
  <c r="S132" i="28"/>
  <c r="S126" i="28"/>
  <c r="T126" i="28" s="1"/>
  <c r="U126" i="28" s="1"/>
  <c r="W126" i="28" s="1"/>
  <c r="S129" i="28"/>
  <c r="T129" i="28" s="1"/>
  <c r="U129" i="28" s="1"/>
  <c r="W129" i="28" s="1"/>
  <c r="S116" i="28"/>
  <c r="T116" i="28" s="1"/>
  <c r="U116" i="28" s="1"/>
  <c r="W116" i="28" s="1"/>
  <c r="S117" i="28"/>
  <c r="T117" i="28" s="1"/>
  <c r="U117" i="28" s="1"/>
  <c r="W117" i="28" s="1"/>
  <c r="S185" i="28"/>
  <c r="S115" i="28"/>
  <c r="T115" i="28" s="1"/>
  <c r="U115" i="28" s="1"/>
  <c r="W115" i="28" s="1"/>
  <c r="S118" i="28"/>
  <c r="T118" i="28" s="1"/>
  <c r="U118" i="28" s="1"/>
  <c r="W118" i="28" s="1"/>
  <c r="S103" i="28"/>
  <c r="S92" i="28"/>
  <c r="T92" i="28" s="1"/>
  <c r="U92" i="28" s="1"/>
  <c r="W92" i="28" s="1"/>
  <c r="S100" i="28"/>
  <c r="T100" i="28" s="1"/>
  <c r="U100" i="28" s="1"/>
  <c r="W100" i="28" s="1"/>
  <c r="S101" i="28"/>
  <c r="S99" i="28"/>
  <c r="S98" i="28"/>
  <c r="T98" i="28" s="1"/>
  <c r="U98" i="28" s="1"/>
  <c r="W98" i="28" s="1"/>
  <c r="S94" i="28"/>
  <c r="S177" i="28"/>
  <c r="S97" i="28"/>
  <c r="T97" i="28" s="1"/>
  <c r="U97" i="28" s="1"/>
  <c r="W97" i="28" s="1"/>
  <c r="S95" i="28"/>
  <c r="S96" i="28"/>
  <c r="T96" i="28" s="1"/>
  <c r="U96" i="28" s="1"/>
  <c r="W96" i="28" s="1"/>
  <c r="S275" i="28"/>
  <c r="M535" i="28"/>
  <c r="S535" i="28" s="1"/>
  <c r="M26" i="28"/>
  <c r="S26" i="28" s="1"/>
  <c r="S47" i="28"/>
  <c r="S48" i="28"/>
  <c r="M494" i="28"/>
  <c r="S494" i="28" s="1"/>
  <c r="S15" i="28"/>
  <c r="M24" i="28"/>
  <c r="S24" i="28" s="1"/>
  <c r="S249" i="28"/>
  <c r="K329" i="28"/>
  <c r="L329" i="28" s="1"/>
  <c r="M329" i="28" s="1"/>
  <c r="M346" i="28"/>
  <c r="S346" i="28" s="1"/>
  <c r="K376" i="28"/>
  <c r="L376" i="28" s="1"/>
  <c r="M376" i="28" s="1"/>
  <c r="K220" i="28"/>
  <c r="L220" i="28" s="1"/>
  <c r="M220" i="28" s="1"/>
  <c r="M405" i="28"/>
  <c r="S405" i="28" s="1"/>
  <c r="M456" i="28"/>
  <c r="S456" i="28" s="1"/>
  <c r="M463" i="28"/>
  <c r="S463" i="28" s="1"/>
  <c r="S126" i="30"/>
  <c r="S63" i="28"/>
  <c r="S64" i="28"/>
  <c r="M269" i="28"/>
  <c r="S269" i="28" s="1"/>
  <c r="M330" i="28"/>
  <c r="S330" i="28" s="1"/>
  <c r="K345" i="28"/>
  <c r="L345" i="28" s="1"/>
  <c r="M345" i="28" s="1"/>
  <c r="K442" i="28"/>
  <c r="L442" i="28" s="1"/>
  <c r="M442" i="28" s="1"/>
  <c r="M437" i="28"/>
  <c r="S437" i="28" s="1"/>
  <c r="M443" i="28"/>
  <c r="S443" i="28" s="1"/>
  <c r="M502" i="28"/>
  <c r="M508" i="28"/>
  <c r="S508" i="28" s="1"/>
  <c r="M543" i="28"/>
  <c r="S543" i="28" s="1"/>
  <c r="M539" i="28"/>
  <c r="S539" i="28" s="1"/>
  <c r="M210" i="28"/>
  <c r="S210" i="28" s="1"/>
  <c r="K211" i="28"/>
  <c r="L211" i="28" s="1"/>
  <c r="M211" i="28" s="1"/>
  <c r="M150" i="28"/>
  <c r="S150" i="28" s="1"/>
  <c r="K151" i="28"/>
  <c r="L151" i="28" s="1"/>
  <c r="M151" i="28" s="1"/>
  <c r="M200" i="28"/>
  <c r="S200" i="28" s="1"/>
  <c r="K201" i="28"/>
  <c r="L201" i="28" s="1"/>
  <c r="M201" i="28" s="1"/>
  <c r="K205" i="28"/>
  <c r="L205" i="28" s="1"/>
  <c r="M205" i="28" s="1"/>
  <c r="M204" i="28"/>
  <c r="S204" i="28" s="1"/>
  <c r="K203" i="28"/>
  <c r="L203" i="28" s="1"/>
  <c r="M203" i="28" s="1"/>
  <c r="M202" i="28"/>
  <c r="S202" i="28" s="1"/>
  <c r="S83" i="28"/>
  <c r="S170" i="28"/>
  <c r="K534" i="28"/>
  <c r="L534" i="28" s="1"/>
  <c r="M534" i="28" s="1"/>
  <c r="M533" i="28"/>
  <c r="S533" i="28" s="1"/>
  <c r="M454" i="28"/>
  <c r="S454" i="28" s="1"/>
  <c r="K455" i="28"/>
  <c r="L455" i="28" s="1"/>
  <c r="M455" i="28" s="1"/>
  <c r="K513" i="28"/>
  <c r="L513" i="28" s="1"/>
  <c r="M513" i="28" s="1"/>
  <c r="M512" i="28"/>
  <c r="S512" i="28" s="1"/>
  <c r="S80" i="28"/>
  <c r="S86" i="28"/>
  <c r="T86" i="28" s="1"/>
  <c r="U86" i="28" s="1"/>
  <c r="W86" i="28" s="1"/>
  <c r="K196" i="28"/>
  <c r="L196" i="28" s="1"/>
  <c r="M196" i="28" s="1"/>
  <c r="S224" i="28"/>
  <c r="K431" i="28"/>
  <c r="L431" i="28" s="1"/>
  <c r="M431" i="28" s="1"/>
  <c r="K460" i="28"/>
  <c r="L460" i="28" s="1"/>
  <c r="M460" i="28" s="1"/>
  <c r="S197" i="28"/>
  <c r="M208" i="28"/>
  <c r="S208" i="28" s="1"/>
  <c r="M526" i="28"/>
  <c r="S526" i="28" s="1"/>
  <c r="M297" i="28"/>
  <c r="S297" i="28" s="1"/>
  <c r="O311" i="28"/>
  <c r="P311" i="28" s="1"/>
  <c r="M326" i="28"/>
  <c r="S326" i="28" s="1"/>
  <c r="M342" i="28"/>
  <c r="S342" i="28" s="1"/>
  <c r="K507" i="28"/>
  <c r="L507" i="28" s="1"/>
  <c r="M507" i="28" s="1"/>
  <c r="M529" i="28"/>
  <c r="S529" i="28" s="1"/>
  <c r="M401" i="28"/>
  <c r="S401" i="28" s="1"/>
  <c r="M461" i="28"/>
  <c r="S461" i="28" s="1"/>
  <c r="M500" i="28"/>
  <c r="S500" i="28" s="1"/>
  <c r="K16" i="28"/>
  <c r="L16" i="28" s="1"/>
  <c r="M16" i="28" s="1"/>
  <c r="S41" i="28"/>
  <c r="S57" i="28"/>
  <c r="S73" i="28"/>
  <c r="T155" i="28"/>
  <c r="U155" i="28" s="1"/>
  <c r="W155" i="28" s="1"/>
  <c r="M20" i="28"/>
  <c r="S20" i="28" s="1"/>
  <c r="S45" i="28"/>
  <c r="S51" i="28"/>
  <c r="S52" i="28"/>
  <c r="S61" i="28"/>
  <c r="S67" i="28"/>
  <c r="S68" i="28"/>
  <c r="S76" i="28"/>
  <c r="S79" i="28"/>
  <c r="S82" i="28"/>
  <c r="T82" i="28" s="1"/>
  <c r="U82" i="28" s="1"/>
  <c r="W82" i="28" s="1"/>
  <c r="T520" i="28"/>
  <c r="U520" i="28" s="1"/>
  <c r="W520" i="28" s="1"/>
  <c r="S158" i="28"/>
  <c r="S174" i="28"/>
  <c r="S214" i="28"/>
  <c r="S260" i="28"/>
  <c r="S263" i="28"/>
  <c r="S316" i="28"/>
  <c r="K433" i="28"/>
  <c r="L433" i="28" s="1"/>
  <c r="M433" i="28" s="1"/>
  <c r="M432" i="28"/>
  <c r="S432" i="28" s="1"/>
  <c r="K453" i="28"/>
  <c r="L453" i="28" s="1"/>
  <c r="M453" i="28" s="1"/>
  <c r="M452" i="28"/>
  <c r="S452" i="28" s="1"/>
  <c r="S14" i="28"/>
  <c r="M17" i="28"/>
  <c r="S17" i="28" s="1"/>
  <c r="K29" i="28"/>
  <c r="L29" i="28" s="1"/>
  <c r="M29" i="28" s="1"/>
  <c r="M28" i="28"/>
  <c r="S28" i="28" s="1"/>
  <c r="S32" i="28"/>
  <c r="S35" i="28"/>
  <c r="S39" i="28"/>
  <c r="S40" i="28"/>
  <c r="S49" i="28"/>
  <c r="S55" i="28"/>
  <c r="S56" i="28"/>
  <c r="S65" i="28"/>
  <c r="S78" i="28"/>
  <c r="T78" i="28" s="1"/>
  <c r="U78" i="28" s="1"/>
  <c r="W78" i="28" s="1"/>
  <c r="S88" i="28"/>
  <c r="S91" i="28"/>
  <c r="K148" i="28"/>
  <c r="L148" i="28" s="1"/>
  <c r="M148" i="28" s="1"/>
  <c r="M147" i="28"/>
  <c r="S147" i="28" s="1"/>
  <c r="S162" i="28"/>
  <c r="S229" i="28"/>
  <c r="S242" i="28"/>
  <c r="K257" i="28"/>
  <c r="L257" i="28" s="1"/>
  <c r="M257" i="28" s="1"/>
  <c r="M256" i="28"/>
  <c r="S256" i="28" s="1"/>
  <c r="K301" i="28"/>
  <c r="L301" i="28" s="1"/>
  <c r="M301" i="28" s="1"/>
  <c r="M300" i="28"/>
  <c r="S34" i="28"/>
  <c r="S37" i="28"/>
  <c r="S43" i="28"/>
  <c r="S44" i="28"/>
  <c r="S53" i="28"/>
  <c r="S59" i="28"/>
  <c r="S60" i="28"/>
  <c r="S69" i="28"/>
  <c r="S84" i="28"/>
  <c r="S87" i="28"/>
  <c r="S153" i="28"/>
  <c r="S525" i="28"/>
  <c r="S161" i="28"/>
  <c r="S173" i="28"/>
  <c r="S259" i="28"/>
  <c r="S521" i="28"/>
  <c r="S152" i="28"/>
  <c r="S154" i="28"/>
  <c r="S198" i="28"/>
  <c r="L270" i="28"/>
  <c r="M270" i="28" s="1"/>
  <c r="K337" i="28"/>
  <c r="L337" i="28" s="1"/>
  <c r="M337" i="28" s="1"/>
  <c r="M336" i="28"/>
  <c r="S336" i="28" s="1"/>
  <c r="S164" i="28"/>
  <c r="M212" i="28"/>
  <c r="S212" i="28" s="1"/>
  <c r="S217" i="28"/>
  <c r="S30" i="28"/>
  <c r="T30" i="28" s="1"/>
  <c r="U30" i="28" s="1"/>
  <c r="W30" i="28" s="1"/>
  <c r="S167" i="28"/>
  <c r="S231" i="28"/>
  <c r="S239" i="28"/>
  <c r="S240" i="28"/>
  <c r="S258" i="28"/>
  <c r="S261" i="28"/>
  <c r="K339" i="28"/>
  <c r="L339" i="28" s="1"/>
  <c r="M339" i="28" s="1"/>
  <c r="M338" i="28"/>
  <c r="S338" i="28" s="1"/>
  <c r="M373" i="28"/>
  <c r="S373" i="28" s="1"/>
  <c r="K374" i="28"/>
  <c r="L374" i="28" s="1"/>
  <c r="M374" i="28" s="1"/>
  <c r="S423" i="28"/>
  <c r="T423" i="28" s="1"/>
  <c r="U423" i="28" s="1"/>
  <c r="W423" i="28" s="1"/>
  <c r="K417" i="28"/>
  <c r="L417" i="28" s="1"/>
  <c r="M417" i="28" s="1"/>
  <c r="K450" i="28"/>
  <c r="L450" i="28" s="1"/>
  <c r="M450" i="28" s="1"/>
  <c r="S467" i="28"/>
  <c r="T467" i="28" s="1"/>
  <c r="U467" i="28" s="1"/>
  <c r="W467" i="28" s="1"/>
  <c r="S471" i="28"/>
  <c r="T471" i="28" s="1"/>
  <c r="U471" i="28" s="1"/>
  <c r="W471" i="28" s="1"/>
  <c r="S475" i="28"/>
  <c r="T475" i="28" s="1"/>
  <c r="U475" i="28" s="1"/>
  <c r="W475" i="28" s="1"/>
  <c r="S479" i="28"/>
  <c r="T479" i="28" s="1"/>
  <c r="U479" i="28" s="1"/>
  <c r="W479" i="28" s="1"/>
  <c r="S483" i="28"/>
  <c r="T483" i="28" s="1"/>
  <c r="U483" i="28" s="1"/>
  <c r="W483" i="28" s="1"/>
  <c r="K289" i="28"/>
  <c r="L289" i="28" s="1"/>
  <c r="M289" i="28" s="1"/>
  <c r="K335" i="28"/>
  <c r="L335" i="28" s="1"/>
  <c r="M335" i="28" s="1"/>
  <c r="M446" i="28"/>
  <c r="S446" i="28" s="1"/>
  <c r="M355" i="28"/>
  <c r="S355" i="28" s="1"/>
  <c r="M410" i="28"/>
  <c r="S410" i="28" s="1"/>
  <c r="M419" i="28"/>
  <c r="S419" i="28" s="1"/>
  <c r="M424" i="28"/>
  <c r="S424" i="28" s="1"/>
  <c r="M426" i="28"/>
  <c r="S426" i="28" s="1"/>
  <c r="S38" i="28"/>
  <c r="S42" i="28"/>
  <c r="S46" i="28"/>
  <c r="S50" i="28"/>
  <c r="S54" i="28"/>
  <c r="S58" i="28"/>
  <c r="S62" i="28"/>
  <c r="S66" i="28"/>
  <c r="S70" i="28"/>
  <c r="S74" i="28"/>
  <c r="S77" i="28"/>
  <c r="S81" i="28"/>
  <c r="S85" i="28"/>
  <c r="S89" i="28"/>
  <c r="S90" i="28"/>
  <c r="K553" i="28"/>
  <c r="L553" i="28" s="1"/>
  <c r="M553" i="28" s="1"/>
  <c r="M552" i="28"/>
  <c r="S552" i="28" s="1"/>
  <c r="S71" i="28"/>
  <c r="S72" i="28"/>
  <c r="T228" i="28"/>
  <c r="U228" i="28" s="1"/>
  <c r="T156" i="28"/>
  <c r="U156" i="28" s="1"/>
  <c r="W156" i="28" s="1"/>
  <c r="T523" i="28"/>
  <c r="U523" i="28" s="1"/>
  <c r="W523" i="28" s="1"/>
  <c r="K23" i="28"/>
  <c r="L23" i="28" s="1"/>
  <c r="M23" i="28" s="1"/>
  <c r="M22" i="28"/>
  <c r="S22" i="28" s="1"/>
  <c r="Q142" i="28"/>
  <c r="Q144" i="28" s="1"/>
  <c r="P144" i="28"/>
  <c r="O144" i="28"/>
  <c r="D13" i="27" s="1"/>
  <c r="BK13" i="27" s="1"/>
  <c r="O273" i="28"/>
  <c r="P273" i="28" s="1"/>
  <c r="Q273" i="28" s="1"/>
  <c r="S273" i="28" s="1"/>
  <c r="P284" i="28"/>
  <c r="O75" i="28"/>
  <c r="P75" i="28" s="1"/>
  <c r="Q75" i="28" s="1"/>
  <c r="S75" i="28" s="1"/>
  <c r="P137" i="28"/>
  <c r="M518" i="28"/>
  <c r="S518" i="28" s="1"/>
  <c r="S157" i="28"/>
  <c r="S160" i="28"/>
  <c r="S165" i="28"/>
  <c r="S168" i="28"/>
  <c r="S171" i="28"/>
  <c r="S175" i="28"/>
  <c r="S199" i="28"/>
  <c r="S215" i="28"/>
  <c r="S216" i="28"/>
  <c r="O223" i="28"/>
  <c r="P223" i="28" s="1"/>
  <c r="Q223" i="28" s="1"/>
  <c r="S225" i="28"/>
  <c r="S226" i="28"/>
  <c r="O230" i="28"/>
  <c r="P230" i="28" s="1"/>
  <c r="Q230" i="28" s="1"/>
  <c r="S230" i="28" s="1"/>
  <c r="S235" i="28"/>
  <c r="S236" i="28"/>
  <c r="O260" i="28"/>
  <c r="P260" i="28" s="1"/>
  <c r="Q260" i="28" s="1"/>
  <c r="O261" i="28"/>
  <c r="P261" i="28" s="1"/>
  <c r="Q261" i="28" s="1"/>
  <c r="S274" i="28"/>
  <c r="S305" i="28"/>
  <c r="S416" i="28"/>
  <c r="S169" i="28"/>
  <c r="K207" i="28"/>
  <c r="L207" i="28" s="1"/>
  <c r="M207" i="28" s="1"/>
  <c r="M206" i="28"/>
  <c r="S206" i="28" s="1"/>
  <c r="O215" i="28"/>
  <c r="P215" i="28" s="1"/>
  <c r="Q215" i="28" s="1"/>
  <c r="O216" i="28"/>
  <c r="P216" i="28" s="1"/>
  <c r="Q216" i="28" s="1"/>
  <c r="S528" i="28"/>
  <c r="S285" i="28"/>
  <c r="K287" i="28"/>
  <c r="L287" i="28" s="1"/>
  <c r="M287" i="28" s="1"/>
  <c r="M286" i="28"/>
  <c r="S286" i="28" s="1"/>
  <c r="S303" i="28"/>
  <c r="S352" i="28"/>
  <c r="S353" i="28"/>
  <c r="S506" i="28"/>
  <c r="S490" i="28"/>
  <c r="S334" i="28"/>
  <c r="S311" i="28"/>
  <c r="S288" i="28"/>
  <c r="S328" i="28"/>
  <c r="S295" i="28"/>
  <c r="S19" i="28"/>
  <c r="S31" i="28"/>
  <c r="S33" i="28"/>
  <c r="S36" i="28"/>
  <c r="N139" i="28"/>
  <c r="B11" i="27" s="1"/>
  <c r="BI11" i="27" s="1"/>
  <c r="S149" i="28"/>
  <c r="S522" i="28"/>
  <c r="S524" i="28"/>
  <c r="S159" i="28"/>
  <c r="S163" i="28"/>
  <c r="S166" i="28"/>
  <c r="S172" i="28"/>
  <c r="S195" i="28"/>
  <c r="K532" i="28"/>
  <c r="L532" i="28" s="1"/>
  <c r="M532" i="28" s="1"/>
  <c r="M531" i="28"/>
  <c r="S531" i="28" s="1"/>
  <c r="S221" i="28"/>
  <c r="S227" i="28"/>
  <c r="S232" i="28"/>
  <c r="S234" i="28"/>
  <c r="S238" i="28"/>
  <c r="N253" i="28"/>
  <c r="B19" i="27" s="1"/>
  <c r="BI19" i="27" s="1"/>
  <c r="O251" i="28"/>
  <c r="P251" i="28" s="1"/>
  <c r="Q251" i="28" s="1"/>
  <c r="Q253" i="28" s="1"/>
  <c r="S262" i="28"/>
  <c r="S276" i="28"/>
  <c r="S312" i="28"/>
  <c r="S313" i="28"/>
  <c r="K341" i="28"/>
  <c r="L341" i="28" s="1"/>
  <c r="M341" i="28" s="1"/>
  <c r="M340" i="28"/>
  <c r="S340" i="28" s="1"/>
  <c r="S344" i="28"/>
  <c r="K218" i="28"/>
  <c r="L218" i="28" s="1"/>
  <c r="M218" i="28" s="1"/>
  <c r="S233" i="28"/>
  <c r="S278" i="28"/>
  <c r="O295" i="28"/>
  <c r="S304" i="28"/>
  <c r="K349" i="28"/>
  <c r="L349" i="28" s="1"/>
  <c r="M349" i="28" s="1"/>
  <c r="M348" i="28"/>
  <c r="S348" i="28" s="1"/>
  <c r="K370" i="28"/>
  <c r="L370" i="28" s="1"/>
  <c r="M370" i="28" s="1"/>
  <c r="M369" i="28"/>
  <c r="S369" i="28" s="1"/>
  <c r="K372" i="28"/>
  <c r="M371" i="28"/>
  <c r="S371" i="28" s="1"/>
  <c r="S396" i="28"/>
  <c r="S222" i="28"/>
  <c r="S237" i="28"/>
  <c r="S272" i="28"/>
  <c r="S279" i="28"/>
  <c r="S299" i="28"/>
  <c r="S302" i="28"/>
  <c r="S306" i="28"/>
  <c r="S314" i="28"/>
  <c r="K325" i="28"/>
  <c r="L325" i="28" s="1"/>
  <c r="M325" i="28" s="1"/>
  <c r="M324" i="28"/>
  <c r="S324" i="28" s="1"/>
  <c r="S350" i="28"/>
  <c r="S361" i="28"/>
  <c r="S375" i="28"/>
  <c r="S403" i="28"/>
  <c r="S430" i="28"/>
  <c r="S434" i="28"/>
  <c r="S241" i="28"/>
  <c r="S250" i="28"/>
  <c r="S517" i="28"/>
  <c r="S277" i="28"/>
  <c r="S296" i="28"/>
  <c r="S315" i="28"/>
  <c r="K333" i="28"/>
  <c r="L333" i="28" s="1"/>
  <c r="M333" i="28" s="1"/>
  <c r="M332" i="28"/>
  <c r="S332" i="28" s="1"/>
  <c r="S351" i="28"/>
  <c r="S357" i="28"/>
  <c r="S394" i="28"/>
  <c r="K359" i="28"/>
  <c r="M358" i="28"/>
  <c r="S358" i="28" s="1"/>
  <c r="S382" i="28"/>
  <c r="S393" i="28"/>
  <c r="S395" i="28"/>
  <c r="S414" i="28"/>
  <c r="K354" i="28"/>
  <c r="L354" i="28" s="1"/>
  <c r="M354" i="28" s="1"/>
  <c r="S360" i="28"/>
  <c r="S379" i="28"/>
  <c r="S380" i="28"/>
  <c r="S381" i="28"/>
  <c r="S418" i="28"/>
  <c r="S421" i="28"/>
  <c r="S428" i="28"/>
  <c r="S435" i="28"/>
  <c r="S449" i="28"/>
  <c r="S451" i="28"/>
  <c r="S377" i="28"/>
  <c r="S397" i="28"/>
  <c r="S407" i="28"/>
  <c r="S408" i="28"/>
  <c r="S409" i="28"/>
  <c r="S439" i="28"/>
  <c r="S440" i="28"/>
  <c r="S441" i="28"/>
  <c r="S404" i="28"/>
  <c r="S459" i="28"/>
  <c r="K415" i="28"/>
  <c r="L415" i="28" s="1"/>
  <c r="M415" i="28" s="1"/>
  <c r="K422" i="28"/>
  <c r="L422" i="28" s="1"/>
  <c r="M422" i="28" s="1"/>
  <c r="K429" i="28"/>
  <c r="L429" i="28" s="1"/>
  <c r="M429" i="28" s="1"/>
  <c r="K436" i="28"/>
  <c r="L436" i="28" s="1"/>
  <c r="M436" i="28" s="1"/>
  <c r="S445" i="28"/>
  <c r="S448" i="28"/>
  <c r="S466" i="28"/>
  <c r="S470" i="28"/>
  <c r="S474" i="28"/>
  <c r="S478" i="28"/>
  <c r="S482" i="28"/>
  <c r="S458" i="28"/>
  <c r="S465" i="28"/>
  <c r="S469" i="28"/>
  <c r="S473" i="28"/>
  <c r="S477" i="28"/>
  <c r="S481" i="28"/>
  <c r="S548" i="28"/>
  <c r="S468" i="28"/>
  <c r="S472" i="28"/>
  <c r="S476" i="28"/>
  <c r="S480" i="28"/>
  <c r="S487" i="28"/>
  <c r="S488" i="28"/>
  <c r="S489" i="28"/>
  <c r="K497" i="28"/>
  <c r="L497" i="28" s="1"/>
  <c r="M497" i="28" s="1"/>
  <c r="M496" i="28"/>
  <c r="S496" i="28" s="1"/>
  <c r="S502" i="28"/>
  <c r="S510" i="28"/>
  <c r="S547" i="28"/>
  <c r="O545" i="28"/>
  <c r="P545" i="28" s="1"/>
  <c r="Q545" i="28" s="1"/>
  <c r="S511" i="28"/>
  <c r="K542" i="28"/>
  <c r="L542" i="28" s="1"/>
  <c r="M542" i="28" s="1"/>
  <c r="M541" i="28"/>
  <c r="S541" i="28" s="1"/>
  <c r="S484" i="28"/>
  <c r="M491" i="28"/>
  <c r="S491" i="28" s="1"/>
  <c r="S493" i="28"/>
  <c r="K505" i="28"/>
  <c r="L505" i="28" s="1"/>
  <c r="M505" i="28" s="1"/>
  <c r="M504" i="28"/>
  <c r="S504" i="28" s="1"/>
  <c r="S546" i="28"/>
  <c r="M498" i="28"/>
  <c r="S498" i="28" s="1"/>
  <c r="C11" i="27" l="1"/>
  <c r="BJ11" i="27" s="1"/>
  <c r="C13" i="27"/>
  <c r="BJ13" i="27" s="1"/>
  <c r="T128" i="28"/>
  <c r="U128" i="28" s="1"/>
  <c r="W128" i="28" s="1"/>
  <c r="T186" i="28"/>
  <c r="U186" i="28" s="1"/>
  <c r="W186" i="28" s="1"/>
  <c r="S185" i="29"/>
  <c r="S191" i="29"/>
  <c r="S192" i="29"/>
  <c r="S189" i="29"/>
  <c r="S187" i="29"/>
  <c r="S188" i="29"/>
  <c r="S182" i="29"/>
  <c r="S183" i="29"/>
  <c r="S184" i="29"/>
  <c r="S190" i="29"/>
  <c r="S186" i="29"/>
  <c r="T122" i="28"/>
  <c r="U122" i="28" s="1"/>
  <c r="W122" i="28" s="1"/>
  <c r="T319" i="28"/>
  <c r="U319" i="28" s="1"/>
  <c r="W319" i="28" s="1"/>
  <c r="T188" i="28"/>
  <c r="U188" i="28" s="1"/>
  <c r="W188" i="28" s="1"/>
  <c r="T318" i="28"/>
  <c r="U318" i="28" s="1"/>
  <c r="W318" i="28" s="1"/>
  <c r="T130" i="28"/>
  <c r="U130" i="28" s="1"/>
  <c r="W130" i="28" s="1"/>
  <c r="T127" i="28"/>
  <c r="U127" i="28" s="1"/>
  <c r="W127" i="28" s="1"/>
  <c r="T317" i="28"/>
  <c r="U317" i="28" s="1"/>
  <c r="W317" i="28" s="1"/>
  <c r="S551" i="29"/>
  <c r="S555" i="29"/>
  <c r="S554" i="29"/>
  <c r="S553" i="29"/>
  <c r="S552" i="29"/>
  <c r="S631" i="29"/>
  <c r="S632" i="29"/>
  <c r="S633" i="29"/>
  <c r="S721" i="29"/>
  <c r="T721" i="29" s="1"/>
  <c r="U721" i="29" s="1"/>
  <c r="W721" i="29" s="1"/>
  <c r="S722" i="29"/>
  <c r="T722" i="29" s="1"/>
  <c r="U722" i="29" s="1"/>
  <c r="W722" i="29" s="1"/>
  <c r="S720" i="29"/>
  <c r="T720" i="29" s="1"/>
  <c r="U720" i="29" s="1"/>
  <c r="W720" i="29" s="1"/>
  <c r="S719" i="29"/>
  <c r="T719" i="29" s="1"/>
  <c r="U719" i="29" s="1"/>
  <c r="W719" i="29" s="1"/>
  <c r="S542" i="29"/>
  <c r="X542" i="29" s="1"/>
  <c r="S415" i="29"/>
  <c r="S411" i="29"/>
  <c r="S414" i="29"/>
  <c r="S410" i="29"/>
  <c r="S413" i="29"/>
  <c r="S412" i="29"/>
  <c r="T126" i="30"/>
  <c r="U126" i="30" s="1"/>
  <c r="W126" i="30" s="1"/>
  <c r="Y126" i="30" s="1"/>
  <c r="X126" i="30"/>
  <c r="S122" i="30"/>
  <c r="S125" i="30"/>
  <c r="S123" i="30"/>
  <c r="S124" i="30"/>
  <c r="S118" i="30"/>
  <c r="S63" i="30"/>
  <c r="S548" i="29"/>
  <c r="S245" i="29"/>
  <c r="S717" i="29"/>
  <c r="T717" i="29" s="1"/>
  <c r="U717" i="29" s="1"/>
  <c r="W717" i="29" s="1"/>
  <c r="S550" i="29"/>
  <c r="S714" i="29"/>
  <c r="S630" i="29"/>
  <c r="S761" i="29"/>
  <c r="S715" i="29"/>
  <c r="T715" i="29" s="1"/>
  <c r="U715" i="29" s="1"/>
  <c r="W715" i="29" s="1"/>
  <c r="S713" i="29"/>
  <c r="S627" i="29"/>
  <c r="S718" i="29"/>
  <c r="S628" i="29"/>
  <c r="S760" i="29"/>
  <c r="S246" i="29"/>
  <c r="S716" i="29"/>
  <c r="T716" i="29" s="1"/>
  <c r="U716" i="29" s="1"/>
  <c r="W716" i="29" s="1"/>
  <c r="S544" i="29"/>
  <c r="S547" i="29"/>
  <c r="S244" i="29"/>
  <c r="S629" i="29"/>
  <c r="S543" i="29"/>
  <c r="S545" i="29"/>
  <c r="S712" i="29"/>
  <c r="S549" i="29"/>
  <c r="S759" i="29"/>
  <c r="S546" i="29"/>
  <c r="T121" i="28"/>
  <c r="U121" i="28" s="1"/>
  <c r="W121" i="28" s="1"/>
  <c r="T197" i="28"/>
  <c r="U197" i="28" s="1"/>
  <c r="W197" i="28" s="1"/>
  <c r="T249" i="28"/>
  <c r="U249" i="28" s="1"/>
  <c r="W249" i="28" s="1"/>
  <c r="T516" i="28"/>
  <c r="U516" i="28" s="1"/>
  <c r="W516" i="28" s="1"/>
  <c r="T240" i="28"/>
  <c r="U240" i="28" s="1"/>
  <c r="W240" i="28" s="1"/>
  <c r="T239" i="28"/>
  <c r="U239" i="28" s="1"/>
  <c r="W239" i="28" s="1"/>
  <c r="T174" i="28"/>
  <c r="U174" i="28" s="1"/>
  <c r="W174" i="28" s="1"/>
  <c r="O321" i="28"/>
  <c r="D29" i="27" s="1"/>
  <c r="BK29" i="27" s="1"/>
  <c r="T259" i="28"/>
  <c r="U259" i="28" s="1"/>
  <c r="W259" i="28" s="1"/>
  <c r="T258" i="28"/>
  <c r="U258" i="28" s="1"/>
  <c r="W258" i="28" s="1"/>
  <c r="T260" i="28"/>
  <c r="U260" i="28" s="1"/>
  <c r="W260" i="28" s="1"/>
  <c r="T183" i="28"/>
  <c r="U183" i="28" s="1"/>
  <c r="W183" i="28" s="1"/>
  <c r="T120" i="28"/>
  <c r="U120" i="28" s="1"/>
  <c r="W120" i="28" s="1"/>
  <c r="T103" i="28"/>
  <c r="U103" i="28" s="1"/>
  <c r="W103" i="28" s="1"/>
  <c r="T132" i="28"/>
  <c r="U132" i="28" s="1"/>
  <c r="W132" i="28" s="1"/>
  <c r="T110" i="28"/>
  <c r="U110" i="28" s="1"/>
  <c r="W110" i="28" s="1"/>
  <c r="T178" i="28"/>
  <c r="U178" i="28" s="1"/>
  <c r="W178" i="28" s="1"/>
  <c r="T125" i="28"/>
  <c r="U125" i="28" s="1"/>
  <c r="W125" i="28" s="1"/>
  <c r="T185" i="28"/>
  <c r="U185" i="28" s="1"/>
  <c r="W185" i="28" s="1"/>
  <c r="T180" i="28"/>
  <c r="U180" i="28" s="1"/>
  <c r="W180" i="28" s="1"/>
  <c r="T181" i="28"/>
  <c r="U181" i="28" s="1"/>
  <c r="W181" i="28" s="1"/>
  <c r="T119" i="28"/>
  <c r="U119" i="28" s="1"/>
  <c r="W119" i="28" s="1"/>
  <c r="T179" i="28"/>
  <c r="U179" i="28" s="1"/>
  <c r="W179" i="28" s="1"/>
  <c r="T123" i="28"/>
  <c r="U123" i="28" s="1"/>
  <c r="W123" i="28" s="1"/>
  <c r="T214" i="28"/>
  <c r="U214" i="28" s="1"/>
  <c r="W214" i="28" s="1"/>
  <c r="T182" i="28"/>
  <c r="U182" i="28" s="1"/>
  <c r="W182" i="28" s="1"/>
  <c r="T187" i="28"/>
  <c r="U187" i="28" s="1"/>
  <c r="W187" i="28" s="1"/>
  <c r="T184" i="28"/>
  <c r="U184" i="28" s="1"/>
  <c r="W184" i="28" s="1"/>
  <c r="T118" i="30"/>
  <c r="U118" i="30" s="1"/>
  <c r="W118" i="30" s="1"/>
  <c r="S62" i="30"/>
  <c r="S61" i="30"/>
  <c r="T177" i="28"/>
  <c r="U177" i="28" s="1"/>
  <c r="W177" i="28" s="1"/>
  <c r="S60" i="30"/>
  <c r="X60" i="30" s="1"/>
  <c r="S120" i="30"/>
  <c r="S119" i="30"/>
  <c r="S121" i="30"/>
  <c r="T14" i="28"/>
  <c r="U14" i="28" s="1"/>
  <c r="W14" i="28" s="1"/>
  <c r="T173" i="28"/>
  <c r="U173" i="28" s="1"/>
  <c r="W173" i="28" s="1"/>
  <c r="T41" i="28"/>
  <c r="U41" i="28" s="1"/>
  <c r="W41" i="28" s="1"/>
  <c r="T57" i="28"/>
  <c r="U57" i="28" s="1"/>
  <c r="W57" i="28" s="1"/>
  <c r="T154" i="28"/>
  <c r="U154" i="28" s="1"/>
  <c r="W154" i="28" s="1"/>
  <c r="S37" i="30"/>
  <c r="S117" i="30"/>
  <c r="S116" i="30"/>
  <c r="S114" i="30"/>
  <c r="S115" i="30"/>
  <c r="T115" i="30" s="1"/>
  <c r="U115" i="30" s="1"/>
  <c r="W115" i="30" s="1"/>
  <c r="T162" i="28"/>
  <c r="U162" i="28" s="1"/>
  <c r="W162" i="28" s="1"/>
  <c r="T263" i="28"/>
  <c r="U263" i="28" s="1"/>
  <c r="W263" i="28" s="1"/>
  <c r="T229" i="28"/>
  <c r="U229" i="28" s="1"/>
  <c r="W229" i="28" s="1"/>
  <c r="T99" i="28"/>
  <c r="U99" i="28" s="1"/>
  <c r="W99" i="28" s="1"/>
  <c r="T94" i="28"/>
  <c r="U94" i="28" s="1"/>
  <c r="W94" i="28" s="1"/>
  <c r="T167" i="28"/>
  <c r="U167" i="28" s="1"/>
  <c r="W167" i="28" s="1"/>
  <c r="T101" i="28"/>
  <c r="U101" i="28" s="1"/>
  <c r="W101" i="28" s="1"/>
  <c r="T95" i="28"/>
  <c r="U95" i="28" s="1"/>
  <c r="W95" i="28" s="1"/>
  <c r="T76" i="28"/>
  <c r="U76" i="28" s="1"/>
  <c r="W76" i="28" s="1"/>
  <c r="T170" i="28"/>
  <c r="U170" i="28" s="1"/>
  <c r="W170" i="28" s="1"/>
  <c r="T152" i="28"/>
  <c r="U152" i="28" s="1"/>
  <c r="W152" i="28" s="1"/>
  <c r="T161" i="28"/>
  <c r="U161" i="28" s="1"/>
  <c r="W161" i="28" s="1"/>
  <c r="T158" i="28"/>
  <c r="U158" i="28" s="1"/>
  <c r="W158" i="28" s="1"/>
  <c r="T525" i="28"/>
  <c r="U525" i="28" s="1"/>
  <c r="W525" i="28" s="1"/>
  <c r="T79" i="28"/>
  <c r="U79" i="28" s="1"/>
  <c r="W79" i="28" s="1"/>
  <c r="T80" i="28"/>
  <c r="U80" i="28" s="1"/>
  <c r="W80" i="28" s="1"/>
  <c r="T32" i="28"/>
  <c r="U32" i="28" s="1"/>
  <c r="W32" i="28" s="1"/>
  <c r="T49" i="28"/>
  <c r="U49" i="28" s="1"/>
  <c r="W49" i="28" s="1"/>
  <c r="T47" i="28"/>
  <c r="U47" i="28" s="1"/>
  <c r="W47" i="28" s="1"/>
  <c r="T88" i="28"/>
  <c r="U88" i="28" s="1"/>
  <c r="W88" i="28" s="1"/>
  <c r="T45" i="28"/>
  <c r="U45" i="28" s="1"/>
  <c r="W45" i="28" s="1"/>
  <c r="T48" i="28"/>
  <c r="U48" i="28" s="1"/>
  <c r="W48" i="28" s="1"/>
  <c r="S82" i="29"/>
  <c r="X82" i="29" s="1"/>
  <c r="S78" i="29"/>
  <c r="X78" i="29" s="1"/>
  <c r="S85" i="29"/>
  <c r="X85" i="29" s="1"/>
  <c r="S77" i="29"/>
  <c r="X77" i="29" s="1"/>
  <c r="S79" i="29"/>
  <c r="X79" i="29" s="1"/>
  <c r="S83" i="29"/>
  <c r="X83" i="29" s="1"/>
  <c r="S76" i="29"/>
  <c r="S81" i="29"/>
  <c r="X81" i="29" s="1"/>
  <c r="S84" i="29"/>
  <c r="X84" i="29" s="1"/>
  <c r="S80" i="29"/>
  <c r="X80" i="29" s="1"/>
  <c r="T316" i="28"/>
  <c r="U316" i="28" s="1"/>
  <c r="W316" i="28" s="1"/>
  <c r="T231" i="28"/>
  <c r="U231" i="28" s="1"/>
  <c r="W231" i="28" s="1"/>
  <c r="T84" i="28"/>
  <c r="U84" i="28" s="1"/>
  <c r="W84" i="28" s="1"/>
  <c r="T73" i="28"/>
  <c r="U73" i="28" s="1"/>
  <c r="W73" i="28" s="1"/>
  <c r="T34" i="28"/>
  <c r="U34" i="28" s="1"/>
  <c r="W34" i="28" s="1"/>
  <c r="T53" i="28"/>
  <c r="U53" i="28" s="1"/>
  <c r="W53" i="28" s="1"/>
  <c r="T83" i="28"/>
  <c r="U83" i="28" s="1"/>
  <c r="W83" i="28" s="1"/>
  <c r="T69" i="28"/>
  <c r="U69" i="28" s="1"/>
  <c r="W69" i="28" s="1"/>
  <c r="T91" i="28"/>
  <c r="U91" i="28" s="1"/>
  <c r="W91" i="28" s="1"/>
  <c r="T35" i="28"/>
  <c r="U35" i="28" s="1"/>
  <c r="W35" i="28" s="1"/>
  <c r="T61" i="28"/>
  <c r="U61" i="28" s="1"/>
  <c r="W61" i="28" s="1"/>
  <c r="T87" i="28"/>
  <c r="U87" i="28" s="1"/>
  <c r="W87" i="28" s="1"/>
  <c r="S486" i="28"/>
  <c r="T486" i="28" s="1"/>
  <c r="U486" i="28" s="1"/>
  <c r="W486" i="28" s="1"/>
  <c r="S179" i="30"/>
  <c r="T179" i="30" s="1"/>
  <c r="U179" i="30" s="1"/>
  <c r="W179" i="30" s="1"/>
  <c r="S178" i="30"/>
  <c r="T178" i="30" s="1"/>
  <c r="U178" i="30" s="1"/>
  <c r="W178" i="30" s="1"/>
  <c r="T37" i="28"/>
  <c r="U37" i="28" s="1"/>
  <c r="W37" i="28" s="1"/>
  <c r="T65" i="28"/>
  <c r="U65" i="28" s="1"/>
  <c r="W65" i="28" s="1"/>
  <c r="T261" i="28"/>
  <c r="U261" i="28" s="1"/>
  <c r="W261" i="28" s="1"/>
  <c r="T521" i="28"/>
  <c r="U521" i="28" s="1"/>
  <c r="W521" i="28" s="1"/>
  <c r="T153" i="28"/>
  <c r="U153" i="28" s="1"/>
  <c r="W153" i="28" s="1"/>
  <c r="T44" i="28"/>
  <c r="U44" i="28" s="1"/>
  <c r="W44" i="28" s="1"/>
  <c r="T242" i="28"/>
  <c r="U242" i="28" s="1"/>
  <c r="W242" i="28" s="1"/>
  <c r="T55" i="28"/>
  <c r="U55" i="28" s="1"/>
  <c r="W55" i="28" s="1"/>
  <c r="T52" i="28"/>
  <c r="U52" i="28" s="1"/>
  <c r="W52" i="28" s="1"/>
  <c r="S485" i="28"/>
  <c r="T60" i="28"/>
  <c r="U60" i="28" s="1"/>
  <c r="W60" i="28" s="1"/>
  <c r="T43" i="28"/>
  <c r="U43" i="28" s="1"/>
  <c r="W43" i="28" s="1"/>
  <c r="T68" i="28"/>
  <c r="U68" i="28" s="1"/>
  <c r="W68" i="28" s="1"/>
  <c r="T51" i="28"/>
  <c r="U51" i="28" s="1"/>
  <c r="W51" i="28" s="1"/>
  <c r="S278" i="29"/>
  <c r="X278" i="29" s="1"/>
  <c r="S239" i="29"/>
  <c r="X239" i="29" s="1"/>
  <c r="S262" i="29"/>
  <c r="X262" i="29" s="1"/>
  <c r="S43" i="29"/>
  <c r="S259" i="29"/>
  <c r="S54" i="29"/>
  <c r="S145" i="29"/>
  <c r="S57" i="29"/>
  <c r="S218" i="29"/>
  <c r="S352" i="29"/>
  <c r="S164" i="29"/>
  <c r="S94" i="29"/>
  <c r="S87" i="29"/>
  <c r="S103" i="29"/>
  <c r="S207" i="29"/>
  <c r="S69" i="29"/>
  <c r="S16" i="29"/>
  <c r="S61" i="29"/>
  <c r="S66" i="29"/>
  <c r="S88" i="29"/>
  <c r="S134" i="29"/>
  <c r="S205" i="29"/>
  <c r="S228" i="29"/>
  <c r="X228" i="29" s="1"/>
  <c r="S280" i="29"/>
  <c r="S337" i="29"/>
  <c r="S28" i="29"/>
  <c r="S40" i="29"/>
  <c r="S22" i="29"/>
  <c r="S73" i="29"/>
  <c r="S210" i="29"/>
  <c r="S243" i="29"/>
  <c r="S270" i="29"/>
  <c r="X270" i="29" s="1"/>
  <c r="S364" i="29"/>
  <c r="S37" i="29"/>
  <c r="S59" i="29"/>
  <c r="S21" i="29"/>
  <c r="S29" i="29"/>
  <c r="S71" i="29"/>
  <c r="S75" i="29"/>
  <c r="S106" i="29"/>
  <c r="S174" i="29"/>
  <c r="S219" i="29"/>
  <c r="S282" i="29"/>
  <c r="S200" i="29"/>
  <c r="S53" i="29"/>
  <c r="S136" i="29"/>
  <c r="S26" i="29"/>
  <c r="S222" i="29"/>
  <c r="S356" i="29"/>
  <c r="S108" i="29"/>
  <c r="S175" i="29"/>
  <c r="S117" i="29"/>
  <c r="S144" i="29"/>
  <c r="S141" i="29"/>
  <c r="S36" i="29"/>
  <c r="S48" i="29"/>
  <c r="S109" i="29"/>
  <c r="S62" i="29"/>
  <c r="S56" i="29"/>
  <c r="S178" i="29"/>
  <c r="S211" i="29"/>
  <c r="S258" i="29"/>
  <c r="S298" i="29"/>
  <c r="S14" i="29"/>
  <c r="S30" i="29"/>
  <c r="S46" i="29"/>
  <c r="S216" i="29"/>
  <c r="S251" i="29"/>
  <c r="X251" i="29" s="1"/>
  <c r="S283" i="29"/>
  <c r="S27" i="29"/>
  <c r="S97" i="29"/>
  <c r="S124" i="29"/>
  <c r="S45" i="29"/>
  <c r="S50" i="29"/>
  <c r="S137" i="29"/>
  <c r="S99" i="29"/>
  <c r="S201" i="29"/>
  <c r="S256" i="29"/>
  <c r="S296" i="29"/>
  <c r="X296" i="29" s="1"/>
  <c r="S168" i="29"/>
  <c r="S105" i="29"/>
  <c r="S153" i="29"/>
  <c r="S139" i="29"/>
  <c r="S180" i="29"/>
  <c r="S121" i="29"/>
  <c r="S89" i="29"/>
  <c r="S64" i="29"/>
  <c r="S33" i="29"/>
  <c r="S18" i="29"/>
  <c r="S275" i="29"/>
  <c r="S116" i="29"/>
  <c r="S154" i="29"/>
  <c r="S171" i="29"/>
  <c r="S143" i="29"/>
  <c r="S127" i="29"/>
  <c r="S132" i="29"/>
  <c r="S68" i="29"/>
  <c r="S60" i="29"/>
  <c r="S19" i="29"/>
  <c r="S32" i="29"/>
  <c r="S74" i="29"/>
  <c r="S72" i="29"/>
  <c r="S214" i="29"/>
  <c r="X214" i="29" s="1"/>
  <c r="S264" i="29"/>
  <c r="X264" i="29" s="1"/>
  <c r="S302" i="29"/>
  <c r="S24" i="29"/>
  <c r="S20" i="29"/>
  <c r="S17" i="29"/>
  <c r="S52" i="29"/>
  <c r="S47" i="29"/>
  <c r="S224" i="29"/>
  <c r="S254" i="29"/>
  <c r="X254" i="29" s="1"/>
  <c r="S288" i="29"/>
  <c r="S100" i="29"/>
  <c r="S38" i="29"/>
  <c r="S15" i="29"/>
  <c r="S35" i="29"/>
  <c r="S65" i="29"/>
  <c r="S163" i="29"/>
  <c r="S166" i="29"/>
  <c r="S203" i="29"/>
  <c r="X203" i="29" s="1"/>
  <c r="S266" i="29"/>
  <c r="S317" i="29"/>
  <c r="S102" i="29"/>
  <c r="S176" i="29"/>
  <c r="S107" i="29"/>
  <c r="S173" i="29"/>
  <c r="S155" i="29"/>
  <c r="S118" i="29"/>
  <c r="S181" i="29"/>
  <c r="S160" i="29"/>
  <c r="S51" i="29"/>
  <c r="S63" i="29"/>
  <c r="S86" i="29"/>
  <c r="S25" i="29"/>
  <c r="S172" i="29"/>
  <c r="S274" i="29"/>
  <c r="S39" i="29"/>
  <c r="S204" i="29"/>
  <c r="S34" i="29"/>
  <c r="S140" i="29"/>
  <c r="S151" i="29"/>
  <c r="S95" i="29"/>
  <c r="S162" i="29"/>
  <c r="S149" i="29"/>
  <c r="S101" i="29"/>
  <c r="S115" i="29"/>
  <c r="S177" i="29"/>
  <c r="S147" i="29"/>
  <c r="S90" i="29"/>
  <c r="S157" i="29"/>
  <c r="S291" i="29"/>
  <c r="S306" i="29"/>
  <c r="S322" i="29"/>
  <c r="S338" i="29"/>
  <c r="S355" i="29"/>
  <c r="S365" i="29"/>
  <c r="S385" i="29"/>
  <c r="S427" i="29"/>
  <c r="S217" i="29"/>
  <c r="S226" i="29"/>
  <c r="S237" i="29"/>
  <c r="S273" i="29"/>
  <c r="S284" i="29"/>
  <c r="S300" i="29"/>
  <c r="S308" i="29"/>
  <c r="S324" i="29"/>
  <c r="S340" i="29"/>
  <c r="S348" i="29"/>
  <c r="S370" i="29"/>
  <c r="S375" i="29"/>
  <c r="S381" i="29"/>
  <c r="S431" i="29"/>
  <c r="S470" i="29"/>
  <c r="S263" i="29"/>
  <c r="S295" i="29"/>
  <c r="S327" i="29"/>
  <c r="S347" i="29"/>
  <c r="S390" i="29"/>
  <c r="S409" i="29"/>
  <c r="S1282" i="29"/>
  <c r="T1282" i="29" s="1"/>
  <c r="U1282" i="29" s="1"/>
  <c r="W1282" i="29" s="1"/>
  <c r="S1238" i="29"/>
  <c r="T1238" i="29" s="1"/>
  <c r="U1238" i="29" s="1"/>
  <c r="W1238" i="29" s="1"/>
  <c r="S1236" i="29"/>
  <c r="T1236" i="29" s="1"/>
  <c r="U1236" i="29" s="1"/>
  <c r="W1236" i="29" s="1"/>
  <c r="S1239" i="29"/>
  <c r="T1239" i="29" s="1"/>
  <c r="U1239" i="29" s="1"/>
  <c r="W1239" i="29" s="1"/>
  <c r="S1234" i="29"/>
  <c r="T1234" i="29" s="1"/>
  <c r="U1234" i="29" s="1"/>
  <c r="W1234" i="29" s="1"/>
  <c r="S1110" i="29"/>
  <c r="S1118" i="29"/>
  <c r="T1118" i="29" s="1"/>
  <c r="U1118" i="29" s="1"/>
  <c r="W1118" i="29" s="1"/>
  <c r="S1093" i="29"/>
  <c r="T1093" i="29" s="1"/>
  <c r="U1093" i="29" s="1"/>
  <c r="W1093" i="29" s="1"/>
  <c r="S1077" i="29"/>
  <c r="T1077" i="29" s="1"/>
  <c r="U1077" i="29" s="1"/>
  <c r="W1077" i="29" s="1"/>
  <c r="S1128" i="29"/>
  <c r="T1128" i="29" s="1"/>
  <c r="U1128" i="29" s="1"/>
  <c r="W1128" i="29" s="1"/>
  <c r="S1006" i="29"/>
  <c r="T1006" i="29" s="1"/>
  <c r="U1006" i="29" s="1"/>
  <c r="W1006" i="29" s="1"/>
  <c r="S950" i="29"/>
  <c r="T950" i="29" s="1"/>
  <c r="U950" i="29" s="1"/>
  <c r="W950" i="29" s="1"/>
  <c r="S906" i="29"/>
  <c r="T906" i="29" s="1"/>
  <c r="U906" i="29" s="1"/>
  <c r="W906" i="29" s="1"/>
  <c r="S787" i="29"/>
  <c r="T787" i="29" s="1"/>
  <c r="U787" i="29" s="1"/>
  <c r="W787" i="29" s="1"/>
  <c r="S1126" i="29"/>
  <c r="T1126" i="29" s="1"/>
  <c r="U1126" i="29" s="1"/>
  <c r="W1126" i="29" s="1"/>
  <c r="S914" i="29"/>
  <c r="T914" i="29" s="1"/>
  <c r="U914" i="29" s="1"/>
  <c r="W914" i="29" s="1"/>
  <c r="S856" i="29"/>
  <c r="T856" i="29" s="1"/>
  <c r="U856" i="29" s="1"/>
  <c r="W856" i="29" s="1"/>
  <c r="S742" i="29"/>
  <c r="S675" i="29"/>
  <c r="S862" i="29"/>
  <c r="T862" i="29" s="1"/>
  <c r="U862" i="29" s="1"/>
  <c r="W862" i="29" s="1"/>
  <c r="S679" i="29"/>
  <c r="S235" i="29"/>
  <c r="S290" i="29"/>
  <c r="S146" i="29"/>
  <c r="S67" i="29"/>
  <c r="S333" i="29"/>
  <c r="S49" i="29"/>
  <c r="S233" i="29"/>
  <c r="S70" i="29"/>
  <c r="S55" i="29"/>
  <c r="S206" i="29"/>
  <c r="S131" i="29"/>
  <c r="S91" i="29"/>
  <c r="S98" i="29"/>
  <c r="S125" i="29"/>
  <c r="S122" i="29"/>
  <c r="S161" i="29"/>
  <c r="S170" i="29"/>
  <c r="S110" i="29"/>
  <c r="S104" i="29"/>
  <c r="S198" i="29"/>
  <c r="S294" i="29"/>
  <c r="S309" i="29"/>
  <c r="S325" i="29"/>
  <c r="S341" i="29"/>
  <c r="S357" i="29"/>
  <c r="S368" i="29"/>
  <c r="S394" i="29"/>
  <c r="S462" i="29"/>
  <c r="S220" i="29"/>
  <c r="S252" i="29"/>
  <c r="S265" i="29"/>
  <c r="S276" i="29"/>
  <c r="S289" i="29"/>
  <c r="S304" i="29"/>
  <c r="S310" i="29"/>
  <c r="S326" i="29"/>
  <c r="S342" i="29"/>
  <c r="S366" i="29"/>
  <c r="S371" i="29"/>
  <c r="S377" i="29"/>
  <c r="S398" i="29"/>
  <c r="S436" i="29"/>
  <c r="S236" i="29"/>
  <c r="S232" i="29"/>
  <c r="S241" i="29"/>
  <c r="S159" i="29"/>
  <c r="S169" i="29"/>
  <c r="S31" i="29"/>
  <c r="S202" i="29"/>
  <c r="S142" i="29"/>
  <c r="S267" i="29"/>
  <c r="S44" i="29"/>
  <c r="S92" i="29"/>
  <c r="S272" i="29"/>
  <c r="S96" i="29"/>
  <c r="X96" i="29" s="1"/>
  <c r="S119" i="29"/>
  <c r="S199" i="29"/>
  <c r="S135" i="29"/>
  <c r="S130" i="29"/>
  <c r="S156" i="29"/>
  <c r="S158" i="29"/>
  <c r="S138" i="29"/>
  <c r="S165" i="29"/>
  <c r="S152" i="29"/>
  <c r="S299" i="29"/>
  <c r="S319" i="29"/>
  <c r="S335" i="29"/>
  <c r="S344" i="29"/>
  <c r="S362" i="29"/>
  <c r="S382" i="29"/>
  <c r="S401" i="29"/>
  <c r="S209" i="29"/>
  <c r="S221" i="29"/>
  <c r="S242" i="29"/>
  <c r="S257" i="29"/>
  <c r="S268" i="29"/>
  <c r="S292" i="29"/>
  <c r="S305" i="29"/>
  <c r="S313" i="29"/>
  <c r="S329" i="29"/>
  <c r="S343" i="29"/>
  <c r="S367" i="29"/>
  <c r="S373" i="29"/>
  <c r="S378" i="29"/>
  <c r="S405" i="29"/>
  <c r="S439" i="29"/>
  <c r="S215" i="29"/>
  <c r="S240" i="29"/>
  <c r="S279" i="29"/>
  <c r="S312" i="29"/>
  <c r="S330" i="29"/>
  <c r="S393" i="29"/>
  <c r="S1308" i="29"/>
  <c r="T1308" i="29" s="1"/>
  <c r="U1308" i="29" s="1"/>
  <c r="W1308" i="29" s="1"/>
  <c r="S1274" i="29"/>
  <c r="T1274" i="29" s="1"/>
  <c r="U1274" i="29" s="1"/>
  <c r="W1274" i="29" s="1"/>
  <c r="S1245" i="29"/>
  <c r="T1245" i="29" s="1"/>
  <c r="U1245" i="29" s="1"/>
  <c r="W1245" i="29" s="1"/>
  <c r="S1257" i="29"/>
  <c r="S1202" i="29"/>
  <c r="T1202" i="29" s="1"/>
  <c r="U1202" i="29" s="1"/>
  <c r="W1202" i="29" s="1"/>
  <c r="S1235" i="29"/>
  <c r="T1235" i="29" s="1"/>
  <c r="U1235" i="29" s="1"/>
  <c r="W1235" i="29" s="1"/>
  <c r="S1156" i="29"/>
  <c r="T1156" i="29" s="1"/>
  <c r="U1156" i="29" s="1"/>
  <c r="W1156" i="29" s="1"/>
  <c r="S1101" i="29"/>
  <c r="T1101" i="29" s="1"/>
  <c r="U1101" i="29" s="1"/>
  <c r="W1101" i="29" s="1"/>
  <c r="S1085" i="29"/>
  <c r="T1085" i="29" s="1"/>
  <c r="U1085" i="29" s="1"/>
  <c r="W1085" i="29" s="1"/>
  <c r="S1069" i="29"/>
  <c r="T1069" i="29" s="1"/>
  <c r="U1069" i="29" s="1"/>
  <c r="W1069" i="29" s="1"/>
  <c r="S1024" i="29"/>
  <c r="T1024" i="29" s="1"/>
  <c r="U1024" i="29" s="1"/>
  <c r="W1024" i="29" s="1"/>
  <c r="S990" i="29"/>
  <c r="T990" i="29" s="1"/>
  <c r="U990" i="29" s="1"/>
  <c r="W990" i="29" s="1"/>
  <c r="S942" i="29"/>
  <c r="T942" i="29" s="1"/>
  <c r="U942" i="29" s="1"/>
  <c r="W942" i="29" s="1"/>
  <c r="S880" i="29"/>
  <c r="T880" i="29" s="1"/>
  <c r="U880" i="29" s="1"/>
  <c r="W880" i="29" s="1"/>
  <c r="S964" i="29"/>
  <c r="T964" i="29" s="1"/>
  <c r="U964" i="29" s="1"/>
  <c r="W964" i="29" s="1"/>
  <c r="S969" i="29"/>
  <c r="T969" i="29" s="1"/>
  <c r="U969" i="29" s="1"/>
  <c r="W969" i="29" s="1"/>
  <c r="S893" i="29"/>
  <c r="T893" i="29" s="1"/>
  <c r="U893" i="29" s="1"/>
  <c r="W893" i="29" s="1"/>
  <c r="S842" i="29"/>
  <c r="T842" i="29" s="1"/>
  <c r="U842" i="29" s="1"/>
  <c r="W842" i="29" s="1"/>
  <c r="S694" i="29"/>
  <c r="S972" i="29"/>
  <c r="T972" i="29" s="1"/>
  <c r="U972" i="29" s="1"/>
  <c r="W972" i="29" s="1"/>
  <c r="S772" i="29"/>
  <c r="S641" i="29"/>
  <c r="S42" i="29"/>
  <c r="S225" i="29"/>
  <c r="S13" i="29"/>
  <c r="X13" i="29" s="1"/>
  <c r="S129" i="29"/>
  <c r="S123" i="29"/>
  <c r="S150" i="29"/>
  <c r="S336" i="29"/>
  <c r="S420" i="29"/>
  <c r="X420" i="29" s="1"/>
  <c r="S234" i="29"/>
  <c r="S323" i="29"/>
  <c r="S374" i="29"/>
  <c r="S229" i="29"/>
  <c r="S287" i="29"/>
  <c r="S346" i="29"/>
  <c r="S391" i="29"/>
  <c r="S1278" i="29"/>
  <c r="T1278" i="29" s="1"/>
  <c r="U1278" i="29" s="1"/>
  <c r="W1278" i="29" s="1"/>
  <c r="S1312" i="29"/>
  <c r="T1312" i="29" s="1"/>
  <c r="U1312" i="29" s="1"/>
  <c r="W1312" i="29" s="1"/>
  <c r="S1134" i="29"/>
  <c r="T1134" i="29" s="1"/>
  <c r="U1134" i="29" s="1"/>
  <c r="W1134" i="29" s="1"/>
  <c r="S1105" i="29"/>
  <c r="T1105" i="29" s="1"/>
  <c r="U1105" i="29" s="1"/>
  <c r="W1105" i="29" s="1"/>
  <c r="S1073" i="29"/>
  <c r="T1073" i="29" s="1"/>
  <c r="U1073" i="29" s="1"/>
  <c r="W1073" i="29" s="1"/>
  <c r="S998" i="29"/>
  <c r="T998" i="29" s="1"/>
  <c r="U998" i="29" s="1"/>
  <c r="W998" i="29" s="1"/>
  <c r="S896" i="29"/>
  <c r="T896" i="29" s="1"/>
  <c r="U896" i="29" s="1"/>
  <c r="W896" i="29" s="1"/>
  <c r="S1020" i="29"/>
  <c r="T1020" i="29" s="1"/>
  <c r="U1020" i="29" s="1"/>
  <c r="W1020" i="29" s="1"/>
  <c r="S850" i="29"/>
  <c r="T850" i="29" s="1"/>
  <c r="U850" i="29" s="1"/>
  <c r="W850" i="29" s="1"/>
  <c r="S652" i="29"/>
  <c r="S649" i="29"/>
  <c r="S541" i="29"/>
  <c r="S956" i="29"/>
  <c r="T956" i="29" s="1"/>
  <c r="U956" i="29" s="1"/>
  <c r="W956" i="29" s="1"/>
  <c r="S656" i="29"/>
  <c r="S572" i="29"/>
  <c r="S504" i="29"/>
  <c r="S457" i="29"/>
  <c r="S523" i="29"/>
  <c r="S238" i="29"/>
  <c r="S269" i="29"/>
  <c r="S293" i="29"/>
  <c r="S318" i="29"/>
  <c r="S350" i="29"/>
  <c r="S386" i="29"/>
  <c r="S406" i="29"/>
  <c r="S440" i="29"/>
  <c r="S395" i="29"/>
  <c r="S421" i="29"/>
  <c r="S437" i="29"/>
  <c r="S450" i="29"/>
  <c r="T478" i="29"/>
  <c r="U478" i="29" s="1"/>
  <c r="W478" i="29" s="1"/>
  <c r="Y478" i="29" s="1"/>
  <c r="S495" i="29"/>
  <c r="S516" i="29"/>
  <c r="S589" i="29"/>
  <c r="S451" i="29"/>
  <c r="S497" i="29"/>
  <c r="S456" i="29"/>
  <c r="S492" i="29"/>
  <c r="S532" i="29"/>
  <c r="S638" i="29"/>
  <c r="X638" i="29" s="1"/>
  <c r="S376" i="29"/>
  <c r="S392" i="29"/>
  <c r="S148" i="29"/>
  <c r="S58" i="29"/>
  <c r="S133" i="29"/>
  <c r="S128" i="29"/>
  <c r="S286" i="29"/>
  <c r="S354" i="29"/>
  <c r="S212" i="29"/>
  <c r="S281" i="29"/>
  <c r="S339" i="29"/>
  <c r="S379" i="29"/>
  <c r="S311" i="29"/>
  <c r="S349" i="29"/>
  <c r="S402" i="29"/>
  <c r="S1249" i="29"/>
  <c r="T1249" i="29" s="1"/>
  <c r="U1249" i="29" s="1"/>
  <c r="W1249" i="29" s="1"/>
  <c r="S1247" i="29"/>
  <c r="T1247" i="29" s="1"/>
  <c r="U1247" i="29" s="1"/>
  <c r="W1247" i="29" s="1"/>
  <c r="S1112" i="29"/>
  <c r="T1112" i="29" s="1"/>
  <c r="U1112" i="29" s="1"/>
  <c r="W1112" i="29" s="1"/>
  <c r="S1097" i="29"/>
  <c r="T1097" i="29" s="1"/>
  <c r="U1097" i="29" s="1"/>
  <c r="W1097" i="29" s="1"/>
  <c r="S1037" i="29"/>
  <c r="T1037" i="29" s="1"/>
  <c r="U1037" i="29" s="1"/>
  <c r="W1037" i="29" s="1"/>
  <c r="S982" i="29"/>
  <c r="T982" i="29" s="1"/>
  <c r="U982" i="29" s="1"/>
  <c r="W982" i="29" s="1"/>
  <c r="S864" i="29"/>
  <c r="T864" i="29" s="1"/>
  <c r="U864" i="29" s="1"/>
  <c r="W864" i="29" s="1"/>
  <c r="S934" i="29"/>
  <c r="T934" i="29" s="1"/>
  <c r="U934" i="29" s="1"/>
  <c r="W934" i="29" s="1"/>
  <c r="S750" i="29"/>
  <c r="S888" i="29"/>
  <c r="T888" i="29" s="1"/>
  <c r="U888" i="29" s="1"/>
  <c r="W888" i="29" s="1"/>
  <c r="S622" i="29"/>
  <c r="S527" i="29"/>
  <c r="S790" i="29"/>
  <c r="T790" i="29" s="1"/>
  <c r="U790" i="29" s="1"/>
  <c r="W790" i="29" s="1"/>
  <c r="S650" i="29"/>
  <c r="S604" i="29"/>
  <c r="S486" i="29"/>
  <c r="S454" i="29"/>
  <c r="S506" i="29"/>
  <c r="X506" i="29" s="1"/>
  <c r="S213" i="29"/>
  <c r="S253" i="29"/>
  <c r="X253" i="29" s="1"/>
  <c r="S277" i="29"/>
  <c r="S301" i="29"/>
  <c r="S331" i="29"/>
  <c r="S351" i="29"/>
  <c r="S387" i="29"/>
  <c r="S423" i="29"/>
  <c r="S443" i="29"/>
  <c r="S399" i="29"/>
  <c r="S425" i="29"/>
  <c r="S441" i="29"/>
  <c r="S458" i="29"/>
  <c r="S484" i="29"/>
  <c r="S501" i="29"/>
  <c r="S521" i="29"/>
  <c r="T596" i="29"/>
  <c r="U596" i="29" s="1"/>
  <c r="W596" i="29" s="1"/>
  <c r="Y596" i="29" s="1"/>
  <c r="S466" i="29"/>
  <c r="S509" i="29"/>
  <c r="S474" i="29"/>
  <c r="S498" i="29"/>
  <c r="X498" i="29" s="1"/>
  <c r="S536" i="29"/>
  <c r="S728" i="29"/>
  <c r="S380" i="29"/>
  <c r="S396" i="29"/>
  <c r="S422" i="29"/>
  <c r="S438" i="29"/>
  <c r="S453" i="29"/>
  <c r="S473" i="29"/>
  <c r="S565" i="29"/>
  <c r="X565" i="29" s="1"/>
  <c r="S468" i="29"/>
  <c r="T479" i="29"/>
  <c r="U479" i="29" s="1"/>
  <c r="W479" i="29" s="1"/>
  <c r="Y479" i="29" s="1"/>
  <c r="S499" i="29"/>
  <c r="S524" i="29"/>
  <c r="S535" i="29"/>
  <c r="S566" i="29"/>
  <c r="S586" i="29"/>
  <c r="S612" i="29"/>
  <c r="S623" i="29"/>
  <c r="S582" i="29"/>
  <c r="S602" i="29"/>
  <c r="S639" i="29"/>
  <c r="S452" i="29"/>
  <c r="S505" i="29"/>
  <c r="S519" i="29"/>
  <c r="S600" i="29"/>
  <c r="S626" i="29"/>
  <c r="S1074" i="29"/>
  <c r="T1074" i="29" s="1"/>
  <c r="U1074" i="29" s="1"/>
  <c r="W1074" i="29" s="1"/>
  <c r="S23" i="29"/>
  <c r="S321" i="29"/>
  <c r="S179" i="29"/>
  <c r="S303" i="29"/>
  <c r="S363" i="29"/>
  <c r="S223" i="29"/>
  <c r="S297" i="29"/>
  <c r="S345" i="29"/>
  <c r="S424" i="29"/>
  <c r="S255" i="29"/>
  <c r="S314" i="29"/>
  <c r="S428" i="29"/>
  <c r="S1296" i="29"/>
  <c r="T1296" i="29" s="1"/>
  <c r="U1296" i="29" s="1"/>
  <c r="W1296" i="29" s="1"/>
  <c r="S1214" i="29"/>
  <c r="T1214" i="29" s="1"/>
  <c r="U1214" i="29" s="1"/>
  <c r="W1214" i="29" s="1"/>
  <c r="S1188" i="29"/>
  <c r="T1188" i="29" s="1"/>
  <c r="U1188" i="29" s="1"/>
  <c r="W1188" i="29" s="1"/>
  <c r="S1089" i="29"/>
  <c r="T1089" i="29" s="1"/>
  <c r="U1089" i="29" s="1"/>
  <c r="W1089" i="29" s="1"/>
  <c r="S1053" i="29"/>
  <c r="T1053" i="29" s="1"/>
  <c r="U1053" i="29" s="1"/>
  <c r="W1053" i="29" s="1"/>
  <c r="S1049" i="29"/>
  <c r="T1049" i="29" s="1"/>
  <c r="U1049" i="29" s="1"/>
  <c r="W1049" i="29" s="1"/>
  <c r="S1045" i="29"/>
  <c r="T1045" i="29" s="1"/>
  <c r="U1045" i="29" s="1"/>
  <c r="W1045" i="29" s="1"/>
  <c r="S903" i="29"/>
  <c r="T903" i="29" s="1"/>
  <c r="U903" i="29" s="1"/>
  <c r="W903" i="29" s="1"/>
  <c r="S702" i="29"/>
  <c r="S877" i="29"/>
  <c r="T877" i="29" s="1"/>
  <c r="U877" i="29" s="1"/>
  <c r="W877" i="29" s="1"/>
  <c r="S594" i="29"/>
  <c r="S1250" i="29"/>
  <c r="T1250" i="29" s="1"/>
  <c r="U1250" i="29" s="1"/>
  <c r="W1250" i="29" s="1"/>
  <c r="S672" i="29"/>
  <c r="S648" i="29"/>
  <c r="S588" i="29"/>
  <c r="S465" i="29"/>
  <c r="S449" i="29"/>
  <c r="S490" i="29"/>
  <c r="S315" i="29"/>
  <c r="S332" i="29"/>
  <c r="S353" i="29"/>
  <c r="S389" i="29"/>
  <c r="S432" i="29"/>
  <c r="S529" i="29"/>
  <c r="S403" i="29"/>
  <c r="S429" i="29"/>
  <c r="S445" i="29"/>
  <c r="S461" i="29"/>
  <c r="S487" i="29"/>
  <c r="S502" i="29"/>
  <c r="S528" i="29"/>
  <c r="S469" i="29"/>
  <c r="S514" i="29"/>
  <c r="S480" i="29"/>
  <c r="S512" i="29"/>
  <c r="S573" i="29"/>
  <c r="S769" i="29"/>
  <c r="S384" i="29"/>
  <c r="S400" i="29"/>
  <c r="S426" i="29"/>
  <c r="S442" i="29"/>
  <c r="S459" i="29"/>
  <c r="S483" i="29"/>
  <c r="S577" i="29"/>
  <c r="S455" i="29"/>
  <c r="S471" i="29"/>
  <c r="S489" i="29"/>
  <c r="S500" i="29"/>
  <c r="S525" i="29"/>
  <c r="S538" i="29"/>
  <c r="S567" i="29"/>
  <c r="S592" i="29"/>
  <c r="S613" i="29"/>
  <c r="S624" i="29"/>
  <c r="S583" i="29"/>
  <c r="S611" i="29"/>
  <c r="S661" i="29"/>
  <c r="S485" i="29"/>
  <c r="S507" i="29"/>
  <c r="S520" i="29"/>
  <c r="S605" i="29"/>
  <c r="S642" i="29"/>
  <c r="S320" i="29"/>
  <c r="S444" i="29"/>
  <c r="S1194" i="29"/>
  <c r="T1194" i="29" s="1"/>
  <c r="U1194" i="29" s="1"/>
  <c r="W1194" i="29" s="1"/>
  <c r="S926" i="29"/>
  <c r="T926" i="29" s="1"/>
  <c r="U926" i="29" s="1"/>
  <c r="W926" i="29" s="1"/>
  <c r="S731" i="29"/>
  <c r="S618" i="29"/>
  <c r="S316" i="29"/>
  <c r="S435" i="29"/>
  <c r="S448" i="29"/>
  <c r="S531" i="29"/>
  <c r="S581" i="29"/>
  <c r="S372" i="29"/>
  <c r="S430" i="29"/>
  <c r="S464" i="29"/>
  <c r="S590" i="29"/>
  <c r="S463" i="29"/>
  <c r="S493" i="29"/>
  <c r="S534" i="29"/>
  <c r="S569" i="29"/>
  <c r="S615" i="29"/>
  <c r="S585" i="29"/>
  <c r="S601" i="29"/>
  <c r="S518" i="29"/>
  <c r="S616" i="29"/>
  <c r="S1106" i="29"/>
  <c r="T1106" i="29" s="1"/>
  <c r="U1106" i="29" s="1"/>
  <c r="W1106" i="29" s="1"/>
  <c r="S674" i="29"/>
  <c r="S736" i="29"/>
  <c r="S866" i="29"/>
  <c r="T866" i="29" s="1"/>
  <c r="U866" i="29" s="1"/>
  <c r="W866" i="29" s="1"/>
  <c r="S1027" i="29"/>
  <c r="T1027" i="29" s="1"/>
  <c r="U1027" i="29" s="1"/>
  <c r="W1027" i="29" s="1"/>
  <c r="S1230" i="29"/>
  <c r="T1230" i="29" s="1"/>
  <c r="U1230" i="29" s="1"/>
  <c r="W1230" i="29" s="1"/>
  <c r="S571" i="29"/>
  <c r="S676" i="29"/>
  <c r="S699" i="29"/>
  <c r="S751" i="29"/>
  <c r="S851" i="29"/>
  <c r="S940" i="29"/>
  <c r="T940" i="29" s="1"/>
  <c r="U940" i="29" s="1"/>
  <c r="W940" i="29" s="1"/>
  <c r="S1086" i="29"/>
  <c r="T1086" i="29" s="1"/>
  <c r="U1086" i="29" s="1"/>
  <c r="W1086" i="29" s="1"/>
  <c r="S591" i="29"/>
  <c r="S663" i="29"/>
  <c r="S689" i="29"/>
  <c r="S727" i="29"/>
  <c r="X727" i="29" s="1"/>
  <c r="S755" i="29"/>
  <c r="S872" i="29"/>
  <c r="T872" i="29" s="1"/>
  <c r="U872" i="29" s="1"/>
  <c r="W872" i="29" s="1"/>
  <c r="S1094" i="29"/>
  <c r="T1094" i="29" s="1"/>
  <c r="U1094" i="29" s="1"/>
  <c r="W1094" i="29" s="1"/>
  <c r="T597" i="29"/>
  <c r="U597" i="29" s="1"/>
  <c r="W597" i="29" s="1"/>
  <c r="Y597" i="29" s="1"/>
  <c r="S645" i="29"/>
  <c r="S738" i="29"/>
  <c r="S771" i="29"/>
  <c r="S858" i="29"/>
  <c r="T858" i="29" s="1"/>
  <c r="U858" i="29" s="1"/>
  <c r="W858" i="29" s="1"/>
  <c r="S999" i="29"/>
  <c r="T999" i="29" s="1"/>
  <c r="U999" i="29" s="1"/>
  <c r="W999" i="29" s="1"/>
  <c r="S693" i="29"/>
  <c r="S709" i="29"/>
  <c r="S744" i="29"/>
  <c r="S841" i="29"/>
  <c r="T841" i="29" s="1"/>
  <c r="U841" i="29" s="1"/>
  <c r="W841" i="29" s="1"/>
  <c r="S882" i="29"/>
  <c r="T882" i="29" s="1"/>
  <c r="U882" i="29" s="1"/>
  <c r="W882" i="29" s="1"/>
  <c r="S938" i="29"/>
  <c r="T938" i="29" s="1"/>
  <c r="U938" i="29" s="1"/>
  <c r="W938" i="29" s="1"/>
  <c r="S968" i="29"/>
  <c r="T968" i="29" s="1"/>
  <c r="U968" i="29" s="1"/>
  <c r="W968" i="29" s="1"/>
  <c r="S1011" i="29"/>
  <c r="T1011" i="29" s="1"/>
  <c r="U1011" i="29" s="1"/>
  <c r="W1011" i="29" s="1"/>
  <c r="S659" i="29"/>
  <c r="S677" i="29"/>
  <c r="S729" i="29"/>
  <c r="S867" i="29"/>
  <c r="T867" i="29" s="1"/>
  <c r="U867" i="29" s="1"/>
  <c r="W867" i="29" s="1"/>
  <c r="S884" i="29"/>
  <c r="T884" i="29" s="1"/>
  <c r="U884" i="29" s="1"/>
  <c r="W884" i="29" s="1"/>
  <c r="S890" i="29"/>
  <c r="T890" i="29" s="1"/>
  <c r="U890" i="29" s="1"/>
  <c r="W890" i="29" s="1"/>
  <c r="S909" i="29"/>
  <c r="T909" i="29" s="1"/>
  <c r="U909" i="29" s="1"/>
  <c r="W909" i="29" s="1"/>
  <c r="S994" i="29"/>
  <c r="T994" i="29" s="1"/>
  <c r="U994" i="29" s="1"/>
  <c r="W994" i="29" s="1"/>
  <c r="S1032" i="29"/>
  <c r="T1032" i="29" s="1"/>
  <c r="U1032" i="29" s="1"/>
  <c r="W1032" i="29" s="1"/>
  <c r="S697" i="29"/>
  <c r="S737" i="29"/>
  <c r="S753" i="29"/>
  <c r="S848" i="29"/>
  <c r="T848" i="29" s="1"/>
  <c r="U848" i="29" s="1"/>
  <c r="W848" i="29" s="1"/>
  <c r="S870" i="29"/>
  <c r="T870" i="29" s="1"/>
  <c r="U870" i="29" s="1"/>
  <c r="W870" i="29" s="1"/>
  <c r="S910" i="29"/>
  <c r="T910" i="29" s="1"/>
  <c r="U910" i="29" s="1"/>
  <c r="W910" i="29" s="1"/>
  <c r="S916" i="29"/>
  <c r="T916" i="29" s="1"/>
  <c r="U916" i="29" s="1"/>
  <c r="W916" i="29" s="1"/>
  <c r="S932" i="29"/>
  <c r="T932" i="29" s="1"/>
  <c r="U932" i="29" s="1"/>
  <c r="W932" i="29" s="1"/>
  <c r="S945" i="29"/>
  <c r="T945" i="29" s="1"/>
  <c r="U945" i="29" s="1"/>
  <c r="W945" i="29" s="1"/>
  <c r="S963" i="29"/>
  <c r="T963" i="29" s="1"/>
  <c r="U963" i="29" s="1"/>
  <c r="W963" i="29" s="1"/>
  <c r="S987" i="29"/>
  <c r="T987" i="29" s="1"/>
  <c r="U987" i="29" s="1"/>
  <c r="W987" i="29" s="1"/>
  <c r="S887" i="29"/>
  <c r="T887" i="29" s="1"/>
  <c r="U887" i="29" s="1"/>
  <c r="W887" i="29" s="1"/>
  <c r="S985" i="29"/>
  <c r="T985" i="29" s="1"/>
  <c r="U985" i="29" s="1"/>
  <c r="W985" i="29" s="1"/>
  <c r="S1001" i="29"/>
  <c r="T1001" i="29" s="1"/>
  <c r="U1001" i="29" s="1"/>
  <c r="W1001" i="29" s="1"/>
  <c r="S1021" i="29"/>
  <c r="T1021" i="29" s="1"/>
  <c r="U1021" i="29" s="1"/>
  <c r="W1021" i="29" s="1"/>
  <c r="S1052" i="29"/>
  <c r="T1052" i="29" s="1"/>
  <c r="U1052" i="29" s="1"/>
  <c r="W1052" i="29" s="1"/>
  <c r="S891" i="29"/>
  <c r="T891" i="29" s="1"/>
  <c r="U891" i="29" s="1"/>
  <c r="W891" i="29" s="1"/>
  <c r="S959" i="29"/>
  <c r="T959" i="29" s="1"/>
  <c r="U959" i="29" s="1"/>
  <c r="W959" i="29" s="1"/>
  <c r="S975" i="29"/>
  <c r="T975" i="29" s="1"/>
  <c r="U975" i="29" s="1"/>
  <c r="W975" i="29" s="1"/>
  <c r="S1040" i="29"/>
  <c r="T1040" i="29" s="1"/>
  <c r="U1040" i="29" s="1"/>
  <c r="W1040" i="29" s="1"/>
  <c r="S1133" i="29"/>
  <c r="T1133" i="29" s="1"/>
  <c r="U1133" i="29" s="1"/>
  <c r="W1133" i="29" s="1"/>
  <c r="S895" i="29"/>
  <c r="T895" i="29" s="1"/>
  <c r="U895" i="29" s="1"/>
  <c r="W895" i="29" s="1"/>
  <c r="S981" i="29"/>
  <c r="T981" i="29" s="1"/>
  <c r="U981" i="29" s="1"/>
  <c r="W981" i="29" s="1"/>
  <c r="S997" i="29"/>
  <c r="T997" i="29" s="1"/>
  <c r="U997" i="29" s="1"/>
  <c r="W997" i="29" s="1"/>
  <c r="S1013" i="29"/>
  <c r="T1013" i="29" s="1"/>
  <c r="U1013" i="29" s="1"/>
  <c r="W1013" i="29" s="1"/>
  <c r="S1122" i="29"/>
  <c r="T1122" i="29" s="1"/>
  <c r="U1122" i="29" s="1"/>
  <c r="W1122" i="29" s="1"/>
  <c r="S1198" i="29"/>
  <c r="T1198" i="29" s="1"/>
  <c r="U1198" i="29" s="1"/>
  <c r="W1198" i="29" s="1"/>
  <c r="S1047" i="29"/>
  <c r="T1047" i="29" s="1"/>
  <c r="U1047" i="29" s="1"/>
  <c r="W1047" i="29" s="1"/>
  <c r="S1080" i="29"/>
  <c r="T1080" i="29" s="1"/>
  <c r="U1080" i="29" s="1"/>
  <c r="W1080" i="29" s="1"/>
  <c r="S1096" i="29"/>
  <c r="T1096" i="29" s="1"/>
  <c r="U1096" i="29" s="1"/>
  <c r="W1096" i="29" s="1"/>
  <c r="S1114" i="29"/>
  <c r="T1114" i="29" s="1"/>
  <c r="U1114" i="29" s="1"/>
  <c r="W1114" i="29" s="1"/>
  <c r="S1140" i="29"/>
  <c r="T1140" i="29" s="1"/>
  <c r="U1140" i="29" s="1"/>
  <c r="W1140" i="29" s="1"/>
  <c r="S1166" i="29"/>
  <c r="T1166" i="29" s="1"/>
  <c r="U1166" i="29" s="1"/>
  <c r="W1166" i="29" s="1"/>
  <c r="S1192" i="29"/>
  <c r="T1192" i="29" s="1"/>
  <c r="U1192" i="29" s="1"/>
  <c r="W1192" i="29" s="1"/>
  <c r="S1058" i="29"/>
  <c r="T1058" i="29" s="1"/>
  <c r="U1058" i="29" s="1"/>
  <c r="W1058" i="29" s="1"/>
  <c r="S1079" i="29"/>
  <c r="T1079" i="29" s="1"/>
  <c r="U1079" i="29" s="1"/>
  <c r="W1079" i="29" s="1"/>
  <c r="S1095" i="29"/>
  <c r="T1095" i="29" s="1"/>
  <c r="U1095" i="29" s="1"/>
  <c r="W1095" i="29" s="1"/>
  <c r="S1117" i="29"/>
  <c r="T1117" i="29" s="1"/>
  <c r="U1117" i="29" s="1"/>
  <c r="W1117" i="29" s="1"/>
  <c r="S1160" i="29"/>
  <c r="T1160" i="29" s="1"/>
  <c r="U1160" i="29" s="1"/>
  <c r="W1160" i="29" s="1"/>
  <c r="S1179" i="29"/>
  <c r="T1179" i="29" s="1"/>
  <c r="U1179" i="29" s="1"/>
  <c r="W1179" i="29" s="1"/>
  <c r="S1061" i="29"/>
  <c r="T1061" i="29" s="1"/>
  <c r="U1061" i="29" s="1"/>
  <c r="W1061" i="29" s="1"/>
  <c r="S1130" i="29"/>
  <c r="T1130" i="29" s="1"/>
  <c r="U1130" i="29" s="1"/>
  <c r="W1130" i="29" s="1"/>
  <c r="S1172" i="29"/>
  <c r="T1172" i="29" s="1"/>
  <c r="U1172" i="29" s="1"/>
  <c r="W1172" i="29" s="1"/>
  <c r="S1209" i="29"/>
  <c r="T1209" i="29" s="1"/>
  <c r="U1209" i="29" s="1"/>
  <c r="W1209" i="29" s="1"/>
  <c r="S1137" i="29"/>
  <c r="T1137" i="29" s="1"/>
  <c r="U1137" i="29" s="1"/>
  <c r="W1137" i="29" s="1"/>
  <c r="S1191" i="29"/>
  <c r="T1191" i="29" s="1"/>
  <c r="U1191" i="29" s="1"/>
  <c r="W1191" i="29" s="1"/>
  <c r="S1119" i="29"/>
  <c r="T1119" i="29" s="1"/>
  <c r="U1119" i="29" s="1"/>
  <c r="W1119" i="29" s="1"/>
  <c r="S1139" i="29"/>
  <c r="T1139" i="29" s="1"/>
  <c r="U1139" i="29" s="1"/>
  <c r="W1139" i="29" s="1"/>
  <c r="S1159" i="29"/>
  <c r="T1159" i="29" s="1"/>
  <c r="U1159" i="29" s="1"/>
  <c r="W1159" i="29" s="1"/>
  <c r="S1187" i="29"/>
  <c r="T1187" i="29" s="1"/>
  <c r="U1187" i="29" s="1"/>
  <c r="W1187" i="29" s="1"/>
  <c r="S1241" i="29"/>
  <c r="T1241" i="29" s="1"/>
  <c r="U1241" i="29" s="1"/>
  <c r="W1241" i="29" s="1"/>
  <c r="S1204" i="29"/>
  <c r="T1204" i="29" s="1"/>
  <c r="U1204" i="29" s="1"/>
  <c r="W1204" i="29" s="1"/>
  <c r="S1242" i="29"/>
  <c r="T1242" i="29" s="1"/>
  <c r="U1242" i="29" s="1"/>
  <c r="W1242" i="29" s="1"/>
  <c r="S1315" i="29"/>
  <c r="T1315" i="29" s="1"/>
  <c r="U1315" i="29" s="1"/>
  <c r="W1315" i="29" s="1"/>
  <c r="S1261" i="29"/>
  <c r="T1261" i="29" s="1"/>
  <c r="U1261" i="29" s="1"/>
  <c r="W1261" i="29" s="1"/>
  <c r="S1200" i="29"/>
  <c r="T1200" i="29" s="1"/>
  <c r="U1200" i="29" s="1"/>
  <c r="W1200" i="29" s="1"/>
  <c r="S1228" i="29"/>
  <c r="T1228" i="29" s="1"/>
  <c r="U1228" i="29" s="1"/>
  <c r="W1228" i="29" s="1"/>
  <c r="S1285" i="29"/>
  <c r="T1285" i="29" s="1"/>
  <c r="U1285" i="29" s="1"/>
  <c r="W1285" i="29" s="1"/>
  <c r="S1269" i="29"/>
  <c r="T1269" i="29" s="1"/>
  <c r="U1269" i="29" s="1"/>
  <c r="W1269" i="29" s="1"/>
  <c r="S1299" i="29"/>
  <c r="T1299" i="29" s="1"/>
  <c r="U1299" i="29" s="1"/>
  <c r="W1299" i="29" s="1"/>
  <c r="S1268" i="29"/>
  <c r="T1268" i="29" s="1"/>
  <c r="U1268" i="29" s="1"/>
  <c r="W1268" i="29" s="1"/>
  <c r="S1237" i="29"/>
  <c r="T1237" i="29" s="1"/>
  <c r="U1237" i="29" s="1"/>
  <c r="W1237" i="29" s="1"/>
  <c r="S1276" i="29"/>
  <c r="T1276" i="29" s="1"/>
  <c r="U1276" i="29" s="1"/>
  <c r="W1276" i="29" s="1"/>
  <c r="S1288" i="29"/>
  <c r="T1288" i="29" s="1"/>
  <c r="U1288" i="29" s="1"/>
  <c r="W1288" i="29" s="1"/>
  <c r="S1267" i="29"/>
  <c r="T1267" i="29" s="1"/>
  <c r="U1267" i="29" s="1"/>
  <c r="W1267" i="29" s="1"/>
  <c r="S1294" i="29"/>
  <c r="T1294" i="29" s="1"/>
  <c r="U1294" i="29" s="1"/>
  <c r="W1294" i="29" s="1"/>
  <c r="S695" i="29"/>
  <c r="S847" i="29"/>
  <c r="T847" i="29" s="1"/>
  <c r="U847" i="29" s="1"/>
  <c r="W847" i="29" s="1"/>
  <c r="S625" i="29"/>
  <c r="S846" i="29"/>
  <c r="T846" i="29" s="1"/>
  <c r="U846" i="29" s="1"/>
  <c r="W846" i="29" s="1"/>
  <c r="S683" i="29"/>
  <c r="S849" i="29"/>
  <c r="T849" i="29" s="1"/>
  <c r="U849" i="29" s="1"/>
  <c r="W849" i="29" s="1"/>
  <c r="S973" i="29"/>
  <c r="T973" i="29" s="1"/>
  <c r="U973" i="29" s="1"/>
  <c r="W973" i="29" s="1"/>
  <c r="S667" i="29"/>
  <c r="S767" i="29"/>
  <c r="S886" i="29"/>
  <c r="T886" i="29" s="1"/>
  <c r="U886" i="29" s="1"/>
  <c r="W886" i="29" s="1"/>
  <c r="S1010" i="29"/>
  <c r="T1010" i="29" s="1"/>
  <c r="U1010" i="29" s="1"/>
  <c r="W1010" i="29" s="1"/>
  <c r="S687" i="29"/>
  <c r="S745" i="29"/>
  <c r="S897" i="29"/>
  <c r="T897" i="29" s="1"/>
  <c r="U897" i="29" s="1"/>
  <c r="W897" i="29" s="1"/>
  <c r="S912" i="29"/>
  <c r="T912" i="29" s="1"/>
  <c r="U912" i="29" s="1"/>
  <c r="W912" i="29" s="1"/>
  <c r="S930" i="29"/>
  <c r="T930" i="29" s="1"/>
  <c r="U930" i="29" s="1"/>
  <c r="W930" i="29" s="1"/>
  <c r="S958" i="29"/>
  <c r="T958" i="29" s="1"/>
  <c r="U958" i="29" s="1"/>
  <c r="W958" i="29" s="1"/>
  <c r="S974" i="29"/>
  <c r="T974" i="29" s="1"/>
  <c r="U974" i="29" s="1"/>
  <c r="W974" i="29" s="1"/>
  <c r="S1023" i="29"/>
  <c r="T1023" i="29" s="1"/>
  <c r="U1023" i="29" s="1"/>
  <c r="W1023" i="29" s="1"/>
  <c r="S937" i="29"/>
  <c r="T937" i="29" s="1"/>
  <c r="U937" i="29" s="1"/>
  <c r="W937" i="29" s="1"/>
  <c r="S1019" i="29"/>
  <c r="T1019" i="29" s="1"/>
  <c r="U1019" i="29" s="1"/>
  <c r="W1019" i="29" s="1"/>
  <c r="S863" i="29"/>
  <c r="T863" i="29" s="1"/>
  <c r="U863" i="29" s="1"/>
  <c r="W863" i="29" s="1"/>
  <c r="S989" i="29"/>
  <c r="T989" i="29" s="1"/>
  <c r="U989" i="29" s="1"/>
  <c r="W989" i="29" s="1"/>
  <c r="S1050" i="29"/>
  <c r="T1050" i="29" s="1"/>
  <c r="U1050" i="29" s="1"/>
  <c r="W1050" i="29" s="1"/>
  <c r="S1039" i="29"/>
  <c r="T1039" i="29" s="1"/>
  <c r="U1039" i="29" s="1"/>
  <c r="W1039" i="29" s="1"/>
  <c r="S1088" i="29"/>
  <c r="T1088" i="29" s="1"/>
  <c r="U1088" i="29" s="1"/>
  <c r="W1088" i="29" s="1"/>
  <c r="S1125" i="29"/>
  <c r="T1125" i="29" s="1"/>
  <c r="U1125" i="29" s="1"/>
  <c r="W1125" i="29" s="1"/>
  <c r="S1180" i="29"/>
  <c r="T1180" i="29" s="1"/>
  <c r="U1180" i="29" s="1"/>
  <c r="W1180" i="29" s="1"/>
  <c r="S41" i="29"/>
  <c r="S120" i="29"/>
  <c r="S383" i="29"/>
  <c r="S260" i="29"/>
  <c r="S359" i="29"/>
  <c r="S1120" i="29"/>
  <c r="T1120" i="29" s="1"/>
  <c r="U1120" i="29" s="1"/>
  <c r="W1120" i="29" s="1"/>
  <c r="S860" i="29"/>
  <c r="T860" i="29" s="1"/>
  <c r="U860" i="29" s="1"/>
  <c r="W860" i="29" s="1"/>
  <c r="S576" i="29"/>
  <c r="S537" i="29"/>
  <c r="S227" i="29"/>
  <c r="S334" i="29"/>
  <c r="S578" i="29"/>
  <c r="S467" i="29"/>
  <c r="S481" i="29"/>
  <c r="S388" i="29"/>
  <c r="S434" i="29"/>
  <c r="S472" i="29"/>
  <c r="S608" i="29"/>
  <c r="S508" i="29"/>
  <c r="S539" i="29"/>
  <c r="T595" i="29"/>
  <c r="U595" i="29" s="1"/>
  <c r="W595" i="29" s="1"/>
  <c r="Y595" i="29" s="1"/>
  <c r="S653" i="29"/>
  <c r="S619" i="29"/>
  <c r="S488" i="29"/>
  <c r="S570" i="29"/>
  <c r="S643" i="29"/>
  <c r="S646" i="29"/>
  <c r="S678" i="29"/>
  <c r="S904" i="29"/>
  <c r="T904" i="29" s="1"/>
  <c r="U904" i="29" s="1"/>
  <c r="W904" i="29" s="1"/>
  <c r="S1048" i="29"/>
  <c r="T1048" i="29" s="1"/>
  <c r="U1048" i="29" s="1"/>
  <c r="W1048" i="29" s="1"/>
  <c r="S1253" i="29"/>
  <c r="T1253" i="29" s="1"/>
  <c r="U1253" i="29" s="1"/>
  <c r="W1253" i="29" s="1"/>
  <c r="S587" i="29"/>
  <c r="S681" i="29"/>
  <c r="S707" i="29"/>
  <c r="S766" i="29"/>
  <c r="X766" i="29" s="1"/>
  <c r="S857" i="29"/>
  <c r="T857" i="29" s="1"/>
  <c r="U857" i="29" s="1"/>
  <c r="W857" i="29" s="1"/>
  <c r="S946" i="29"/>
  <c r="T946" i="29" s="1"/>
  <c r="U946" i="29" s="1"/>
  <c r="W946" i="29" s="1"/>
  <c r="S526" i="29"/>
  <c r="S593" i="29"/>
  <c r="S640" i="29"/>
  <c r="S665" i="29"/>
  <c r="S698" i="29"/>
  <c r="S735" i="29"/>
  <c r="S768" i="29"/>
  <c r="S939" i="29"/>
  <c r="T939" i="29" s="1"/>
  <c r="U939" i="29" s="1"/>
  <c r="W939" i="29" s="1"/>
  <c r="S1102" i="29"/>
  <c r="T1102" i="29" s="1"/>
  <c r="U1102" i="29" s="1"/>
  <c r="W1102" i="29" s="1"/>
  <c r="S609" i="29"/>
  <c r="S688" i="29"/>
  <c r="S746" i="29"/>
  <c r="S773" i="29"/>
  <c r="S871" i="29"/>
  <c r="T871" i="29" s="1"/>
  <c r="U871" i="29" s="1"/>
  <c r="W871" i="29" s="1"/>
  <c r="S1082" i="29"/>
  <c r="T1082" i="29" s="1"/>
  <c r="U1082" i="29" s="1"/>
  <c r="W1082" i="29" s="1"/>
  <c r="S696" i="29"/>
  <c r="S749" i="29"/>
  <c r="S844" i="29"/>
  <c r="T844" i="29" s="1"/>
  <c r="U844" i="29" s="1"/>
  <c r="W844" i="29" s="1"/>
  <c r="S883" i="29"/>
  <c r="T883" i="29" s="1"/>
  <c r="U883" i="29" s="1"/>
  <c r="W883" i="29" s="1"/>
  <c r="S955" i="29"/>
  <c r="T955" i="29" s="1"/>
  <c r="U955" i="29" s="1"/>
  <c r="W955" i="29" s="1"/>
  <c r="S971" i="29"/>
  <c r="T971" i="29" s="1"/>
  <c r="U971" i="29" s="1"/>
  <c r="W971" i="29" s="1"/>
  <c r="S1026" i="29"/>
  <c r="T1026" i="29" s="1"/>
  <c r="U1026" i="29" s="1"/>
  <c r="W1026" i="29" s="1"/>
  <c r="S662" i="29"/>
  <c r="S680" i="29"/>
  <c r="S734" i="29"/>
  <c r="S873" i="29"/>
  <c r="T873" i="29" s="1"/>
  <c r="U873" i="29" s="1"/>
  <c r="W873" i="29" s="1"/>
  <c r="S885" i="29"/>
  <c r="T885" i="29" s="1"/>
  <c r="U885" i="29" s="1"/>
  <c r="W885" i="29" s="1"/>
  <c r="S898" i="29"/>
  <c r="T898" i="29" s="1"/>
  <c r="U898" i="29" s="1"/>
  <c r="W898" i="29" s="1"/>
  <c r="S928" i="29"/>
  <c r="T928" i="29" s="1"/>
  <c r="U928" i="29" s="1"/>
  <c r="W928" i="29" s="1"/>
  <c r="S1007" i="29"/>
  <c r="T1007" i="29" s="1"/>
  <c r="U1007" i="29" s="1"/>
  <c r="W1007" i="29" s="1"/>
  <c r="S1142" i="29"/>
  <c r="T1142" i="29" s="1"/>
  <c r="U1142" i="29" s="1"/>
  <c r="W1142" i="29" s="1"/>
  <c r="S682" i="29"/>
  <c r="S700" i="29"/>
  <c r="S740" i="29"/>
  <c r="S756" i="29"/>
  <c r="S853" i="29"/>
  <c r="T853" i="29" s="1"/>
  <c r="U853" i="29" s="1"/>
  <c r="W853" i="29" s="1"/>
  <c r="S876" i="29"/>
  <c r="T876" i="29" s="1"/>
  <c r="U876" i="29" s="1"/>
  <c r="W876" i="29" s="1"/>
  <c r="S911" i="29"/>
  <c r="T911" i="29" s="1"/>
  <c r="U911" i="29" s="1"/>
  <c r="W911" i="29" s="1"/>
  <c r="S927" i="29"/>
  <c r="T927" i="29" s="1"/>
  <c r="U927" i="29" s="1"/>
  <c r="W927" i="29" s="1"/>
  <c r="S935" i="29"/>
  <c r="T935" i="29" s="1"/>
  <c r="U935" i="29" s="1"/>
  <c r="W935" i="29" s="1"/>
  <c r="S947" i="29"/>
  <c r="T947" i="29" s="1"/>
  <c r="U947" i="29" s="1"/>
  <c r="W947" i="29" s="1"/>
  <c r="S965" i="29"/>
  <c r="T965" i="29" s="1"/>
  <c r="U965" i="29" s="1"/>
  <c r="W965" i="29" s="1"/>
  <c r="S1003" i="29"/>
  <c r="T1003" i="29" s="1"/>
  <c r="U1003" i="29" s="1"/>
  <c r="W1003" i="29" s="1"/>
  <c r="S913" i="29"/>
  <c r="T913" i="29" s="1"/>
  <c r="U913" i="29" s="1"/>
  <c r="W913" i="29" s="1"/>
  <c r="S988" i="29"/>
  <c r="T988" i="29" s="1"/>
  <c r="U988" i="29" s="1"/>
  <c r="W988" i="29" s="1"/>
  <c r="S1004" i="29"/>
  <c r="T1004" i="29" s="1"/>
  <c r="U1004" i="29" s="1"/>
  <c r="W1004" i="29" s="1"/>
  <c r="S1022" i="29"/>
  <c r="T1022" i="29" s="1"/>
  <c r="U1022" i="29" s="1"/>
  <c r="W1022" i="29" s="1"/>
  <c r="S1063" i="29"/>
  <c r="T1063" i="29" s="1"/>
  <c r="U1063" i="29" s="1"/>
  <c r="W1063" i="29" s="1"/>
  <c r="S917" i="29"/>
  <c r="T917" i="29" s="1"/>
  <c r="U917" i="29" s="1"/>
  <c r="W917" i="29" s="1"/>
  <c r="S962" i="29"/>
  <c r="T962" i="29" s="1"/>
  <c r="U962" i="29" s="1"/>
  <c r="W962" i="29" s="1"/>
  <c r="S1018" i="29"/>
  <c r="T1018" i="29" s="1"/>
  <c r="U1018" i="29" s="1"/>
  <c r="W1018" i="29" s="1"/>
  <c r="S1046" i="29"/>
  <c r="T1046" i="29" s="1"/>
  <c r="U1046" i="29" s="1"/>
  <c r="W1046" i="29" s="1"/>
  <c r="S1203" i="29"/>
  <c r="T1203" i="29" s="1"/>
  <c r="U1203" i="29" s="1"/>
  <c r="W1203" i="29" s="1"/>
  <c r="S905" i="29"/>
  <c r="T905" i="29" s="1"/>
  <c r="U905" i="29" s="1"/>
  <c r="W905" i="29" s="1"/>
  <c r="S984" i="29"/>
  <c r="T984" i="29" s="1"/>
  <c r="U984" i="29" s="1"/>
  <c r="W984" i="29" s="1"/>
  <c r="S1000" i="29"/>
  <c r="T1000" i="29" s="1"/>
  <c r="U1000" i="29" s="1"/>
  <c r="W1000" i="29" s="1"/>
  <c r="S1044" i="29"/>
  <c r="T1044" i="29" s="1"/>
  <c r="U1044" i="29" s="1"/>
  <c r="W1044" i="29" s="1"/>
  <c r="S1136" i="29"/>
  <c r="S1036" i="29"/>
  <c r="T1036" i="29" s="1"/>
  <c r="U1036" i="29" s="1"/>
  <c r="W1036" i="29" s="1"/>
  <c r="S1051" i="29"/>
  <c r="T1051" i="29" s="1"/>
  <c r="U1051" i="29" s="1"/>
  <c r="W1051" i="29" s="1"/>
  <c r="S1084" i="29"/>
  <c r="T1084" i="29" s="1"/>
  <c r="U1084" i="29" s="1"/>
  <c r="W1084" i="29" s="1"/>
  <c r="S1100" i="29"/>
  <c r="T1100" i="29" s="1"/>
  <c r="U1100" i="29" s="1"/>
  <c r="W1100" i="29" s="1"/>
  <c r="S1115" i="29"/>
  <c r="T1115" i="29" s="1"/>
  <c r="U1115" i="29" s="1"/>
  <c r="W1115" i="29" s="1"/>
  <c r="S1145" i="29"/>
  <c r="T1145" i="29" s="1"/>
  <c r="U1145" i="29" s="1"/>
  <c r="W1145" i="29" s="1"/>
  <c r="S1167" i="29"/>
  <c r="T1167" i="29" s="1"/>
  <c r="U1167" i="29" s="1"/>
  <c r="W1167" i="29" s="1"/>
  <c r="S1229" i="29"/>
  <c r="T1229" i="29" s="1"/>
  <c r="U1229" i="29" s="1"/>
  <c r="W1229" i="29" s="1"/>
  <c r="S1062" i="29"/>
  <c r="T1062" i="29" s="1"/>
  <c r="U1062" i="29" s="1"/>
  <c r="W1062" i="29" s="1"/>
  <c r="S1083" i="29"/>
  <c r="T1083" i="29" s="1"/>
  <c r="U1083" i="29" s="1"/>
  <c r="W1083" i="29" s="1"/>
  <c r="S1099" i="29"/>
  <c r="T1099" i="29" s="1"/>
  <c r="U1099" i="29" s="1"/>
  <c r="W1099" i="29" s="1"/>
  <c r="S1124" i="29"/>
  <c r="T1124" i="29" s="1"/>
  <c r="U1124" i="29" s="1"/>
  <c r="W1124" i="29" s="1"/>
  <c r="S1165" i="29"/>
  <c r="T1165" i="29" s="1"/>
  <c r="U1165" i="29" s="1"/>
  <c r="W1165" i="29" s="1"/>
  <c r="S1215" i="29"/>
  <c r="T1215" i="29" s="1"/>
  <c r="U1215" i="29" s="1"/>
  <c r="W1215" i="29" s="1"/>
  <c r="S1065" i="29"/>
  <c r="T1065" i="29" s="1"/>
  <c r="U1065" i="29" s="1"/>
  <c r="W1065" i="29" s="1"/>
  <c r="S1131" i="29"/>
  <c r="T1131" i="29" s="1"/>
  <c r="U1131" i="29" s="1"/>
  <c r="W1131" i="29" s="1"/>
  <c r="S1173" i="29"/>
  <c r="T1173" i="29" s="1"/>
  <c r="U1173" i="29" s="1"/>
  <c r="W1173" i="29" s="1"/>
  <c r="S1113" i="29"/>
  <c r="T1113" i="29" s="1"/>
  <c r="U1113" i="29" s="1"/>
  <c r="W1113" i="29" s="1"/>
  <c r="S1157" i="29"/>
  <c r="T1157" i="29" s="1"/>
  <c r="U1157" i="29" s="1"/>
  <c r="W1157" i="29" s="1"/>
  <c r="S1195" i="29"/>
  <c r="T1195" i="29" s="1"/>
  <c r="U1195" i="29" s="1"/>
  <c r="W1195" i="29" s="1"/>
  <c r="S1127" i="29"/>
  <c r="S1141" i="29"/>
  <c r="T1141" i="29" s="1"/>
  <c r="U1141" i="29" s="1"/>
  <c r="W1141" i="29" s="1"/>
  <c r="S1161" i="29"/>
  <c r="T1161" i="29" s="1"/>
  <c r="U1161" i="29" s="1"/>
  <c r="W1161" i="29" s="1"/>
  <c r="S1199" i="29"/>
  <c r="T1199" i="29" s="1"/>
  <c r="U1199" i="29" s="1"/>
  <c r="W1199" i="29" s="1"/>
  <c r="S1263" i="29"/>
  <c r="T1263" i="29" s="1"/>
  <c r="U1263" i="29" s="1"/>
  <c r="W1263" i="29" s="1"/>
  <c r="S1217" i="29"/>
  <c r="T1217" i="29" s="1"/>
  <c r="U1217" i="29" s="1"/>
  <c r="W1217" i="29" s="1"/>
  <c r="S1243" i="29"/>
  <c r="T1243" i="29" s="1"/>
  <c r="U1243" i="29" s="1"/>
  <c r="W1243" i="29" s="1"/>
  <c r="S1193" i="29"/>
  <c r="T1193" i="29" s="1"/>
  <c r="U1193" i="29" s="1"/>
  <c r="W1193" i="29" s="1"/>
  <c r="S1273" i="29"/>
  <c r="T1273" i="29" s="1"/>
  <c r="U1273" i="29" s="1"/>
  <c r="W1273" i="29" s="1"/>
  <c r="S1210" i="29"/>
  <c r="T1210" i="29" s="1"/>
  <c r="U1210" i="29" s="1"/>
  <c r="W1210" i="29" s="1"/>
  <c r="S1252" i="29"/>
  <c r="T1252" i="29" s="1"/>
  <c r="U1252" i="29" s="1"/>
  <c r="W1252" i="29" s="1"/>
  <c r="S1293" i="29"/>
  <c r="T1293" i="29" s="1"/>
  <c r="U1293" i="29" s="1"/>
  <c r="W1293" i="29" s="1"/>
  <c r="S1270" i="29"/>
  <c r="T1270" i="29" s="1"/>
  <c r="U1270" i="29" s="1"/>
  <c r="W1270" i="29" s="1"/>
  <c r="S1314" i="29"/>
  <c r="T1314" i="29" s="1"/>
  <c r="U1314" i="29" s="1"/>
  <c r="W1314" i="29" s="1"/>
  <c r="S1295" i="29"/>
  <c r="T1295" i="29" s="1"/>
  <c r="U1295" i="29" s="1"/>
  <c r="W1295" i="29" s="1"/>
  <c r="S1248" i="29"/>
  <c r="T1248" i="29" s="1"/>
  <c r="U1248" i="29" s="1"/>
  <c r="W1248" i="29" s="1"/>
  <c r="S1277" i="29"/>
  <c r="T1277" i="29" s="1"/>
  <c r="U1277" i="29" s="1"/>
  <c r="W1277" i="29" s="1"/>
  <c r="S1280" i="29"/>
  <c r="T1280" i="29" s="1"/>
  <c r="U1280" i="29" s="1"/>
  <c r="W1280" i="29" s="1"/>
  <c r="S1297" i="29"/>
  <c r="T1297" i="29" s="1"/>
  <c r="U1297" i="29" s="1"/>
  <c r="W1297" i="29" s="1"/>
  <c r="S574" i="29"/>
  <c r="S671" i="29"/>
  <c r="S943" i="29"/>
  <c r="T943" i="29" s="1"/>
  <c r="U943" i="29" s="1"/>
  <c r="W943" i="29" s="1"/>
  <c r="S754" i="29"/>
  <c r="S701" i="29"/>
  <c r="S957" i="29"/>
  <c r="T957" i="29" s="1"/>
  <c r="U957" i="29" s="1"/>
  <c r="W957" i="29" s="1"/>
  <c r="S1146" i="29"/>
  <c r="T1146" i="29" s="1"/>
  <c r="U1146" i="29" s="1"/>
  <c r="W1146" i="29" s="1"/>
  <c r="S791" i="29"/>
  <c r="T791" i="29" s="1"/>
  <c r="U791" i="29" s="1"/>
  <c r="W791" i="29" s="1"/>
  <c r="S936" i="29"/>
  <c r="T936" i="29" s="1"/>
  <c r="U936" i="29" s="1"/>
  <c r="W936" i="29" s="1"/>
  <c r="S1028" i="29"/>
  <c r="T1028" i="29" s="1"/>
  <c r="U1028" i="29" s="1"/>
  <c r="W1028" i="29" s="1"/>
  <c r="S933" i="29"/>
  <c r="T933" i="29" s="1"/>
  <c r="U933" i="29" s="1"/>
  <c r="W933" i="29" s="1"/>
  <c r="S993" i="29"/>
  <c r="T993" i="29" s="1"/>
  <c r="U993" i="29" s="1"/>
  <c r="W993" i="29" s="1"/>
  <c r="S1009" i="29"/>
  <c r="T1009" i="29" s="1"/>
  <c r="U1009" i="29" s="1"/>
  <c r="W1009" i="29" s="1"/>
  <c r="S859" i="29"/>
  <c r="T859" i="29" s="1"/>
  <c r="U859" i="29" s="1"/>
  <c r="W859" i="29" s="1"/>
  <c r="S967" i="29"/>
  <c r="T967" i="29" s="1"/>
  <c r="U967" i="29" s="1"/>
  <c r="W967" i="29" s="1"/>
  <c r="S1059" i="29"/>
  <c r="T1059" i="29" s="1"/>
  <c r="U1059" i="29" s="1"/>
  <c r="W1059" i="29" s="1"/>
  <c r="S941" i="29"/>
  <c r="T941" i="29" s="1"/>
  <c r="U941" i="29" s="1"/>
  <c r="W941" i="29" s="1"/>
  <c r="S1005" i="29"/>
  <c r="T1005" i="29" s="1"/>
  <c r="U1005" i="29" s="1"/>
  <c r="W1005" i="29" s="1"/>
  <c r="S1163" i="29"/>
  <c r="T1163" i="29" s="1"/>
  <c r="U1163" i="29" s="1"/>
  <c r="W1163" i="29" s="1"/>
  <c r="S1072" i="29"/>
  <c r="T1072" i="29" s="1"/>
  <c r="U1072" i="29" s="1"/>
  <c r="W1072" i="29" s="1"/>
  <c r="S1104" i="29"/>
  <c r="T1104" i="29" s="1"/>
  <c r="U1104" i="29" s="1"/>
  <c r="W1104" i="29" s="1"/>
  <c r="S1152" i="29"/>
  <c r="T1152" i="29" s="1"/>
  <c r="U1152" i="29" s="1"/>
  <c r="W1152" i="29" s="1"/>
  <c r="S360" i="29"/>
  <c r="S167" i="29"/>
  <c r="S307" i="29"/>
  <c r="S271" i="29"/>
  <c r="S1292" i="29"/>
  <c r="T1292" i="29" s="1"/>
  <c r="U1292" i="29" s="1"/>
  <c r="W1292" i="29" s="1"/>
  <c r="S1081" i="29"/>
  <c r="T1081" i="29" s="1"/>
  <c r="U1081" i="29" s="1"/>
  <c r="W1081" i="29" s="1"/>
  <c r="S878" i="29"/>
  <c r="T878" i="29" s="1"/>
  <c r="U878" i="29" s="1"/>
  <c r="W878" i="29" s="1"/>
  <c r="S1041" i="29"/>
  <c r="T1041" i="29" s="1"/>
  <c r="U1041" i="29" s="1"/>
  <c r="W1041" i="29" s="1"/>
  <c r="S261" i="29"/>
  <c r="S361" i="29"/>
  <c r="S407" i="29"/>
  <c r="S494" i="29"/>
  <c r="S513" i="29"/>
  <c r="S404" i="29"/>
  <c r="S446" i="29"/>
  <c r="S496" i="29"/>
  <c r="S511" i="29"/>
  <c r="S560" i="29"/>
  <c r="X560" i="29" s="1"/>
  <c r="S599" i="29"/>
  <c r="S620" i="29"/>
  <c r="S503" i="29"/>
  <c r="S580" i="29"/>
  <c r="S654" i="29"/>
  <c r="S658" i="29"/>
  <c r="S961" i="29"/>
  <c r="T961" i="29" s="1"/>
  <c r="U961" i="29" s="1"/>
  <c r="W961" i="29" s="1"/>
  <c r="S1070" i="29"/>
  <c r="T1070" i="29" s="1"/>
  <c r="U1070" i="29" s="1"/>
  <c r="W1070" i="29" s="1"/>
  <c r="S1271" i="29"/>
  <c r="T1271" i="29" s="1"/>
  <c r="U1271" i="29" s="1"/>
  <c r="W1271" i="29" s="1"/>
  <c r="S603" i="29"/>
  <c r="S660" i="29"/>
  <c r="S685" i="29"/>
  <c r="S733" i="29"/>
  <c r="S774" i="29"/>
  <c r="S865" i="29"/>
  <c r="T865" i="29" s="1"/>
  <c r="U865" i="29" s="1"/>
  <c r="W865" i="29" s="1"/>
  <c r="S1002" i="29"/>
  <c r="T1002" i="29" s="1"/>
  <c r="U1002" i="29" s="1"/>
  <c r="W1002" i="29" s="1"/>
  <c r="S540" i="29"/>
  <c r="S647" i="29"/>
  <c r="S706" i="29"/>
  <c r="S739" i="29"/>
  <c r="S530" i="29"/>
  <c r="S730" i="29"/>
  <c r="S892" i="29"/>
  <c r="T892" i="29" s="1"/>
  <c r="U892" i="29" s="1"/>
  <c r="W892" i="29" s="1"/>
  <c r="S752" i="29"/>
  <c r="S921" i="29"/>
  <c r="T921" i="29" s="1"/>
  <c r="U921" i="29" s="1"/>
  <c r="W921" i="29" s="1"/>
  <c r="S1183" i="29"/>
  <c r="T1183" i="29" s="1"/>
  <c r="U1183" i="29" s="1"/>
  <c r="W1183" i="29" s="1"/>
  <c r="S874" i="29"/>
  <c r="T874" i="29" s="1"/>
  <c r="U874" i="29" s="1"/>
  <c r="W874" i="29" s="1"/>
  <c r="S899" i="29"/>
  <c r="T899" i="29" s="1"/>
  <c r="U899" i="29" s="1"/>
  <c r="W899" i="29" s="1"/>
  <c r="S929" i="29"/>
  <c r="T929" i="29" s="1"/>
  <c r="U929" i="29" s="1"/>
  <c r="W929" i="29" s="1"/>
  <c r="S705" i="29"/>
  <c r="S868" i="29"/>
  <c r="T868" i="29" s="1"/>
  <c r="U868" i="29" s="1"/>
  <c r="W868" i="29" s="1"/>
  <c r="S126" i="29"/>
  <c r="S328" i="29"/>
  <c r="S684" i="29"/>
  <c r="S285" i="29"/>
  <c r="S408" i="29"/>
  <c r="S460" i="29"/>
  <c r="S614" i="29"/>
  <c r="S598" i="29"/>
  <c r="S606" i="29"/>
  <c r="S1098" i="29"/>
  <c r="T1098" i="29" s="1"/>
  <c r="U1098" i="29" s="1"/>
  <c r="W1098" i="29" s="1"/>
  <c r="S843" i="29"/>
  <c r="T843" i="29" s="1"/>
  <c r="U843" i="29" s="1"/>
  <c r="W843" i="29" s="1"/>
  <c r="S673" i="29"/>
  <c r="S986" i="29"/>
  <c r="T986" i="29" s="1"/>
  <c r="U986" i="29" s="1"/>
  <c r="W986" i="29" s="1"/>
  <c r="S704" i="29"/>
  <c r="S757" i="29"/>
  <c r="S995" i="29"/>
  <c r="T995" i="29" s="1"/>
  <c r="U995" i="29" s="1"/>
  <c r="W995" i="29" s="1"/>
  <c r="S711" i="29"/>
  <c r="S908" i="29"/>
  <c r="T908" i="29" s="1"/>
  <c r="U908" i="29" s="1"/>
  <c r="W908" i="29" s="1"/>
  <c r="S845" i="29"/>
  <c r="T845" i="29" s="1"/>
  <c r="U845" i="29" s="1"/>
  <c r="W845" i="29" s="1"/>
  <c r="S931" i="29"/>
  <c r="T931" i="29" s="1"/>
  <c r="U931" i="29" s="1"/>
  <c r="W931" i="29" s="1"/>
  <c r="S1060" i="29"/>
  <c r="T1060" i="29" s="1"/>
  <c r="U1060" i="29" s="1"/>
  <c r="W1060" i="29" s="1"/>
  <c r="S1042" i="29"/>
  <c r="T1042" i="29" s="1"/>
  <c r="U1042" i="29" s="1"/>
  <c r="W1042" i="29" s="1"/>
  <c r="S1038" i="29"/>
  <c r="T1038" i="29" s="1"/>
  <c r="U1038" i="29" s="1"/>
  <c r="W1038" i="29" s="1"/>
  <c r="S992" i="29"/>
  <c r="T992" i="29" s="1"/>
  <c r="U992" i="29" s="1"/>
  <c r="W992" i="29" s="1"/>
  <c r="S1043" i="29"/>
  <c r="T1043" i="29" s="1"/>
  <c r="U1043" i="29" s="1"/>
  <c r="W1043" i="29" s="1"/>
  <c r="S1132" i="29"/>
  <c r="T1132" i="29" s="1"/>
  <c r="U1132" i="29" s="1"/>
  <c r="W1132" i="29" s="1"/>
  <c r="S1251" i="29"/>
  <c r="T1251" i="29" s="1"/>
  <c r="U1251" i="29" s="1"/>
  <c r="W1251" i="29" s="1"/>
  <c r="S1091" i="29"/>
  <c r="T1091" i="29" s="1"/>
  <c r="U1091" i="29" s="1"/>
  <c r="W1091" i="29" s="1"/>
  <c r="S1150" i="29"/>
  <c r="T1150" i="29" s="1"/>
  <c r="U1150" i="29" s="1"/>
  <c r="W1150" i="29" s="1"/>
  <c r="S1057" i="29"/>
  <c r="T1057" i="29" s="1"/>
  <c r="U1057" i="29" s="1"/>
  <c r="W1057" i="29" s="1"/>
  <c r="S1164" i="29"/>
  <c r="T1164" i="29" s="1"/>
  <c r="U1164" i="29" s="1"/>
  <c r="W1164" i="29" s="1"/>
  <c r="S1129" i="29"/>
  <c r="T1129" i="29" s="1"/>
  <c r="U1129" i="29" s="1"/>
  <c r="W1129" i="29" s="1"/>
  <c r="S1111" i="29"/>
  <c r="T1111" i="29" s="1"/>
  <c r="U1111" i="29" s="1"/>
  <c r="W1111" i="29" s="1"/>
  <c r="S1158" i="29"/>
  <c r="T1158" i="29" s="1"/>
  <c r="U1158" i="29" s="1"/>
  <c r="W1158" i="29" s="1"/>
  <c r="S1240" i="29"/>
  <c r="T1240" i="29" s="1"/>
  <c r="U1240" i="29" s="1"/>
  <c r="W1240" i="29" s="1"/>
  <c r="S1232" i="29"/>
  <c r="T1232" i="29" s="1"/>
  <c r="U1232" i="29" s="1"/>
  <c r="W1232" i="29" s="1"/>
  <c r="S1227" i="29"/>
  <c r="T1227" i="29" s="1"/>
  <c r="U1227" i="29" s="1"/>
  <c r="W1227" i="29" s="1"/>
  <c r="S1259" i="29"/>
  <c r="T1259" i="29" s="1"/>
  <c r="U1259" i="29" s="1"/>
  <c r="W1259" i="29" s="1"/>
  <c r="S1244" i="29"/>
  <c r="T1244" i="29" s="1"/>
  <c r="U1244" i="29" s="1"/>
  <c r="W1244" i="29" s="1"/>
  <c r="S1275" i="29"/>
  <c r="T1275" i="29" s="1"/>
  <c r="U1275" i="29" s="1"/>
  <c r="W1275" i="29" s="1"/>
  <c r="S1264" i="29"/>
  <c r="T1264" i="29" s="1"/>
  <c r="U1264" i="29" s="1"/>
  <c r="W1264" i="29" s="1"/>
  <c r="S1310" i="29"/>
  <c r="T1310" i="29" s="1"/>
  <c r="U1310" i="29" s="1"/>
  <c r="W1310" i="29" s="1"/>
  <c r="S1287" i="29"/>
  <c r="T1287" i="29" s="1"/>
  <c r="U1287" i="29" s="1"/>
  <c r="W1287" i="29" s="1"/>
  <c r="S510" i="29"/>
  <c r="S610" i="29"/>
  <c r="S517" i="29"/>
  <c r="S743" i="29"/>
  <c r="S657" i="29"/>
  <c r="S732" i="29"/>
  <c r="S741" i="29"/>
  <c r="S655" i="29"/>
  <c r="S976" i="29"/>
  <c r="T976" i="29" s="1"/>
  <c r="U976" i="29" s="1"/>
  <c r="W976" i="29" s="1"/>
  <c r="S949" i="29"/>
  <c r="T949" i="29" s="1"/>
  <c r="U949" i="29" s="1"/>
  <c r="W949" i="29" s="1"/>
  <c r="S1168" i="29"/>
  <c r="T1168" i="29" s="1"/>
  <c r="U1168" i="29" s="1"/>
  <c r="W1168" i="29" s="1"/>
  <c r="S1087" i="29"/>
  <c r="T1087" i="29" s="1"/>
  <c r="U1087" i="29" s="1"/>
  <c r="W1087" i="29" s="1"/>
  <c r="S1034" i="29"/>
  <c r="T1034" i="29" s="1"/>
  <c r="U1034" i="29" s="1"/>
  <c r="W1034" i="29" s="1"/>
  <c r="S1208" i="29"/>
  <c r="T1208" i="29" s="1"/>
  <c r="U1208" i="29" s="1"/>
  <c r="W1208" i="29" s="1"/>
  <c r="S1218" i="29"/>
  <c r="T1218" i="29" s="1"/>
  <c r="U1218" i="29" s="1"/>
  <c r="W1218" i="29" s="1"/>
  <c r="S1300" i="29"/>
  <c r="T1300" i="29" s="1"/>
  <c r="U1300" i="29" s="1"/>
  <c r="W1300" i="29" s="1"/>
  <c r="S1283" i="29"/>
  <c r="T1283" i="29" s="1"/>
  <c r="U1283" i="29" s="1"/>
  <c r="W1283" i="29" s="1"/>
  <c r="S664" i="29"/>
  <c r="S397" i="29"/>
  <c r="S447" i="29"/>
  <c r="S491" i="29"/>
  <c r="S584" i="29"/>
  <c r="S669" i="29"/>
  <c r="S1090" i="29"/>
  <c r="T1090" i="29" s="1"/>
  <c r="U1090" i="29" s="1"/>
  <c r="W1090" i="29" s="1"/>
  <c r="S522" i="29"/>
  <c r="S668" i="29"/>
  <c r="S894" i="29"/>
  <c r="T894" i="29" s="1"/>
  <c r="U894" i="29" s="1"/>
  <c r="W894" i="29" s="1"/>
  <c r="S621" i="29"/>
  <c r="S710" i="29"/>
  <c r="S579" i="29"/>
  <c r="S854" i="29"/>
  <c r="T854" i="29" s="1"/>
  <c r="U854" i="29" s="1"/>
  <c r="W854" i="29" s="1"/>
  <c r="S852" i="29"/>
  <c r="T852" i="29" s="1"/>
  <c r="U852" i="29" s="1"/>
  <c r="W852" i="29" s="1"/>
  <c r="S651" i="29"/>
  <c r="S770" i="29"/>
  <c r="S991" i="29"/>
  <c r="T991" i="29" s="1"/>
  <c r="U991" i="29" s="1"/>
  <c r="W991" i="29" s="1"/>
  <c r="S692" i="29"/>
  <c r="S869" i="29"/>
  <c r="T869" i="29" s="1"/>
  <c r="U869" i="29" s="1"/>
  <c r="W869" i="29" s="1"/>
  <c r="S944" i="29"/>
  <c r="T944" i="29" s="1"/>
  <c r="U944" i="29" s="1"/>
  <c r="W944" i="29" s="1"/>
  <c r="S948" i="29"/>
  <c r="T948" i="29" s="1"/>
  <c r="U948" i="29" s="1"/>
  <c r="W948" i="29" s="1"/>
  <c r="S875" i="29"/>
  <c r="T875" i="29" s="1"/>
  <c r="U875" i="29" s="1"/>
  <c r="W875" i="29" s="1"/>
  <c r="S1123" i="29"/>
  <c r="T1123" i="29" s="1"/>
  <c r="U1123" i="29" s="1"/>
  <c r="W1123" i="29" s="1"/>
  <c r="S1008" i="29"/>
  <c r="T1008" i="29" s="1"/>
  <c r="U1008" i="29" s="1"/>
  <c r="W1008" i="29" s="1"/>
  <c r="S1076" i="29"/>
  <c r="T1076" i="29" s="1"/>
  <c r="U1076" i="29" s="1"/>
  <c r="W1076" i="29" s="1"/>
  <c r="S1162" i="29"/>
  <c r="T1162" i="29" s="1"/>
  <c r="U1162" i="29" s="1"/>
  <c r="W1162" i="29" s="1"/>
  <c r="S1071" i="29"/>
  <c r="T1071" i="29" s="1"/>
  <c r="U1071" i="29" s="1"/>
  <c r="W1071" i="29" s="1"/>
  <c r="S1103" i="29"/>
  <c r="T1103" i="29" s="1"/>
  <c r="U1103" i="29" s="1"/>
  <c r="W1103" i="29" s="1"/>
  <c r="S1177" i="29"/>
  <c r="S1109" i="29"/>
  <c r="S1181" i="29"/>
  <c r="T1181" i="29" s="1"/>
  <c r="U1181" i="29" s="1"/>
  <c r="W1181" i="29" s="1"/>
  <c r="S1189" i="29"/>
  <c r="T1189" i="29" s="1"/>
  <c r="U1189" i="29" s="1"/>
  <c r="W1189" i="29" s="1"/>
  <c r="S1135" i="29"/>
  <c r="T1135" i="29" s="1"/>
  <c r="U1135" i="29" s="1"/>
  <c r="W1135" i="29" s="1"/>
  <c r="S1185" i="29"/>
  <c r="T1185" i="29" s="1"/>
  <c r="U1185" i="29" s="1"/>
  <c r="W1185" i="29" s="1"/>
  <c r="S1196" i="29"/>
  <c r="T1196" i="29" s="1"/>
  <c r="U1196" i="29" s="1"/>
  <c r="W1196" i="29" s="1"/>
  <c r="S1262" i="29"/>
  <c r="T1262" i="29" s="1"/>
  <c r="U1262" i="29" s="1"/>
  <c r="W1262" i="29" s="1"/>
  <c r="S1286" i="29"/>
  <c r="T1286" i="29" s="1"/>
  <c r="U1286" i="29" s="1"/>
  <c r="W1286" i="29" s="1"/>
  <c r="S1260" i="29"/>
  <c r="T1260" i="29" s="1"/>
  <c r="U1260" i="29" s="1"/>
  <c r="W1260" i="29" s="1"/>
  <c r="S1284" i="29"/>
  <c r="T1284" i="29" s="1"/>
  <c r="U1284" i="29" s="1"/>
  <c r="W1284" i="29" s="1"/>
  <c r="S1301" i="29"/>
  <c r="T1301" i="29" s="1"/>
  <c r="U1301" i="29" s="1"/>
  <c r="W1301" i="29" s="1"/>
  <c r="S1279" i="29"/>
  <c r="T1279" i="29" s="1"/>
  <c r="U1279" i="29" s="1"/>
  <c r="W1279" i="29" s="1"/>
  <c r="S1265" i="29"/>
  <c r="T1265" i="29" s="1"/>
  <c r="U1265" i="29" s="1"/>
  <c r="W1265" i="29" s="1"/>
  <c r="S1313" i="29"/>
  <c r="T1313" i="29" s="1"/>
  <c r="U1313" i="29" s="1"/>
  <c r="W1313" i="29" s="1"/>
  <c r="S1311" i="29"/>
  <c r="T1311" i="29" s="1"/>
  <c r="U1311" i="29" s="1"/>
  <c r="W1311" i="29" s="1"/>
  <c r="S1014" i="29"/>
  <c r="T1014" i="29" s="1"/>
  <c r="U1014" i="29" s="1"/>
  <c r="W1014" i="29" s="1"/>
  <c r="S568" i="29"/>
  <c r="S983" i="29"/>
  <c r="T983" i="29" s="1"/>
  <c r="U983" i="29" s="1"/>
  <c r="W983" i="29" s="1"/>
  <c r="S575" i="29"/>
  <c r="S855" i="29"/>
  <c r="T855" i="29" s="1"/>
  <c r="U855" i="29" s="1"/>
  <c r="W855" i="29" s="1"/>
  <c r="S966" i="29"/>
  <c r="T966" i="29" s="1"/>
  <c r="U966" i="29" s="1"/>
  <c r="W966" i="29" s="1"/>
  <c r="S889" i="29"/>
  <c r="T889" i="29" s="1"/>
  <c r="U889" i="29" s="1"/>
  <c r="W889" i="29" s="1"/>
  <c r="S915" i="29"/>
  <c r="T915" i="29" s="1"/>
  <c r="U915" i="29" s="1"/>
  <c r="W915" i="29" s="1"/>
  <c r="S1012" i="29"/>
  <c r="T1012" i="29" s="1"/>
  <c r="U1012" i="29" s="1"/>
  <c r="W1012" i="29" s="1"/>
  <c r="S1108" i="29"/>
  <c r="T1108" i="29" s="1"/>
  <c r="U1108" i="29" s="1"/>
  <c r="W1108" i="29" s="1"/>
  <c r="S1144" i="29"/>
  <c r="T1144" i="29" s="1"/>
  <c r="U1144" i="29" s="1"/>
  <c r="W1144" i="29" s="1"/>
  <c r="S1143" i="29"/>
  <c r="T1143" i="29" s="1"/>
  <c r="U1143" i="29" s="1"/>
  <c r="W1143" i="29" s="1"/>
  <c r="S1151" i="29"/>
  <c r="T1151" i="29" s="1"/>
  <c r="U1151" i="29" s="1"/>
  <c r="W1151" i="29" s="1"/>
  <c r="S1216" i="29"/>
  <c r="T1216" i="29" s="1"/>
  <c r="U1216" i="29" s="1"/>
  <c r="W1216" i="29" s="1"/>
  <c r="S1226" i="29"/>
  <c r="T1226" i="29" s="1"/>
  <c r="U1226" i="29" s="1"/>
  <c r="W1226" i="29" s="1"/>
  <c r="S1233" i="29"/>
  <c r="T1233" i="29" s="1"/>
  <c r="U1233" i="29" s="1"/>
  <c r="W1233" i="29" s="1"/>
  <c r="S369" i="29"/>
  <c r="S1266" i="29"/>
  <c r="T1266" i="29" s="1"/>
  <c r="U1266" i="29" s="1"/>
  <c r="W1266" i="29" s="1"/>
  <c r="S561" i="29"/>
  <c r="S433" i="29"/>
  <c r="S482" i="29"/>
  <c r="S515" i="29"/>
  <c r="S533" i="29"/>
  <c r="S666" i="29"/>
  <c r="S861" i="29"/>
  <c r="T861" i="29" s="1"/>
  <c r="U861" i="29" s="1"/>
  <c r="W861" i="29" s="1"/>
  <c r="S617" i="29"/>
  <c r="S691" i="29"/>
  <c r="S1078" i="29"/>
  <c r="T1078" i="29" s="1"/>
  <c r="U1078" i="29" s="1"/>
  <c r="W1078" i="29" s="1"/>
  <c r="S747" i="29"/>
  <c r="S644" i="29"/>
  <c r="S977" i="29"/>
  <c r="T977" i="29" s="1"/>
  <c r="U977" i="29" s="1"/>
  <c r="W977" i="29" s="1"/>
  <c r="S922" i="29"/>
  <c r="T922" i="29" s="1"/>
  <c r="U922" i="29" s="1"/>
  <c r="W922" i="29" s="1"/>
  <c r="S670" i="29"/>
  <c r="S881" i="29"/>
  <c r="T881" i="29" s="1"/>
  <c r="U881" i="29" s="1"/>
  <c r="W881" i="29" s="1"/>
  <c r="S1025" i="29"/>
  <c r="T1025" i="29" s="1"/>
  <c r="U1025" i="29" s="1"/>
  <c r="W1025" i="29" s="1"/>
  <c r="S708" i="29"/>
  <c r="S907" i="29"/>
  <c r="T907" i="29" s="1"/>
  <c r="U907" i="29" s="1"/>
  <c r="W907" i="29" s="1"/>
  <c r="S960" i="29"/>
  <c r="T960" i="29" s="1"/>
  <c r="U960" i="29" s="1"/>
  <c r="W960" i="29" s="1"/>
  <c r="S996" i="29"/>
  <c r="T996" i="29" s="1"/>
  <c r="U996" i="29" s="1"/>
  <c r="W996" i="29" s="1"/>
  <c r="S954" i="29"/>
  <c r="T954" i="29" s="1"/>
  <c r="U954" i="29" s="1"/>
  <c r="W954" i="29" s="1"/>
  <c r="S879" i="29"/>
  <c r="S1064" i="29"/>
  <c r="T1064" i="29" s="1"/>
  <c r="U1064" i="29" s="1"/>
  <c r="W1064" i="29" s="1"/>
  <c r="S1092" i="29"/>
  <c r="T1092" i="29" s="1"/>
  <c r="U1092" i="29" s="1"/>
  <c r="W1092" i="29" s="1"/>
  <c r="S1182" i="29"/>
  <c r="T1182" i="29" s="1"/>
  <c r="U1182" i="29" s="1"/>
  <c r="W1182" i="29" s="1"/>
  <c r="S1075" i="29"/>
  <c r="T1075" i="29" s="1"/>
  <c r="U1075" i="29" s="1"/>
  <c r="W1075" i="29" s="1"/>
  <c r="S1107" i="29"/>
  <c r="T1107" i="29" s="1"/>
  <c r="U1107" i="29" s="1"/>
  <c r="W1107" i="29" s="1"/>
  <c r="S1178" i="29"/>
  <c r="T1178" i="29" s="1"/>
  <c r="U1178" i="29" s="1"/>
  <c r="W1178" i="29" s="1"/>
  <c r="S1116" i="29"/>
  <c r="T1116" i="29" s="1"/>
  <c r="U1116" i="29" s="1"/>
  <c r="W1116" i="29" s="1"/>
  <c r="S1184" i="29"/>
  <c r="T1184" i="29" s="1"/>
  <c r="U1184" i="29" s="1"/>
  <c r="W1184" i="29" s="1"/>
  <c r="S1190" i="29"/>
  <c r="T1190" i="29" s="1"/>
  <c r="U1190" i="29" s="1"/>
  <c r="W1190" i="29" s="1"/>
  <c r="S1138" i="29"/>
  <c r="T1138" i="29" s="1"/>
  <c r="U1138" i="29" s="1"/>
  <c r="W1138" i="29" s="1"/>
  <c r="S1186" i="29"/>
  <c r="T1186" i="29" s="1"/>
  <c r="U1186" i="29" s="1"/>
  <c r="W1186" i="29" s="1"/>
  <c r="S1201" i="29"/>
  <c r="T1201" i="29" s="1"/>
  <c r="U1201" i="29" s="1"/>
  <c r="W1201" i="29" s="1"/>
  <c r="S1309" i="29"/>
  <c r="T1309" i="29" s="1"/>
  <c r="U1309" i="29" s="1"/>
  <c r="W1309" i="29" s="1"/>
  <c r="S1197" i="29"/>
  <c r="T1197" i="29" s="1"/>
  <c r="U1197" i="29" s="1"/>
  <c r="W1197" i="29" s="1"/>
  <c r="S1272" i="29"/>
  <c r="T1272" i="29" s="1"/>
  <c r="U1272" i="29" s="1"/>
  <c r="W1272" i="29" s="1"/>
  <c r="S1298" i="29"/>
  <c r="T1298" i="29" s="1"/>
  <c r="U1298" i="29" s="1"/>
  <c r="W1298" i="29" s="1"/>
  <c r="S1281" i="29"/>
  <c r="T1281" i="29" s="1"/>
  <c r="U1281" i="29" s="1"/>
  <c r="W1281" i="29" s="1"/>
  <c r="S703" i="29"/>
  <c r="S686" i="29"/>
  <c r="S748" i="29"/>
  <c r="S970" i="29"/>
  <c r="T970" i="29" s="1"/>
  <c r="U970" i="29" s="1"/>
  <c r="W970" i="29" s="1"/>
  <c r="S1246" i="29"/>
  <c r="T1246" i="29" s="1"/>
  <c r="U1246" i="29" s="1"/>
  <c r="W1246" i="29" s="1"/>
  <c r="S1121" i="29"/>
  <c r="T1121" i="29" s="1"/>
  <c r="U1121" i="29" s="1"/>
  <c r="W1121" i="29" s="1"/>
  <c r="S1231" i="29"/>
  <c r="T1231" i="29" s="1"/>
  <c r="U1231" i="29" s="1"/>
  <c r="W1231" i="29" s="1"/>
  <c r="S1258" i="29"/>
  <c r="T1258" i="29" s="1"/>
  <c r="U1258" i="29" s="1"/>
  <c r="W1258" i="29" s="1"/>
  <c r="S230" i="29"/>
  <c r="S758" i="29"/>
  <c r="S93" i="29"/>
  <c r="S607" i="29"/>
  <c r="S208" i="29"/>
  <c r="S358" i="29"/>
  <c r="S231" i="29"/>
  <c r="S197" i="29"/>
  <c r="X197" i="29" s="1"/>
  <c r="S690" i="29"/>
  <c r="T164" i="28"/>
  <c r="U164" i="28" s="1"/>
  <c r="W164" i="28" s="1"/>
  <c r="T59" i="28"/>
  <c r="U59" i="28" s="1"/>
  <c r="W59" i="28" s="1"/>
  <c r="T40" i="28"/>
  <c r="U40" i="28" s="1"/>
  <c r="W40" i="28" s="1"/>
  <c r="T67" i="28"/>
  <c r="U67" i="28" s="1"/>
  <c r="W67" i="28" s="1"/>
  <c r="T64" i="28"/>
  <c r="U64" i="28" s="1"/>
  <c r="W64" i="28" s="1"/>
  <c r="S78" i="30"/>
  <c r="S26" i="30"/>
  <c r="S53" i="30"/>
  <c r="X53" i="30" s="1"/>
  <c r="T54" i="30"/>
  <c r="U54" i="30" s="1"/>
  <c r="W54" i="30" s="1"/>
  <c r="Y54" i="30" s="1"/>
  <c r="S15" i="30"/>
  <c r="T32" i="30"/>
  <c r="U32" i="30" s="1"/>
  <c r="W32" i="30" s="1"/>
  <c r="Y32" i="30" s="1"/>
  <c r="AA32" i="30" s="1"/>
  <c r="S23" i="30"/>
  <c r="S69" i="30"/>
  <c r="X69" i="30" s="1"/>
  <c r="S35" i="30"/>
  <c r="S77" i="30"/>
  <c r="S106" i="30"/>
  <c r="S110" i="30"/>
  <c r="S34" i="30"/>
  <c r="S72" i="30"/>
  <c r="S88" i="30"/>
  <c r="S79" i="30"/>
  <c r="S95" i="30"/>
  <c r="S135" i="30"/>
  <c r="S83" i="30"/>
  <c r="S157" i="30"/>
  <c r="T30" i="30"/>
  <c r="U30" i="30" s="1"/>
  <c r="W30" i="30" s="1"/>
  <c r="Y30" i="30" s="1"/>
  <c r="AA30" i="30" s="1"/>
  <c r="S17" i="30"/>
  <c r="S28" i="30"/>
  <c r="X28" i="30" s="1"/>
  <c r="S155" i="30"/>
  <c r="S92" i="30"/>
  <c r="S86" i="30"/>
  <c r="S18" i="30"/>
  <c r="S49" i="30"/>
  <c r="S52" i="30"/>
  <c r="S71" i="30"/>
  <c r="S27" i="30"/>
  <c r="S85" i="30"/>
  <c r="S98" i="30"/>
  <c r="S102" i="30"/>
  <c r="S47" i="30"/>
  <c r="S87" i="30"/>
  <c r="S96" i="30"/>
  <c r="S107" i="30"/>
  <c r="S138" i="30"/>
  <c r="X138" i="30" s="1"/>
  <c r="S91" i="30"/>
  <c r="T103" i="30"/>
  <c r="U103" i="30" s="1"/>
  <c r="W103" i="30" s="1"/>
  <c r="Y103" i="30" s="1"/>
  <c r="S137" i="30"/>
  <c r="T104" i="30"/>
  <c r="U104" i="30" s="1"/>
  <c r="W104" i="30" s="1"/>
  <c r="Y104" i="30" s="1"/>
  <c r="S148" i="30"/>
  <c r="S51" i="30"/>
  <c r="S75" i="30"/>
  <c r="S20" i="30"/>
  <c r="S33" i="30"/>
  <c r="S19" i="30"/>
  <c r="S21" i="30"/>
  <c r="X21" i="30" s="1"/>
  <c r="S55" i="30"/>
  <c r="S89" i="30"/>
  <c r="S56" i="30"/>
  <c r="S134" i="30"/>
  <c r="S146" i="30"/>
  <c r="S82" i="30"/>
  <c r="S57" i="30"/>
  <c r="S70" i="30"/>
  <c r="S90" i="30"/>
  <c r="S97" i="30"/>
  <c r="S132" i="30"/>
  <c r="X132" i="30" s="1"/>
  <c r="S140" i="30"/>
  <c r="S172" i="30"/>
  <c r="T172" i="30" s="1"/>
  <c r="U172" i="30" s="1"/>
  <c r="W172" i="30" s="1"/>
  <c r="S94" i="30"/>
  <c r="S76" i="30"/>
  <c r="S109" i="30"/>
  <c r="S139" i="30"/>
  <c r="S108" i="30"/>
  <c r="S147" i="30"/>
  <c r="S29" i="30"/>
  <c r="S25" i="30"/>
  <c r="S58" i="30"/>
  <c r="S154" i="30"/>
  <c r="S73" i="30"/>
  <c r="S111" i="30"/>
  <c r="S112" i="30"/>
  <c r="T31" i="30"/>
  <c r="U31" i="30" s="1"/>
  <c r="W31" i="30" s="1"/>
  <c r="Y31" i="30" s="1"/>
  <c r="AA31" i="30" s="1"/>
  <c r="S74" i="30"/>
  <c r="S93" i="30"/>
  <c r="S136" i="30"/>
  <c r="S22" i="30"/>
  <c r="S46" i="30"/>
  <c r="S24" i="30"/>
  <c r="S84" i="30"/>
  <c r="S99" i="30"/>
  <c r="S81" i="30"/>
  <c r="S169" i="30"/>
  <c r="T169" i="30" s="1"/>
  <c r="U169" i="30" s="1"/>
  <c r="W169" i="30" s="1"/>
  <c r="T158" i="30"/>
  <c r="U158" i="30" s="1"/>
  <c r="W158" i="30" s="1"/>
  <c r="Y158" i="30" s="1"/>
  <c r="S59" i="30"/>
  <c r="S101" i="30"/>
  <c r="S36" i="30"/>
  <c r="S133" i="30"/>
  <c r="S80" i="30"/>
  <c r="S100" i="30"/>
  <c r="S175" i="30"/>
  <c r="T175" i="30" s="1"/>
  <c r="U175" i="30" s="1"/>
  <c r="W175" i="30" s="1"/>
  <c r="S113" i="30"/>
  <c r="S44" i="30"/>
  <c r="X44" i="30" s="1"/>
  <c r="S145" i="30"/>
  <c r="X145" i="30" s="1"/>
  <c r="S13" i="30"/>
  <c r="X13" i="30" s="1"/>
  <c r="T198" i="28"/>
  <c r="U198" i="28" s="1"/>
  <c r="W198" i="28" s="1"/>
  <c r="T56" i="28"/>
  <c r="U56" i="28" s="1"/>
  <c r="W56" i="28" s="1"/>
  <c r="T39" i="28"/>
  <c r="U39" i="28" s="1"/>
  <c r="W39" i="28" s="1"/>
  <c r="T224" i="28"/>
  <c r="U224" i="28" s="1"/>
  <c r="W224" i="28" s="1"/>
  <c r="T63" i="28"/>
  <c r="U63" i="28" s="1"/>
  <c r="W63" i="28" s="1"/>
  <c r="T230" i="28"/>
  <c r="U230" i="28" s="1"/>
  <c r="W230" i="28" s="1"/>
  <c r="T547" i="28"/>
  <c r="U547" i="28" s="1"/>
  <c r="W547" i="28" s="1"/>
  <c r="T487" i="28"/>
  <c r="U487" i="28" s="1"/>
  <c r="W487" i="28" s="1"/>
  <c r="T546" i="28"/>
  <c r="U546" i="28" s="1"/>
  <c r="W546" i="28" s="1"/>
  <c r="T493" i="28"/>
  <c r="U493" i="28" s="1"/>
  <c r="W493" i="28" s="1"/>
  <c r="T511" i="28"/>
  <c r="U511" i="28" s="1"/>
  <c r="W511" i="28" s="1"/>
  <c r="T510" i="28"/>
  <c r="U510" i="28" s="1"/>
  <c r="W510" i="28" s="1"/>
  <c r="T489" i="28"/>
  <c r="U489" i="28" s="1"/>
  <c r="W489" i="28" s="1"/>
  <c r="T480" i="28"/>
  <c r="U480" i="28" s="1"/>
  <c r="W480" i="28" s="1"/>
  <c r="T469" i="28"/>
  <c r="U469" i="28" s="1"/>
  <c r="W469" i="28" s="1"/>
  <c r="T470" i="28"/>
  <c r="U470" i="28" s="1"/>
  <c r="W470" i="28" s="1"/>
  <c r="T439" i="28"/>
  <c r="U439" i="28" s="1"/>
  <c r="W439" i="28" s="1"/>
  <c r="T407" i="28"/>
  <c r="U407" i="28" s="1"/>
  <c r="W407" i="28" s="1"/>
  <c r="T451" i="28"/>
  <c r="U451" i="28" s="1"/>
  <c r="W451" i="28" s="1"/>
  <c r="T379" i="28"/>
  <c r="U379" i="28" s="1"/>
  <c r="W379" i="28" s="1"/>
  <c r="T393" i="28"/>
  <c r="U393" i="28" s="1"/>
  <c r="W393" i="28" s="1"/>
  <c r="T394" i="28"/>
  <c r="U394" i="28" s="1"/>
  <c r="W394" i="28" s="1"/>
  <c r="T351" i="28"/>
  <c r="U351" i="28" s="1"/>
  <c r="W351" i="28" s="1"/>
  <c r="T315" i="28"/>
  <c r="U315" i="28" s="1"/>
  <c r="W315" i="28" s="1"/>
  <c r="T277" i="28"/>
  <c r="U277" i="28" s="1"/>
  <c r="W277" i="28" s="1"/>
  <c r="T241" i="28"/>
  <c r="U241" i="28" s="1"/>
  <c r="W241" i="28" s="1"/>
  <c r="T403" i="28"/>
  <c r="U403" i="28" s="1"/>
  <c r="W403" i="28" s="1"/>
  <c r="T306" i="28"/>
  <c r="U306" i="28" s="1"/>
  <c r="W306" i="28" s="1"/>
  <c r="T237" i="28"/>
  <c r="U237" i="28" s="1"/>
  <c r="W237" i="28" s="1"/>
  <c r="T396" i="28"/>
  <c r="U396" i="28" s="1"/>
  <c r="W396" i="28" s="1"/>
  <c r="O253" i="28"/>
  <c r="D19" i="27" s="1"/>
  <c r="BK19" i="27" s="1"/>
  <c r="T276" i="28"/>
  <c r="U276" i="28" s="1"/>
  <c r="W276" i="28" s="1"/>
  <c r="T232" i="28"/>
  <c r="U232" i="28" s="1"/>
  <c r="W232" i="28" s="1"/>
  <c r="T522" i="28"/>
  <c r="U522" i="28" s="1"/>
  <c r="W522" i="28" s="1"/>
  <c r="T33" i="28"/>
  <c r="U33" i="28" s="1"/>
  <c r="W33" i="28" s="1"/>
  <c r="S251" i="28"/>
  <c r="P321" i="28"/>
  <c r="Q311" i="28"/>
  <c r="Q321" i="28" s="1"/>
  <c r="T175" i="28"/>
  <c r="U175" i="28" s="1"/>
  <c r="W175" i="28" s="1"/>
  <c r="T160" i="28"/>
  <c r="U160" i="28" s="1"/>
  <c r="W160" i="28" s="1"/>
  <c r="T71" i="28"/>
  <c r="U71" i="28" s="1"/>
  <c r="W71" i="28" s="1"/>
  <c r="T77" i="28"/>
  <c r="U77" i="28" s="1"/>
  <c r="W77" i="28" s="1"/>
  <c r="T70" i="28"/>
  <c r="U70" i="28" s="1"/>
  <c r="W70" i="28" s="1"/>
  <c r="T54" i="28"/>
  <c r="U54" i="28" s="1"/>
  <c r="W54" i="28" s="1"/>
  <c r="T38" i="28"/>
  <c r="U38" i="28" s="1"/>
  <c r="W38" i="28" s="1"/>
  <c r="T484" i="28"/>
  <c r="U484" i="28" s="1"/>
  <c r="W484" i="28" s="1"/>
  <c r="T488" i="28"/>
  <c r="U488" i="28" s="1"/>
  <c r="W488" i="28" s="1"/>
  <c r="T476" i="28"/>
  <c r="U476" i="28" s="1"/>
  <c r="W476" i="28" s="1"/>
  <c r="T548" i="28"/>
  <c r="U548" i="28" s="1"/>
  <c r="W548" i="28" s="1"/>
  <c r="T481" i="28"/>
  <c r="U481" i="28" s="1"/>
  <c r="W481" i="28" s="1"/>
  <c r="T465" i="28"/>
  <c r="U465" i="28" s="1"/>
  <c r="W465" i="28" s="1"/>
  <c r="T482" i="28"/>
  <c r="U482" i="28" s="1"/>
  <c r="W482" i="28" s="1"/>
  <c r="T466" i="28"/>
  <c r="U466" i="28" s="1"/>
  <c r="W466" i="28" s="1"/>
  <c r="T448" i="28"/>
  <c r="U448" i="28" s="1"/>
  <c r="W448" i="28" s="1"/>
  <c r="T445" i="28"/>
  <c r="U445" i="28" s="1"/>
  <c r="W445" i="28" s="1"/>
  <c r="T397" i="28"/>
  <c r="U397" i="28" s="1"/>
  <c r="W397" i="28" s="1"/>
  <c r="T418" i="28"/>
  <c r="U418" i="28" s="1"/>
  <c r="W418" i="28" s="1"/>
  <c r="T378" i="28"/>
  <c r="U378" i="28" s="1"/>
  <c r="W378" i="28" s="1"/>
  <c r="T382" i="28"/>
  <c r="U382" i="28" s="1"/>
  <c r="W382" i="28" s="1"/>
  <c r="T357" i="28"/>
  <c r="U357" i="28" s="1"/>
  <c r="W357" i="28" s="1"/>
  <c r="T275" i="28"/>
  <c r="U275" i="28" s="1"/>
  <c r="W275" i="28" s="1"/>
  <c r="T434" i="28"/>
  <c r="U434" i="28" s="1"/>
  <c r="W434" i="28" s="1"/>
  <c r="T302" i="28"/>
  <c r="U302" i="28" s="1"/>
  <c r="W302" i="28" s="1"/>
  <c r="T222" i="28"/>
  <c r="U222" i="28" s="1"/>
  <c r="W222" i="28" s="1"/>
  <c r="T304" i="28"/>
  <c r="U304" i="28" s="1"/>
  <c r="W304" i="28" s="1"/>
  <c r="T233" i="28"/>
  <c r="U233" i="28" s="1"/>
  <c r="W233" i="28" s="1"/>
  <c r="T227" i="28"/>
  <c r="U227" i="28" s="1"/>
  <c r="W227" i="28" s="1"/>
  <c r="T163" i="28"/>
  <c r="U163" i="28" s="1"/>
  <c r="W163" i="28" s="1"/>
  <c r="T31" i="28"/>
  <c r="U31" i="28" s="1"/>
  <c r="W31" i="28" s="1"/>
  <c r="T273" i="28"/>
  <c r="U273" i="28" s="1"/>
  <c r="W273" i="28" s="1"/>
  <c r="T490" i="28"/>
  <c r="U490" i="28" s="1"/>
  <c r="W490" i="28" s="1"/>
  <c r="T236" i="28"/>
  <c r="U236" i="28" s="1"/>
  <c r="W236" i="28" s="1"/>
  <c r="T226" i="28"/>
  <c r="U226" i="28" s="1"/>
  <c r="W226" i="28" s="1"/>
  <c r="T216" i="28"/>
  <c r="U216" i="28" s="1"/>
  <c r="W216" i="28" s="1"/>
  <c r="T171" i="28"/>
  <c r="U171" i="28" s="1"/>
  <c r="W171" i="28" s="1"/>
  <c r="T157" i="28"/>
  <c r="U157" i="28" s="1"/>
  <c r="W157" i="28" s="1"/>
  <c r="P139" i="28"/>
  <c r="Q137" i="28"/>
  <c r="S142" i="28"/>
  <c r="T81" i="28"/>
  <c r="U81" i="28" s="1"/>
  <c r="W81" i="28" s="1"/>
  <c r="T74" i="28"/>
  <c r="U74" i="28" s="1"/>
  <c r="W74" i="28" s="1"/>
  <c r="T66" i="28"/>
  <c r="U66" i="28" s="1"/>
  <c r="W66" i="28" s="1"/>
  <c r="T50" i="28"/>
  <c r="U50" i="28" s="1"/>
  <c r="W50" i="28" s="1"/>
  <c r="T472" i="28"/>
  <c r="U472" i="28" s="1"/>
  <c r="W472" i="28" s="1"/>
  <c r="T477" i="28"/>
  <c r="U477" i="28" s="1"/>
  <c r="W477" i="28" s="1"/>
  <c r="T478" i="28"/>
  <c r="U478" i="28" s="1"/>
  <c r="W478" i="28" s="1"/>
  <c r="T409" i="28"/>
  <c r="U409" i="28" s="1"/>
  <c r="W409" i="28" s="1"/>
  <c r="T377" i="28"/>
  <c r="U377" i="28" s="1"/>
  <c r="W377" i="28" s="1"/>
  <c r="T381" i="28"/>
  <c r="U381" i="28" s="1"/>
  <c r="W381" i="28" s="1"/>
  <c r="L359" i="28"/>
  <c r="M359" i="28" s="1"/>
  <c r="T296" i="28"/>
  <c r="U296" i="28" s="1"/>
  <c r="W296" i="28" s="1"/>
  <c r="T517" i="28"/>
  <c r="U517" i="28" s="1"/>
  <c r="W517" i="28" s="1"/>
  <c r="T361" i="28"/>
  <c r="U361" i="28" s="1"/>
  <c r="W361" i="28" s="1"/>
  <c r="T272" i="28"/>
  <c r="U272" i="28" s="1"/>
  <c r="W272" i="28" s="1"/>
  <c r="P295" i="28"/>
  <c r="T278" i="28"/>
  <c r="U278" i="28" s="1"/>
  <c r="W278" i="28" s="1"/>
  <c r="T313" i="28"/>
  <c r="U313" i="28" s="1"/>
  <c r="W313" i="28" s="1"/>
  <c r="T262" i="28"/>
  <c r="U262" i="28" s="1"/>
  <c r="W262" i="28" s="1"/>
  <c r="T238" i="28"/>
  <c r="U238" i="28" s="1"/>
  <c r="W238" i="28" s="1"/>
  <c r="T221" i="28"/>
  <c r="U221" i="28" s="1"/>
  <c r="W221" i="28" s="1"/>
  <c r="T172" i="28"/>
  <c r="U172" i="28" s="1"/>
  <c r="W172" i="28" s="1"/>
  <c r="T159" i="28"/>
  <c r="U159" i="28" s="1"/>
  <c r="W159" i="28" s="1"/>
  <c r="T149" i="28"/>
  <c r="T295" i="28"/>
  <c r="U295" i="28" s="1"/>
  <c r="S321" i="28"/>
  <c r="E29" i="27" s="1"/>
  <c r="BL29" i="27" s="1"/>
  <c r="T311" i="28"/>
  <c r="U311" i="28" s="1"/>
  <c r="T303" i="28"/>
  <c r="U303" i="28" s="1"/>
  <c r="W303" i="28" s="1"/>
  <c r="T285" i="28"/>
  <c r="U285" i="28" s="1"/>
  <c r="W285" i="28" s="1"/>
  <c r="T528" i="28"/>
  <c r="U528" i="28" s="1"/>
  <c r="W528" i="28" s="1"/>
  <c r="T305" i="28"/>
  <c r="U305" i="28" s="1"/>
  <c r="W305" i="28" s="1"/>
  <c r="T235" i="28"/>
  <c r="U235" i="28" s="1"/>
  <c r="W235" i="28" s="1"/>
  <c r="T225" i="28"/>
  <c r="U225" i="28" s="1"/>
  <c r="W225" i="28" s="1"/>
  <c r="T215" i="28"/>
  <c r="U215" i="28" s="1"/>
  <c r="W215" i="28" s="1"/>
  <c r="T168" i="28"/>
  <c r="U168" i="28" s="1"/>
  <c r="W168" i="28" s="1"/>
  <c r="T90" i="28"/>
  <c r="U90" i="28" s="1"/>
  <c r="W90" i="28" s="1"/>
  <c r="T85" i="28"/>
  <c r="U85" i="28" s="1"/>
  <c r="W85" i="28" s="1"/>
  <c r="T62" i="28"/>
  <c r="U62" i="28" s="1"/>
  <c r="W62" i="28" s="1"/>
  <c r="T46" i="28"/>
  <c r="U46" i="28" s="1"/>
  <c r="W46" i="28" s="1"/>
  <c r="T468" i="28"/>
  <c r="U468" i="28" s="1"/>
  <c r="W468" i="28" s="1"/>
  <c r="T473" i="28"/>
  <c r="U473" i="28" s="1"/>
  <c r="W473" i="28" s="1"/>
  <c r="T458" i="28"/>
  <c r="U458" i="28" s="1"/>
  <c r="W458" i="28" s="1"/>
  <c r="T474" i="28"/>
  <c r="U474" i="28" s="1"/>
  <c r="W474" i="28" s="1"/>
  <c r="T404" i="28"/>
  <c r="U404" i="28" s="1"/>
  <c r="W404" i="28" s="1"/>
  <c r="T440" i="28"/>
  <c r="U440" i="28" s="1"/>
  <c r="W440" i="28" s="1"/>
  <c r="T408" i="28"/>
  <c r="U408" i="28" s="1"/>
  <c r="W408" i="28" s="1"/>
  <c r="T380" i="28"/>
  <c r="U380" i="28" s="1"/>
  <c r="W380" i="28" s="1"/>
  <c r="T360" i="28"/>
  <c r="U360" i="28" s="1"/>
  <c r="W360" i="28" s="1"/>
  <c r="T395" i="28"/>
  <c r="U395" i="28" s="1"/>
  <c r="W395" i="28" s="1"/>
  <c r="T271" i="28"/>
  <c r="U271" i="28" s="1"/>
  <c r="W271" i="28" s="1"/>
  <c r="T250" i="28"/>
  <c r="U250" i="28" s="1"/>
  <c r="T350" i="28"/>
  <c r="U350" i="28" s="1"/>
  <c r="W350" i="28" s="1"/>
  <c r="T314" i="28"/>
  <c r="U314" i="28" s="1"/>
  <c r="W314" i="28" s="1"/>
  <c r="T299" i="28"/>
  <c r="U299" i="28" s="1"/>
  <c r="W299" i="28" s="1"/>
  <c r="T279" i="28"/>
  <c r="U279" i="28" s="1"/>
  <c r="W279" i="28" s="1"/>
  <c r="L372" i="28"/>
  <c r="M372" i="28" s="1"/>
  <c r="T312" i="28"/>
  <c r="U312" i="28" s="1"/>
  <c r="W312" i="28" s="1"/>
  <c r="T234" i="28"/>
  <c r="U234" i="28" s="1"/>
  <c r="W234" i="28" s="1"/>
  <c r="T166" i="28"/>
  <c r="U166" i="28" s="1"/>
  <c r="W166" i="28" s="1"/>
  <c r="T524" i="28"/>
  <c r="U524" i="28" s="1"/>
  <c r="W524" i="28" s="1"/>
  <c r="T36" i="28"/>
  <c r="U36" i="28" s="1"/>
  <c r="W36" i="28" s="1"/>
  <c r="T19" i="28"/>
  <c r="U19" i="28" s="1"/>
  <c r="W19" i="28" s="1"/>
  <c r="S545" i="28"/>
  <c r="T352" i="28"/>
  <c r="U352" i="28" s="1"/>
  <c r="W352" i="28" s="1"/>
  <c r="P253" i="28"/>
  <c r="T169" i="28"/>
  <c r="U169" i="28" s="1"/>
  <c r="W169" i="28" s="1"/>
  <c r="T274" i="28"/>
  <c r="U274" i="28" s="1"/>
  <c r="W274" i="28" s="1"/>
  <c r="T199" i="28"/>
  <c r="U199" i="28" s="1"/>
  <c r="W199" i="28" s="1"/>
  <c r="T165" i="28"/>
  <c r="U165" i="28" s="1"/>
  <c r="W165" i="28" s="1"/>
  <c r="T75" i="28"/>
  <c r="U75" i="28" s="1"/>
  <c r="W75" i="28" s="1"/>
  <c r="Q284" i="28"/>
  <c r="S223" i="28"/>
  <c r="T72" i="28"/>
  <c r="U72" i="28" s="1"/>
  <c r="W72" i="28" s="1"/>
  <c r="T89" i="28"/>
  <c r="U89" i="28" s="1"/>
  <c r="W89" i="28" s="1"/>
  <c r="T58" i="28"/>
  <c r="U58" i="28" s="1"/>
  <c r="W58" i="28" s="1"/>
  <c r="T42" i="28"/>
  <c r="U42" i="28" s="1"/>
  <c r="W42" i="28" s="1"/>
  <c r="C29" i="27" l="1"/>
  <c r="BJ29" i="27" s="1"/>
  <c r="C19" i="27"/>
  <c r="BJ19" i="27" s="1"/>
  <c r="X154" i="30"/>
  <c r="X186" i="29"/>
  <c r="T186" i="29"/>
  <c r="U186" i="29" s="1"/>
  <c r="W186" i="29" s="1"/>
  <c r="Y186" i="29" s="1"/>
  <c r="T182" i="29"/>
  <c r="U182" i="29" s="1"/>
  <c r="W182" i="29" s="1"/>
  <c r="Y182" i="29" s="1"/>
  <c r="X182" i="29"/>
  <c r="T192" i="29"/>
  <c r="U192" i="29" s="1"/>
  <c r="W192" i="29" s="1"/>
  <c r="Y192" i="29" s="1"/>
  <c r="X192" i="29"/>
  <c r="T190" i="29"/>
  <c r="U190" i="29" s="1"/>
  <c r="W190" i="29" s="1"/>
  <c r="Y190" i="29" s="1"/>
  <c r="X190" i="29"/>
  <c r="T188" i="29"/>
  <c r="U188" i="29" s="1"/>
  <c r="W188" i="29" s="1"/>
  <c r="Y188" i="29" s="1"/>
  <c r="X188" i="29"/>
  <c r="T191" i="29"/>
  <c r="U191" i="29" s="1"/>
  <c r="W191" i="29" s="1"/>
  <c r="Y191" i="29" s="1"/>
  <c r="X191" i="29"/>
  <c r="T184" i="29"/>
  <c r="U184" i="29" s="1"/>
  <c r="W184" i="29" s="1"/>
  <c r="Y184" i="29" s="1"/>
  <c r="X184" i="29"/>
  <c r="X187" i="29"/>
  <c r="T187" i="29"/>
  <c r="U187" i="29" s="1"/>
  <c r="W187" i="29" s="1"/>
  <c r="Y187" i="29" s="1"/>
  <c r="X185" i="29"/>
  <c r="T185" i="29"/>
  <c r="U185" i="29" s="1"/>
  <c r="W185" i="29" s="1"/>
  <c r="Y185" i="29" s="1"/>
  <c r="X183" i="29"/>
  <c r="T183" i="29"/>
  <c r="U183" i="29" s="1"/>
  <c r="W183" i="29" s="1"/>
  <c r="Y183" i="29" s="1"/>
  <c r="X189" i="29"/>
  <c r="T189" i="29"/>
  <c r="U189" i="29" s="1"/>
  <c r="W189" i="29" s="1"/>
  <c r="Y189" i="29" s="1"/>
  <c r="X553" i="29"/>
  <c r="T553" i="29"/>
  <c r="U553" i="29" s="1"/>
  <c r="W553" i="29" s="1"/>
  <c r="Y553" i="29" s="1"/>
  <c r="T554" i="29"/>
  <c r="U554" i="29" s="1"/>
  <c r="W554" i="29" s="1"/>
  <c r="Y554" i="29" s="1"/>
  <c r="X554" i="29"/>
  <c r="T555" i="29"/>
  <c r="U555" i="29" s="1"/>
  <c r="W555" i="29" s="1"/>
  <c r="Y555" i="29" s="1"/>
  <c r="X555" i="29"/>
  <c r="T552" i="29"/>
  <c r="U552" i="29" s="1"/>
  <c r="W552" i="29" s="1"/>
  <c r="Y552" i="29" s="1"/>
  <c r="X552" i="29"/>
  <c r="T551" i="29"/>
  <c r="U551" i="29" s="1"/>
  <c r="W551" i="29" s="1"/>
  <c r="Y551" i="29" s="1"/>
  <c r="X551" i="29"/>
  <c r="T542" i="29"/>
  <c r="U542" i="29" s="1"/>
  <c r="W542" i="29" s="1"/>
  <c r="Y542" i="29" s="1"/>
  <c r="X633" i="29"/>
  <c r="T633" i="29"/>
  <c r="U633" i="29" s="1"/>
  <c r="W633" i="29" s="1"/>
  <c r="Y633" i="29" s="1"/>
  <c r="T632" i="29"/>
  <c r="U632" i="29" s="1"/>
  <c r="W632" i="29" s="1"/>
  <c r="Y632" i="29" s="1"/>
  <c r="X632" i="29"/>
  <c r="T631" i="29"/>
  <c r="U631" i="29" s="1"/>
  <c r="W631" i="29" s="1"/>
  <c r="Y631" i="29" s="1"/>
  <c r="X631" i="29"/>
  <c r="T414" i="29"/>
  <c r="U414" i="29" s="1"/>
  <c r="W414" i="29" s="1"/>
  <c r="Y414" i="29" s="1"/>
  <c r="X414" i="29"/>
  <c r="X412" i="29"/>
  <c r="T412" i="29"/>
  <c r="U412" i="29" s="1"/>
  <c r="W412" i="29" s="1"/>
  <c r="Y412" i="29" s="1"/>
  <c r="T411" i="29"/>
  <c r="U411" i="29" s="1"/>
  <c r="W411" i="29" s="1"/>
  <c r="Y411" i="29" s="1"/>
  <c r="X411" i="29"/>
  <c r="T413" i="29"/>
  <c r="U413" i="29" s="1"/>
  <c r="W413" i="29" s="1"/>
  <c r="Y413" i="29" s="1"/>
  <c r="X413" i="29"/>
  <c r="X415" i="29"/>
  <c r="T415" i="29"/>
  <c r="U415" i="29" s="1"/>
  <c r="W415" i="29" s="1"/>
  <c r="Y415" i="29" s="1"/>
  <c r="T410" i="29"/>
  <c r="U410" i="29" s="1"/>
  <c r="W410" i="29" s="1"/>
  <c r="Y410" i="29" s="1"/>
  <c r="X410" i="29"/>
  <c r="X124" i="30"/>
  <c r="T124" i="30"/>
  <c r="U124" i="30" s="1"/>
  <c r="W124" i="30" s="1"/>
  <c r="Y124" i="30" s="1"/>
  <c r="T123" i="30"/>
  <c r="U123" i="30" s="1"/>
  <c r="W123" i="30" s="1"/>
  <c r="Y123" i="30" s="1"/>
  <c r="X123" i="30"/>
  <c r="X125" i="30"/>
  <c r="T125" i="30"/>
  <c r="U125" i="30" s="1"/>
  <c r="W125" i="30" s="1"/>
  <c r="Y125" i="30" s="1"/>
  <c r="T122" i="30"/>
  <c r="U122" i="30" s="1"/>
  <c r="W122" i="30" s="1"/>
  <c r="Y122" i="30" s="1"/>
  <c r="X122" i="30"/>
  <c r="T63" i="30"/>
  <c r="U63" i="30" s="1"/>
  <c r="W63" i="30" s="1"/>
  <c r="Y63" i="30" s="1"/>
  <c r="X63" i="30"/>
  <c r="T759" i="29"/>
  <c r="U759" i="29" s="1"/>
  <c r="W759" i="29" s="1"/>
  <c r="Y759" i="29" s="1"/>
  <c r="X759" i="29"/>
  <c r="X543" i="29"/>
  <c r="T543" i="29"/>
  <c r="U543" i="29" s="1"/>
  <c r="W543" i="29" s="1"/>
  <c r="Y543" i="29" s="1"/>
  <c r="X544" i="29"/>
  <c r="T544" i="29"/>
  <c r="U544" i="29" s="1"/>
  <c r="W544" i="29" s="1"/>
  <c r="Y544" i="29" s="1"/>
  <c r="T628" i="29"/>
  <c r="U628" i="29" s="1"/>
  <c r="W628" i="29" s="1"/>
  <c r="Y628" i="29" s="1"/>
  <c r="X628" i="29"/>
  <c r="X550" i="29"/>
  <c r="T550" i="29"/>
  <c r="U550" i="29" s="1"/>
  <c r="W550" i="29" s="1"/>
  <c r="Y550" i="29" s="1"/>
  <c r="T549" i="29"/>
  <c r="U549" i="29" s="1"/>
  <c r="W549" i="29" s="1"/>
  <c r="Y549" i="29" s="1"/>
  <c r="X549" i="29"/>
  <c r="X629" i="29"/>
  <c r="T629" i="29"/>
  <c r="U629" i="29" s="1"/>
  <c r="W629" i="29" s="1"/>
  <c r="Y629" i="29" s="1"/>
  <c r="T718" i="29"/>
  <c r="U718" i="29" s="1"/>
  <c r="W718" i="29" s="1"/>
  <c r="T761" i="29"/>
  <c r="U761" i="29" s="1"/>
  <c r="W761" i="29" s="1"/>
  <c r="Y761" i="29" s="1"/>
  <c r="X761" i="29"/>
  <c r="X712" i="29"/>
  <c r="T712" i="29"/>
  <c r="U712" i="29" s="1"/>
  <c r="W712" i="29" s="1"/>
  <c r="Y712" i="29" s="1"/>
  <c r="X244" i="29"/>
  <c r="T244" i="29"/>
  <c r="U244" i="29" s="1"/>
  <c r="W244" i="29" s="1"/>
  <c r="Y244" i="29" s="1"/>
  <c r="X246" i="29"/>
  <c r="T246" i="29"/>
  <c r="U246" i="29" s="1"/>
  <c r="W246" i="29" s="1"/>
  <c r="Y246" i="29" s="1"/>
  <c r="X627" i="29"/>
  <c r="T627" i="29"/>
  <c r="U627" i="29" s="1"/>
  <c r="W627" i="29" s="1"/>
  <c r="Y627" i="29" s="1"/>
  <c r="T630" i="29"/>
  <c r="U630" i="29" s="1"/>
  <c r="W630" i="29" s="1"/>
  <c r="Y630" i="29" s="1"/>
  <c r="X630" i="29"/>
  <c r="X245" i="29"/>
  <c r="T245" i="29"/>
  <c r="U245" i="29" s="1"/>
  <c r="W245" i="29" s="1"/>
  <c r="Y245" i="29" s="1"/>
  <c r="X546" i="29"/>
  <c r="T546" i="29"/>
  <c r="U546" i="29" s="1"/>
  <c r="W546" i="29" s="1"/>
  <c r="Y546" i="29" s="1"/>
  <c r="X545" i="29"/>
  <c r="T545" i="29"/>
  <c r="U545" i="29" s="1"/>
  <c r="W545" i="29" s="1"/>
  <c r="Y545" i="29" s="1"/>
  <c r="T547" i="29"/>
  <c r="U547" i="29" s="1"/>
  <c r="W547" i="29" s="1"/>
  <c r="Y547" i="29" s="1"/>
  <c r="X547" i="29"/>
  <c r="X760" i="29"/>
  <c r="T760" i="29"/>
  <c r="U760" i="29" s="1"/>
  <c r="W760" i="29" s="1"/>
  <c r="Y760" i="29" s="1"/>
  <c r="X713" i="29"/>
  <c r="T713" i="29"/>
  <c r="U713" i="29" s="1"/>
  <c r="W713" i="29" s="1"/>
  <c r="Y713" i="29" s="1"/>
  <c r="X714" i="29"/>
  <c r="T714" i="29"/>
  <c r="U714" i="29" s="1"/>
  <c r="W714" i="29" s="1"/>
  <c r="Y714" i="29" s="1"/>
  <c r="X548" i="29"/>
  <c r="T548" i="29"/>
  <c r="U548" i="29" s="1"/>
  <c r="W548" i="29" s="1"/>
  <c r="Y548" i="29" s="1"/>
  <c r="T60" i="30"/>
  <c r="U60" i="30" s="1"/>
  <c r="W60" i="30" s="1"/>
  <c r="Y60" i="30" s="1"/>
  <c r="T61" i="30"/>
  <c r="U61" i="30" s="1"/>
  <c r="W61" i="30" s="1"/>
  <c r="Y61" i="30" s="1"/>
  <c r="X61" i="30"/>
  <c r="X62" i="30"/>
  <c r="T62" i="30"/>
  <c r="U62" i="30" s="1"/>
  <c r="W62" i="30" s="1"/>
  <c r="Y62" i="30" s="1"/>
  <c r="X121" i="30"/>
  <c r="T121" i="30"/>
  <c r="U121" i="30" s="1"/>
  <c r="W121" i="30" s="1"/>
  <c r="Y121" i="30" s="1"/>
  <c r="T119" i="30"/>
  <c r="U119" i="30" s="1"/>
  <c r="W119" i="30" s="1"/>
  <c r="Y119" i="30" s="1"/>
  <c r="X119" i="30"/>
  <c r="X120" i="30"/>
  <c r="T120" i="30"/>
  <c r="U120" i="30" s="1"/>
  <c r="W120" i="30" s="1"/>
  <c r="Y120" i="30" s="1"/>
  <c r="T84" i="29"/>
  <c r="U84" i="29" s="1"/>
  <c r="W84" i="29" s="1"/>
  <c r="Y84" i="29" s="1"/>
  <c r="AA84" i="29" s="1"/>
  <c r="T116" i="30"/>
  <c r="U116" i="30" s="1"/>
  <c r="W116" i="30" s="1"/>
  <c r="T117" i="30"/>
  <c r="U117" i="30" s="1"/>
  <c r="W117" i="30" s="1"/>
  <c r="T37" i="30"/>
  <c r="U37" i="30" s="1"/>
  <c r="W37" i="30" s="1"/>
  <c r="T114" i="30"/>
  <c r="U114" i="30" s="1"/>
  <c r="W114" i="30" s="1"/>
  <c r="T78" i="29"/>
  <c r="U78" i="29" s="1"/>
  <c r="W78" i="29" s="1"/>
  <c r="Y78" i="29" s="1"/>
  <c r="AA78" i="29" s="1"/>
  <c r="T83" i="29"/>
  <c r="U83" i="29" s="1"/>
  <c r="W83" i="29" s="1"/>
  <c r="Y83" i="29" s="1"/>
  <c r="AA83" i="29" s="1"/>
  <c r="T81" i="29"/>
  <c r="U81" i="29" s="1"/>
  <c r="W81" i="29" s="1"/>
  <c r="Y81" i="29" s="1"/>
  <c r="AA81" i="29" s="1"/>
  <c r="T85" i="29"/>
  <c r="U85" i="29" s="1"/>
  <c r="W85" i="29" s="1"/>
  <c r="Y85" i="29" s="1"/>
  <c r="AA85" i="29" s="1"/>
  <c r="T82" i="29"/>
  <c r="U82" i="29" s="1"/>
  <c r="W82" i="29" s="1"/>
  <c r="Y82" i="29" s="1"/>
  <c r="AA82" i="29" s="1"/>
  <c r="T77" i="29"/>
  <c r="U77" i="29" s="1"/>
  <c r="W77" i="29" s="1"/>
  <c r="Y77" i="29" s="1"/>
  <c r="AA77" i="29" s="1"/>
  <c r="T79" i="29"/>
  <c r="U79" i="29" s="1"/>
  <c r="W79" i="29" s="1"/>
  <c r="Y79" i="29" s="1"/>
  <c r="AA79" i="29" s="1"/>
  <c r="Z80" i="29"/>
  <c r="Z83" i="29"/>
  <c r="Z78" i="29"/>
  <c r="Z84" i="29"/>
  <c r="Z79" i="29"/>
  <c r="Z82" i="29"/>
  <c r="Z81" i="29"/>
  <c r="Z77" i="29"/>
  <c r="Z85" i="29"/>
  <c r="T111" i="30"/>
  <c r="U111" i="30" s="1"/>
  <c r="W111" i="30" s="1"/>
  <c r="Y111" i="30" s="1"/>
  <c r="X111" i="30"/>
  <c r="T139" i="30"/>
  <c r="U139" i="30" s="1"/>
  <c r="W139" i="30" s="1"/>
  <c r="Y139" i="30" s="1"/>
  <c r="X139" i="30"/>
  <c r="T146" i="30"/>
  <c r="U146" i="30" s="1"/>
  <c r="W146" i="30" s="1"/>
  <c r="Y146" i="30" s="1"/>
  <c r="X146" i="30"/>
  <c r="T20" i="30"/>
  <c r="U20" i="30" s="1"/>
  <c r="W20" i="30" s="1"/>
  <c r="Y20" i="30" s="1"/>
  <c r="AA20" i="30" s="1"/>
  <c r="X20" i="30"/>
  <c r="Z138" i="30"/>
  <c r="T27" i="30"/>
  <c r="U27" i="30" s="1"/>
  <c r="W27" i="30" s="1"/>
  <c r="Y27" i="30" s="1"/>
  <c r="AA27" i="30" s="1"/>
  <c r="X27" i="30"/>
  <c r="T18" i="30"/>
  <c r="U18" i="30" s="1"/>
  <c r="W18" i="30" s="1"/>
  <c r="Y18" i="30" s="1"/>
  <c r="AA18" i="30" s="1"/>
  <c r="X18" i="30"/>
  <c r="T88" i="30"/>
  <c r="U88" i="30" s="1"/>
  <c r="W88" i="30" s="1"/>
  <c r="Y88" i="30" s="1"/>
  <c r="X88" i="30"/>
  <c r="Z53" i="30"/>
  <c r="T644" i="29"/>
  <c r="U644" i="29" s="1"/>
  <c r="W644" i="29" s="1"/>
  <c r="Y644" i="29" s="1"/>
  <c r="X644" i="29"/>
  <c r="T515" i="29"/>
  <c r="U515" i="29" s="1"/>
  <c r="W515" i="29" s="1"/>
  <c r="Y515" i="29" s="1"/>
  <c r="X515" i="29"/>
  <c r="T651" i="29"/>
  <c r="U651" i="29" s="1"/>
  <c r="W651" i="29" s="1"/>
  <c r="Y651" i="29" s="1"/>
  <c r="X651" i="29"/>
  <c r="T522" i="29"/>
  <c r="U522" i="29" s="1"/>
  <c r="W522" i="29" s="1"/>
  <c r="Y522" i="29" s="1"/>
  <c r="X522" i="29"/>
  <c r="T657" i="29"/>
  <c r="U657" i="29" s="1"/>
  <c r="W657" i="29" s="1"/>
  <c r="Y657" i="29" s="1"/>
  <c r="X657" i="29"/>
  <c r="T673" i="29"/>
  <c r="U673" i="29" s="1"/>
  <c r="W673" i="29" s="1"/>
  <c r="Y673" i="29" s="1"/>
  <c r="X673" i="29"/>
  <c r="T285" i="29"/>
  <c r="U285" i="29" s="1"/>
  <c r="W285" i="29" s="1"/>
  <c r="Y285" i="29" s="1"/>
  <c r="X285" i="29"/>
  <c r="T706" i="29"/>
  <c r="U706" i="29" s="1"/>
  <c r="W706" i="29" s="1"/>
  <c r="Y706" i="29" s="1"/>
  <c r="X706" i="29"/>
  <c r="T660" i="29"/>
  <c r="U660" i="29" s="1"/>
  <c r="W660" i="29" s="1"/>
  <c r="Y660" i="29" s="1"/>
  <c r="X660" i="29"/>
  <c r="T511" i="29"/>
  <c r="U511" i="29" s="1"/>
  <c r="W511" i="29" s="1"/>
  <c r="Y511" i="29" s="1"/>
  <c r="X511" i="29"/>
  <c r="T682" i="29"/>
  <c r="U682" i="29" s="1"/>
  <c r="W682" i="29" s="1"/>
  <c r="Y682" i="29" s="1"/>
  <c r="X682" i="29"/>
  <c r="T680" i="29"/>
  <c r="U680" i="29" s="1"/>
  <c r="W680" i="29" s="1"/>
  <c r="Y680" i="29" s="1"/>
  <c r="X680" i="29"/>
  <c r="T665" i="29"/>
  <c r="U665" i="29" s="1"/>
  <c r="W665" i="29" s="1"/>
  <c r="Y665" i="29" s="1"/>
  <c r="X665" i="29"/>
  <c r="T681" i="29"/>
  <c r="U681" i="29" s="1"/>
  <c r="W681" i="29" s="1"/>
  <c r="Y681" i="29" s="1"/>
  <c r="X681" i="29"/>
  <c r="T537" i="29"/>
  <c r="U537" i="29" s="1"/>
  <c r="W537" i="29" s="1"/>
  <c r="Y537" i="29" s="1"/>
  <c r="X537" i="29"/>
  <c r="T41" i="29"/>
  <c r="U41" i="29" s="1"/>
  <c r="W41" i="29" s="1"/>
  <c r="Y41" i="29" s="1"/>
  <c r="X41" i="29"/>
  <c r="T745" i="29"/>
  <c r="U745" i="29" s="1"/>
  <c r="W745" i="29" s="1"/>
  <c r="Y745" i="29" s="1"/>
  <c r="X745" i="29"/>
  <c r="T695" i="29"/>
  <c r="U695" i="29" s="1"/>
  <c r="W695" i="29" s="1"/>
  <c r="Y695" i="29" s="1"/>
  <c r="X695" i="29"/>
  <c r="T753" i="29"/>
  <c r="U753" i="29" s="1"/>
  <c r="W753" i="29" s="1"/>
  <c r="Y753" i="29" s="1"/>
  <c r="X753" i="29"/>
  <c r="T645" i="29"/>
  <c r="U645" i="29" s="1"/>
  <c r="W645" i="29" s="1"/>
  <c r="Y645" i="29" s="1"/>
  <c r="X645" i="29"/>
  <c r="T591" i="29"/>
  <c r="U591" i="29" s="1"/>
  <c r="W591" i="29" s="1"/>
  <c r="Y591" i="29" s="1"/>
  <c r="X591" i="29"/>
  <c r="T751" i="29"/>
  <c r="U751" i="29" s="1"/>
  <c r="W751" i="29" s="1"/>
  <c r="Y751" i="29" s="1"/>
  <c r="X751" i="29"/>
  <c r="T601" i="29"/>
  <c r="U601" i="29" s="1"/>
  <c r="W601" i="29" s="1"/>
  <c r="Y601" i="29" s="1"/>
  <c r="X601" i="29"/>
  <c r="T618" i="29"/>
  <c r="U618" i="29" s="1"/>
  <c r="W618" i="29" s="1"/>
  <c r="Y618" i="29" s="1"/>
  <c r="X618" i="29"/>
  <c r="T520" i="29"/>
  <c r="U520" i="29" s="1"/>
  <c r="W520" i="29" s="1"/>
  <c r="Y520" i="29" s="1"/>
  <c r="X520" i="29"/>
  <c r="T500" i="29"/>
  <c r="U500" i="29" s="1"/>
  <c r="W500" i="29" s="1"/>
  <c r="Y500" i="29" s="1"/>
  <c r="X500" i="29"/>
  <c r="T573" i="29"/>
  <c r="U573" i="29" s="1"/>
  <c r="W573" i="29" s="1"/>
  <c r="Y573" i="29" s="1"/>
  <c r="X573" i="29"/>
  <c r="T529" i="29"/>
  <c r="U529" i="29" s="1"/>
  <c r="W529" i="29" s="1"/>
  <c r="Y529" i="29" s="1"/>
  <c r="X529" i="29"/>
  <c r="T465" i="29"/>
  <c r="U465" i="29" s="1"/>
  <c r="W465" i="29" s="1"/>
  <c r="Y465" i="29" s="1"/>
  <c r="X465" i="29"/>
  <c r="T345" i="29"/>
  <c r="U345" i="29" s="1"/>
  <c r="W345" i="29" s="1"/>
  <c r="Y345" i="29" s="1"/>
  <c r="X345" i="29"/>
  <c r="T519" i="29"/>
  <c r="U519" i="29" s="1"/>
  <c r="W519" i="29" s="1"/>
  <c r="Y519" i="29" s="1"/>
  <c r="X519" i="29"/>
  <c r="T499" i="29"/>
  <c r="U499" i="29" s="1"/>
  <c r="W499" i="29" s="1"/>
  <c r="Y499" i="29" s="1"/>
  <c r="X499" i="29"/>
  <c r="Z498" i="29"/>
  <c r="T458" i="29"/>
  <c r="U458" i="29" s="1"/>
  <c r="W458" i="29" s="1"/>
  <c r="Y458" i="29" s="1"/>
  <c r="X458" i="29"/>
  <c r="T331" i="29"/>
  <c r="U331" i="29" s="1"/>
  <c r="W331" i="29" s="1"/>
  <c r="Y331" i="29" s="1"/>
  <c r="X331" i="29"/>
  <c r="T604" i="29"/>
  <c r="U604" i="29" s="1"/>
  <c r="W604" i="29" s="1"/>
  <c r="Y604" i="29" s="1"/>
  <c r="X604" i="29"/>
  <c r="T281" i="29"/>
  <c r="U281" i="29" s="1"/>
  <c r="W281" i="29" s="1"/>
  <c r="Y281" i="29" s="1"/>
  <c r="X281" i="29"/>
  <c r="T492" i="29"/>
  <c r="U492" i="29" s="1"/>
  <c r="W492" i="29" s="1"/>
  <c r="Y492" i="29" s="1"/>
  <c r="X492" i="29"/>
  <c r="T450" i="29"/>
  <c r="U450" i="29" s="1"/>
  <c r="W450" i="29" s="1"/>
  <c r="Y450" i="29" s="1"/>
  <c r="X450" i="29"/>
  <c r="T318" i="29"/>
  <c r="U318" i="29" s="1"/>
  <c r="W318" i="29" s="1"/>
  <c r="Y318" i="29" s="1"/>
  <c r="X318" i="29"/>
  <c r="T656" i="29"/>
  <c r="U656" i="29" s="1"/>
  <c r="W656" i="29" s="1"/>
  <c r="Y656" i="29" s="1"/>
  <c r="X656" i="29"/>
  <c r="T287" i="29"/>
  <c r="U287" i="29" s="1"/>
  <c r="W287" i="29" s="1"/>
  <c r="Y287" i="29" s="1"/>
  <c r="X287" i="29"/>
  <c r="T123" i="29"/>
  <c r="U123" i="29" s="1"/>
  <c r="W123" i="29" s="1"/>
  <c r="Y123" i="29" s="1"/>
  <c r="X123" i="29"/>
  <c r="T373" i="29"/>
  <c r="U373" i="29" s="1"/>
  <c r="W373" i="29" s="1"/>
  <c r="Y373" i="29" s="1"/>
  <c r="X373" i="29"/>
  <c r="T257" i="29"/>
  <c r="U257" i="29" s="1"/>
  <c r="W257" i="29" s="1"/>
  <c r="Y257" i="29" s="1"/>
  <c r="X257" i="29"/>
  <c r="T165" i="29"/>
  <c r="U165" i="29" s="1"/>
  <c r="W165" i="29" s="1"/>
  <c r="Y165" i="29" s="1"/>
  <c r="X165" i="29"/>
  <c r="T119" i="29"/>
  <c r="U119" i="29" s="1"/>
  <c r="W119" i="29" s="1"/>
  <c r="Y119" i="29" s="1"/>
  <c r="X119" i="29"/>
  <c r="T232" i="29"/>
  <c r="U232" i="29" s="1"/>
  <c r="W232" i="29" s="1"/>
  <c r="Y232" i="29" s="1"/>
  <c r="X232" i="29"/>
  <c r="T326" i="29"/>
  <c r="U326" i="29" s="1"/>
  <c r="W326" i="29" s="1"/>
  <c r="Y326" i="29" s="1"/>
  <c r="X326" i="29"/>
  <c r="T341" i="29"/>
  <c r="U341" i="29" s="1"/>
  <c r="W341" i="29" s="1"/>
  <c r="Y341" i="29" s="1"/>
  <c r="X341" i="29"/>
  <c r="T161" i="29"/>
  <c r="U161" i="29" s="1"/>
  <c r="W161" i="29" s="1"/>
  <c r="Y161" i="29" s="1"/>
  <c r="X161" i="29"/>
  <c r="T70" i="29"/>
  <c r="U70" i="29" s="1"/>
  <c r="W70" i="29" s="1"/>
  <c r="Y70" i="29" s="1"/>
  <c r="X70" i="29"/>
  <c r="T470" i="29"/>
  <c r="U470" i="29" s="1"/>
  <c r="W470" i="29" s="1"/>
  <c r="Y470" i="29" s="1"/>
  <c r="X470" i="29"/>
  <c r="T237" i="29"/>
  <c r="U237" i="29" s="1"/>
  <c r="W237" i="29" s="1"/>
  <c r="Y237" i="29" s="1"/>
  <c r="X237" i="29"/>
  <c r="T322" i="29"/>
  <c r="U322" i="29" s="1"/>
  <c r="W322" i="29" s="1"/>
  <c r="Y322" i="29" s="1"/>
  <c r="X322" i="29"/>
  <c r="T101" i="29"/>
  <c r="U101" i="29" s="1"/>
  <c r="W101" i="29" s="1"/>
  <c r="Y101" i="29" s="1"/>
  <c r="X101" i="29"/>
  <c r="T172" i="29"/>
  <c r="U172" i="29" s="1"/>
  <c r="W172" i="29" s="1"/>
  <c r="Y172" i="29" s="1"/>
  <c r="X172" i="29"/>
  <c r="T51" i="29"/>
  <c r="U51" i="29" s="1"/>
  <c r="W51" i="29" s="1"/>
  <c r="Y51" i="29" s="1"/>
  <c r="X51" i="29"/>
  <c r="AC203" i="29"/>
  <c r="Z203" i="29"/>
  <c r="T127" i="29"/>
  <c r="U127" i="29" s="1"/>
  <c r="W127" i="29" s="1"/>
  <c r="Y127" i="29" s="1"/>
  <c r="X127" i="29"/>
  <c r="T64" i="29"/>
  <c r="U64" i="29" s="1"/>
  <c r="W64" i="29" s="1"/>
  <c r="Y64" i="29" s="1"/>
  <c r="X64" i="29"/>
  <c r="T168" i="29"/>
  <c r="U168" i="29" s="1"/>
  <c r="W168" i="29" s="1"/>
  <c r="Y168" i="29" s="1"/>
  <c r="X168" i="29"/>
  <c r="T124" i="29"/>
  <c r="U124" i="29" s="1"/>
  <c r="W124" i="29" s="1"/>
  <c r="Y124" i="29" s="1"/>
  <c r="X124" i="29"/>
  <c r="T30" i="29"/>
  <c r="U30" i="29" s="1"/>
  <c r="W30" i="29" s="1"/>
  <c r="Y30" i="29" s="1"/>
  <c r="X30" i="29"/>
  <c r="T62" i="29"/>
  <c r="U62" i="29" s="1"/>
  <c r="W62" i="29" s="1"/>
  <c r="Y62" i="29" s="1"/>
  <c r="X62" i="29"/>
  <c r="T108" i="29"/>
  <c r="U108" i="29" s="1"/>
  <c r="W108" i="29" s="1"/>
  <c r="Y108" i="29" s="1"/>
  <c r="X108" i="29"/>
  <c r="T219" i="29"/>
  <c r="U219" i="29" s="1"/>
  <c r="W219" i="29" s="1"/>
  <c r="Y219" i="29" s="1"/>
  <c r="X219" i="29"/>
  <c r="T210" i="29"/>
  <c r="U210" i="29" s="1"/>
  <c r="W210" i="29" s="1"/>
  <c r="Y210" i="29" s="1"/>
  <c r="X210" i="29"/>
  <c r="T205" i="29"/>
  <c r="U205" i="29" s="1"/>
  <c r="W205" i="29" s="1"/>
  <c r="Y205" i="29" s="1"/>
  <c r="X205" i="29"/>
  <c r="T164" i="29"/>
  <c r="U164" i="29" s="1"/>
  <c r="W164" i="29" s="1"/>
  <c r="Y164" i="29" s="1"/>
  <c r="X164" i="29"/>
  <c r="Z262" i="29"/>
  <c r="Z44" i="30"/>
  <c r="T101" i="30"/>
  <c r="U101" i="30" s="1"/>
  <c r="W101" i="30" s="1"/>
  <c r="Y101" i="30" s="1"/>
  <c r="X101" i="30"/>
  <c r="T46" i="30"/>
  <c r="U46" i="30" s="1"/>
  <c r="W46" i="30" s="1"/>
  <c r="Y46" i="30" s="1"/>
  <c r="X46" i="30"/>
  <c r="T73" i="30"/>
  <c r="U73" i="30" s="1"/>
  <c r="W73" i="30" s="1"/>
  <c r="Y73" i="30" s="1"/>
  <c r="X73" i="30"/>
  <c r="T109" i="30"/>
  <c r="U109" i="30" s="1"/>
  <c r="W109" i="30" s="1"/>
  <c r="Y109" i="30" s="1"/>
  <c r="X109" i="30"/>
  <c r="T134" i="30"/>
  <c r="U134" i="30" s="1"/>
  <c r="W134" i="30" s="1"/>
  <c r="Y134" i="30" s="1"/>
  <c r="X134" i="30"/>
  <c r="T137" i="30"/>
  <c r="U137" i="30" s="1"/>
  <c r="W137" i="30" s="1"/>
  <c r="Y137" i="30" s="1"/>
  <c r="X137" i="30"/>
  <c r="T102" i="30"/>
  <c r="U102" i="30" s="1"/>
  <c r="W102" i="30" s="1"/>
  <c r="Y102" i="30" s="1"/>
  <c r="X102" i="30"/>
  <c r="T86" i="30"/>
  <c r="U86" i="30" s="1"/>
  <c r="W86" i="30" s="1"/>
  <c r="Y86" i="30" s="1"/>
  <c r="X86" i="30"/>
  <c r="T17" i="30"/>
  <c r="U17" i="30" s="1"/>
  <c r="W17" i="30" s="1"/>
  <c r="Y17" i="30" s="1"/>
  <c r="AA17" i="30" s="1"/>
  <c r="X17" i="30"/>
  <c r="T77" i="30"/>
  <c r="U77" i="30" s="1"/>
  <c r="W77" i="30" s="1"/>
  <c r="Y77" i="30" s="1"/>
  <c r="X77" i="30"/>
  <c r="T748" i="29"/>
  <c r="U748" i="29" s="1"/>
  <c r="W748" i="29" s="1"/>
  <c r="Y748" i="29" s="1"/>
  <c r="X748" i="29"/>
  <c r="T369" i="29"/>
  <c r="U369" i="29" s="1"/>
  <c r="W369" i="29" s="1"/>
  <c r="Y369" i="29" s="1"/>
  <c r="X369" i="29"/>
  <c r="T692" i="29"/>
  <c r="U692" i="29" s="1"/>
  <c r="W692" i="29" s="1"/>
  <c r="Y692" i="29" s="1"/>
  <c r="X692" i="29"/>
  <c r="T621" i="29"/>
  <c r="U621" i="29" s="1"/>
  <c r="W621" i="29" s="1"/>
  <c r="Y621" i="29" s="1"/>
  <c r="X621" i="29"/>
  <c r="T757" i="29"/>
  <c r="U757" i="29" s="1"/>
  <c r="W757" i="29" s="1"/>
  <c r="Y757" i="29" s="1"/>
  <c r="X757" i="29"/>
  <c r="T614" i="29"/>
  <c r="U614" i="29" s="1"/>
  <c r="W614" i="29" s="1"/>
  <c r="Y614" i="29" s="1"/>
  <c r="X614" i="29"/>
  <c r="T705" i="29"/>
  <c r="U705" i="29" s="1"/>
  <c r="W705" i="29" s="1"/>
  <c r="Y705" i="29" s="1"/>
  <c r="X705" i="29"/>
  <c r="T730" i="29"/>
  <c r="U730" i="29" s="1"/>
  <c r="W730" i="29" s="1"/>
  <c r="Y730" i="29" s="1"/>
  <c r="X730" i="29"/>
  <c r="T774" i="29"/>
  <c r="U774" i="29" s="1"/>
  <c r="W774" i="29" s="1"/>
  <c r="Y774" i="29" s="1"/>
  <c r="X774" i="29"/>
  <c r="T620" i="29"/>
  <c r="U620" i="29" s="1"/>
  <c r="W620" i="29" s="1"/>
  <c r="Y620" i="29" s="1"/>
  <c r="X620" i="29"/>
  <c r="T494" i="29"/>
  <c r="U494" i="29" s="1"/>
  <c r="W494" i="29" s="1"/>
  <c r="Y494" i="29" s="1"/>
  <c r="X494" i="29"/>
  <c r="T671" i="29"/>
  <c r="U671" i="29" s="1"/>
  <c r="W671" i="29" s="1"/>
  <c r="Y671" i="29" s="1"/>
  <c r="X671" i="29"/>
  <c r="T688" i="29"/>
  <c r="U688" i="29" s="1"/>
  <c r="W688" i="29" s="1"/>
  <c r="Y688" i="29" s="1"/>
  <c r="X688" i="29"/>
  <c r="T640" i="29"/>
  <c r="U640" i="29" s="1"/>
  <c r="W640" i="29" s="1"/>
  <c r="Y640" i="29" s="1"/>
  <c r="X640" i="29"/>
  <c r="T587" i="29"/>
  <c r="U587" i="29" s="1"/>
  <c r="W587" i="29" s="1"/>
  <c r="Y587" i="29" s="1"/>
  <c r="X587" i="29"/>
  <c r="T539" i="29"/>
  <c r="U539" i="29" s="1"/>
  <c r="W539" i="29" s="1"/>
  <c r="Y539" i="29" s="1"/>
  <c r="X539" i="29"/>
  <c r="T578" i="29"/>
  <c r="U578" i="29" s="1"/>
  <c r="W578" i="29" s="1"/>
  <c r="Y578" i="29" s="1"/>
  <c r="X578" i="29"/>
  <c r="T437" i="29"/>
  <c r="U437" i="29" s="1"/>
  <c r="W437" i="29" s="1"/>
  <c r="Y437" i="29" s="1"/>
  <c r="X437" i="29"/>
  <c r="T293" i="29"/>
  <c r="U293" i="29" s="1"/>
  <c r="W293" i="29" s="1"/>
  <c r="Y293" i="29" s="1"/>
  <c r="X293" i="29"/>
  <c r="T457" i="29"/>
  <c r="U457" i="29" s="1"/>
  <c r="W457" i="29" s="1"/>
  <c r="Y457" i="29" s="1"/>
  <c r="X457" i="29"/>
  <c r="Z420" i="29"/>
  <c r="T641" i="29"/>
  <c r="U641" i="29" s="1"/>
  <c r="W641" i="29" s="1"/>
  <c r="Y641" i="29" s="1"/>
  <c r="X641" i="29"/>
  <c r="T312" i="29"/>
  <c r="U312" i="29" s="1"/>
  <c r="W312" i="29" s="1"/>
  <c r="Y312" i="29" s="1"/>
  <c r="X312" i="29"/>
  <c r="T367" i="29"/>
  <c r="U367" i="29" s="1"/>
  <c r="W367" i="29" s="1"/>
  <c r="Y367" i="29" s="1"/>
  <c r="X367" i="29"/>
  <c r="T305" i="29"/>
  <c r="U305" i="29" s="1"/>
  <c r="W305" i="29" s="1"/>
  <c r="Y305" i="29" s="1"/>
  <c r="X305" i="29"/>
  <c r="T382" i="29"/>
  <c r="U382" i="29" s="1"/>
  <c r="W382" i="29" s="1"/>
  <c r="Y382" i="29" s="1"/>
  <c r="X382" i="29"/>
  <c r="T319" i="29"/>
  <c r="U319" i="29" s="1"/>
  <c r="W319" i="29" s="1"/>
  <c r="Y319" i="29" s="1"/>
  <c r="X319" i="29"/>
  <c r="T130" i="29"/>
  <c r="U130" i="29" s="1"/>
  <c r="W130" i="29" s="1"/>
  <c r="Y130" i="29" s="1"/>
  <c r="X130" i="29"/>
  <c r="T169" i="29"/>
  <c r="U169" i="29" s="1"/>
  <c r="W169" i="29" s="1"/>
  <c r="Y169" i="29" s="1"/>
  <c r="X169" i="29"/>
  <c r="T371" i="29"/>
  <c r="U371" i="29" s="1"/>
  <c r="W371" i="29" s="1"/>
  <c r="Y371" i="29" s="1"/>
  <c r="X371" i="29"/>
  <c r="T394" i="29"/>
  <c r="U394" i="29" s="1"/>
  <c r="W394" i="29" s="1"/>
  <c r="Y394" i="29" s="1"/>
  <c r="X394" i="29"/>
  <c r="T104" i="29"/>
  <c r="U104" i="29" s="1"/>
  <c r="W104" i="29" s="1"/>
  <c r="Y104" i="29" s="1"/>
  <c r="X104" i="29"/>
  <c r="T131" i="29"/>
  <c r="U131" i="29" s="1"/>
  <c r="W131" i="29" s="1"/>
  <c r="Y131" i="29" s="1"/>
  <c r="X131" i="29"/>
  <c r="T67" i="29"/>
  <c r="U67" i="29" s="1"/>
  <c r="W67" i="29" s="1"/>
  <c r="Y67" i="29" s="1"/>
  <c r="X67" i="29"/>
  <c r="T679" i="29"/>
  <c r="U679" i="29" s="1"/>
  <c r="W679" i="29" s="1"/>
  <c r="Y679" i="29" s="1"/>
  <c r="X679" i="29"/>
  <c r="T327" i="29"/>
  <c r="U327" i="29" s="1"/>
  <c r="W327" i="29" s="1"/>
  <c r="Y327" i="29" s="1"/>
  <c r="X327" i="29"/>
  <c r="T348" i="29"/>
  <c r="U348" i="29" s="1"/>
  <c r="W348" i="29" s="1"/>
  <c r="Y348" i="29" s="1"/>
  <c r="X348" i="29"/>
  <c r="T226" i="29"/>
  <c r="U226" i="29" s="1"/>
  <c r="W226" i="29" s="1"/>
  <c r="Y226" i="29" s="1"/>
  <c r="X226" i="29"/>
  <c r="T147" i="29"/>
  <c r="U147" i="29" s="1"/>
  <c r="W147" i="29" s="1"/>
  <c r="Y147" i="29" s="1"/>
  <c r="X147" i="29"/>
  <c r="T151" i="29"/>
  <c r="U151" i="29" s="1"/>
  <c r="W151" i="29" s="1"/>
  <c r="Y151" i="29" s="1"/>
  <c r="X151" i="29"/>
  <c r="T25" i="29"/>
  <c r="U25" i="29" s="1"/>
  <c r="W25" i="29" s="1"/>
  <c r="Y25" i="29" s="1"/>
  <c r="X25" i="29"/>
  <c r="T155" i="29"/>
  <c r="U155" i="29" s="1"/>
  <c r="W155" i="29" s="1"/>
  <c r="Y155" i="29" s="1"/>
  <c r="X155" i="29"/>
  <c r="T102" i="29"/>
  <c r="U102" i="29" s="1"/>
  <c r="W102" i="29" s="1"/>
  <c r="Y102" i="29" s="1"/>
  <c r="X102" i="29"/>
  <c r="T35" i="29"/>
  <c r="U35" i="29" s="1"/>
  <c r="W35" i="29" s="1"/>
  <c r="Y35" i="29" s="1"/>
  <c r="X35" i="29"/>
  <c r="T302" i="29"/>
  <c r="U302" i="29" s="1"/>
  <c r="W302" i="29" s="1"/>
  <c r="Y302" i="29" s="1"/>
  <c r="X302" i="29"/>
  <c r="T72" i="29"/>
  <c r="U72" i="29" s="1"/>
  <c r="W72" i="29" s="1"/>
  <c r="Y72" i="29" s="1"/>
  <c r="X72" i="29"/>
  <c r="T60" i="29"/>
  <c r="U60" i="29" s="1"/>
  <c r="W60" i="29" s="1"/>
  <c r="Y60" i="29" s="1"/>
  <c r="X60" i="29"/>
  <c r="T143" i="29"/>
  <c r="U143" i="29" s="1"/>
  <c r="W143" i="29" s="1"/>
  <c r="Y143" i="29" s="1"/>
  <c r="X143" i="29"/>
  <c r="T275" i="29"/>
  <c r="U275" i="29" s="1"/>
  <c r="W275" i="29" s="1"/>
  <c r="Y275" i="29" s="1"/>
  <c r="X275" i="29"/>
  <c r="T139" i="29"/>
  <c r="U139" i="29" s="1"/>
  <c r="W139" i="29" s="1"/>
  <c r="Y139" i="29" s="1"/>
  <c r="X139" i="29"/>
  <c r="T137" i="29"/>
  <c r="U137" i="29" s="1"/>
  <c r="W137" i="29" s="1"/>
  <c r="Y137" i="29" s="1"/>
  <c r="X137" i="29"/>
  <c r="T109" i="29"/>
  <c r="U109" i="29" s="1"/>
  <c r="W109" i="29" s="1"/>
  <c r="Y109" i="29" s="1"/>
  <c r="X109" i="29"/>
  <c r="T356" i="29"/>
  <c r="U356" i="29" s="1"/>
  <c r="W356" i="29" s="1"/>
  <c r="Y356" i="29" s="1"/>
  <c r="X356" i="29"/>
  <c r="T53" i="29"/>
  <c r="U53" i="29" s="1"/>
  <c r="W53" i="29" s="1"/>
  <c r="Y53" i="29" s="1"/>
  <c r="X53" i="29"/>
  <c r="T364" i="29"/>
  <c r="U364" i="29" s="1"/>
  <c r="W364" i="29" s="1"/>
  <c r="Y364" i="29" s="1"/>
  <c r="X364" i="29"/>
  <c r="T73" i="29"/>
  <c r="U73" i="29" s="1"/>
  <c r="W73" i="29" s="1"/>
  <c r="Y73" i="29" s="1"/>
  <c r="X73" i="29"/>
  <c r="T337" i="29"/>
  <c r="U337" i="29" s="1"/>
  <c r="W337" i="29" s="1"/>
  <c r="Y337" i="29" s="1"/>
  <c r="X337" i="29"/>
  <c r="T103" i="29"/>
  <c r="U103" i="29" s="1"/>
  <c r="W103" i="29" s="1"/>
  <c r="Y103" i="29" s="1"/>
  <c r="X103" i="29"/>
  <c r="T352" i="29"/>
  <c r="U352" i="29" s="1"/>
  <c r="W352" i="29" s="1"/>
  <c r="Y352" i="29" s="1"/>
  <c r="X352" i="29"/>
  <c r="T54" i="29"/>
  <c r="U54" i="29" s="1"/>
  <c r="W54" i="29" s="1"/>
  <c r="Y54" i="29" s="1"/>
  <c r="X54" i="29"/>
  <c r="T59" i="30"/>
  <c r="U59" i="30" s="1"/>
  <c r="W59" i="30" s="1"/>
  <c r="Y59" i="30" s="1"/>
  <c r="X59" i="30"/>
  <c r="T99" i="30"/>
  <c r="U99" i="30" s="1"/>
  <c r="W99" i="30" s="1"/>
  <c r="Y99" i="30" s="1"/>
  <c r="X99" i="30"/>
  <c r="T22" i="30"/>
  <c r="U22" i="30" s="1"/>
  <c r="W22" i="30" s="1"/>
  <c r="Y22" i="30" s="1"/>
  <c r="AA22" i="30" s="1"/>
  <c r="X22" i="30"/>
  <c r="Z154" i="30"/>
  <c r="T76" i="30"/>
  <c r="U76" i="30" s="1"/>
  <c r="W76" i="30" s="1"/>
  <c r="Y76" i="30" s="1"/>
  <c r="X76" i="30"/>
  <c r="T57" i="30"/>
  <c r="U57" i="30" s="1"/>
  <c r="W57" i="30" s="1"/>
  <c r="Y57" i="30" s="1"/>
  <c r="X57" i="30"/>
  <c r="T34" i="30"/>
  <c r="U34" i="30" s="1"/>
  <c r="W34" i="30" s="1"/>
  <c r="Y34" i="30" s="1"/>
  <c r="AA34" i="30" s="1"/>
  <c r="X34" i="30"/>
  <c r="X15" i="30"/>
  <c r="T358" i="29"/>
  <c r="U358" i="29" s="1"/>
  <c r="W358" i="29" s="1"/>
  <c r="Y358" i="29" s="1"/>
  <c r="X358" i="29"/>
  <c r="T704" i="29"/>
  <c r="U704" i="29" s="1"/>
  <c r="W704" i="29" s="1"/>
  <c r="Y704" i="29" s="1"/>
  <c r="X704" i="29"/>
  <c r="T460" i="29"/>
  <c r="U460" i="29" s="1"/>
  <c r="W460" i="29" s="1"/>
  <c r="Y460" i="29" s="1"/>
  <c r="X460" i="29"/>
  <c r="T530" i="29"/>
  <c r="U530" i="29" s="1"/>
  <c r="W530" i="29" s="1"/>
  <c r="Y530" i="29" s="1"/>
  <c r="X530" i="29"/>
  <c r="T733" i="29"/>
  <c r="U733" i="29" s="1"/>
  <c r="W733" i="29" s="1"/>
  <c r="Y733" i="29" s="1"/>
  <c r="X733" i="29"/>
  <c r="T599" i="29"/>
  <c r="U599" i="29" s="1"/>
  <c r="W599" i="29" s="1"/>
  <c r="Y599" i="29" s="1"/>
  <c r="X599" i="29"/>
  <c r="T407" i="29"/>
  <c r="U407" i="29" s="1"/>
  <c r="W407" i="29" s="1"/>
  <c r="Y407" i="29" s="1"/>
  <c r="X407" i="29"/>
  <c r="T307" i="29"/>
  <c r="U307" i="29" s="1"/>
  <c r="W307" i="29" s="1"/>
  <c r="Y307" i="29" s="1"/>
  <c r="X307" i="29"/>
  <c r="T701" i="29"/>
  <c r="U701" i="29" s="1"/>
  <c r="W701" i="29" s="1"/>
  <c r="Y701" i="29" s="1"/>
  <c r="X701" i="29"/>
  <c r="T609" i="29"/>
  <c r="U609" i="29" s="1"/>
  <c r="W609" i="29" s="1"/>
  <c r="Y609" i="29" s="1"/>
  <c r="X609" i="29"/>
  <c r="T735" i="29"/>
  <c r="U735" i="29" s="1"/>
  <c r="W735" i="29" s="1"/>
  <c r="Y735" i="29" s="1"/>
  <c r="X735" i="29"/>
  <c r="T593" i="29"/>
  <c r="U593" i="29" s="1"/>
  <c r="W593" i="29" s="1"/>
  <c r="Y593" i="29" s="1"/>
  <c r="X593" i="29"/>
  <c r="T619" i="29"/>
  <c r="U619" i="29" s="1"/>
  <c r="W619" i="29" s="1"/>
  <c r="Y619" i="29" s="1"/>
  <c r="X619" i="29"/>
  <c r="T388" i="29"/>
  <c r="U388" i="29" s="1"/>
  <c r="W388" i="29" s="1"/>
  <c r="Y388" i="29" s="1"/>
  <c r="X388" i="29"/>
  <c r="T697" i="29"/>
  <c r="U697" i="29" s="1"/>
  <c r="W697" i="29" s="1"/>
  <c r="Y697" i="29" s="1"/>
  <c r="X697" i="29"/>
  <c r="T677" i="29"/>
  <c r="U677" i="29" s="1"/>
  <c r="W677" i="29" s="1"/>
  <c r="Y677" i="29" s="1"/>
  <c r="X677" i="29"/>
  <c r="T771" i="29"/>
  <c r="U771" i="29" s="1"/>
  <c r="W771" i="29" s="1"/>
  <c r="Y771" i="29" s="1"/>
  <c r="X771" i="29"/>
  <c r="T689" i="29"/>
  <c r="U689" i="29" s="1"/>
  <c r="W689" i="29" s="1"/>
  <c r="Y689" i="29" s="1"/>
  <c r="X689" i="29"/>
  <c r="T676" i="29"/>
  <c r="U676" i="29" s="1"/>
  <c r="W676" i="29" s="1"/>
  <c r="Y676" i="29" s="1"/>
  <c r="X676" i="29"/>
  <c r="T616" i="29"/>
  <c r="U616" i="29" s="1"/>
  <c r="W616" i="29" s="1"/>
  <c r="Y616" i="29" s="1"/>
  <c r="X616" i="29"/>
  <c r="T615" i="29"/>
  <c r="U615" i="29" s="1"/>
  <c r="W615" i="29" s="1"/>
  <c r="Y615" i="29" s="1"/>
  <c r="X615" i="29"/>
  <c r="T372" i="29"/>
  <c r="U372" i="29" s="1"/>
  <c r="W372" i="29" s="1"/>
  <c r="Y372" i="29" s="1"/>
  <c r="X372" i="29"/>
  <c r="T435" i="29"/>
  <c r="U435" i="29" s="1"/>
  <c r="W435" i="29" s="1"/>
  <c r="Y435" i="29" s="1"/>
  <c r="X435" i="29"/>
  <c r="T642" i="29"/>
  <c r="U642" i="29" s="1"/>
  <c r="W642" i="29" s="1"/>
  <c r="Y642" i="29" s="1"/>
  <c r="X642" i="29"/>
  <c r="T485" i="29"/>
  <c r="U485" i="29" s="1"/>
  <c r="W485" i="29" s="1"/>
  <c r="Y485" i="29" s="1"/>
  <c r="X485" i="29"/>
  <c r="T624" i="29"/>
  <c r="U624" i="29" s="1"/>
  <c r="W624" i="29" s="1"/>
  <c r="Y624" i="29" s="1"/>
  <c r="X624" i="29"/>
  <c r="T538" i="29"/>
  <c r="U538" i="29" s="1"/>
  <c r="W538" i="29" s="1"/>
  <c r="Y538" i="29" s="1"/>
  <c r="X538" i="29"/>
  <c r="T471" i="29"/>
  <c r="U471" i="29" s="1"/>
  <c r="W471" i="29" s="1"/>
  <c r="Y471" i="29" s="1"/>
  <c r="X471" i="29"/>
  <c r="T459" i="29"/>
  <c r="U459" i="29" s="1"/>
  <c r="W459" i="29" s="1"/>
  <c r="Y459" i="29" s="1"/>
  <c r="X459" i="29"/>
  <c r="T384" i="29"/>
  <c r="U384" i="29" s="1"/>
  <c r="W384" i="29" s="1"/>
  <c r="Y384" i="29" s="1"/>
  <c r="X384" i="29"/>
  <c r="T480" i="29"/>
  <c r="U480" i="29" s="1"/>
  <c r="W480" i="29" s="1"/>
  <c r="Y480" i="29" s="1"/>
  <c r="X480" i="29"/>
  <c r="T502" i="29"/>
  <c r="U502" i="29" s="1"/>
  <c r="W502" i="29" s="1"/>
  <c r="Y502" i="29" s="1"/>
  <c r="X502" i="29"/>
  <c r="T429" i="29"/>
  <c r="U429" i="29" s="1"/>
  <c r="W429" i="29" s="1"/>
  <c r="Y429" i="29" s="1"/>
  <c r="X429" i="29"/>
  <c r="T389" i="29"/>
  <c r="U389" i="29" s="1"/>
  <c r="W389" i="29" s="1"/>
  <c r="Y389" i="29" s="1"/>
  <c r="X389" i="29"/>
  <c r="T490" i="29"/>
  <c r="U490" i="29" s="1"/>
  <c r="W490" i="29" s="1"/>
  <c r="Y490" i="29" s="1"/>
  <c r="X490" i="29"/>
  <c r="T648" i="29"/>
  <c r="U648" i="29" s="1"/>
  <c r="W648" i="29" s="1"/>
  <c r="Y648" i="29" s="1"/>
  <c r="X648" i="29"/>
  <c r="T255" i="29"/>
  <c r="U255" i="29" s="1"/>
  <c r="W255" i="29" s="1"/>
  <c r="Y255" i="29" s="1"/>
  <c r="X255" i="29"/>
  <c r="T223" i="29"/>
  <c r="U223" i="29" s="1"/>
  <c r="W223" i="29" s="1"/>
  <c r="Y223" i="29" s="1"/>
  <c r="X223" i="29"/>
  <c r="T179" i="29"/>
  <c r="U179" i="29" s="1"/>
  <c r="W179" i="29" s="1"/>
  <c r="Y179" i="29" s="1"/>
  <c r="X179" i="29"/>
  <c r="T626" i="29"/>
  <c r="U626" i="29" s="1"/>
  <c r="W626" i="29" s="1"/>
  <c r="Y626" i="29" s="1"/>
  <c r="X626" i="29"/>
  <c r="T452" i="29"/>
  <c r="U452" i="29" s="1"/>
  <c r="W452" i="29" s="1"/>
  <c r="Y452" i="29" s="1"/>
  <c r="X452" i="29"/>
  <c r="T623" i="29"/>
  <c r="U623" i="29" s="1"/>
  <c r="W623" i="29" s="1"/>
  <c r="Y623" i="29" s="1"/>
  <c r="X623" i="29"/>
  <c r="T535" i="29"/>
  <c r="U535" i="29" s="1"/>
  <c r="W535" i="29" s="1"/>
  <c r="Y535" i="29" s="1"/>
  <c r="X535" i="29"/>
  <c r="T468" i="29"/>
  <c r="U468" i="29" s="1"/>
  <c r="W468" i="29" s="1"/>
  <c r="Y468" i="29" s="1"/>
  <c r="X468" i="29"/>
  <c r="T438" i="29"/>
  <c r="U438" i="29" s="1"/>
  <c r="W438" i="29" s="1"/>
  <c r="Y438" i="29" s="1"/>
  <c r="X438" i="29"/>
  <c r="T728" i="29"/>
  <c r="U728" i="29" s="1"/>
  <c r="W728" i="29" s="1"/>
  <c r="Y728" i="29" s="1"/>
  <c r="X728" i="29"/>
  <c r="T509" i="29"/>
  <c r="U509" i="29" s="1"/>
  <c r="W509" i="29" s="1"/>
  <c r="Y509" i="29" s="1"/>
  <c r="X509" i="29"/>
  <c r="T501" i="29"/>
  <c r="U501" i="29" s="1"/>
  <c r="W501" i="29" s="1"/>
  <c r="Y501" i="29" s="1"/>
  <c r="X501" i="29"/>
  <c r="T425" i="29"/>
  <c r="U425" i="29" s="1"/>
  <c r="W425" i="29" s="1"/>
  <c r="Y425" i="29" s="1"/>
  <c r="X425" i="29"/>
  <c r="T387" i="29"/>
  <c r="U387" i="29" s="1"/>
  <c r="W387" i="29" s="1"/>
  <c r="Y387" i="29" s="1"/>
  <c r="X387" i="29"/>
  <c r="T277" i="29"/>
  <c r="U277" i="29" s="1"/>
  <c r="W277" i="29" s="1"/>
  <c r="Y277" i="29" s="1"/>
  <c r="X277" i="29"/>
  <c r="T454" i="29"/>
  <c r="U454" i="29" s="1"/>
  <c r="W454" i="29" s="1"/>
  <c r="Y454" i="29" s="1"/>
  <c r="X454" i="29"/>
  <c r="T750" i="29"/>
  <c r="U750" i="29" s="1"/>
  <c r="W750" i="29" s="1"/>
  <c r="Y750" i="29" s="1"/>
  <c r="X750" i="29"/>
  <c r="T379" i="29"/>
  <c r="U379" i="29" s="1"/>
  <c r="W379" i="29" s="1"/>
  <c r="Y379" i="29" s="1"/>
  <c r="X379" i="29"/>
  <c r="T354" i="29"/>
  <c r="U354" i="29" s="1"/>
  <c r="W354" i="29" s="1"/>
  <c r="Y354" i="29" s="1"/>
  <c r="X354" i="29"/>
  <c r="T58" i="29"/>
  <c r="U58" i="29" s="1"/>
  <c r="W58" i="29" s="1"/>
  <c r="Y58" i="29" s="1"/>
  <c r="X58" i="29"/>
  <c r="Z638" i="29"/>
  <c r="T497" i="29"/>
  <c r="U497" i="29" s="1"/>
  <c r="W497" i="29" s="1"/>
  <c r="Y497" i="29" s="1"/>
  <c r="X497" i="29"/>
  <c r="T495" i="29"/>
  <c r="U495" i="29" s="1"/>
  <c r="W495" i="29" s="1"/>
  <c r="Y495" i="29" s="1"/>
  <c r="X495" i="29"/>
  <c r="T421" i="29"/>
  <c r="U421" i="29" s="1"/>
  <c r="W421" i="29" s="1"/>
  <c r="Y421" i="29" s="1"/>
  <c r="X421" i="29"/>
  <c r="T386" i="29"/>
  <c r="U386" i="29" s="1"/>
  <c r="W386" i="29" s="1"/>
  <c r="Y386" i="29" s="1"/>
  <c r="X386" i="29"/>
  <c r="T269" i="29"/>
  <c r="U269" i="29" s="1"/>
  <c r="W269" i="29" s="1"/>
  <c r="Y269" i="29" s="1"/>
  <c r="X269" i="29"/>
  <c r="T504" i="29"/>
  <c r="U504" i="29" s="1"/>
  <c r="W504" i="29" s="1"/>
  <c r="Y504" i="29" s="1"/>
  <c r="X504" i="29"/>
  <c r="T541" i="29"/>
  <c r="U541" i="29" s="1"/>
  <c r="W541" i="29" s="1"/>
  <c r="Y541" i="29" s="1"/>
  <c r="X541" i="29"/>
  <c r="T391" i="29"/>
  <c r="U391" i="29" s="1"/>
  <c r="W391" i="29" s="1"/>
  <c r="Y391" i="29" s="1"/>
  <c r="X391" i="29"/>
  <c r="T374" i="29"/>
  <c r="U374" i="29" s="1"/>
  <c r="W374" i="29" s="1"/>
  <c r="Y374" i="29" s="1"/>
  <c r="X374" i="29"/>
  <c r="T336" i="29"/>
  <c r="U336" i="29" s="1"/>
  <c r="W336" i="29" s="1"/>
  <c r="Y336" i="29" s="1"/>
  <c r="X336" i="29"/>
  <c r="Z13" i="29"/>
  <c r="T772" i="29"/>
  <c r="U772" i="29" s="1"/>
  <c r="W772" i="29" s="1"/>
  <c r="Y772" i="29" s="1"/>
  <c r="X772" i="29"/>
  <c r="T279" i="29"/>
  <c r="U279" i="29" s="1"/>
  <c r="W279" i="29" s="1"/>
  <c r="Y279" i="29" s="1"/>
  <c r="X279" i="29"/>
  <c r="T405" i="29"/>
  <c r="U405" i="29" s="1"/>
  <c r="W405" i="29" s="1"/>
  <c r="Y405" i="29" s="1"/>
  <c r="X405" i="29"/>
  <c r="T343" i="29"/>
  <c r="U343" i="29" s="1"/>
  <c r="W343" i="29" s="1"/>
  <c r="Y343" i="29" s="1"/>
  <c r="X343" i="29"/>
  <c r="T292" i="29"/>
  <c r="U292" i="29" s="1"/>
  <c r="W292" i="29" s="1"/>
  <c r="Y292" i="29" s="1"/>
  <c r="X292" i="29"/>
  <c r="T221" i="29"/>
  <c r="U221" i="29" s="1"/>
  <c r="W221" i="29" s="1"/>
  <c r="Y221" i="29" s="1"/>
  <c r="X221" i="29"/>
  <c r="T362" i="29"/>
  <c r="U362" i="29" s="1"/>
  <c r="W362" i="29" s="1"/>
  <c r="Y362" i="29" s="1"/>
  <c r="X362" i="29"/>
  <c r="T299" i="29"/>
  <c r="U299" i="29" s="1"/>
  <c r="W299" i="29" s="1"/>
  <c r="Y299" i="29" s="1"/>
  <c r="X299" i="29"/>
  <c r="T138" i="29"/>
  <c r="U138" i="29" s="1"/>
  <c r="W138" i="29" s="1"/>
  <c r="Y138" i="29" s="1"/>
  <c r="X138" i="29"/>
  <c r="T135" i="29"/>
  <c r="U135" i="29" s="1"/>
  <c r="W135" i="29" s="1"/>
  <c r="Y135" i="29" s="1"/>
  <c r="X135" i="29"/>
  <c r="T272" i="29"/>
  <c r="U272" i="29" s="1"/>
  <c r="W272" i="29" s="1"/>
  <c r="Y272" i="29" s="1"/>
  <c r="X272" i="29"/>
  <c r="T142" i="29"/>
  <c r="U142" i="29" s="1"/>
  <c r="W142" i="29" s="1"/>
  <c r="Y142" i="29" s="1"/>
  <c r="X142" i="29"/>
  <c r="T159" i="29"/>
  <c r="U159" i="29" s="1"/>
  <c r="W159" i="29" s="1"/>
  <c r="Y159" i="29" s="1"/>
  <c r="X159" i="29"/>
  <c r="T436" i="29"/>
  <c r="U436" i="29" s="1"/>
  <c r="W436" i="29" s="1"/>
  <c r="Y436" i="29" s="1"/>
  <c r="X436" i="29"/>
  <c r="T366" i="29"/>
  <c r="U366" i="29" s="1"/>
  <c r="W366" i="29" s="1"/>
  <c r="Y366" i="29" s="1"/>
  <c r="X366" i="29"/>
  <c r="T304" i="29"/>
  <c r="U304" i="29" s="1"/>
  <c r="W304" i="29" s="1"/>
  <c r="Y304" i="29" s="1"/>
  <c r="X304" i="29"/>
  <c r="T252" i="29"/>
  <c r="U252" i="29" s="1"/>
  <c r="W252" i="29" s="1"/>
  <c r="Y252" i="29" s="1"/>
  <c r="X252" i="29"/>
  <c r="T368" i="29"/>
  <c r="U368" i="29" s="1"/>
  <c r="W368" i="29" s="1"/>
  <c r="Y368" i="29" s="1"/>
  <c r="X368" i="29"/>
  <c r="T309" i="29"/>
  <c r="U309" i="29" s="1"/>
  <c r="W309" i="29" s="1"/>
  <c r="Y309" i="29" s="1"/>
  <c r="X309" i="29"/>
  <c r="T110" i="29"/>
  <c r="U110" i="29" s="1"/>
  <c r="W110" i="29" s="1"/>
  <c r="Y110" i="29" s="1"/>
  <c r="X110" i="29"/>
  <c r="T125" i="29"/>
  <c r="U125" i="29" s="1"/>
  <c r="W125" i="29" s="1"/>
  <c r="Y125" i="29" s="1"/>
  <c r="X125" i="29"/>
  <c r="T206" i="29"/>
  <c r="U206" i="29" s="1"/>
  <c r="W206" i="29" s="1"/>
  <c r="Y206" i="29" s="1"/>
  <c r="X206" i="29"/>
  <c r="T49" i="29"/>
  <c r="U49" i="29" s="1"/>
  <c r="W49" i="29" s="1"/>
  <c r="Y49" i="29" s="1"/>
  <c r="X49" i="29"/>
  <c r="T146" i="29"/>
  <c r="U146" i="29" s="1"/>
  <c r="W146" i="29" s="1"/>
  <c r="Y146" i="29" s="1"/>
  <c r="X146" i="29"/>
  <c r="T409" i="29"/>
  <c r="U409" i="29" s="1"/>
  <c r="W409" i="29" s="1"/>
  <c r="Y409" i="29" s="1"/>
  <c r="X409" i="29"/>
  <c r="T295" i="29"/>
  <c r="U295" i="29" s="1"/>
  <c r="W295" i="29" s="1"/>
  <c r="Y295" i="29" s="1"/>
  <c r="X295" i="29"/>
  <c r="T381" i="29"/>
  <c r="U381" i="29" s="1"/>
  <c r="W381" i="29" s="1"/>
  <c r="Y381" i="29" s="1"/>
  <c r="X381" i="29"/>
  <c r="T340" i="29"/>
  <c r="U340" i="29" s="1"/>
  <c r="W340" i="29" s="1"/>
  <c r="Y340" i="29" s="1"/>
  <c r="X340" i="29"/>
  <c r="T284" i="29"/>
  <c r="U284" i="29" s="1"/>
  <c r="W284" i="29" s="1"/>
  <c r="Y284" i="29" s="1"/>
  <c r="X284" i="29"/>
  <c r="T217" i="29"/>
  <c r="U217" i="29" s="1"/>
  <c r="W217" i="29" s="1"/>
  <c r="Y217" i="29" s="1"/>
  <c r="X217" i="29"/>
  <c r="T355" i="29"/>
  <c r="U355" i="29" s="1"/>
  <c r="W355" i="29" s="1"/>
  <c r="Y355" i="29" s="1"/>
  <c r="X355" i="29"/>
  <c r="T291" i="29"/>
  <c r="U291" i="29" s="1"/>
  <c r="W291" i="29" s="1"/>
  <c r="Y291" i="29" s="1"/>
  <c r="X291" i="29"/>
  <c r="T177" i="29"/>
  <c r="U177" i="29" s="1"/>
  <c r="W177" i="29" s="1"/>
  <c r="Y177" i="29" s="1"/>
  <c r="X177" i="29"/>
  <c r="T112" i="29"/>
  <c r="U112" i="29" s="1"/>
  <c r="W112" i="29" s="1"/>
  <c r="Y112" i="29" s="1"/>
  <c r="X112" i="29"/>
  <c r="T140" i="29"/>
  <c r="U140" i="29" s="1"/>
  <c r="W140" i="29" s="1"/>
  <c r="Y140" i="29" s="1"/>
  <c r="X140" i="29"/>
  <c r="T39" i="29"/>
  <c r="U39" i="29" s="1"/>
  <c r="W39" i="29" s="1"/>
  <c r="Y39" i="29" s="1"/>
  <c r="X39" i="29"/>
  <c r="T86" i="29"/>
  <c r="U86" i="29" s="1"/>
  <c r="W86" i="29" s="1"/>
  <c r="Y86" i="29" s="1"/>
  <c r="X86" i="29"/>
  <c r="T181" i="29"/>
  <c r="U181" i="29" s="1"/>
  <c r="W181" i="29" s="1"/>
  <c r="Y181" i="29" s="1"/>
  <c r="X181" i="29"/>
  <c r="T173" i="29"/>
  <c r="U173" i="29" s="1"/>
  <c r="W173" i="29" s="1"/>
  <c r="Y173" i="29" s="1"/>
  <c r="X173" i="29"/>
  <c r="T317" i="29"/>
  <c r="U317" i="29" s="1"/>
  <c r="W317" i="29" s="1"/>
  <c r="Y317" i="29" s="1"/>
  <c r="X317" i="29"/>
  <c r="T163" i="29"/>
  <c r="U163" i="29" s="1"/>
  <c r="W163" i="29" s="1"/>
  <c r="Y163" i="29" s="1"/>
  <c r="X163" i="29"/>
  <c r="T15" i="29"/>
  <c r="U15" i="29" s="1"/>
  <c r="W15" i="29" s="1"/>
  <c r="Y15" i="29" s="1"/>
  <c r="X15" i="29"/>
  <c r="Z254" i="29"/>
  <c r="T17" i="29"/>
  <c r="U17" i="29" s="1"/>
  <c r="W17" i="29" s="1"/>
  <c r="Y17" i="29" s="1"/>
  <c r="X17" i="29"/>
  <c r="Z264" i="29"/>
  <c r="T74" i="29"/>
  <c r="U74" i="29" s="1"/>
  <c r="W74" i="29" s="1"/>
  <c r="Y74" i="29" s="1"/>
  <c r="X74" i="29"/>
  <c r="T68" i="29"/>
  <c r="U68" i="29" s="1"/>
  <c r="W68" i="29" s="1"/>
  <c r="Y68" i="29" s="1"/>
  <c r="X68" i="29"/>
  <c r="T171" i="29"/>
  <c r="U171" i="29" s="1"/>
  <c r="W171" i="29" s="1"/>
  <c r="Y171" i="29" s="1"/>
  <c r="X171" i="29"/>
  <c r="T18" i="29"/>
  <c r="U18" i="29" s="1"/>
  <c r="W18" i="29" s="1"/>
  <c r="Y18" i="29" s="1"/>
  <c r="X18" i="29"/>
  <c r="T153" i="29"/>
  <c r="U153" i="29" s="1"/>
  <c r="W153" i="29" s="1"/>
  <c r="Y153" i="29" s="1"/>
  <c r="X153" i="29"/>
  <c r="T256" i="29"/>
  <c r="U256" i="29" s="1"/>
  <c r="W256" i="29" s="1"/>
  <c r="Y256" i="29" s="1"/>
  <c r="X256" i="29"/>
  <c r="T50" i="29"/>
  <c r="U50" i="29" s="1"/>
  <c r="W50" i="29" s="1"/>
  <c r="Y50" i="29" s="1"/>
  <c r="X50" i="29"/>
  <c r="T27" i="29"/>
  <c r="U27" i="29" s="1"/>
  <c r="W27" i="29" s="1"/>
  <c r="Y27" i="29" s="1"/>
  <c r="X27" i="29"/>
  <c r="T76" i="29"/>
  <c r="U76" i="29" s="1"/>
  <c r="W76" i="29" s="1"/>
  <c r="Y76" i="29" s="1"/>
  <c r="X76" i="29"/>
  <c r="T298" i="29"/>
  <c r="U298" i="29" s="1"/>
  <c r="W298" i="29" s="1"/>
  <c r="Y298" i="29" s="1"/>
  <c r="X298" i="29"/>
  <c r="T178" i="29"/>
  <c r="U178" i="29" s="1"/>
  <c r="W178" i="29" s="1"/>
  <c r="Y178" i="29" s="1"/>
  <c r="X178" i="29"/>
  <c r="T48" i="29"/>
  <c r="U48" i="29" s="1"/>
  <c r="W48" i="29" s="1"/>
  <c r="Y48" i="29" s="1"/>
  <c r="X48" i="29"/>
  <c r="T117" i="29"/>
  <c r="U117" i="29" s="1"/>
  <c r="W117" i="29" s="1"/>
  <c r="Y117" i="29" s="1"/>
  <c r="X117" i="29"/>
  <c r="T222" i="29"/>
  <c r="U222" i="29" s="1"/>
  <c r="W222" i="29" s="1"/>
  <c r="Y222" i="29" s="1"/>
  <c r="X222" i="29"/>
  <c r="T200" i="29"/>
  <c r="U200" i="29" s="1"/>
  <c r="W200" i="29" s="1"/>
  <c r="Y200" i="29" s="1"/>
  <c r="X200" i="29"/>
  <c r="T106" i="29"/>
  <c r="U106" i="29" s="1"/>
  <c r="W106" i="29" s="1"/>
  <c r="Y106" i="29" s="1"/>
  <c r="X106" i="29"/>
  <c r="T21" i="29"/>
  <c r="U21" i="29" s="1"/>
  <c r="W21" i="29" s="1"/>
  <c r="Y21" i="29" s="1"/>
  <c r="X21" i="29"/>
  <c r="Z270" i="29"/>
  <c r="T22" i="29"/>
  <c r="U22" i="29" s="1"/>
  <c r="W22" i="29" s="1"/>
  <c r="Y22" i="29" s="1"/>
  <c r="X22" i="29"/>
  <c r="T280" i="29"/>
  <c r="U280" i="29" s="1"/>
  <c r="W280" i="29" s="1"/>
  <c r="Y280" i="29" s="1"/>
  <c r="X280" i="29"/>
  <c r="T88" i="29"/>
  <c r="U88" i="29" s="1"/>
  <c r="W88" i="29" s="1"/>
  <c r="Y88" i="29" s="1"/>
  <c r="X88" i="29"/>
  <c r="T69" i="29"/>
  <c r="U69" i="29" s="1"/>
  <c r="W69" i="29" s="1"/>
  <c r="Y69" i="29" s="1"/>
  <c r="X69" i="29"/>
  <c r="T87" i="29"/>
  <c r="U87" i="29" s="1"/>
  <c r="W87" i="29" s="1"/>
  <c r="Y87" i="29" s="1"/>
  <c r="X87" i="29"/>
  <c r="T218" i="29"/>
  <c r="U218" i="29" s="1"/>
  <c r="W218" i="29" s="1"/>
  <c r="Y218" i="29" s="1"/>
  <c r="X218" i="29"/>
  <c r="T259" i="29"/>
  <c r="U259" i="29" s="1"/>
  <c r="W259" i="29" s="1"/>
  <c r="Y259" i="29" s="1"/>
  <c r="X259" i="29"/>
  <c r="Z278" i="29"/>
  <c r="Z13" i="30"/>
  <c r="T36" i="30"/>
  <c r="U36" i="30" s="1"/>
  <c r="W36" i="30" s="1"/>
  <c r="Y36" i="30" s="1"/>
  <c r="AA36" i="30" s="1"/>
  <c r="X36" i="30"/>
  <c r="T24" i="30"/>
  <c r="U24" i="30" s="1"/>
  <c r="W24" i="30" s="1"/>
  <c r="Y24" i="30" s="1"/>
  <c r="AA24" i="30" s="1"/>
  <c r="X24" i="30"/>
  <c r="T93" i="30"/>
  <c r="U93" i="30" s="1"/>
  <c r="W93" i="30" s="1"/>
  <c r="Y93" i="30" s="1"/>
  <c r="X93" i="30"/>
  <c r="T25" i="30"/>
  <c r="U25" i="30" s="1"/>
  <c r="W25" i="30" s="1"/>
  <c r="Y25" i="30" s="1"/>
  <c r="AA25" i="30" s="1"/>
  <c r="X25" i="30"/>
  <c r="T90" i="30"/>
  <c r="U90" i="30" s="1"/>
  <c r="W90" i="30" s="1"/>
  <c r="Y90" i="30" s="1"/>
  <c r="X90" i="30"/>
  <c r="T55" i="30"/>
  <c r="U55" i="30" s="1"/>
  <c r="W55" i="30" s="1"/>
  <c r="Y55" i="30" s="1"/>
  <c r="X55" i="30"/>
  <c r="X47" i="30"/>
  <c r="Z28" i="30"/>
  <c r="T83" i="30"/>
  <c r="U83" i="30" s="1"/>
  <c r="W83" i="30" s="1"/>
  <c r="Y83" i="30" s="1"/>
  <c r="X83" i="30"/>
  <c r="T106" i="30"/>
  <c r="U106" i="30" s="1"/>
  <c r="W106" i="30" s="1"/>
  <c r="Y106" i="30" s="1"/>
  <c r="X106" i="30"/>
  <c r="T23" i="30"/>
  <c r="U23" i="30" s="1"/>
  <c r="W23" i="30" s="1"/>
  <c r="Y23" i="30" s="1"/>
  <c r="AA23" i="30" s="1"/>
  <c r="X23" i="30"/>
  <c r="Z197" i="29"/>
  <c r="AC197" i="29"/>
  <c r="T607" i="29"/>
  <c r="U607" i="29" s="1"/>
  <c r="W607" i="29" s="1"/>
  <c r="Y607" i="29" s="1"/>
  <c r="X607" i="29"/>
  <c r="T617" i="29"/>
  <c r="U617" i="29" s="1"/>
  <c r="W617" i="29" s="1"/>
  <c r="Y617" i="29" s="1"/>
  <c r="X617" i="29"/>
  <c r="T710" i="29"/>
  <c r="U710" i="29" s="1"/>
  <c r="W710" i="29" s="1"/>
  <c r="Y710" i="29" s="1"/>
  <c r="X710" i="29"/>
  <c r="T491" i="29"/>
  <c r="U491" i="29" s="1"/>
  <c r="W491" i="29" s="1"/>
  <c r="Y491" i="29" s="1"/>
  <c r="X491" i="29"/>
  <c r="T510" i="29"/>
  <c r="U510" i="29" s="1"/>
  <c r="W510" i="29" s="1"/>
  <c r="Y510" i="29" s="1"/>
  <c r="X510" i="29"/>
  <c r="T598" i="29"/>
  <c r="U598" i="29" s="1"/>
  <c r="W598" i="29" s="1"/>
  <c r="Y598" i="29" s="1"/>
  <c r="X598" i="29"/>
  <c r="T503" i="29"/>
  <c r="U503" i="29" s="1"/>
  <c r="W503" i="29" s="1"/>
  <c r="Y503" i="29" s="1"/>
  <c r="X503" i="29"/>
  <c r="T513" i="29"/>
  <c r="U513" i="29" s="1"/>
  <c r="W513" i="29" s="1"/>
  <c r="Y513" i="29" s="1"/>
  <c r="X513" i="29"/>
  <c r="T261" i="29"/>
  <c r="U261" i="29" s="1"/>
  <c r="W261" i="29" s="1"/>
  <c r="Y261" i="29" s="1"/>
  <c r="X261" i="29"/>
  <c r="T360" i="29"/>
  <c r="U360" i="29" s="1"/>
  <c r="W360" i="29" s="1"/>
  <c r="Y360" i="29" s="1"/>
  <c r="X360" i="29"/>
  <c r="T696" i="29"/>
  <c r="U696" i="29" s="1"/>
  <c r="W696" i="29" s="1"/>
  <c r="Y696" i="29" s="1"/>
  <c r="X696" i="29"/>
  <c r="T746" i="29"/>
  <c r="U746" i="29" s="1"/>
  <c r="W746" i="29" s="1"/>
  <c r="Y746" i="29" s="1"/>
  <c r="X746" i="29"/>
  <c r="T570" i="29"/>
  <c r="U570" i="29" s="1"/>
  <c r="W570" i="29" s="1"/>
  <c r="Y570" i="29" s="1"/>
  <c r="X570" i="29"/>
  <c r="T472" i="29"/>
  <c r="U472" i="29" s="1"/>
  <c r="W472" i="29" s="1"/>
  <c r="Y472" i="29" s="1"/>
  <c r="X472" i="29"/>
  <c r="T467" i="29"/>
  <c r="U467" i="29" s="1"/>
  <c r="W467" i="29" s="1"/>
  <c r="Y467" i="29" s="1"/>
  <c r="X467" i="29"/>
  <c r="T359" i="29"/>
  <c r="U359" i="29" s="1"/>
  <c r="W359" i="29" s="1"/>
  <c r="Y359" i="29" s="1"/>
  <c r="X359" i="29"/>
  <c r="T767" i="29"/>
  <c r="U767" i="29" s="1"/>
  <c r="W767" i="29" s="1"/>
  <c r="Y767" i="29" s="1"/>
  <c r="X767" i="29"/>
  <c r="T683" i="29"/>
  <c r="U683" i="29" s="1"/>
  <c r="W683" i="29" s="1"/>
  <c r="Y683" i="29" s="1"/>
  <c r="X683" i="29"/>
  <c r="T755" i="29"/>
  <c r="U755" i="29" s="1"/>
  <c r="W755" i="29" s="1"/>
  <c r="Y755" i="29" s="1"/>
  <c r="X755" i="29"/>
  <c r="T674" i="29"/>
  <c r="U674" i="29" s="1"/>
  <c r="W674" i="29" s="1"/>
  <c r="Y674" i="29" s="1"/>
  <c r="X674" i="29"/>
  <c r="T534" i="29"/>
  <c r="U534" i="29" s="1"/>
  <c r="W534" i="29" s="1"/>
  <c r="Y534" i="29" s="1"/>
  <c r="X534" i="29"/>
  <c r="T464" i="29"/>
  <c r="U464" i="29" s="1"/>
  <c r="W464" i="29" s="1"/>
  <c r="Y464" i="29" s="1"/>
  <c r="X464" i="29"/>
  <c r="T531" i="29"/>
  <c r="U531" i="29" s="1"/>
  <c r="W531" i="29" s="1"/>
  <c r="Y531" i="29" s="1"/>
  <c r="X531" i="29"/>
  <c r="T444" i="29"/>
  <c r="U444" i="29" s="1"/>
  <c r="W444" i="29" s="1"/>
  <c r="Y444" i="29" s="1"/>
  <c r="X444" i="29"/>
  <c r="T611" i="29"/>
  <c r="U611" i="29" s="1"/>
  <c r="W611" i="29" s="1"/>
  <c r="Y611" i="29" s="1"/>
  <c r="X611" i="29"/>
  <c r="T592" i="29"/>
  <c r="U592" i="29" s="1"/>
  <c r="W592" i="29" s="1"/>
  <c r="Y592" i="29" s="1"/>
  <c r="X592" i="29"/>
  <c r="T577" i="29"/>
  <c r="U577" i="29" s="1"/>
  <c r="W577" i="29" s="1"/>
  <c r="Y577" i="29" s="1"/>
  <c r="X577" i="29"/>
  <c r="T426" i="29"/>
  <c r="U426" i="29" s="1"/>
  <c r="W426" i="29" s="1"/>
  <c r="Y426" i="29" s="1"/>
  <c r="X426" i="29"/>
  <c r="T469" i="29"/>
  <c r="U469" i="29" s="1"/>
  <c r="W469" i="29" s="1"/>
  <c r="Y469" i="29" s="1"/>
  <c r="X469" i="29"/>
  <c r="T461" i="29"/>
  <c r="U461" i="29" s="1"/>
  <c r="W461" i="29" s="1"/>
  <c r="Y461" i="29" s="1"/>
  <c r="X461" i="29"/>
  <c r="T332" i="29"/>
  <c r="U332" i="29" s="1"/>
  <c r="W332" i="29" s="1"/>
  <c r="Y332" i="29" s="1"/>
  <c r="X332" i="29"/>
  <c r="T428" i="29"/>
  <c r="U428" i="29" s="1"/>
  <c r="W428" i="29" s="1"/>
  <c r="Y428" i="29" s="1"/>
  <c r="X428" i="29"/>
  <c r="T303" i="29"/>
  <c r="U303" i="29" s="1"/>
  <c r="W303" i="29" s="1"/>
  <c r="Y303" i="29" s="1"/>
  <c r="X303" i="29"/>
  <c r="T23" i="29"/>
  <c r="U23" i="29" s="1"/>
  <c r="W23" i="29" s="1"/>
  <c r="Y23" i="29" s="1"/>
  <c r="X23" i="29"/>
  <c r="T602" i="29"/>
  <c r="U602" i="29" s="1"/>
  <c r="W602" i="29" s="1"/>
  <c r="Y602" i="29" s="1"/>
  <c r="X602" i="29"/>
  <c r="T586" i="29"/>
  <c r="U586" i="29" s="1"/>
  <c r="W586" i="29" s="1"/>
  <c r="Y586" i="29" s="1"/>
  <c r="X586" i="29"/>
  <c r="T473" i="29"/>
  <c r="U473" i="29" s="1"/>
  <c r="W473" i="29" s="1"/>
  <c r="Y473" i="29" s="1"/>
  <c r="X473" i="29"/>
  <c r="T396" i="29"/>
  <c r="U396" i="29" s="1"/>
  <c r="W396" i="29" s="1"/>
  <c r="Y396" i="29" s="1"/>
  <c r="X396" i="29"/>
  <c r="T443" i="29"/>
  <c r="U443" i="29" s="1"/>
  <c r="W443" i="29" s="1"/>
  <c r="Y443" i="29" s="1"/>
  <c r="X443" i="29"/>
  <c r="T213" i="29"/>
  <c r="U213" i="29" s="1"/>
  <c r="W213" i="29" s="1"/>
  <c r="Y213" i="29" s="1"/>
  <c r="X213" i="29"/>
  <c r="T622" i="29"/>
  <c r="U622" i="29" s="1"/>
  <c r="W622" i="29" s="1"/>
  <c r="Y622" i="29" s="1"/>
  <c r="X622" i="29"/>
  <c r="T349" i="29"/>
  <c r="U349" i="29" s="1"/>
  <c r="W349" i="29" s="1"/>
  <c r="Y349" i="29" s="1"/>
  <c r="X349" i="29"/>
  <c r="T128" i="29"/>
  <c r="U128" i="29" s="1"/>
  <c r="W128" i="29" s="1"/>
  <c r="Y128" i="29" s="1"/>
  <c r="X128" i="29"/>
  <c r="T392" i="29"/>
  <c r="U392" i="29" s="1"/>
  <c r="W392" i="29" s="1"/>
  <c r="Y392" i="29" s="1"/>
  <c r="X392" i="29"/>
  <c r="T589" i="29"/>
  <c r="U589" i="29" s="1"/>
  <c r="W589" i="29" s="1"/>
  <c r="Y589" i="29" s="1"/>
  <c r="X589" i="29"/>
  <c r="T440" i="29"/>
  <c r="U440" i="29" s="1"/>
  <c r="W440" i="29" s="1"/>
  <c r="Y440" i="29" s="1"/>
  <c r="X440" i="29"/>
  <c r="T523" i="29"/>
  <c r="U523" i="29" s="1"/>
  <c r="W523" i="29" s="1"/>
  <c r="Y523" i="29" s="1"/>
  <c r="X523" i="29"/>
  <c r="T652" i="29"/>
  <c r="U652" i="29" s="1"/>
  <c r="W652" i="29" s="1"/>
  <c r="Y652" i="29" s="1"/>
  <c r="X652" i="29"/>
  <c r="T234" i="29"/>
  <c r="U234" i="29" s="1"/>
  <c r="W234" i="29" s="1"/>
  <c r="Y234" i="29" s="1"/>
  <c r="X234" i="29"/>
  <c r="T42" i="29"/>
  <c r="U42" i="29" s="1"/>
  <c r="W42" i="29" s="1"/>
  <c r="Y42" i="29" s="1"/>
  <c r="X42" i="29"/>
  <c r="T694" i="29"/>
  <c r="U694" i="29" s="1"/>
  <c r="W694" i="29" s="1"/>
  <c r="Y694" i="29" s="1"/>
  <c r="X694" i="29"/>
  <c r="T330" i="29"/>
  <c r="U330" i="29" s="1"/>
  <c r="W330" i="29" s="1"/>
  <c r="Y330" i="29" s="1"/>
  <c r="X330" i="29"/>
  <c r="T215" i="29"/>
  <c r="U215" i="29" s="1"/>
  <c r="W215" i="29" s="1"/>
  <c r="Y215" i="29" s="1"/>
  <c r="X215" i="29"/>
  <c r="T313" i="29"/>
  <c r="U313" i="29" s="1"/>
  <c r="W313" i="29" s="1"/>
  <c r="Y313" i="29" s="1"/>
  <c r="X313" i="29"/>
  <c r="T401" i="29"/>
  <c r="U401" i="29" s="1"/>
  <c r="W401" i="29" s="1"/>
  <c r="Y401" i="29" s="1"/>
  <c r="X401" i="29"/>
  <c r="T335" i="29"/>
  <c r="U335" i="29" s="1"/>
  <c r="W335" i="29" s="1"/>
  <c r="Y335" i="29" s="1"/>
  <c r="X335" i="29"/>
  <c r="T156" i="29"/>
  <c r="U156" i="29" s="1"/>
  <c r="W156" i="29" s="1"/>
  <c r="Y156" i="29" s="1"/>
  <c r="X156" i="29"/>
  <c r="T44" i="29"/>
  <c r="U44" i="29" s="1"/>
  <c r="W44" i="29" s="1"/>
  <c r="Y44" i="29" s="1"/>
  <c r="X44" i="29"/>
  <c r="T31" i="29"/>
  <c r="U31" i="29" s="1"/>
  <c r="W31" i="29" s="1"/>
  <c r="Y31" i="29" s="1"/>
  <c r="X31" i="29"/>
  <c r="T377" i="29"/>
  <c r="U377" i="29" s="1"/>
  <c r="W377" i="29" s="1"/>
  <c r="Y377" i="29" s="1"/>
  <c r="X377" i="29"/>
  <c r="T276" i="29"/>
  <c r="U276" i="29" s="1"/>
  <c r="W276" i="29" s="1"/>
  <c r="Y276" i="29" s="1"/>
  <c r="X276" i="29"/>
  <c r="T462" i="29"/>
  <c r="U462" i="29" s="1"/>
  <c r="W462" i="29" s="1"/>
  <c r="Y462" i="29" s="1"/>
  <c r="X462" i="29"/>
  <c r="T198" i="29"/>
  <c r="U198" i="29" s="1"/>
  <c r="W198" i="29" s="1"/>
  <c r="Y198" i="29" s="1"/>
  <c r="X198" i="29"/>
  <c r="T91" i="29"/>
  <c r="U91" i="29" s="1"/>
  <c r="W91" i="29" s="1"/>
  <c r="Y91" i="29" s="1"/>
  <c r="X91" i="29"/>
  <c r="T235" i="29"/>
  <c r="U235" i="29" s="1"/>
  <c r="W235" i="29" s="1"/>
  <c r="Y235" i="29" s="1"/>
  <c r="X235" i="29"/>
  <c r="T742" i="29"/>
  <c r="U742" i="29" s="1"/>
  <c r="W742" i="29" s="1"/>
  <c r="Y742" i="29" s="1"/>
  <c r="X742" i="29"/>
  <c r="T347" i="29"/>
  <c r="U347" i="29" s="1"/>
  <c r="W347" i="29" s="1"/>
  <c r="Y347" i="29" s="1"/>
  <c r="X347" i="29"/>
  <c r="T370" i="29"/>
  <c r="U370" i="29" s="1"/>
  <c r="W370" i="29" s="1"/>
  <c r="Y370" i="29" s="1"/>
  <c r="X370" i="29"/>
  <c r="T308" i="29"/>
  <c r="U308" i="29" s="1"/>
  <c r="W308" i="29" s="1"/>
  <c r="Y308" i="29" s="1"/>
  <c r="X308" i="29"/>
  <c r="T385" i="29"/>
  <c r="U385" i="29" s="1"/>
  <c r="W385" i="29" s="1"/>
  <c r="Y385" i="29" s="1"/>
  <c r="X385" i="29"/>
  <c r="T90" i="29"/>
  <c r="U90" i="29" s="1"/>
  <c r="W90" i="29" s="1"/>
  <c r="Y90" i="29" s="1"/>
  <c r="X90" i="29"/>
  <c r="T95" i="29"/>
  <c r="U95" i="29" s="1"/>
  <c r="W95" i="29" s="1"/>
  <c r="Y95" i="29" s="1"/>
  <c r="X95" i="29"/>
  <c r="T34" i="29"/>
  <c r="U34" i="29" s="1"/>
  <c r="W34" i="29" s="1"/>
  <c r="Y34" i="29" s="1"/>
  <c r="X34" i="29"/>
  <c r="T176" i="29"/>
  <c r="U176" i="29" s="1"/>
  <c r="W176" i="29" s="1"/>
  <c r="Y176" i="29" s="1"/>
  <c r="X176" i="29"/>
  <c r="T65" i="29"/>
  <c r="U65" i="29" s="1"/>
  <c r="W65" i="29" s="1"/>
  <c r="Y65" i="29" s="1"/>
  <c r="X65" i="29"/>
  <c r="T100" i="29"/>
  <c r="U100" i="29" s="1"/>
  <c r="W100" i="29" s="1"/>
  <c r="Y100" i="29" s="1"/>
  <c r="X100" i="29"/>
  <c r="T47" i="29"/>
  <c r="U47" i="29" s="1"/>
  <c r="W47" i="29" s="1"/>
  <c r="Y47" i="29" s="1"/>
  <c r="X47" i="29"/>
  <c r="T24" i="29"/>
  <c r="U24" i="29" s="1"/>
  <c r="W24" i="29" s="1"/>
  <c r="Y24" i="29" s="1"/>
  <c r="X24" i="29"/>
  <c r="T19" i="29"/>
  <c r="U19" i="29" s="1"/>
  <c r="W19" i="29" s="1"/>
  <c r="Y19" i="29" s="1"/>
  <c r="X19" i="29"/>
  <c r="T116" i="29"/>
  <c r="U116" i="29" s="1"/>
  <c r="W116" i="29" s="1"/>
  <c r="Y116" i="29" s="1"/>
  <c r="X116" i="29"/>
  <c r="T180" i="29"/>
  <c r="U180" i="29" s="1"/>
  <c r="W180" i="29" s="1"/>
  <c r="Y180" i="29" s="1"/>
  <c r="X180" i="29"/>
  <c r="T99" i="29"/>
  <c r="U99" i="29" s="1"/>
  <c r="W99" i="29" s="1"/>
  <c r="Y99" i="29" s="1"/>
  <c r="X99" i="29"/>
  <c r="Z251" i="29"/>
  <c r="T211" i="29"/>
  <c r="U211" i="29" s="1"/>
  <c r="W211" i="29" s="1"/>
  <c r="Y211" i="29" s="1"/>
  <c r="X211" i="29"/>
  <c r="T141" i="29"/>
  <c r="U141" i="29" s="1"/>
  <c r="W141" i="29" s="1"/>
  <c r="Y141" i="29" s="1"/>
  <c r="X141" i="29"/>
  <c r="T136" i="29"/>
  <c r="U136" i="29" s="1"/>
  <c r="W136" i="29" s="1"/>
  <c r="Y136" i="29" s="1"/>
  <c r="X136" i="29"/>
  <c r="T71" i="29"/>
  <c r="U71" i="29" s="1"/>
  <c r="W71" i="29" s="1"/>
  <c r="Y71" i="29" s="1"/>
  <c r="X71" i="29"/>
  <c r="T37" i="29"/>
  <c r="U37" i="29" s="1"/>
  <c r="W37" i="29" s="1"/>
  <c r="Y37" i="29" s="1"/>
  <c r="X37" i="29"/>
  <c r="T28" i="29"/>
  <c r="U28" i="29" s="1"/>
  <c r="W28" i="29" s="1"/>
  <c r="Y28" i="29" s="1"/>
  <c r="X28" i="29"/>
  <c r="T61" i="29"/>
  <c r="U61" i="29" s="1"/>
  <c r="W61" i="29" s="1"/>
  <c r="Y61" i="29" s="1"/>
  <c r="X61" i="29"/>
  <c r="T114" i="29"/>
  <c r="U114" i="29" s="1"/>
  <c r="W114" i="29" s="1"/>
  <c r="Y114" i="29" s="1"/>
  <c r="X114" i="29"/>
  <c r="T145" i="29"/>
  <c r="U145" i="29" s="1"/>
  <c r="W145" i="29" s="1"/>
  <c r="Y145" i="29" s="1"/>
  <c r="X145" i="29"/>
  <c r="AC145" i="30"/>
  <c r="Z145" i="30"/>
  <c r="T100" i="30"/>
  <c r="U100" i="30" s="1"/>
  <c r="W100" i="30" s="1"/>
  <c r="Y100" i="30" s="1"/>
  <c r="X100" i="30"/>
  <c r="T81" i="30"/>
  <c r="U81" i="30" s="1"/>
  <c r="W81" i="30" s="1"/>
  <c r="Y81" i="30" s="1"/>
  <c r="X81" i="30"/>
  <c r="T74" i="30"/>
  <c r="U74" i="30" s="1"/>
  <c r="W74" i="30" s="1"/>
  <c r="Y74" i="30" s="1"/>
  <c r="X74" i="30"/>
  <c r="T29" i="30"/>
  <c r="U29" i="30" s="1"/>
  <c r="W29" i="30" s="1"/>
  <c r="Y29" i="30" s="1"/>
  <c r="AA29" i="30" s="1"/>
  <c r="X29" i="30"/>
  <c r="T140" i="30"/>
  <c r="U140" i="30" s="1"/>
  <c r="W140" i="30" s="1"/>
  <c r="Y140" i="30" s="1"/>
  <c r="X140" i="30"/>
  <c r="T70" i="30"/>
  <c r="U70" i="30" s="1"/>
  <c r="W70" i="30" s="1"/>
  <c r="Y70" i="30" s="1"/>
  <c r="X70" i="30"/>
  <c r="Z21" i="30"/>
  <c r="T75" i="30"/>
  <c r="U75" i="30" s="1"/>
  <c r="W75" i="30" s="1"/>
  <c r="Y75" i="30" s="1"/>
  <c r="X75" i="30"/>
  <c r="T107" i="30"/>
  <c r="U107" i="30" s="1"/>
  <c r="W107" i="30" s="1"/>
  <c r="Y107" i="30" s="1"/>
  <c r="X107" i="30"/>
  <c r="T71" i="30"/>
  <c r="U71" i="30" s="1"/>
  <c r="W71" i="30" s="1"/>
  <c r="Y71" i="30" s="1"/>
  <c r="X71" i="30"/>
  <c r="T135" i="30"/>
  <c r="U135" i="30" s="1"/>
  <c r="W135" i="30" s="1"/>
  <c r="Y135" i="30" s="1"/>
  <c r="X135" i="30"/>
  <c r="T72" i="30"/>
  <c r="U72" i="30" s="1"/>
  <c r="W72" i="30" s="1"/>
  <c r="Y72" i="30" s="1"/>
  <c r="X72" i="30"/>
  <c r="T26" i="30"/>
  <c r="U26" i="30" s="1"/>
  <c r="W26" i="30" s="1"/>
  <c r="Y26" i="30" s="1"/>
  <c r="AA26" i="30" s="1"/>
  <c r="X26" i="30"/>
  <c r="T231" i="29"/>
  <c r="U231" i="29" s="1"/>
  <c r="W231" i="29" s="1"/>
  <c r="Y231" i="29" s="1"/>
  <c r="X231" i="29"/>
  <c r="T93" i="29"/>
  <c r="U93" i="29" s="1"/>
  <c r="W93" i="29" s="1"/>
  <c r="Y93" i="29" s="1"/>
  <c r="X93" i="29"/>
  <c r="T670" i="29"/>
  <c r="U670" i="29" s="1"/>
  <c r="W670" i="29" s="1"/>
  <c r="Y670" i="29" s="1"/>
  <c r="X670" i="29"/>
  <c r="T747" i="29"/>
  <c r="U747" i="29" s="1"/>
  <c r="W747" i="29" s="1"/>
  <c r="Y747" i="29" s="1"/>
  <c r="X747" i="29"/>
  <c r="T482" i="29"/>
  <c r="U482" i="29" s="1"/>
  <c r="W482" i="29" s="1"/>
  <c r="Y482" i="29" s="1"/>
  <c r="X482" i="29"/>
  <c r="T568" i="29"/>
  <c r="U568" i="29" s="1"/>
  <c r="W568" i="29" s="1"/>
  <c r="Y568" i="29" s="1"/>
  <c r="X568" i="29"/>
  <c r="T447" i="29"/>
  <c r="U447" i="29" s="1"/>
  <c r="W447" i="29" s="1"/>
  <c r="Y447" i="29" s="1"/>
  <c r="X447" i="29"/>
  <c r="T655" i="29"/>
  <c r="U655" i="29" s="1"/>
  <c r="W655" i="29" s="1"/>
  <c r="Y655" i="29" s="1"/>
  <c r="X655" i="29"/>
  <c r="T743" i="29"/>
  <c r="U743" i="29" s="1"/>
  <c r="W743" i="29" s="1"/>
  <c r="Y743" i="29" s="1"/>
  <c r="X743" i="29"/>
  <c r="T684" i="29"/>
  <c r="U684" i="29" s="1"/>
  <c r="W684" i="29" s="1"/>
  <c r="Y684" i="29" s="1"/>
  <c r="X684" i="29"/>
  <c r="T647" i="29"/>
  <c r="U647" i="29" s="1"/>
  <c r="W647" i="29" s="1"/>
  <c r="Y647" i="29" s="1"/>
  <c r="X647" i="29"/>
  <c r="T603" i="29"/>
  <c r="U603" i="29" s="1"/>
  <c r="W603" i="29" s="1"/>
  <c r="Y603" i="29" s="1"/>
  <c r="X603" i="29"/>
  <c r="T658" i="29"/>
  <c r="U658" i="29" s="1"/>
  <c r="W658" i="29" s="1"/>
  <c r="Y658" i="29" s="1"/>
  <c r="X658" i="29"/>
  <c r="T496" i="29"/>
  <c r="U496" i="29" s="1"/>
  <c r="W496" i="29" s="1"/>
  <c r="Y496" i="29" s="1"/>
  <c r="X496" i="29"/>
  <c r="T271" i="29"/>
  <c r="U271" i="29" s="1"/>
  <c r="W271" i="29" s="1"/>
  <c r="Y271" i="29" s="1"/>
  <c r="X271" i="29"/>
  <c r="T756" i="29"/>
  <c r="U756" i="29" s="1"/>
  <c r="W756" i="29" s="1"/>
  <c r="Y756" i="29" s="1"/>
  <c r="X756" i="29"/>
  <c r="T662" i="29"/>
  <c r="U662" i="29" s="1"/>
  <c r="W662" i="29" s="1"/>
  <c r="Y662" i="29" s="1"/>
  <c r="X662" i="29"/>
  <c r="T768" i="29"/>
  <c r="U768" i="29" s="1"/>
  <c r="W768" i="29" s="1"/>
  <c r="Y768" i="29" s="1"/>
  <c r="X768" i="29"/>
  <c r="T678" i="29"/>
  <c r="U678" i="29" s="1"/>
  <c r="W678" i="29" s="1"/>
  <c r="Y678" i="29" s="1"/>
  <c r="X678" i="29"/>
  <c r="T488" i="29"/>
  <c r="U488" i="29" s="1"/>
  <c r="W488" i="29" s="1"/>
  <c r="Y488" i="29" s="1"/>
  <c r="X488" i="29"/>
  <c r="T434" i="29"/>
  <c r="U434" i="29" s="1"/>
  <c r="W434" i="29" s="1"/>
  <c r="Y434" i="29" s="1"/>
  <c r="X434" i="29"/>
  <c r="T576" i="29"/>
  <c r="U576" i="29" s="1"/>
  <c r="W576" i="29" s="1"/>
  <c r="Y576" i="29" s="1"/>
  <c r="X576" i="29"/>
  <c r="T260" i="29"/>
  <c r="U260" i="29" s="1"/>
  <c r="W260" i="29" s="1"/>
  <c r="Y260" i="29" s="1"/>
  <c r="X260" i="29"/>
  <c r="T687" i="29"/>
  <c r="U687" i="29" s="1"/>
  <c r="W687" i="29" s="1"/>
  <c r="Y687" i="29" s="1"/>
  <c r="X687" i="29"/>
  <c r="T667" i="29"/>
  <c r="U667" i="29" s="1"/>
  <c r="W667" i="29" s="1"/>
  <c r="Y667" i="29" s="1"/>
  <c r="X667" i="29"/>
  <c r="T737" i="29"/>
  <c r="U737" i="29" s="1"/>
  <c r="W737" i="29" s="1"/>
  <c r="Y737" i="29" s="1"/>
  <c r="X737" i="29"/>
  <c r="T729" i="29"/>
  <c r="U729" i="29" s="1"/>
  <c r="W729" i="29" s="1"/>
  <c r="Y729" i="29" s="1"/>
  <c r="X729" i="29"/>
  <c r="T744" i="29"/>
  <c r="U744" i="29" s="1"/>
  <c r="W744" i="29" s="1"/>
  <c r="Y744" i="29" s="1"/>
  <c r="X744" i="29"/>
  <c r="AC727" i="29"/>
  <c r="Z727" i="29"/>
  <c r="T699" i="29"/>
  <c r="U699" i="29" s="1"/>
  <c r="W699" i="29" s="1"/>
  <c r="Y699" i="29" s="1"/>
  <c r="X699" i="29"/>
  <c r="T585" i="29"/>
  <c r="U585" i="29" s="1"/>
  <c r="W585" i="29" s="1"/>
  <c r="Y585" i="29" s="1"/>
  <c r="X585" i="29"/>
  <c r="T493" i="29"/>
  <c r="U493" i="29" s="1"/>
  <c r="W493" i="29" s="1"/>
  <c r="Y493" i="29" s="1"/>
  <c r="X493" i="29"/>
  <c r="T430" i="29"/>
  <c r="U430" i="29" s="1"/>
  <c r="W430" i="29" s="1"/>
  <c r="Y430" i="29" s="1"/>
  <c r="X430" i="29"/>
  <c r="T448" i="29"/>
  <c r="U448" i="29" s="1"/>
  <c r="W448" i="29" s="1"/>
  <c r="Y448" i="29" s="1"/>
  <c r="X448" i="29"/>
  <c r="T731" i="29"/>
  <c r="U731" i="29" s="1"/>
  <c r="W731" i="29" s="1"/>
  <c r="Y731" i="29" s="1"/>
  <c r="X731" i="29"/>
  <c r="T320" i="29"/>
  <c r="U320" i="29" s="1"/>
  <c r="W320" i="29" s="1"/>
  <c r="Y320" i="29" s="1"/>
  <c r="X320" i="29"/>
  <c r="T507" i="29"/>
  <c r="U507" i="29" s="1"/>
  <c r="W507" i="29" s="1"/>
  <c r="Y507" i="29" s="1"/>
  <c r="X507" i="29"/>
  <c r="T583" i="29"/>
  <c r="U583" i="29" s="1"/>
  <c r="W583" i="29" s="1"/>
  <c r="Y583" i="29" s="1"/>
  <c r="X583" i="29"/>
  <c r="T567" i="29"/>
  <c r="U567" i="29" s="1"/>
  <c r="W567" i="29" s="1"/>
  <c r="Y567" i="29" s="1"/>
  <c r="X567" i="29"/>
  <c r="T489" i="29"/>
  <c r="U489" i="29" s="1"/>
  <c r="W489" i="29" s="1"/>
  <c r="Y489" i="29" s="1"/>
  <c r="X489" i="29"/>
  <c r="T483" i="29"/>
  <c r="U483" i="29" s="1"/>
  <c r="W483" i="29" s="1"/>
  <c r="Y483" i="29" s="1"/>
  <c r="X483" i="29"/>
  <c r="T400" i="29"/>
  <c r="U400" i="29" s="1"/>
  <c r="W400" i="29" s="1"/>
  <c r="Y400" i="29" s="1"/>
  <c r="X400" i="29"/>
  <c r="T512" i="29"/>
  <c r="U512" i="29" s="1"/>
  <c r="W512" i="29" s="1"/>
  <c r="Y512" i="29" s="1"/>
  <c r="X512" i="29"/>
  <c r="T528" i="29"/>
  <c r="U528" i="29" s="1"/>
  <c r="W528" i="29" s="1"/>
  <c r="Y528" i="29" s="1"/>
  <c r="X528" i="29"/>
  <c r="T445" i="29"/>
  <c r="U445" i="29" s="1"/>
  <c r="W445" i="29" s="1"/>
  <c r="Y445" i="29" s="1"/>
  <c r="X445" i="29"/>
  <c r="T432" i="29"/>
  <c r="U432" i="29" s="1"/>
  <c r="W432" i="29" s="1"/>
  <c r="Y432" i="29" s="1"/>
  <c r="X432" i="29"/>
  <c r="T315" i="29"/>
  <c r="U315" i="29" s="1"/>
  <c r="W315" i="29" s="1"/>
  <c r="Y315" i="29" s="1"/>
  <c r="X315" i="29"/>
  <c r="T588" i="29"/>
  <c r="U588" i="29" s="1"/>
  <c r="W588" i="29" s="1"/>
  <c r="Y588" i="29" s="1"/>
  <c r="X588" i="29"/>
  <c r="T594" i="29"/>
  <c r="U594" i="29" s="1"/>
  <c r="W594" i="29" s="1"/>
  <c r="Y594" i="29" s="1"/>
  <c r="X594" i="29"/>
  <c r="T314" i="29"/>
  <c r="U314" i="29" s="1"/>
  <c r="W314" i="29" s="1"/>
  <c r="Y314" i="29" s="1"/>
  <c r="X314" i="29"/>
  <c r="T297" i="29"/>
  <c r="U297" i="29" s="1"/>
  <c r="W297" i="29" s="1"/>
  <c r="Y297" i="29" s="1"/>
  <c r="X297" i="29"/>
  <c r="T113" i="29"/>
  <c r="U113" i="29" s="1"/>
  <c r="W113" i="29" s="1"/>
  <c r="Y113" i="29" s="1"/>
  <c r="X113" i="29"/>
  <c r="T505" i="29"/>
  <c r="U505" i="29" s="1"/>
  <c r="W505" i="29" s="1"/>
  <c r="Y505" i="29" s="1"/>
  <c r="X505" i="29"/>
  <c r="T582" i="29"/>
  <c r="U582" i="29" s="1"/>
  <c r="W582" i="29" s="1"/>
  <c r="Y582" i="29" s="1"/>
  <c r="X582" i="29"/>
  <c r="T566" i="29"/>
  <c r="U566" i="29" s="1"/>
  <c r="W566" i="29" s="1"/>
  <c r="Y566" i="29" s="1"/>
  <c r="X566" i="29"/>
  <c r="T453" i="29"/>
  <c r="U453" i="29" s="1"/>
  <c r="W453" i="29" s="1"/>
  <c r="Y453" i="29" s="1"/>
  <c r="X453" i="29"/>
  <c r="T380" i="29"/>
  <c r="U380" i="29" s="1"/>
  <c r="W380" i="29" s="1"/>
  <c r="Y380" i="29" s="1"/>
  <c r="X380" i="29"/>
  <c r="T474" i="29"/>
  <c r="U474" i="29" s="1"/>
  <c r="W474" i="29" s="1"/>
  <c r="Y474" i="29" s="1"/>
  <c r="X474" i="29"/>
  <c r="T521" i="29"/>
  <c r="U521" i="29" s="1"/>
  <c r="W521" i="29" s="1"/>
  <c r="Y521" i="29" s="1"/>
  <c r="X521" i="29"/>
  <c r="T441" i="29"/>
  <c r="U441" i="29" s="1"/>
  <c r="W441" i="29" s="1"/>
  <c r="Y441" i="29" s="1"/>
  <c r="X441" i="29"/>
  <c r="T423" i="29"/>
  <c r="U423" i="29" s="1"/>
  <c r="W423" i="29" s="1"/>
  <c r="Y423" i="29" s="1"/>
  <c r="X423" i="29"/>
  <c r="T301" i="29"/>
  <c r="U301" i="29" s="1"/>
  <c r="W301" i="29" s="1"/>
  <c r="Y301" i="29" s="1"/>
  <c r="X301" i="29"/>
  <c r="Z506" i="29"/>
  <c r="T650" i="29"/>
  <c r="U650" i="29" s="1"/>
  <c r="W650" i="29" s="1"/>
  <c r="Y650" i="29" s="1"/>
  <c r="X650" i="29"/>
  <c r="T311" i="29"/>
  <c r="U311" i="29" s="1"/>
  <c r="W311" i="29" s="1"/>
  <c r="Y311" i="29" s="1"/>
  <c r="X311" i="29"/>
  <c r="T212" i="29"/>
  <c r="U212" i="29" s="1"/>
  <c r="W212" i="29" s="1"/>
  <c r="Y212" i="29" s="1"/>
  <c r="X212" i="29"/>
  <c r="T133" i="29"/>
  <c r="U133" i="29" s="1"/>
  <c r="W133" i="29" s="1"/>
  <c r="Y133" i="29" s="1"/>
  <c r="X133" i="29"/>
  <c r="T376" i="29"/>
  <c r="U376" i="29" s="1"/>
  <c r="W376" i="29" s="1"/>
  <c r="Y376" i="29" s="1"/>
  <c r="X376" i="29"/>
  <c r="T456" i="29"/>
  <c r="U456" i="29" s="1"/>
  <c r="W456" i="29" s="1"/>
  <c r="Y456" i="29" s="1"/>
  <c r="X456" i="29"/>
  <c r="T516" i="29"/>
  <c r="U516" i="29" s="1"/>
  <c r="W516" i="29" s="1"/>
  <c r="Y516" i="29" s="1"/>
  <c r="X516" i="29"/>
  <c r="T406" i="29"/>
  <c r="U406" i="29" s="1"/>
  <c r="W406" i="29" s="1"/>
  <c r="Y406" i="29" s="1"/>
  <c r="X406" i="29"/>
  <c r="T229" i="29"/>
  <c r="U229" i="29" s="1"/>
  <c r="W229" i="29" s="1"/>
  <c r="Y229" i="29" s="1"/>
  <c r="X229" i="29"/>
  <c r="T129" i="29"/>
  <c r="U129" i="29" s="1"/>
  <c r="W129" i="29" s="1"/>
  <c r="Y129" i="29" s="1"/>
  <c r="X129" i="29"/>
  <c r="T439" i="29"/>
  <c r="U439" i="29" s="1"/>
  <c r="W439" i="29" s="1"/>
  <c r="Y439" i="29" s="1"/>
  <c r="X439" i="29"/>
  <c r="T242" i="29"/>
  <c r="U242" i="29" s="1"/>
  <c r="W242" i="29" s="1"/>
  <c r="Y242" i="29" s="1"/>
  <c r="X242" i="29"/>
  <c r="T111" i="29"/>
  <c r="U111" i="29" s="1"/>
  <c r="W111" i="29" s="1"/>
  <c r="Y111" i="29" s="1"/>
  <c r="X111" i="29"/>
  <c r="Z96" i="29"/>
  <c r="T267" i="29"/>
  <c r="U267" i="29" s="1"/>
  <c r="W267" i="29" s="1"/>
  <c r="Y267" i="29" s="1"/>
  <c r="X267" i="29"/>
  <c r="T236" i="29"/>
  <c r="U236" i="29" s="1"/>
  <c r="W236" i="29" s="1"/>
  <c r="Y236" i="29" s="1"/>
  <c r="X236" i="29"/>
  <c r="T310" i="29"/>
  <c r="U310" i="29" s="1"/>
  <c r="W310" i="29" s="1"/>
  <c r="Y310" i="29" s="1"/>
  <c r="X310" i="29"/>
  <c r="T265" i="29"/>
  <c r="U265" i="29" s="1"/>
  <c r="W265" i="29" s="1"/>
  <c r="Y265" i="29" s="1"/>
  <c r="X265" i="29"/>
  <c r="T325" i="29"/>
  <c r="U325" i="29" s="1"/>
  <c r="W325" i="29" s="1"/>
  <c r="Y325" i="29" s="1"/>
  <c r="X325" i="29"/>
  <c r="T122" i="29"/>
  <c r="U122" i="29" s="1"/>
  <c r="W122" i="29" s="1"/>
  <c r="Y122" i="29" s="1"/>
  <c r="X122" i="29"/>
  <c r="T233" i="29"/>
  <c r="U233" i="29" s="1"/>
  <c r="W233" i="29" s="1"/>
  <c r="Y233" i="29" s="1"/>
  <c r="X233" i="29"/>
  <c r="T431" i="29"/>
  <c r="U431" i="29" s="1"/>
  <c r="W431" i="29" s="1"/>
  <c r="Y431" i="29" s="1"/>
  <c r="X431" i="29"/>
  <c r="T300" i="29"/>
  <c r="U300" i="29" s="1"/>
  <c r="W300" i="29" s="1"/>
  <c r="Y300" i="29" s="1"/>
  <c r="X300" i="29"/>
  <c r="T365" i="29"/>
  <c r="U365" i="29" s="1"/>
  <c r="W365" i="29" s="1"/>
  <c r="Y365" i="29" s="1"/>
  <c r="X365" i="29"/>
  <c r="T306" i="29"/>
  <c r="U306" i="29" s="1"/>
  <c r="W306" i="29" s="1"/>
  <c r="Y306" i="29" s="1"/>
  <c r="X306" i="29"/>
  <c r="T149" i="29"/>
  <c r="U149" i="29" s="1"/>
  <c r="W149" i="29" s="1"/>
  <c r="Y149" i="29" s="1"/>
  <c r="X149" i="29"/>
  <c r="T204" i="29"/>
  <c r="U204" i="29" s="1"/>
  <c r="W204" i="29" s="1"/>
  <c r="Y204" i="29" s="1"/>
  <c r="X204" i="29"/>
  <c r="T160" i="29"/>
  <c r="U160" i="29" s="1"/>
  <c r="W160" i="29" s="1"/>
  <c r="Y160" i="29" s="1"/>
  <c r="X160" i="29"/>
  <c r="T166" i="29"/>
  <c r="U166" i="29" s="1"/>
  <c r="W166" i="29" s="1"/>
  <c r="Y166" i="29" s="1"/>
  <c r="X166" i="29"/>
  <c r="T288" i="29"/>
  <c r="U288" i="29" s="1"/>
  <c r="W288" i="29" s="1"/>
  <c r="Y288" i="29" s="1"/>
  <c r="X288" i="29"/>
  <c r="T52" i="29"/>
  <c r="U52" i="29" s="1"/>
  <c r="W52" i="29" s="1"/>
  <c r="Y52" i="29" s="1"/>
  <c r="X52" i="29"/>
  <c r="Z296" i="29"/>
  <c r="T97" i="29"/>
  <c r="U97" i="29" s="1"/>
  <c r="W97" i="29" s="1"/>
  <c r="Y97" i="29" s="1"/>
  <c r="X97" i="29"/>
  <c r="T216" i="29"/>
  <c r="U216" i="29" s="1"/>
  <c r="W216" i="29" s="1"/>
  <c r="Y216" i="29" s="1"/>
  <c r="X216" i="29"/>
  <c r="T14" i="29"/>
  <c r="U14" i="29" s="1"/>
  <c r="W14" i="29" s="1"/>
  <c r="Y14" i="29" s="1"/>
  <c r="X14" i="29"/>
  <c r="T144" i="29"/>
  <c r="U144" i="29" s="1"/>
  <c r="W144" i="29" s="1"/>
  <c r="Y144" i="29" s="1"/>
  <c r="X144" i="29"/>
  <c r="T174" i="29"/>
  <c r="U174" i="29" s="1"/>
  <c r="W174" i="29" s="1"/>
  <c r="Y174" i="29" s="1"/>
  <c r="X174" i="29"/>
  <c r="T29" i="29"/>
  <c r="U29" i="29" s="1"/>
  <c r="W29" i="29" s="1"/>
  <c r="Y29" i="29" s="1"/>
  <c r="X29" i="29"/>
  <c r="T134" i="29"/>
  <c r="U134" i="29" s="1"/>
  <c r="W134" i="29" s="1"/>
  <c r="Y134" i="29" s="1"/>
  <c r="X134" i="29"/>
  <c r="T16" i="29"/>
  <c r="U16" i="29" s="1"/>
  <c r="W16" i="29" s="1"/>
  <c r="Y16" i="29" s="1"/>
  <c r="X16" i="29"/>
  <c r="Z239" i="29"/>
  <c r="AC239" i="29"/>
  <c r="T80" i="30"/>
  <c r="U80" i="30" s="1"/>
  <c r="W80" i="30" s="1"/>
  <c r="Y80" i="30" s="1"/>
  <c r="X80" i="30"/>
  <c r="T147" i="30"/>
  <c r="U147" i="30" s="1"/>
  <c r="W147" i="30" s="1"/>
  <c r="Y147" i="30" s="1"/>
  <c r="X147" i="30"/>
  <c r="Z132" i="30"/>
  <c r="T56" i="30"/>
  <c r="U56" i="30" s="1"/>
  <c r="W56" i="30" s="1"/>
  <c r="Y56" i="30" s="1"/>
  <c r="X56" i="30"/>
  <c r="T19" i="30"/>
  <c r="U19" i="30" s="1"/>
  <c r="W19" i="30" s="1"/>
  <c r="Y19" i="30" s="1"/>
  <c r="AA19" i="30" s="1"/>
  <c r="X19" i="30"/>
  <c r="T51" i="30"/>
  <c r="U51" i="30" s="1"/>
  <c r="W51" i="30" s="1"/>
  <c r="Y51" i="30" s="1"/>
  <c r="X51" i="30"/>
  <c r="T96" i="30"/>
  <c r="U96" i="30" s="1"/>
  <c r="W96" i="30" s="1"/>
  <c r="Y96" i="30" s="1"/>
  <c r="X96" i="30"/>
  <c r="T98" i="30"/>
  <c r="U98" i="30" s="1"/>
  <c r="W98" i="30" s="1"/>
  <c r="Y98" i="30" s="1"/>
  <c r="X98" i="30"/>
  <c r="T52" i="30"/>
  <c r="U52" i="30" s="1"/>
  <c r="W52" i="30" s="1"/>
  <c r="Y52" i="30" s="1"/>
  <c r="X52" i="30"/>
  <c r="T92" i="30"/>
  <c r="U92" i="30" s="1"/>
  <c r="W92" i="30" s="1"/>
  <c r="Y92" i="30" s="1"/>
  <c r="X92" i="30"/>
  <c r="T95" i="30"/>
  <c r="U95" i="30" s="1"/>
  <c r="W95" i="30" s="1"/>
  <c r="Y95" i="30" s="1"/>
  <c r="X95" i="30"/>
  <c r="T35" i="30"/>
  <c r="U35" i="30" s="1"/>
  <c r="W35" i="30" s="1"/>
  <c r="Y35" i="30" s="1"/>
  <c r="AA35" i="30" s="1"/>
  <c r="X35" i="30"/>
  <c r="T78" i="30"/>
  <c r="U78" i="30" s="1"/>
  <c r="W78" i="30" s="1"/>
  <c r="Y78" i="30" s="1"/>
  <c r="X78" i="30"/>
  <c r="T758" i="29"/>
  <c r="U758" i="29" s="1"/>
  <c r="W758" i="29" s="1"/>
  <c r="Y758" i="29" s="1"/>
  <c r="X758" i="29"/>
  <c r="T686" i="29"/>
  <c r="U686" i="29" s="1"/>
  <c r="W686" i="29" s="1"/>
  <c r="Y686" i="29" s="1"/>
  <c r="X686" i="29"/>
  <c r="T708" i="29"/>
  <c r="U708" i="29" s="1"/>
  <c r="W708" i="29" s="1"/>
  <c r="Y708" i="29" s="1"/>
  <c r="X708" i="29"/>
  <c r="T666" i="29"/>
  <c r="U666" i="29" s="1"/>
  <c r="W666" i="29" s="1"/>
  <c r="Y666" i="29" s="1"/>
  <c r="X666" i="29"/>
  <c r="T433" i="29"/>
  <c r="U433" i="29" s="1"/>
  <c r="W433" i="29" s="1"/>
  <c r="Y433" i="29" s="1"/>
  <c r="X433" i="29"/>
  <c r="T669" i="29"/>
  <c r="U669" i="29" s="1"/>
  <c r="W669" i="29" s="1"/>
  <c r="Y669" i="29" s="1"/>
  <c r="X669" i="29"/>
  <c r="T397" i="29"/>
  <c r="U397" i="29" s="1"/>
  <c r="W397" i="29" s="1"/>
  <c r="Y397" i="29" s="1"/>
  <c r="X397" i="29"/>
  <c r="T741" i="29"/>
  <c r="U741" i="29" s="1"/>
  <c r="W741" i="29" s="1"/>
  <c r="Y741" i="29" s="1"/>
  <c r="X741" i="29"/>
  <c r="T517" i="29"/>
  <c r="U517" i="29" s="1"/>
  <c r="W517" i="29" s="1"/>
  <c r="Y517" i="29" s="1"/>
  <c r="X517" i="29"/>
  <c r="T328" i="29"/>
  <c r="U328" i="29" s="1"/>
  <c r="W328" i="29" s="1"/>
  <c r="Y328" i="29" s="1"/>
  <c r="X328" i="29"/>
  <c r="T540" i="29"/>
  <c r="U540" i="29" s="1"/>
  <c r="W540" i="29" s="1"/>
  <c r="Y540" i="29" s="1"/>
  <c r="X540" i="29"/>
  <c r="T654" i="29"/>
  <c r="U654" i="29" s="1"/>
  <c r="W654" i="29" s="1"/>
  <c r="Y654" i="29" s="1"/>
  <c r="X654" i="29"/>
  <c r="T446" i="29"/>
  <c r="U446" i="29" s="1"/>
  <c r="W446" i="29" s="1"/>
  <c r="Y446" i="29" s="1"/>
  <c r="X446" i="29"/>
  <c r="T574" i="29"/>
  <c r="U574" i="29" s="1"/>
  <c r="W574" i="29" s="1"/>
  <c r="Y574" i="29" s="1"/>
  <c r="X574" i="29"/>
  <c r="T740" i="29"/>
  <c r="U740" i="29" s="1"/>
  <c r="W740" i="29" s="1"/>
  <c r="Y740" i="29" s="1"/>
  <c r="X740" i="29"/>
  <c r="AC766" i="29"/>
  <c r="Z766" i="29"/>
  <c r="T646" i="29"/>
  <c r="U646" i="29" s="1"/>
  <c r="W646" i="29" s="1"/>
  <c r="Y646" i="29" s="1"/>
  <c r="X646" i="29"/>
  <c r="T508" i="29"/>
  <c r="U508" i="29" s="1"/>
  <c r="W508" i="29" s="1"/>
  <c r="Y508" i="29" s="1"/>
  <c r="X508" i="29"/>
  <c r="T334" i="29"/>
  <c r="U334" i="29" s="1"/>
  <c r="W334" i="29" s="1"/>
  <c r="Y334" i="29" s="1"/>
  <c r="X334" i="29"/>
  <c r="T383" i="29"/>
  <c r="U383" i="29" s="1"/>
  <c r="W383" i="29" s="1"/>
  <c r="Y383" i="29" s="1"/>
  <c r="X383" i="29"/>
  <c r="T625" i="29"/>
  <c r="U625" i="29" s="1"/>
  <c r="W625" i="29" s="1"/>
  <c r="Y625" i="29" s="1"/>
  <c r="X625" i="29"/>
  <c r="T709" i="29"/>
  <c r="U709" i="29" s="1"/>
  <c r="W709" i="29" s="1"/>
  <c r="Y709" i="29" s="1"/>
  <c r="X709" i="29"/>
  <c r="T463" i="29"/>
  <c r="U463" i="29" s="1"/>
  <c r="W463" i="29" s="1"/>
  <c r="Y463" i="29" s="1"/>
  <c r="X463" i="29"/>
  <c r="T89" i="29"/>
  <c r="U89" i="29" s="1"/>
  <c r="W89" i="29" s="1"/>
  <c r="Y89" i="29" s="1"/>
  <c r="X89" i="29"/>
  <c r="T113" i="30"/>
  <c r="U113" i="30" s="1"/>
  <c r="W113" i="30" s="1"/>
  <c r="Y113" i="30" s="1"/>
  <c r="X113" i="30"/>
  <c r="T133" i="30"/>
  <c r="U133" i="30" s="1"/>
  <c r="W133" i="30" s="1"/>
  <c r="Y133" i="30" s="1"/>
  <c r="X133" i="30"/>
  <c r="T84" i="30"/>
  <c r="U84" i="30" s="1"/>
  <c r="W84" i="30" s="1"/>
  <c r="Y84" i="30" s="1"/>
  <c r="X84" i="30"/>
  <c r="T136" i="30"/>
  <c r="U136" i="30" s="1"/>
  <c r="W136" i="30" s="1"/>
  <c r="Y136" i="30" s="1"/>
  <c r="X136" i="30"/>
  <c r="T112" i="30"/>
  <c r="U112" i="30" s="1"/>
  <c r="W112" i="30" s="1"/>
  <c r="Y112" i="30" s="1"/>
  <c r="X112" i="30"/>
  <c r="T58" i="30"/>
  <c r="U58" i="30" s="1"/>
  <c r="W58" i="30" s="1"/>
  <c r="Y58" i="30" s="1"/>
  <c r="X58" i="30"/>
  <c r="T108" i="30"/>
  <c r="U108" i="30" s="1"/>
  <c r="W108" i="30" s="1"/>
  <c r="Y108" i="30" s="1"/>
  <c r="X108" i="30"/>
  <c r="T94" i="30"/>
  <c r="U94" i="30" s="1"/>
  <c r="W94" i="30" s="1"/>
  <c r="Y94" i="30" s="1"/>
  <c r="X94" i="30"/>
  <c r="T97" i="30"/>
  <c r="U97" i="30" s="1"/>
  <c r="W97" i="30" s="1"/>
  <c r="Y97" i="30" s="1"/>
  <c r="X97" i="30"/>
  <c r="T82" i="30"/>
  <c r="U82" i="30" s="1"/>
  <c r="W82" i="30" s="1"/>
  <c r="Y82" i="30" s="1"/>
  <c r="X82" i="30"/>
  <c r="T89" i="30"/>
  <c r="U89" i="30" s="1"/>
  <c r="W89" i="30" s="1"/>
  <c r="Y89" i="30" s="1"/>
  <c r="X89" i="30"/>
  <c r="T33" i="30"/>
  <c r="U33" i="30" s="1"/>
  <c r="W33" i="30" s="1"/>
  <c r="Y33" i="30" s="1"/>
  <c r="AA33" i="30" s="1"/>
  <c r="X33" i="30"/>
  <c r="T148" i="30"/>
  <c r="U148" i="30" s="1"/>
  <c r="W148" i="30" s="1"/>
  <c r="Y148" i="30" s="1"/>
  <c r="X148" i="30"/>
  <c r="T91" i="30"/>
  <c r="U91" i="30" s="1"/>
  <c r="W91" i="30" s="1"/>
  <c r="Y91" i="30" s="1"/>
  <c r="X91" i="30"/>
  <c r="T87" i="30"/>
  <c r="U87" i="30" s="1"/>
  <c r="W87" i="30" s="1"/>
  <c r="Y87" i="30" s="1"/>
  <c r="X87" i="30"/>
  <c r="T85" i="30"/>
  <c r="U85" i="30" s="1"/>
  <c r="W85" i="30" s="1"/>
  <c r="Y85" i="30" s="1"/>
  <c r="X85" i="30"/>
  <c r="X49" i="30"/>
  <c r="X155" i="30"/>
  <c r="T157" i="30"/>
  <c r="U157" i="30" s="1"/>
  <c r="W157" i="30" s="1"/>
  <c r="Y157" i="30" s="1"/>
  <c r="X157" i="30"/>
  <c r="T79" i="30"/>
  <c r="U79" i="30" s="1"/>
  <c r="W79" i="30" s="1"/>
  <c r="Y79" i="30" s="1"/>
  <c r="X79" i="30"/>
  <c r="T110" i="30"/>
  <c r="U110" i="30" s="1"/>
  <c r="W110" i="30" s="1"/>
  <c r="Y110" i="30" s="1"/>
  <c r="X110" i="30"/>
  <c r="Z69" i="30"/>
  <c r="T690" i="29"/>
  <c r="U690" i="29" s="1"/>
  <c r="W690" i="29" s="1"/>
  <c r="Y690" i="29" s="1"/>
  <c r="X690" i="29"/>
  <c r="T208" i="29"/>
  <c r="U208" i="29" s="1"/>
  <c r="W208" i="29" s="1"/>
  <c r="Y208" i="29" s="1"/>
  <c r="X208" i="29"/>
  <c r="T230" i="29"/>
  <c r="U230" i="29" s="1"/>
  <c r="W230" i="29" s="1"/>
  <c r="Y230" i="29" s="1"/>
  <c r="X230" i="29"/>
  <c r="T703" i="29"/>
  <c r="U703" i="29" s="1"/>
  <c r="W703" i="29" s="1"/>
  <c r="Y703" i="29" s="1"/>
  <c r="X703" i="29"/>
  <c r="T691" i="29"/>
  <c r="U691" i="29" s="1"/>
  <c r="W691" i="29" s="1"/>
  <c r="Y691" i="29" s="1"/>
  <c r="X691" i="29"/>
  <c r="T533" i="29"/>
  <c r="U533" i="29" s="1"/>
  <c r="W533" i="29" s="1"/>
  <c r="Y533" i="29" s="1"/>
  <c r="X533" i="29"/>
  <c r="T561" i="29"/>
  <c r="U561" i="29" s="1"/>
  <c r="W561" i="29" s="1"/>
  <c r="Y561" i="29" s="1"/>
  <c r="X561" i="29"/>
  <c r="T575" i="29"/>
  <c r="U575" i="29" s="1"/>
  <c r="W575" i="29" s="1"/>
  <c r="Y575" i="29" s="1"/>
  <c r="X575" i="29"/>
  <c r="T770" i="29"/>
  <c r="U770" i="29" s="1"/>
  <c r="W770" i="29" s="1"/>
  <c r="Y770" i="29" s="1"/>
  <c r="X770" i="29"/>
  <c r="T579" i="29"/>
  <c r="U579" i="29" s="1"/>
  <c r="W579" i="29" s="1"/>
  <c r="Y579" i="29" s="1"/>
  <c r="X579" i="29"/>
  <c r="T668" i="29"/>
  <c r="U668" i="29" s="1"/>
  <c r="W668" i="29" s="1"/>
  <c r="Y668" i="29" s="1"/>
  <c r="X668" i="29"/>
  <c r="T584" i="29"/>
  <c r="U584" i="29" s="1"/>
  <c r="W584" i="29" s="1"/>
  <c r="Y584" i="29" s="1"/>
  <c r="X584" i="29"/>
  <c r="T664" i="29"/>
  <c r="U664" i="29" s="1"/>
  <c r="W664" i="29" s="1"/>
  <c r="Y664" i="29" s="1"/>
  <c r="X664" i="29"/>
  <c r="T732" i="29"/>
  <c r="U732" i="29" s="1"/>
  <c r="W732" i="29" s="1"/>
  <c r="Y732" i="29" s="1"/>
  <c r="X732" i="29"/>
  <c r="T610" i="29"/>
  <c r="U610" i="29" s="1"/>
  <c r="W610" i="29" s="1"/>
  <c r="Y610" i="29" s="1"/>
  <c r="X610" i="29"/>
  <c r="T711" i="29"/>
  <c r="U711" i="29" s="1"/>
  <c r="W711" i="29" s="1"/>
  <c r="Y711" i="29" s="1"/>
  <c r="X711" i="29"/>
  <c r="T606" i="29"/>
  <c r="U606" i="29" s="1"/>
  <c r="W606" i="29" s="1"/>
  <c r="Y606" i="29" s="1"/>
  <c r="X606" i="29"/>
  <c r="T408" i="29"/>
  <c r="U408" i="29" s="1"/>
  <c r="W408" i="29" s="1"/>
  <c r="Y408" i="29" s="1"/>
  <c r="X408" i="29"/>
  <c r="T126" i="29"/>
  <c r="U126" i="29" s="1"/>
  <c r="W126" i="29" s="1"/>
  <c r="Y126" i="29" s="1"/>
  <c r="X126" i="29"/>
  <c r="T752" i="29"/>
  <c r="U752" i="29" s="1"/>
  <c r="W752" i="29" s="1"/>
  <c r="Y752" i="29" s="1"/>
  <c r="X752" i="29"/>
  <c r="T739" i="29"/>
  <c r="U739" i="29" s="1"/>
  <c r="W739" i="29" s="1"/>
  <c r="Y739" i="29" s="1"/>
  <c r="X739" i="29"/>
  <c r="T685" i="29"/>
  <c r="U685" i="29" s="1"/>
  <c r="W685" i="29" s="1"/>
  <c r="Y685" i="29" s="1"/>
  <c r="X685" i="29"/>
  <c r="T580" i="29"/>
  <c r="U580" i="29" s="1"/>
  <c r="W580" i="29" s="1"/>
  <c r="Y580" i="29" s="1"/>
  <c r="X580" i="29"/>
  <c r="AC560" i="29"/>
  <c r="Z560" i="29"/>
  <c r="T404" i="29"/>
  <c r="U404" i="29" s="1"/>
  <c r="W404" i="29" s="1"/>
  <c r="Y404" i="29" s="1"/>
  <c r="X404" i="29"/>
  <c r="T361" i="29"/>
  <c r="U361" i="29" s="1"/>
  <c r="W361" i="29" s="1"/>
  <c r="Y361" i="29" s="1"/>
  <c r="X361" i="29"/>
  <c r="T167" i="29"/>
  <c r="U167" i="29" s="1"/>
  <c r="W167" i="29" s="1"/>
  <c r="Y167" i="29" s="1"/>
  <c r="X167" i="29"/>
  <c r="T754" i="29"/>
  <c r="U754" i="29" s="1"/>
  <c r="W754" i="29" s="1"/>
  <c r="Y754" i="29" s="1"/>
  <c r="X754" i="29"/>
  <c r="T700" i="29"/>
  <c r="U700" i="29" s="1"/>
  <c r="W700" i="29" s="1"/>
  <c r="Y700" i="29" s="1"/>
  <c r="X700" i="29"/>
  <c r="T734" i="29"/>
  <c r="U734" i="29" s="1"/>
  <c r="W734" i="29" s="1"/>
  <c r="Y734" i="29" s="1"/>
  <c r="X734" i="29"/>
  <c r="T749" i="29"/>
  <c r="U749" i="29" s="1"/>
  <c r="W749" i="29" s="1"/>
  <c r="Y749" i="29" s="1"/>
  <c r="X749" i="29"/>
  <c r="T773" i="29"/>
  <c r="U773" i="29" s="1"/>
  <c r="W773" i="29" s="1"/>
  <c r="Y773" i="29" s="1"/>
  <c r="X773" i="29"/>
  <c r="T698" i="29"/>
  <c r="U698" i="29" s="1"/>
  <c r="W698" i="29" s="1"/>
  <c r="Y698" i="29" s="1"/>
  <c r="X698" i="29"/>
  <c r="T526" i="29"/>
  <c r="U526" i="29" s="1"/>
  <c r="W526" i="29" s="1"/>
  <c r="Y526" i="29" s="1"/>
  <c r="X526" i="29"/>
  <c r="T707" i="29"/>
  <c r="U707" i="29" s="1"/>
  <c r="W707" i="29" s="1"/>
  <c r="Y707" i="29" s="1"/>
  <c r="X707" i="29"/>
  <c r="T643" i="29"/>
  <c r="U643" i="29" s="1"/>
  <c r="W643" i="29" s="1"/>
  <c r="Y643" i="29" s="1"/>
  <c r="X643" i="29"/>
  <c r="T653" i="29"/>
  <c r="U653" i="29" s="1"/>
  <c r="W653" i="29" s="1"/>
  <c r="Y653" i="29" s="1"/>
  <c r="X653" i="29"/>
  <c r="T608" i="29"/>
  <c r="U608" i="29" s="1"/>
  <c r="W608" i="29" s="1"/>
  <c r="Y608" i="29" s="1"/>
  <c r="X608" i="29"/>
  <c r="T481" i="29"/>
  <c r="U481" i="29" s="1"/>
  <c r="W481" i="29" s="1"/>
  <c r="Y481" i="29" s="1"/>
  <c r="X481" i="29"/>
  <c r="T227" i="29"/>
  <c r="U227" i="29" s="1"/>
  <c r="W227" i="29" s="1"/>
  <c r="Y227" i="29" s="1"/>
  <c r="X227" i="29"/>
  <c r="T120" i="29"/>
  <c r="U120" i="29" s="1"/>
  <c r="W120" i="29" s="1"/>
  <c r="Y120" i="29" s="1"/>
  <c r="X120" i="29"/>
  <c r="T659" i="29"/>
  <c r="U659" i="29" s="1"/>
  <c r="W659" i="29" s="1"/>
  <c r="Y659" i="29" s="1"/>
  <c r="X659" i="29"/>
  <c r="T693" i="29"/>
  <c r="U693" i="29" s="1"/>
  <c r="W693" i="29" s="1"/>
  <c r="Y693" i="29" s="1"/>
  <c r="X693" i="29"/>
  <c r="T738" i="29"/>
  <c r="U738" i="29" s="1"/>
  <c r="W738" i="29" s="1"/>
  <c r="Y738" i="29" s="1"/>
  <c r="X738" i="29"/>
  <c r="T663" i="29"/>
  <c r="U663" i="29" s="1"/>
  <c r="W663" i="29" s="1"/>
  <c r="Y663" i="29" s="1"/>
  <c r="X663" i="29"/>
  <c r="T571" i="29"/>
  <c r="U571" i="29" s="1"/>
  <c r="W571" i="29" s="1"/>
  <c r="Y571" i="29" s="1"/>
  <c r="X571" i="29"/>
  <c r="T736" i="29"/>
  <c r="U736" i="29" s="1"/>
  <c r="W736" i="29" s="1"/>
  <c r="Y736" i="29" s="1"/>
  <c r="X736" i="29"/>
  <c r="T518" i="29"/>
  <c r="U518" i="29" s="1"/>
  <c r="W518" i="29" s="1"/>
  <c r="Y518" i="29" s="1"/>
  <c r="X518" i="29"/>
  <c r="T569" i="29"/>
  <c r="U569" i="29" s="1"/>
  <c r="W569" i="29" s="1"/>
  <c r="Y569" i="29" s="1"/>
  <c r="X569" i="29"/>
  <c r="T590" i="29"/>
  <c r="U590" i="29" s="1"/>
  <c r="W590" i="29" s="1"/>
  <c r="Y590" i="29" s="1"/>
  <c r="X590" i="29"/>
  <c r="T581" i="29"/>
  <c r="U581" i="29" s="1"/>
  <c r="W581" i="29" s="1"/>
  <c r="Y581" i="29" s="1"/>
  <c r="X581" i="29"/>
  <c r="T316" i="29"/>
  <c r="U316" i="29" s="1"/>
  <c r="W316" i="29" s="1"/>
  <c r="Y316" i="29" s="1"/>
  <c r="X316" i="29"/>
  <c r="T605" i="29"/>
  <c r="U605" i="29" s="1"/>
  <c r="W605" i="29" s="1"/>
  <c r="Y605" i="29" s="1"/>
  <c r="X605" i="29"/>
  <c r="T661" i="29"/>
  <c r="U661" i="29" s="1"/>
  <c r="W661" i="29" s="1"/>
  <c r="Y661" i="29" s="1"/>
  <c r="X661" i="29"/>
  <c r="T613" i="29"/>
  <c r="U613" i="29" s="1"/>
  <c r="W613" i="29" s="1"/>
  <c r="Y613" i="29" s="1"/>
  <c r="X613" i="29"/>
  <c r="T525" i="29"/>
  <c r="U525" i="29" s="1"/>
  <c r="W525" i="29" s="1"/>
  <c r="Y525" i="29" s="1"/>
  <c r="X525" i="29"/>
  <c r="T455" i="29"/>
  <c r="U455" i="29" s="1"/>
  <c r="W455" i="29" s="1"/>
  <c r="Y455" i="29" s="1"/>
  <c r="X455" i="29"/>
  <c r="T442" i="29"/>
  <c r="U442" i="29" s="1"/>
  <c r="W442" i="29" s="1"/>
  <c r="Y442" i="29" s="1"/>
  <c r="X442" i="29"/>
  <c r="T769" i="29"/>
  <c r="U769" i="29" s="1"/>
  <c r="W769" i="29" s="1"/>
  <c r="Y769" i="29" s="1"/>
  <c r="X769" i="29"/>
  <c r="T514" i="29"/>
  <c r="U514" i="29" s="1"/>
  <c r="W514" i="29" s="1"/>
  <c r="Y514" i="29" s="1"/>
  <c r="X514" i="29"/>
  <c r="T487" i="29"/>
  <c r="U487" i="29" s="1"/>
  <c r="W487" i="29" s="1"/>
  <c r="Y487" i="29" s="1"/>
  <c r="X487" i="29"/>
  <c r="T403" i="29"/>
  <c r="U403" i="29" s="1"/>
  <c r="W403" i="29" s="1"/>
  <c r="Y403" i="29" s="1"/>
  <c r="X403" i="29"/>
  <c r="T353" i="29"/>
  <c r="U353" i="29" s="1"/>
  <c r="W353" i="29" s="1"/>
  <c r="Y353" i="29" s="1"/>
  <c r="X353" i="29"/>
  <c r="T449" i="29"/>
  <c r="U449" i="29" s="1"/>
  <c r="W449" i="29" s="1"/>
  <c r="Y449" i="29" s="1"/>
  <c r="X449" i="29"/>
  <c r="T672" i="29"/>
  <c r="U672" i="29" s="1"/>
  <c r="W672" i="29" s="1"/>
  <c r="Y672" i="29" s="1"/>
  <c r="X672" i="29"/>
  <c r="T702" i="29"/>
  <c r="U702" i="29" s="1"/>
  <c r="W702" i="29" s="1"/>
  <c r="Y702" i="29" s="1"/>
  <c r="X702" i="29"/>
  <c r="T424" i="29"/>
  <c r="U424" i="29" s="1"/>
  <c r="W424" i="29" s="1"/>
  <c r="Y424" i="29" s="1"/>
  <c r="X424" i="29"/>
  <c r="T363" i="29"/>
  <c r="U363" i="29" s="1"/>
  <c r="W363" i="29" s="1"/>
  <c r="Y363" i="29" s="1"/>
  <c r="X363" i="29"/>
  <c r="T321" i="29"/>
  <c r="U321" i="29" s="1"/>
  <c r="W321" i="29" s="1"/>
  <c r="Y321" i="29" s="1"/>
  <c r="X321" i="29"/>
  <c r="T600" i="29"/>
  <c r="U600" i="29" s="1"/>
  <c r="W600" i="29" s="1"/>
  <c r="Y600" i="29" s="1"/>
  <c r="X600" i="29"/>
  <c r="T639" i="29"/>
  <c r="U639" i="29" s="1"/>
  <c r="W639" i="29" s="1"/>
  <c r="Y639" i="29" s="1"/>
  <c r="X639" i="29"/>
  <c r="T612" i="29"/>
  <c r="U612" i="29" s="1"/>
  <c r="W612" i="29" s="1"/>
  <c r="Y612" i="29" s="1"/>
  <c r="X612" i="29"/>
  <c r="T524" i="29"/>
  <c r="U524" i="29" s="1"/>
  <c r="W524" i="29" s="1"/>
  <c r="Y524" i="29" s="1"/>
  <c r="X524" i="29"/>
  <c r="Z565" i="29"/>
  <c r="T422" i="29"/>
  <c r="U422" i="29" s="1"/>
  <c r="W422" i="29" s="1"/>
  <c r="Y422" i="29" s="1"/>
  <c r="X422" i="29"/>
  <c r="T536" i="29"/>
  <c r="U536" i="29" s="1"/>
  <c r="W536" i="29" s="1"/>
  <c r="Y536" i="29" s="1"/>
  <c r="X536" i="29"/>
  <c r="T466" i="29"/>
  <c r="U466" i="29" s="1"/>
  <c r="W466" i="29" s="1"/>
  <c r="Y466" i="29" s="1"/>
  <c r="X466" i="29"/>
  <c r="T484" i="29"/>
  <c r="U484" i="29" s="1"/>
  <c r="W484" i="29" s="1"/>
  <c r="Y484" i="29" s="1"/>
  <c r="X484" i="29"/>
  <c r="T399" i="29"/>
  <c r="U399" i="29" s="1"/>
  <c r="W399" i="29" s="1"/>
  <c r="Y399" i="29" s="1"/>
  <c r="X399" i="29"/>
  <c r="T351" i="29"/>
  <c r="U351" i="29" s="1"/>
  <c r="W351" i="29" s="1"/>
  <c r="Y351" i="29" s="1"/>
  <c r="X351" i="29"/>
  <c r="Z253" i="29"/>
  <c r="T486" i="29"/>
  <c r="U486" i="29" s="1"/>
  <c r="W486" i="29" s="1"/>
  <c r="Y486" i="29" s="1"/>
  <c r="X486" i="29"/>
  <c r="T527" i="29"/>
  <c r="U527" i="29" s="1"/>
  <c r="W527" i="29" s="1"/>
  <c r="Y527" i="29" s="1"/>
  <c r="X527" i="29"/>
  <c r="T402" i="29"/>
  <c r="U402" i="29" s="1"/>
  <c r="W402" i="29" s="1"/>
  <c r="Y402" i="29" s="1"/>
  <c r="X402" i="29"/>
  <c r="T339" i="29"/>
  <c r="U339" i="29" s="1"/>
  <c r="W339" i="29" s="1"/>
  <c r="Y339" i="29" s="1"/>
  <c r="X339" i="29"/>
  <c r="T286" i="29"/>
  <c r="U286" i="29" s="1"/>
  <c r="W286" i="29" s="1"/>
  <c r="Y286" i="29" s="1"/>
  <c r="X286" i="29"/>
  <c r="T148" i="29"/>
  <c r="U148" i="29" s="1"/>
  <c r="W148" i="29" s="1"/>
  <c r="Y148" i="29" s="1"/>
  <c r="X148" i="29"/>
  <c r="T532" i="29"/>
  <c r="U532" i="29" s="1"/>
  <c r="W532" i="29" s="1"/>
  <c r="Y532" i="29" s="1"/>
  <c r="X532" i="29"/>
  <c r="T451" i="29"/>
  <c r="U451" i="29" s="1"/>
  <c r="W451" i="29" s="1"/>
  <c r="Y451" i="29" s="1"/>
  <c r="X451" i="29"/>
  <c r="T395" i="29"/>
  <c r="U395" i="29" s="1"/>
  <c r="W395" i="29" s="1"/>
  <c r="Y395" i="29" s="1"/>
  <c r="X395" i="29"/>
  <c r="T350" i="29"/>
  <c r="U350" i="29" s="1"/>
  <c r="W350" i="29" s="1"/>
  <c r="Y350" i="29" s="1"/>
  <c r="X350" i="29"/>
  <c r="T238" i="29"/>
  <c r="U238" i="29" s="1"/>
  <c r="W238" i="29" s="1"/>
  <c r="Y238" i="29" s="1"/>
  <c r="X238" i="29"/>
  <c r="T572" i="29"/>
  <c r="U572" i="29" s="1"/>
  <c r="W572" i="29" s="1"/>
  <c r="Y572" i="29" s="1"/>
  <c r="X572" i="29"/>
  <c r="T649" i="29"/>
  <c r="U649" i="29" s="1"/>
  <c r="W649" i="29" s="1"/>
  <c r="Y649" i="29" s="1"/>
  <c r="X649" i="29"/>
  <c r="T346" i="29"/>
  <c r="U346" i="29" s="1"/>
  <c r="W346" i="29" s="1"/>
  <c r="Y346" i="29" s="1"/>
  <c r="X346" i="29"/>
  <c r="T323" i="29"/>
  <c r="U323" i="29" s="1"/>
  <c r="W323" i="29" s="1"/>
  <c r="Y323" i="29" s="1"/>
  <c r="X323" i="29"/>
  <c r="T150" i="29"/>
  <c r="U150" i="29" s="1"/>
  <c r="W150" i="29" s="1"/>
  <c r="Y150" i="29" s="1"/>
  <c r="X150" i="29"/>
  <c r="T225" i="29"/>
  <c r="U225" i="29" s="1"/>
  <c r="W225" i="29" s="1"/>
  <c r="Y225" i="29" s="1"/>
  <c r="X225" i="29"/>
  <c r="T393" i="29"/>
  <c r="U393" i="29" s="1"/>
  <c r="W393" i="29" s="1"/>
  <c r="Y393" i="29" s="1"/>
  <c r="X393" i="29"/>
  <c r="T240" i="29"/>
  <c r="U240" i="29" s="1"/>
  <c r="W240" i="29" s="1"/>
  <c r="Y240" i="29" s="1"/>
  <c r="X240" i="29"/>
  <c r="T378" i="29"/>
  <c r="U378" i="29" s="1"/>
  <c r="W378" i="29" s="1"/>
  <c r="Y378" i="29" s="1"/>
  <c r="X378" i="29"/>
  <c r="T329" i="29"/>
  <c r="U329" i="29" s="1"/>
  <c r="W329" i="29" s="1"/>
  <c r="Y329" i="29" s="1"/>
  <c r="X329" i="29"/>
  <c r="T268" i="29"/>
  <c r="U268" i="29" s="1"/>
  <c r="W268" i="29" s="1"/>
  <c r="Y268" i="29" s="1"/>
  <c r="X268" i="29"/>
  <c r="T209" i="29"/>
  <c r="U209" i="29" s="1"/>
  <c r="W209" i="29" s="1"/>
  <c r="Y209" i="29" s="1"/>
  <c r="X209" i="29"/>
  <c r="T344" i="29"/>
  <c r="U344" i="29" s="1"/>
  <c r="W344" i="29" s="1"/>
  <c r="Y344" i="29" s="1"/>
  <c r="X344" i="29"/>
  <c r="T152" i="29"/>
  <c r="U152" i="29" s="1"/>
  <c r="W152" i="29" s="1"/>
  <c r="Y152" i="29" s="1"/>
  <c r="X152" i="29"/>
  <c r="T158" i="29"/>
  <c r="U158" i="29" s="1"/>
  <c r="W158" i="29" s="1"/>
  <c r="Y158" i="29" s="1"/>
  <c r="X158" i="29"/>
  <c r="T199" i="29"/>
  <c r="U199" i="29" s="1"/>
  <c r="W199" i="29" s="1"/>
  <c r="Y199" i="29" s="1"/>
  <c r="X199" i="29"/>
  <c r="T92" i="29"/>
  <c r="U92" i="29" s="1"/>
  <c r="W92" i="29" s="1"/>
  <c r="Y92" i="29" s="1"/>
  <c r="X92" i="29"/>
  <c r="T202" i="29"/>
  <c r="U202" i="29" s="1"/>
  <c r="W202" i="29" s="1"/>
  <c r="Y202" i="29" s="1"/>
  <c r="X202" i="29"/>
  <c r="T241" i="29"/>
  <c r="U241" i="29" s="1"/>
  <c r="W241" i="29" s="1"/>
  <c r="Y241" i="29" s="1"/>
  <c r="X241" i="29"/>
  <c r="T398" i="29"/>
  <c r="U398" i="29" s="1"/>
  <c r="W398" i="29" s="1"/>
  <c r="Y398" i="29" s="1"/>
  <c r="X398" i="29"/>
  <c r="T342" i="29"/>
  <c r="U342" i="29" s="1"/>
  <c r="W342" i="29" s="1"/>
  <c r="Y342" i="29" s="1"/>
  <c r="X342" i="29"/>
  <c r="T289" i="29"/>
  <c r="U289" i="29" s="1"/>
  <c r="W289" i="29" s="1"/>
  <c r="Y289" i="29" s="1"/>
  <c r="X289" i="29"/>
  <c r="T220" i="29"/>
  <c r="U220" i="29" s="1"/>
  <c r="W220" i="29" s="1"/>
  <c r="Y220" i="29" s="1"/>
  <c r="X220" i="29"/>
  <c r="T357" i="29"/>
  <c r="U357" i="29" s="1"/>
  <c r="W357" i="29" s="1"/>
  <c r="Y357" i="29" s="1"/>
  <c r="X357" i="29"/>
  <c r="T294" i="29"/>
  <c r="U294" i="29" s="1"/>
  <c r="W294" i="29" s="1"/>
  <c r="Y294" i="29" s="1"/>
  <c r="X294" i="29"/>
  <c r="T170" i="29"/>
  <c r="U170" i="29" s="1"/>
  <c r="W170" i="29" s="1"/>
  <c r="Y170" i="29" s="1"/>
  <c r="X170" i="29"/>
  <c r="T98" i="29"/>
  <c r="U98" i="29" s="1"/>
  <c r="W98" i="29" s="1"/>
  <c r="Y98" i="29" s="1"/>
  <c r="X98" i="29"/>
  <c r="T55" i="29"/>
  <c r="U55" i="29" s="1"/>
  <c r="W55" i="29" s="1"/>
  <c r="Y55" i="29" s="1"/>
  <c r="X55" i="29"/>
  <c r="T333" i="29"/>
  <c r="U333" i="29" s="1"/>
  <c r="W333" i="29" s="1"/>
  <c r="Y333" i="29" s="1"/>
  <c r="X333" i="29"/>
  <c r="T290" i="29"/>
  <c r="U290" i="29" s="1"/>
  <c r="W290" i="29" s="1"/>
  <c r="Y290" i="29" s="1"/>
  <c r="X290" i="29"/>
  <c r="T675" i="29"/>
  <c r="U675" i="29" s="1"/>
  <c r="W675" i="29" s="1"/>
  <c r="Y675" i="29" s="1"/>
  <c r="X675" i="29"/>
  <c r="T390" i="29"/>
  <c r="U390" i="29" s="1"/>
  <c r="W390" i="29" s="1"/>
  <c r="Y390" i="29" s="1"/>
  <c r="X390" i="29"/>
  <c r="T263" i="29"/>
  <c r="U263" i="29" s="1"/>
  <c r="W263" i="29" s="1"/>
  <c r="Y263" i="29" s="1"/>
  <c r="X263" i="29"/>
  <c r="T375" i="29"/>
  <c r="U375" i="29" s="1"/>
  <c r="W375" i="29" s="1"/>
  <c r="Y375" i="29" s="1"/>
  <c r="X375" i="29"/>
  <c r="T324" i="29"/>
  <c r="U324" i="29" s="1"/>
  <c r="W324" i="29" s="1"/>
  <c r="Y324" i="29" s="1"/>
  <c r="X324" i="29"/>
  <c r="T273" i="29"/>
  <c r="U273" i="29" s="1"/>
  <c r="W273" i="29" s="1"/>
  <c r="Y273" i="29" s="1"/>
  <c r="X273" i="29"/>
  <c r="T427" i="29"/>
  <c r="U427" i="29" s="1"/>
  <c r="W427" i="29" s="1"/>
  <c r="Y427" i="29" s="1"/>
  <c r="X427" i="29"/>
  <c r="T338" i="29"/>
  <c r="U338" i="29" s="1"/>
  <c r="W338" i="29" s="1"/>
  <c r="Y338" i="29" s="1"/>
  <c r="X338" i="29"/>
  <c r="T157" i="29"/>
  <c r="U157" i="29" s="1"/>
  <c r="W157" i="29" s="1"/>
  <c r="Y157" i="29" s="1"/>
  <c r="X157" i="29"/>
  <c r="T115" i="29"/>
  <c r="U115" i="29" s="1"/>
  <c r="W115" i="29" s="1"/>
  <c r="Y115" i="29" s="1"/>
  <c r="X115" i="29"/>
  <c r="T162" i="29"/>
  <c r="U162" i="29" s="1"/>
  <c r="W162" i="29" s="1"/>
  <c r="Y162" i="29" s="1"/>
  <c r="X162" i="29"/>
  <c r="T274" i="29"/>
  <c r="U274" i="29" s="1"/>
  <c r="W274" i="29" s="1"/>
  <c r="Y274" i="29" s="1"/>
  <c r="X274" i="29"/>
  <c r="T63" i="29"/>
  <c r="U63" i="29" s="1"/>
  <c r="W63" i="29" s="1"/>
  <c r="Y63" i="29" s="1"/>
  <c r="X63" i="29"/>
  <c r="T118" i="29"/>
  <c r="U118" i="29" s="1"/>
  <c r="W118" i="29" s="1"/>
  <c r="Y118" i="29" s="1"/>
  <c r="X118" i="29"/>
  <c r="T107" i="29"/>
  <c r="U107" i="29" s="1"/>
  <c r="W107" i="29" s="1"/>
  <c r="Y107" i="29" s="1"/>
  <c r="X107" i="29"/>
  <c r="T266" i="29"/>
  <c r="U266" i="29" s="1"/>
  <c r="W266" i="29" s="1"/>
  <c r="Y266" i="29" s="1"/>
  <c r="X266" i="29"/>
  <c r="T38" i="29"/>
  <c r="U38" i="29" s="1"/>
  <c r="W38" i="29" s="1"/>
  <c r="Y38" i="29" s="1"/>
  <c r="X38" i="29"/>
  <c r="T224" i="29"/>
  <c r="U224" i="29" s="1"/>
  <c r="W224" i="29" s="1"/>
  <c r="Y224" i="29" s="1"/>
  <c r="X224" i="29"/>
  <c r="T20" i="29"/>
  <c r="U20" i="29" s="1"/>
  <c r="W20" i="29" s="1"/>
  <c r="Y20" i="29" s="1"/>
  <c r="X20" i="29"/>
  <c r="Z214" i="29"/>
  <c r="AC214" i="29"/>
  <c r="T32" i="29"/>
  <c r="U32" i="29" s="1"/>
  <c r="W32" i="29" s="1"/>
  <c r="Y32" i="29" s="1"/>
  <c r="X32" i="29"/>
  <c r="T132" i="29"/>
  <c r="U132" i="29" s="1"/>
  <c r="W132" i="29" s="1"/>
  <c r="Y132" i="29" s="1"/>
  <c r="X132" i="29"/>
  <c r="T154" i="29"/>
  <c r="U154" i="29" s="1"/>
  <c r="W154" i="29" s="1"/>
  <c r="Y154" i="29" s="1"/>
  <c r="X154" i="29"/>
  <c r="T33" i="29"/>
  <c r="U33" i="29" s="1"/>
  <c r="W33" i="29" s="1"/>
  <c r="Y33" i="29" s="1"/>
  <c r="X33" i="29"/>
  <c r="T121" i="29"/>
  <c r="U121" i="29" s="1"/>
  <c r="W121" i="29" s="1"/>
  <c r="Y121" i="29" s="1"/>
  <c r="X121" i="29"/>
  <c r="T105" i="29"/>
  <c r="U105" i="29" s="1"/>
  <c r="W105" i="29" s="1"/>
  <c r="Y105" i="29" s="1"/>
  <c r="X105" i="29"/>
  <c r="T201" i="29"/>
  <c r="U201" i="29" s="1"/>
  <c r="W201" i="29" s="1"/>
  <c r="Y201" i="29" s="1"/>
  <c r="X201" i="29"/>
  <c r="T45" i="29"/>
  <c r="U45" i="29" s="1"/>
  <c r="W45" i="29" s="1"/>
  <c r="Y45" i="29" s="1"/>
  <c r="X45" i="29"/>
  <c r="T283" i="29"/>
  <c r="U283" i="29" s="1"/>
  <c r="W283" i="29" s="1"/>
  <c r="Y283" i="29" s="1"/>
  <c r="X283" i="29"/>
  <c r="T46" i="29"/>
  <c r="U46" i="29" s="1"/>
  <c r="W46" i="29" s="1"/>
  <c r="Y46" i="29" s="1"/>
  <c r="X46" i="29"/>
  <c r="T258" i="29"/>
  <c r="U258" i="29" s="1"/>
  <c r="W258" i="29" s="1"/>
  <c r="Y258" i="29" s="1"/>
  <c r="X258" i="29"/>
  <c r="T56" i="29"/>
  <c r="U56" i="29" s="1"/>
  <c r="W56" i="29" s="1"/>
  <c r="Y56" i="29" s="1"/>
  <c r="X56" i="29"/>
  <c r="T36" i="29"/>
  <c r="U36" i="29" s="1"/>
  <c r="W36" i="29" s="1"/>
  <c r="Y36" i="29" s="1"/>
  <c r="X36" i="29"/>
  <c r="T175" i="29"/>
  <c r="U175" i="29" s="1"/>
  <c r="W175" i="29" s="1"/>
  <c r="Y175" i="29" s="1"/>
  <c r="X175" i="29"/>
  <c r="T26" i="29"/>
  <c r="U26" i="29" s="1"/>
  <c r="W26" i="29" s="1"/>
  <c r="Y26" i="29" s="1"/>
  <c r="X26" i="29"/>
  <c r="T282" i="29"/>
  <c r="U282" i="29" s="1"/>
  <c r="W282" i="29" s="1"/>
  <c r="Y282" i="29" s="1"/>
  <c r="X282" i="29"/>
  <c r="T75" i="29"/>
  <c r="U75" i="29" s="1"/>
  <c r="W75" i="29" s="1"/>
  <c r="Y75" i="29" s="1"/>
  <c r="X75" i="29"/>
  <c r="T59" i="29"/>
  <c r="U59" i="29" s="1"/>
  <c r="W59" i="29" s="1"/>
  <c r="Y59" i="29" s="1"/>
  <c r="X59" i="29"/>
  <c r="T243" i="29"/>
  <c r="U243" i="29" s="1"/>
  <c r="W243" i="29" s="1"/>
  <c r="Y243" i="29" s="1"/>
  <c r="X243" i="29"/>
  <c r="T40" i="29"/>
  <c r="U40" i="29" s="1"/>
  <c r="W40" i="29" s="1"/>
  <c r="Y40" i="29" s="1"/>
  <c r="X40" i="29"/>
  <c r="Z228" i="29"/>
  <c r="AC228" i="29"/>
  <c r="T66" i="29"/>
  <c r="U66" i="29" s="1"/>
  <c r="W66" i="29" s="1"/>
  <c r="Y66" i="29" s="1"/>
  <c r="X66" i="29"/>
  <c r="T207" i="29"/>
  <c r="U207" i="29" s="1"/>
  <c r="W207" i="29" s="1"/>
  <c r="Y207" i="29" s="1"/>
  <c r="X207" i="29"/>
  <c r="T94" i="29"/>
  <c r="U94" i="29" s="1"/>
  <c r="W94" i="29" s="1"/>
  <c r="Y94" i="29" s="1"/>
  <c r="X94" i="29"/>
  <c r="T57" i="29"/>
  <c r="U57" i="29" s="1"/>
  <c r="W57" i="29" s="1"/>
  <c r="Y57" i="29" s="1"/>
  <c r="X57" i="29"/>
  <c r="T43" i="29"/>
  <c r="U43" i="29" s="1"/>
  <c r="W43" i="29" s="1"/>
  <c r="Y43" i="29" s="1"/>
  <c r="X43" i="29"/>
  <c r="AA158" i="30"/>
  <c r="AA104" i="30"/>
  <c r="AA103" i="30"/>
  <c r="AA54" i="30"/>
  <c r="AA597" i="29"/>
  <c r="AA596" i="29"/>
  <c r="AA595" i="29"/>
  <c r="AA479" i="29"/>
  <c r="AA478" i="29"/>
  <c r="T475" i="29"/>
  <c r="U475" i="29" s="1"/>
  <c r="W475" i="29" s="1"/>
  <c r="Y475" i="29" s="1"/>
  <c r="X475" i="29"/>
  <c r="T477" i="29"/>
  <c r="U477" i="29" s="1"/>
  <c r="Y477" i="29" s="1"/>
  <c r="AA477" i="29" s="1"/>
  <c r="X477" i="29"/>
  <c r="Z477" i="29" s="1"/>
  <c r="T476" i="29"/>
  <c r="U476" i="29" s="1"/>
  <c r="Y476" i="29" s="1"/>
  <c r="AA476" i="29" s="1"/>
  <c r="X476" i="29"/>
  <c r="Z476" i="29" s="1"/>
  <c r="T80" i="29"/>
  <c r="U80" i="29" s="1"/>
  <c r="T1177" i="29"/>
  <c r="U1177" i="29" s="1"/>
  <c r="W1177" i="29" s="1"/>
  <c r="T851" i="29"/>
  <c r="U851" i="29" s="1"/>
  <c r="W851" i="29" s="1"/>
  <c r="T565" i="29"/>
  <c r="S635" i="29"/>
  <c r="E50" i="27" s="1"/>
  <c r="BL50" i="27" s="1"/>
  <c r="T253" i="29"/>
  <c r="U253" i="29" s="1"/>
  <c r="W253" i="29" s="1"/>
  <c r="Y253" i="29" s="1"/>
  <c r="T1257" i="29"/>
  <c r="U1257" i="29" s="1"/>
  <c r="W1257" i="29" s="1"/>
  <c r="T214" i="29"/>
  <c r="U214" i="29" s="1"/>
  <c r="W214" i="29" s="1"/>
  <c r="Y214" i="29" s="1"/>
  <c r="T228" i="29"/>
  <c r="U228" i="29" s="1"/>
  <c r="W228" i="29" s="1"/>
  <c r="Y228" i="29" s="1"/>
  <c r="T485" i="28"/>
  <c r="U485" i="28" s="1"/>
  <c r="W485" i="28" s="1"/>
  <c r="S253" i="28"/>
  <c r="E19" i="27" s="1"/>
  <c r="BL19" i="27" s="1"/>
  <c r="T138" i="30"/>
  <c r="U138" i="30" s="1"/>
  <c r="W138" i="30" s="1"/>
  <c r="Y138" i="30" s="1"/>
  <c r="T28" i="30"/>
  <c r="U28" i="30" s="1"/>
  <c r="W28" i="30" s="1"/>
  <c r="Y28" i="30" s="1"/>
  <c r="AA28" i="30" s="1"/>
  <c r="S128" i="30"/>
  <c r="E67" i="27" s="1"/>
  <c r="BL67" i="27" s="1"/>
  <c r="T69" i="30"/>
  <c r="U69" i="30" s="1"/>
  <c r="S563" i="29"/>
  <c r="E48" i="27" s="1"/>
  <c r="BL48" i="27" s="1"/>
  <c r="T560" i="29"/>
  <c r="T1127" i="29"/>
  <c r="U1127" i="29" s="1"/>
  <c r="W1127" i="29" s="1"/>
  <c r="T498" i="29"/>
  <c r="U498" i="29" s="1"/>
  <c r="W498" i="29" s="1"/>
  <c r="Y498" i="29" s="1"/>
  <c r="T1110" i="29"/>
  <c r="U1110" i="29" s="1"/>
  <c r="W1110" i="29" s="1"/>
  <c r="T203" i="29"/>
  <c r="U203" i="29" s="1"/>
  <c r="W203" i="29" s="1"/>
  <c r="Y203" i="29" s="1"/>
  <c r="T251" i="29"/>
  <c r="U251" i="29" s="1"/>
  <c r="S417" i="29"/>
  <c r="E44" i="27" s="1"/>
  <c r="BL44" i="27" s="1"/>
  <c r="T262" i="29"/>
  <c r="U262" i="29" s="1"/>
  <c r="W262" i="29" s="1"/>
  <c r="Y262" i="29" s="1"/>
  <c r="T145" i="30"/>
  <c r="T21" i="30"/>
  <c r="U21" i="30" s="1"/>
  <c r="W21" i="30" s="1"/>
  <c r="Y21" i="30" s="1"/>
  <c r="AA21" i="30" s="1"/>
  <c r="T53" i="30"/>
  <c r="U53" i="30" s="1"/>
  <c r="W53" i="30" s="1"/>
  <c r="Y53" i="30" s="1"/>
  <c r="S248" i="29"/>
  <c r="E40" i="27" s="1"/>
  <c r="BL40" i="27" s="1"/>
  <c r="T197" i="29"/>
  <c r="U197" i="29" s="1"/>
  <c r="T1136" i="29"/>
  <c r="U1136" i="29" s="1"/>
  <c r="W1136" i="29" s="1"/>
  <c r="T766" i="29"/>
  <c r="S776" i="29"/>
  <c r="E56" i="27" s="1"/>
  <c r="BL56" i="27" s="1"/>
  <c r="T727" i="29"/>
  <c r="S763" i="29"/>
  <c r="E54" i="27" s="1"/>
  <c r="BL54" i="27" s="1"/>
  <c r="T506" i="29"/>
  <c r="U506" i="29" s="1"/>
  <c r="W506" i="29" s="1"/>
  <c r="Y506" i="29" s="1"/>
  <c r="T420" i="29"/>
  <c r="S557" i="29"/>
  <c r="E46" i="27" s="1"/>
  <c r="BL46" i="27" s="1"/>
  <c r="T96" i="29"/>
  <c r="W96" i="29" s="1"/>
  <c r="Y96" i="29" s="1"/>
  <c r="T296" i="29"/>
  <c r="U296" i="29" s="1"/>
  <c r="W296" i="29" s="1"/>
  <c r="Y296" i="29" s="1"/>
  <c r="T239" i="29"/>
  <c r="U239" i="29" s="1"/>
  <c r="W239" i="29" s="1"/>
  <c r="Y239" i="29" s="1"/>
  <c r="T154" i="30"/>
  <c r="S142" i="30"/>
  <c r="T132" i="30"/>
  <c r="T105" i="30"/>
  <c r="U105" i="30" s="1"/>
  <c r="W105" i="30" s="1"/>
  <c r="Y105" i="30" s="1"/>
  <c r="T879" i="29"/>
  <c r="U879" i="29" s="1"/>
  <c r="W879" i="29" s="1"/>
  <c r="T1109" i="29"/>
  <c r="U1109" i="29" s="1"/>
  <c r="W1109" i="29" s="1"/>
  <c r="S724" i="29"/>
  <c r="E52" i="27" s="1"/>
  <c r="BL52" i="27" s="1"/>
  <c r="T638" i="29"/>
  <c r="T13" i="29"/>
  <c r="U13" i="29" s="1"/>
  <c r="W13" i="29" s="1"/>
  <c r="Y13" i="29" s="1"/>
  <c r="S194" i="29"/>
  <c r="E38" i="27" s="1"/>
  <c r="BL38" i="27" s="1"/>
  <c r="T254" i="29"/>
  <c r="U254" i="29" s="1"/>
  <c r="W254" i="29" s="1"/>
  <c r="Y254" i="29" s="1"/>
  <c r="T264" i="29"/>
  <c r="U264" i="29" s="1"/>
  <c r="W264" i="29" s="1"/>
  <c r="Y264" i="29" s="1"/>
  <c r="T270" i="29"/>
  <c r="U270" i="29" s="1"/>
  <c r="W270" i="29" s="1"/>
  <c r="Y270" i="29" s="1"/>
  <c r="T278" i="29"/>
  <c r="U278" i="29" s="1"/>
  <c r="W278" i="29" s="1"/>
  <c r="Y278" i="29" s="1"/>
  <c r="U321" i="28"/>
  <c r="G29" i="27" s="1"/>
  <c r="BN29" i="27" s="1"/>
  <c r="W311" i="28"/>
  <c r="W250" i="28"/>
  <c r="T545" i="28"/>
  <c r="U545" i="28" s="1"/>
  <c r="W545" i="28" s="1"/>
  <c r="Q139" i="28"/>
  <c r="S137" i="28"/>
  <c r="T223" i="28"/>
  <c r="U223" i="28" s="1"/>
  <c r="W223" i="28" s="1"/>
  <c r="T142" i="28"/>
  <c r="T144" i="28" s="1"/>
  <c r="F13" i="27" s="1"/>
  <c r="BM13" i="27" s="1"/>
  <c r="S144" i="28"/>
  <c r="E13" i="27" s="1"/>
  <c r="BL13" i="27" s="1"/>
  <c r="T251" i="28"/>
  <c r="T253" i="28" s="1"/>
  <c r="F19" i="27" s="1"/>
  <c r="BM19" i="27" s="1"/>
  <c r="S284" i="28"/>
  <c r="U149" i="28"/>
  <c r="W295" i="28"/>
  <c r="Q295" i="28"/>
  <c r="T321" i="28"/>
  <c r="F29" i="27" s="1"/>
  <c r="BM29" i="27" s="1"/>
  <c r="BL58" i="27" l="1"/>
  <c r="S151" i="30"/>
  <c r="E75" i="27" s="1"/>
  <c r="BL75" i="27" s="1"/>
  <c r="E73" i="27"/>
  <c r="BL73" i="27" s="1"/>
  <c r="E58" i="27"/>
  <c r="AA190" i="29"/>
  <c r="AA187" i="29"/>
  <c r="AA189" i="29"/>
  <c r="AA191" i="29"/>
  <c r="Z192" i="29"/>
  <c r="AA186" i="29"/>
  <c r="Z189" i="29"/>
  <c r="AA185" i="29"/>
  <c r="Z187" i="29"/>
  <c r="Z188" i="29"/>
  <c r="AA192" i="29"/>
  <c r="Z186" i="29"/>
  <c r="AA183" i="29"/>
  <c r="Z185" i="29"/>
  <c r="Z184" i="29"/>
  <c r="AA188" i="29"/>
  <c r="Z182" i="29"/>
  <c r="Z183" i="29"/>
  <c r="AA184" i="29"/>
  <c r="Z191" i="29"/>
  <c r="Z190" i="29"/>
  <c r="AA182" i="29"/>
  <c r="AA410" i="29"/>
  <c r="AA415" i="29"/>
  <c r="Z413" i="29"/>
  <c r="AA412" i="29"/>
  <c r="Z412" i="29"/>
  <c r="Z410" i="29"/>
  <c r="Z415" i="29"/>
  <c r="Z411" i="29"/>
  <c r="Z414" i="29"/>
  <c r="AA413" i="29"/>
  <c r="AA411" i="29"/>
  <c r="AA414" i="29"/>
  <c r="U142" i="28"/>
  <c r="U144" i="28" s="1"/>
  <c r="G13" i="27" s="1"/>
  <c r="BN13" i="27" s="1"/>
  <c r="X142" i="30"/>
  <c r="T151" i="30"/>
  <c r="F75" i="27" s="1"/>
  <c r="BM75" i="27" s="1"/>
  <c r="X635" i="29"/>
  <c r="X128" i="30"/>
  <c r="X724" i="29"/>
  <c r="AA270" i="29"/>
  <c r="AA506" i="29"/>
  <c r="AA13" i="29"/>
  <c r="AA53" i="30"/>
  <c r="AA498" i="29"/>
  <c r="Z94" i="29"/>
  <c r="Z40" i="29"/>
  <c r="Z59" i="29"/>
  <c r="Z175" i="29"/>
  <c r="Z46" i="29"/>
  <c r="Z45" i="29"/>
  <c r="Z33" i="29"/>
  <c r="Z132" i="29"/>
  <c r="Z224" i="29"/>
  <c r="AC224" i="29"/>
  <c r="Z118" i="29"/>
  <c r="Z274" i="29"/>
  <c r="Z338" i="29"/>
  <c r="Z273" i="29"/>
  <c r="Z375" i="29"/>
  <c r="Z290" i="29"/>
  <c r="Z170" i="29"/>
  <c r="Z289" i="29"/>
  <c r="Z398" i="29"/>
  <c r="Z202" i="29"/>
  <c r="AC202" i="29"/>
  <c r="Z199" i="29"/>
  <c r="AC199" i="29"/>
  <c r="Z152" i="29"/>
  <c r="Z209" i="29"/>
  <c r="AC209" i="29"/>
  <c r="Z329" i="29"/>
  <c r="Z225" i="29"/>
  <c r="AC225" i="29"/>
  <c r="Z323" i="29"/>
  <c r="Z649" i="29"/>
  <c r="Z238" i="29"/>
  <c r="AC238" i="29"/>
  <c r="Z395" i="29"/>
  <c r="Z532" i="29"/>
  <c r="Z286" i="29"/>
  <c r="Z402" i="29"/>
  <c r="Z486" i="29"/>
  <c r="Z351" i="29"/>
  <c r="Z484" i="29"/>
  <c r="Z536" i="29"/>
  <c r="AA524" i="29"/>
  <c r="AA321" i="29"/>
  <c r="AA424" i="29"/>
  <c r="AA353" i="29"/>
  <c r="AA769" i="29"/>
  <c r="AD769" i="29"/>
  <c r="AA455" i="29"/>
  <c r="AA613" i="29"/>
  <c r="AA581" i="29"/>
  <c r="AA569" i="29"/>
  <c r="AA663" i="29"/>
  <c r="AA693" i="29"/>
  <c r="AA481" i="29"/>
  <c r="AA653" i="29"/>
  <c r="AA698" i="29"/>
  <c r="AA700" i="29"/>
  <c r="AA404" i="29"/>
  <c r="Z739" i="29"/>
  <c r="AC739" i="29"/>
  <c r="Z606" i="29"/>
  <c r="Z610" i="29"/>
  <c r="Z668" i="29"/>
  <c r="Z561" i="29"/>
  <c r="Z563" i="29" s="1"/>
  <c r="AC561" i="29"/>
  <c r="AC563" i="29" s="1"/>
  <c r="Z691" i="29"/>
  <c r="Z230" i="29"/>
  <c r="AC230" i="29"/>
  <c r="AA157" i="30"/>
  <c r="AD148" i="30"/>
  <c r="AA148" i="30"/>
  <c r="AA97" i="30"/>
  <c r="AA112" i="30"/>
  <c r="AA84" i="30"/>
  <c r="Z709" i="29"/>
  <c r="Z508" i="29"/>
  <c r="AD740" i="29"/>
  <c r="AA740" i="29"/>
  <c r="AA540" i="29"/>
  <c r="AA397" i="29"/>
  <c r="AD758" i="29"/>
  <c r="AA758" i="29"/>
  <c r="AA78" i="30"/>
  <c r="AA52" i="30"/>
  <c r="AA96" i="30"/>
  <c r="Z80" i="30"/>
  <c r="AA174" i="29"/>
  <c r="AA97" i="29"/>
  <c r="AA166" i="29"/>
  <c r="AA306" i="29"/>
  <c r="AA300" i="29"/>
  <c r="AA325" i="29"/>
  <c r="AA267" i="29"/>
  <c r="AA439" i="29"/>
  <c r="AA516" i="29"/>
  <c r="AA212" i="29"/>
  <c r="AD212" i="29"/>
  <c r="AA301" i="29"/>
  <c r="AA441" i="29"/>
  <c r="AA453" i="29"/>
  <c r="AA113" i="29"/>
  <c r="AA588" i="29"/>
  <c r="AA528" i="29"/>
  <c r="AA400" i="29"/>
  <c r="AA583" i="29"/>
  <c r="AA448" i="29"/>
  <c r="AA699" i="29"/>
  <c r="AC744" i="29"/>
  <c r="Z744" i="29"/>
  <c r="Z687" i="29"/>
  <c r="Z576" i="29"/>
  <c r="AC768" i="29"/>
  <c r="Z768" i="29"/>
  <c r="Z756" i="29"/>
  <c r="AC756" i="29"/>
  <c r="Z603" i="29"/>
  <c r="Z684" i="29"/>
  <c r="Z568" i="29"/>
  <c r="Z747" i="29"/>
  <c r="AC747" i="29"/>
  <c r="Z93" i="29"/>
  <c r="Z26" i="30"/>
  <c r="Z107" i="30"/>
  <c r="Z74" i="30"/>
  <c r="Z100" i="30"/>
  <c r="Z145" i="29"/>
  <c r="Z37" i="29"/>
  <c r="Z136" i="29"/>
  <c r="Z211" i="29"/>
  <c r="AC211" i="29"/>
  <c r="AA19" i="29"/>
  <c r="AA65" i="29"/>
  <c r="AA34" i="29"/>
  <c r="AA308" i="29"/>
  <c r="AA235" i="29"/>
  <c r="AD235" i="29"/>
  <c r="AA276" i="29"/>
  <c r="AA31" i="29"/>
  <c r="AA401" i="29"/>
  <c r="AA694" i="29"/>
  <c r="AA523" i="29"/>
  <c r="AA128" i="29"/>
  <c r="AA443" i="29"/>
  <c r="AA473" i="29"/>
  <c r="AA303" i="29"/>
  <c r="AA469" i="29"/>
  <c r="AA577" i="29"/>
  <c r="AA531" i="29"/>
  <c r="AD755" i="29"/>
  <c r="AA755" i="29"/>
  <c r="AA767" i="29"/>
  <c r="AD767" i="29"/>
  <c r="AA696" i="29"/>
  <c r="AA261" i="29"/>
  <c r="AA510" i="29"/>
  <c r="AA710" i="29"/>
  <c r="Z106" i="30"/>
  <c r="Z55" i="30"/>
  <c r="Z25" i="30"/>
  <c r="Z24" i="30"/>
  <c r="Z69" i="29"/>
  <c r="Z222" i="29"/>
  <c r="AC222" i="29"/>
  <c r="Z48" i="29"/>
  <c r="Z27" i="29"/>
  <c r="Z256" i="29"/>
  <c r="Z68" i="29"/>
  <c r="Z163" i="29"/>
  <c r="Z173" i="29"/>
  <c r="Z140" i="29"/>
  <c r="Z177" i="29"/>
  <c r="Z284" i="29"/>
  <c r="Z409" i="29"/>
  <c r="Z125" i="29"/>
  <c r="Z252" i="29"/>
  <c r="Z159" i="29"/>
  <c r="Z138" i="29"/>
  <c r="Z292" i="29"/>
  <c r="AC772" i="29"/>
  <c r="Z772" i="29"/>
  <c r="AA541" i="29"/>
  <c r="AA497" i="29"/>
  <c r="Z58" i="29"/>
  <c r="Z454" i="29"/>
  <c r="Z387" i="29"/>
  <c r="Z501" i="29"/>
  <c r="Z468" i="29"/>
  <c r="Z623" i="29"/>
  <c r="Z626" i="29"/>
  <c r="Z648" i="29"/>
  <c r="Z389" i="29"/>
  <c r="Z384" i="29"/>
  <c r="Z624" i="29"/>
  <c r="Z642" i="29"/>
  <c r="Z616" i="29"/>
  <c r="Z689" i="29"/>
  <c r="Z388" i="29"/>
  <c r="Z609" i="29"/>
  <c r="Z599" i="29"/>
  <c r="Z704" i="29"/>
  <c r="Z15" i="30"/>
  <c r="AA59" i="30"/>
  <c r="Z54" i="29"/>
  <c r="Z73" i="29"/>
  <c r="Z53" i="29"/>
  <c r="Z109" i="29"/>
  <c r="Z143" i="29"/>
  <c r="Z72" i="29"/>
  <c r="Z155" i="29"/>
  <c r="Z151" i="29"/>
  <c r="Z327" i="29"/>
  <c r="Z67" i="29"/>
  <c r="Z104" i="29"/>
  <c r="Z371" i="29"/>
  <c r="Z382" i="29"/>
  <c r="Z367" i="29"/>
  <c r="Z641" i="29"/>
  <c r="Z457" i="29"/>
  <c r="Z437" i="29"/>
  <c r="Z539" i="29"/>
  <c r="Z671" i="29"/>
  <c r="Z620" i="29"/>
  <c r="AC730" i="29"/>
  <c r="Z730" i="29"/>
  <c r="Z614" i="29"/>
  <c r="Z621" i="29"/>
  <c r="Z369" i="29"/>
  <c r="Z17" i="30"/>
  <c r="Z102" i="30"/>
  <c r="Z134" i="30"/>
  <c r="Z101" i="30"/>
  <c r="Z205" i="29"/>
  <c r="AC205" i="29"/>
  <c r="AC219" i="29"/>
  <c r="Z219" i="29"/>
  <c r="Z62" i="29"/>
  <c r="Z124" i="29"/>
  <c r="Z64" i="29"/>
  <c r="Z172" i="29"/>
  <c r="Z322" i="29"/>
  <c r="Z470" i="29"/>
  <c r="Z161" i="29"/>
  <c r="Z326" i="29"/>
  <c r="Z119" i="29"/>
  <c r="Z257" i="29"/>
  <c r="Z123" i="29"/>
  <c r="Z656" i="29"/>
  <c r="Z450" i="29"/>
  <c r="Z281" i="29"/>
  <c r="Z331" i="29"/>
  <c r="Z519" i="29"/>
  <c r="Z465" i="29"/>
  <c r="Z573" i="29"/>
  <c r="Z520" i="29"/>
  <c r="Z601" i="29"/>
  <c r="Z591" i="29"/>
  <c r="Z753" i="29"/>
  <c r="AC753" i="29"/>
  <c r="Z745" i="29"/>
  <c r="AC745" i="29"/>
  <c r="Z537" i="29"/>
  <c r="Z665" i="29"/>
  <c r="Z682" i="29"/>
  <c r="Z660" i="29"/>
  <c r="Z285" i="29"/>
  <c r="Z657" i="29"/>
  <c r="Z651" i="29"/>
  <c r="Z644" i="29"/>
  <c r="Z18" i="30"/>
  <c r="AC146" i="30"/>
  <c r="Z146" i="30"/>
  <c r="Z111" i="30"/>
  <c r="AA296" i="29"/>
  <c r="T635" i="29"/>
  <c r="F50" i="27" s="1"/>
  <c r="BM50" i="27" s="1"/>
  <c r="AA94" i="29"/>
  <c r="AA40" i="29"/>
  <c r="AA59" i="29"/>
  <c r="AA175" i="29"/>
  <c r="AA46" i="29"/>
  <c r="AA45" i="29"/>
  <c r="AA33" i="29"/>
  <c r="AA224" i="29"/>
  <c r="AD224" i="29"/>
  <c r="AA266" i="29"/>
  <c r="AA274" i="29"/>
  <c r="AA338" i="29"/>
  <c r="AA375" i="29"/>
  <c r="AA390" i="29"/>
  <c r="AA55" i="29"/>
  <c r="AA357" i="29"/>
  <c r="AA289" i="29"/>
  <c r="AA202" i="29"/>
  <c r="AD202" i="29"/>
  <c r="AA199" i="29"/>
  <c r="AD199" i="29"/>
  <c r="AA209" i="29"/>
  <c r="AD209" i="29"/>
  <c r="AA240" i="29"/>
  <c r="AD240" i="29"/>
  <c r="AA323" i="29"/>
  <c r="AA238" i="29"/>
  <c r="AD238" i="29"/>
  <c r="AA395" i="29"/>
  <c r="AA286" i="29"/>
  <c r="AA486" i="29"/>
  <c r="AA351" i="29"/>
  <c r="AA536" i="29"/>
  <c r="Z612" i="29"/>
  <c r="Z600" i="29"/>
  <c r="Z702" i="29"/>
  <c r="Z449" i="29"/>
  <c r="Z514" i="29"/>
  <c r="Z525" i="29"/>
  <c r="Z661" i="29"/>
  <c r="Z590" i="29"/>
  <c r="Z518" i="29"/>
  <c r="AC738" i="29"/>
  <c r="Z738" i="29"/>
  <c r="Z659" i="29"/>
  <c r="Z227" i="29"/>
  <c r="AC227" i="29"/>
  <c r="Z643" i="29"/>
  <c r="Z526" i="29"/>
  <c r="AC734" i="29"/>
  <c r="Z734" i="29"/>
  <c r="Z361" i="29"/>
  <c r="AA580" i="29"/>
  <c r="AA126" i="29"/>
  <c r="AA610" i="29"/>
  <c r="AA668" i="29"/>
  <c r="AD561" i="29"/>
  <c r="AA561" i="29"/>
  <c r="AA691" i="29"/>
  <c r="AA690" i="29"/>
  <c r="Z79" i="30"/>
  <c r="Z155" i="30"/>
  <c r="Z91" i="30"/>
  <c r="Z33" i="30"/>
  <c r="Z94" i="30"/>
  <c r="Z136" i="30"/>
  <c r="Z133" i="30"/>
  <c r="AA709" i="29"/>
  <c r="AA383" i="29"/>
  <c r="Z574" i="29"/>
  <c r="Z654" i="29"/>
  <c r="Z741" i="29"/>
  <c r="AC741" i="29"/>
  <c r="Z669" i="29"/>
  <c r="Z666" i="29"/>
  <c r="Z35" i="30"/>
  <c r="Z92" i="30"/>
  <c r="Z98" i="30"/>
  <c r="Z51" i="30"/>
  <c r="Z56" i="30"/>
  <c r="Z29" i="29"/>
  <c r="Z144" i="29"/>
  <c r="Z216" i="29"/>
  <c r="AC216" i="29"/>
  <c r="Z288" i="29"/>
  <c r="Z160" i="29"/>
  <c r="Z365" i="29"/>
  <c r="Z265" i="29"/>
  <c r="Z129" i="29"/>
  <c r="Z456" i="29"/>
  <c r="Z311" i="29"/>
  <c r="Z423" i="29"/>
  <c r="Z380" i="29"/>
  <c r="Z566" i="29"/>
  <c r="Z297" i="29"/>
  <c r="Z315" i="29"/>
  <c r="Z512" i="29"/>
  <c r="Z567" i="29"/>
  <c r="Z507" i="29"/>
  <c r="Z585" i="29"/>
  <c r="AD744" i="29"/>
  <c r="AA744" i="29"/>
  <c r="AA687" i="29"/>
  <c r="AA576" i="29"/>
  <c r="AD768" i="29"/>
  <c r="AA768" i="29"/>
  <c r="AA756" i="29"/>
  <c r="AD756" i="29"/>
  <c r="AA603" i="29"/>
  <c r="AA655" i="29"/>
  <c r="AA568" i="29"/>
  <c r="AA747" i="29"/>
  <c r="AD747" i="29"/>
  <c r="AA135" i="30"/>
  <c r="AA107" i="30"/>
  <c r="AA74" i="30"/>
  <c r="AA145" i="29"/>
  <c r="AA37" i="29"/>
  <c r="AA136" i="29"/>
  <c r="Z99" i="29"/>
  <c r="Z116" i="29"/>
  <c r="Z100" i="29"/>
  <c r="Z95" i="29"/>
  <c r="Z370" i="29"/>
  <c r="AC742" i="29"/>
  <c r="Z742" i="29"/>
  <c r="Z462" i="29"/>
  <c r="Z44" i="29"/>
  <c r="Z313" i="29"/>
  <c r="Z42" i="29"/>
  <c r="Z440" i="29"/>
  <c r="Z392" i="29"/>
  <c r="Z213" i="29"/>
  <c r="AC213" i="29"/>
  <c r="Z396" i="29"/>
  <c r="Z586" i="29"/>
  <c r="Z428" i="29"/>
  <c r="Z461" i="29"/>
  <c r="Z592" i="29"/>
  <c r="Z444" i="29"/>
  <c r="Z674" i="29"/>
  <c r="Z683" i="29"/>
  <c r="Z472" i="29"/>
  <c r="AC746" i="29"/>
  <c r="Z746" i="29"/>
  <c r="Z513" i="29"/>
  <c r="Z598" i="29"/>
  <c r="Z491" i="29"/>
  <c r="AA55" i="30"/>
  <c r="AA218" i="29"/>
  <c r="AD218" i="29"/>
  <c r="AA69" i="29"/>
  <c r="AA106" i="29"/>
  <c r="AA48" i="29"/>
  <c r="AA27" i="29"/>
  <c r="AA18" i="29"/>
  <c r="AA163" i="29"/>
  <c r="AA140" i="29"/>
  <c r="AA177" i="29"/>
  <c r="AA284" i="29"/>
  <c r="AA409" i="29"/>
  <c r="AA49" i="29"/>
  <c r="AA309" i="29"/>
  <c r="AA252" i="29"/>
  <c r="AA159" i="29"/>
  <c r="AA272" i="29"/>
  <c r="AA138" i="29"/>
  <c r="AA362" i="29"/>
  <c r="AA292" i="29"/>
  <c r="AA405" i="29"/>
  <c r="AD772" i="29"/>
  <c r="AA772" i="29"/>
  <c r="Z336" i="29"/>
  <c r="Z391" i="29"/>
  <c r="Z504" i="29"/>
  <c r="Z386" i="29"/>
  <c r="Z495" i="29"/>
  <c r="AA58" i="29"/>
  <c r="AA379" i="29"/>
  <c r="AA454" i="29"/>
  <c r="AA387" i="29"/>
  <c r="AA728" i="29"/>
  <c r="AD728" i="29"/>
  <c r="AA468" i="29"/>
  <c r="AA623" i="29"/>
  <c r="AA626" i="29"/>
  <c r="AA223" i="29"/>
  <c r="AD223" i="29"/>
  <c r="AA648" i="29"/>
  <c r="AA389" i="29"/>
  <c r="AA502" i="29"/>
  <c r="AA384" i="29"/>
  <c r="AA471" i="29"/>
  <c r="AA624" i="29"/>
  <c r="AA642" i="29"/>
  <c r="AA372" i="29"/>
  <c r="AA616" i="29"/>
  <c r="AA689" i="29"/>
  <c r="AA677" i="29"/>
  <c r="AA388" i="29"/>
  <c r="AA593" i="29"/>
  <c r="AA609" i="29"/>
  <c r="AA307" i="29"/>
  <c r="AA599" i="29"/>
  <c r="AA530" i="29"/>
  <c r="AA704" i="29"/>
  <c r="AA57" i="30"/>
  <c r="Z99" i="30"/>
  <c r="AA54" i="29"/>
  <c r="AA103" i="29"/>
  <c r="AA73" i="29"/>
  <c r="AA53" i="29"/>
  <c r="AA109" i="29"/>
  <c r="AA139" i="29"/>
  <c r="AA143" i="29"/>
  <c r="AA72" i="29"/>
  <c r="AA35" i="29"/>
  <c r="AA155" i="29"/>
  <c r="AA151" i="29"/>
  <c r="AA226" i="29"/>
  <c r="AD226" i="29"/>
  <c r="AA327" i="29"/>
  <c r="AA67" i="29"/>
  <c r="AA104" i="29"/>
  <c r="AA371" i="29"/>
  <c r="AA130" i="29"/>
  <c r="AA382" i="29"/>
  <c r="AA367" i="29"/>
  <c r="AA641" i="29"/>
  <c r="AA457" i="29"/>
  <c r="AA437" i="29"/>
  <c r="AA539" i="29"/>
  <c r="AA640" i="29"/>
  <c r="AA671" i="29"/>
  <c r="AA620" i="29"/>
  <c r="AD730" i="29"/>
  <c r="AA730" i="29"/>
  <c r="AA614" i="29"/>
  <c r="AA621" i="29"/>
  <c r="AA369" i="29"/>
  <c r="AA102" i="30"/>
  <c r="AA134" i="30"/>
  <c r="AA73" i="30"/>
  <c r="AA101" i="30"/>
  <c r="AA205" i="29"/>
  <c r="AD205" i="29"/>
  <c r="AA219" i="29"/>
  <c r="AD219" i="29"/>
  <c r="AA62" i="29"/>
  <c r="AA124" i="29"/>
  <c r="AA64" i="29"/>
  <c r="AA172" i="29"/>
  <c r="AA322" i="29"/>
  <c r="AA470" i="29"/>
  <c r="AA161" i="29"/>
  <c r="AA326" i="29"/>
  <c r="AA119" i="29"/>
  <c r="AA257" i="29"/>
  <c r="AA123" i="29"/>
  <c r="AA656" i="29"/>
  <c r="AA450" i="29"/>
  <c r="AA281" i="29"/>
  <c r="AA331" i="29"/>
  <c r="AA519" i="29"/>
  <c r="AA465" i="29"/>
  <c r="AA573" i="29"/>
  <c r="AA520" i="29"/>
  <c r="AA601" i="29"/>
  <c r="AA591" i="29"/>
  <c r="AA753" i="29"/>
  <c r="AD753" i="29"/>
  <c r="AA745" i="29"/>
  <c r="AD745" i="29"/>
  <c r="AA537" i="29"/>
  <c r="AA665" i="29"/>
  <c r="AA682" i="29"/>
  <c r="AA660" i="29"/>
  <c r="AA285" i="29"/>
  <c r="AA657" i="29"/>
  <c r="AA651" i="29"/>
  <c r="AA644" i="29"/>
  <c r="AA146" i="30"/>
  <c r="AD146" i="30"/>
  <c r="AA111" i="30"/>
  <c r="AA278" i="29"/>
  <c r="AA254" i="29"/>
  <c r="U96" i="29"/>
  <c r="U194" i="29" s="1"/>
  <c r="G38" i="27" s="1"/>
  <c r="BN38" i="27" s="1"/>
  <c r="AA203" i="29"/>
  <c r="AD203" i="29"/>
  <c r="T563" i="29"/>
  <c r="F48" i="27" s="1"/>
  <c r="BM48" i="27" s="1"/>
  <c r="AA138" i="30"/>
  <c r="Z57" i="29"/>
  <c r="Z207" i="29"/>
  <c r="AC207" i="29"/>
  <c r="Z243" i="29"/>
  <c r="AC243" i="29"/>
  <c r="Z75" i="29"/>
  <c r="Z26" i="29"/>
  <c r="Z36" i="29"/>
  <c r="Z258" i="29"/>
  <c r="Z283" i="29"/>
  <c r="Z201" i="29"/>
  <c r="AC201" i="29"/>
  <c r="Z121" i="29"/>
  <c r="Z154" i="29"/>
  <c r="Z32" i="29"/>
  <c r="Z20" i="29"/>
  <c r="Z38" i="29"/>
  <c r="Z107" i="29"/>
  <c r="Z63" i="29"/>
  <c r="Z162" i="29"/>
  <c r="Z157" i="29"/>
  <c r="Z427" i="29"/>
  <c r="Z324" i="29"/>
  <c r="Z263" i="29"/>
  <c r="Z675" i="29"/>
  <c r="Z333" i="29"/>
  <c r="Z98" i="29"/>
  <c r="Z294" i="29"/>
  <c r="Z220" i="29"/>
  <c r="AC220" i="29"/>
  <c r="Z342" i="29"/>
  <c r="Z241" i="29"/>
  <c r="AC241" i="29"/>
  <c r="Z92" i="29"/>
  <c r="Z158" i="29"/>
  <c r="Z344" i="29"/>
  <c r="Z268" i="29"/>
  <c r="Z378" i="29"/>
  <c r="Z393" i="29"/>
  <c r="Z150" i="29"/>
  <c r="Z346" i="29"/>
  <c r="Z572" i="29"/>
  <c r="Z350" i="29"/>
  <c r="Z451" i="29"/>
  <c r="Z148" i="29"/>
  <c r="Z339" i="29"/>
  <c r="Z527" i="29"/>
  <c r="Z399" i="29"/>
  <c r="Z466" i="29"/>
  <c r="Z422" i="29"/>
  <c r="AA612" i="29"/>
  <c r="AA600" i="29"/>
  <c r="AA363" i="29"/>
  <c r="AA702" i="29"/>
  <c r="AA449" i="29"/>
  <c r="AA403" i="29"/>
  <c r="AA514" i="29"/>
  <c r="AA442" i="29"/>
  <c r="AA525" i="29"/>
  <c r="AA661" i="29"/>
  <c r="AA316" i="29"/>
  <c r="AA590" i="29"/>
  <c r="AA518" i="29"/>
  <c r="AA571" i="29"/>
  <c r="AD738" i="29"/>
  <c r="AA738" i="29"/>
  <c r="AA659" i="29"/>
  <c r="AA227" i="29"/>
  <c r="AD227" i="29"/>
  <c r="AA608" i="29"/>
  <c r="AA643" i="29"/>
  <c r="AA526" i="29"/>
  <c r="AA773" i="29"/>
  <c r="AD773" i="29"/>
  <c r="AA734" i="29"/>
  <c r="AD734" i="29"/>
  <c r="AD754" i="29"/>
  <c r="AA754" i="29"/>
  <c r="AA361" i="29"/>
  <c r="Z685" i="29"/>
  <c r="Z752" i="29"/>
  <c r="AC752" i="29"/>
  <c r="Z408" i="29"/>
  <c r="Z711" i="29"/>
  <c r="AC732" i="29"/>
  <c r="Z732" i="29"/>
  <c r="Z584" i="29"/>
  <c r="Z579" i="29"/>
  <c r="Z575" i="29"/>
  <c r="Z533" i="29"/>
  <c r="Z703" i="29"/>
  <c r="Z208" i="29"/>
  <c r="AC208" i="29"/>
  <c r="AA79" i="30"/>
  <c r="AA85" i="30"/>
  <c r="AA91" i="30"/>
  <c r="AA82" i="30"/>
  <c r="AA94" i="30"/>
  <c r="AA58" i="30"/>
  <c r="AA136" i="30"/>
  <c r="AA133" i="30"/>
  <c r="Z463" i="29"/>
  <c r="Z625" i="29"/>
  <c r="Z334" i="29"/>
  <c r="Z646" i="29"/>
  <c r="AA574" i="29"/>
  <c r="AA654" i="29"/>
  <c r="AA328" i="29"/>
  <c r="AA741" i="29"/>
  <c r="AD741" i="29"/>
  <c r="AA669" i="29"/>
  <c r="AA666" i="29"/>
  <c r="AA686" i="29"/>
  <c r="AA92" i="30"/>
  <c r="AA98" i="30"/>
  <c r="AA51" i="30"/>
  <c r="AA56" i="30"/>
  <c r="AC147" i="30"/>
  <c r="Z147" i="30"/>
  <c r="AA16" i="29"/>
  <c r="AA29" i="29"/>
  <c r="AA144" i="29"/>
  <c r="AA216" i="29"/>
  <c r="AD216" i="29"/>
  <c r="AA288" i="29"/>
  <c r="AA160" i="29"/>
  <c r="AA149" i="29"/>
  <c r="AA365" i="29"/>
  <c r="AA431" i="29"/>
  <c r="AA122" i="29"/>
  <c r="AA265" i="29"/>
  <c r="AA236" i="29"/>
  <c r="AD236" i="29"/>
  <c r="AA242" i="29"/>
  <c r="AD242" i="29"/>
  <c r="AA129" i="29"/>
  <c r="AA406" i="29"/>
  <c r="AA456" i="29"/>
  <c r="AA133" i="29"/>
  <c r="AA311" i="29"/>
  <c r="AA423" i="29"/>
  <c r="AA521" i="29"/>
  <c r="AA380" i="29"/>
  <c r="AA566" i="29"/>
  <c r="AA505" i="29"/>
  <c r="AA297" i="29"/>
  <c r="AA594" i="29"/>
  <c r="AA315" i="29"/>
  <c r="AA445" i="29"/>
  <c r="AA512" i="29"/>
  <c r="AA483" i="29"/>
  <c r="AA567" i="29"/>
  <c r="AA507" i="29"/>
  <c r="AA731" i="29"/>
  <c r="AD731" i="29"/>
  <c r="AA430" i="29"/>
  <c r="AA585" i="29"/>
  <c r="Z729" i="29"/>
  <c r="AC729" i="29"/>
  <c r="Z667" i="29"/>
  <c r="Z260" i="29"/>
  <c r="Z434" i="29"/>
  <c r="Z678" i="29"/>
  <c r="Z662" i="29"/>
  <c r="Z271" i="29"/>
  <c r="Z658" i="29"/>
  <c r="Z647" i="29"/>
  <c r="Z743" i="29"/>
  <c r="AC743" i="29"/>
  <c r="Z447" i="29"/>
  <c r="Z482" i="29"/>
  <c r="Z670" i="29"/>
  <c r="Z231" i="29"/>
  <c r="AC231" i="29"/>
  <c r="Z72" i="30"/>
  <c r="Z71" i="30"/>
  <c r="Z75" i="30"/>
  <c r="Z70" i="30"/>
  <c r="Z29" i="30"/>
  <c r="Z81" i="30"/>
  <c r="Z114" i="29"/>
  <c r="Z28" i="29"/>
  <c r="Z71" i="29"/>
  <c r="Z141" i="29"/>
  <c r="AA99" i="29"/>
  <c r="AA116" i="29"/>
  <c r="AA24" i="29"/>
  <c r="AA100" i="29"/>
  <c r="AA176" i="29"/>
  <c r="AA95" i="29"/>
  <c r="AA385" i="29"/>
  <c r="AA370" i="29"/>
  <c r="AA742" i="29"/>
  <c r="AD742" i="29"/>
  <c r="AA91" i="29"/>
  <c r="AA462" i="29"/>
  <c r="AA377" i="29"/>
  <c r="AA44" i="29"/>
  <c r="AA335" i="29"/>
  <c r="AA313" i="29"/>
  <c r="AA330" i="29"/>
  <c r="AA42" i="29"/>
  <c r="AA652" i="29"/>
  <c r="AA440" i="29"/>
  <c r="AA392" i="29"/>
  <c r="AA349" i="29"/>
  <c r="AA213" i="29"/>
  <c r="AD213" i="29"/>
  <c r="AA396" i="29"/>
  <c r="AA586" i="29"/>
  <c r="AA23" i="29"/>
  <c r="AA428" i="29"/>
  <c r="AA461" i="29"/>
  <c r="AA426" i="29"/>
  <c r="AA592" i="29"/>
  <c r="AA444" i="29"/>
  <c r="AA464" i="29"/>
  <c r="AA674" i="29"/>
  <c r="AA683" i="29"/>
  <c r="AA359" i="29"/>
  <c r="AA472" i="29"/>
  <c r="AD746" i="29"/>
  <c r="AA746" i="29"/>
  <c r="AA360" i="29"/>
  <c r="AA513" i="29"/>
  <c r="AA598" i="29"/>
  <c r="AA491" i="29"/>
  <c r="AA617" i="29"/>
  <c r="Z23" i="30"/>
  <c r="Z83" i="30"/>
  <c r="Z47" i="30"/>
  <c r="Z90" i="30"/>
  <c r="Z93" i="30"/>
  <c r="Z36" i="30"/>
  <c r="Z259" i="29"/>
  <c r="Z87" i="29"/>
  <c r="Z88" i="29"/>
  <c r="Z22" i="29"/>
  <c r="Z21" i="29"/>
  <c r="Z200" i="29"/>
  <c r="AC200" i="29"/>
  <c r="Z117" i="29"/>
  <c r="Z178" i="29"/>
  <c r="Z76" i="29"/>
  <c r="Z50" i="29"/>
  <c r="Z153" i="29"/>
  <c r="Z171" i="29"/>
  <c r="Z74" i="29"/>
  <c r="Z17" i="29"/>
  <c r="Z15" i="29"/>
  <c r="Z317" i="29"/>
  <c r="Z181" i="29"/>
  <c r="Z39" i="29"/>
  <c r="Z112" i="29"/>
  <c r="Z291" i="29"/>
  <c r="Z217" i="29"/>
  <c r="AC217" i="29"/>
  <c r="Z340" i="29"/>
  <c r="Z295" i="29"/>
  <c r="Z146" i="29"/>
  <c r="Z206" i="29"/>
  <c r="AC206" i="29"/>
  <c r="Z110" i="29"/>
  <c r="Z368" i="29"/>
  <c r="Z304" i="29"/>
  <c r="Z436" i="29"/>
  <c r="Z142" i="29"/>
  <c r="Z135" i="29"/>
  <c r="Z299" i="29"/>
  <c r="Z221" i="29"/>
  <c r="AC221" i="29"/>
  <c r="Z343" i="29"/>
  <c r="Z279" i="29"/>
  <c r="AA336" i="29"/>
  <c r="AA391" i="29"/>
  <c r="AA504" i="29"/>
  <c r="AA386" i="29"/>
  <c r="AA495" i="29"/>
  <c r="Z354" i="29"/>
  <c r="AC750" i="29"/>
  <c r="Z750" i="29"/>
  <c r="Z277" i="29"/>
  <c r="Z425" i="29"/>
  <c r="Z509" i="29"/>
  <c r="Z438" i="29"/>
  <c r="Z535" i="29"/>
  <c r="Z452" i="29"/>
  <c r="Z179" i="29"/>
  <c r="Z255" i="29"/>
  <c r="Z490" i="29"/>
  <c r="Z429" i="29"/>
  <c r="Z480" i="29"/>
  <c r="Z459" i="29"/>
  <c r="Z538" i="29"/>
  <c r="Z485" i="29"/>
  <c r="Z435" i="29"/>
  <c r="Z615" i="29"/>
  <c r="Z676" i="29"/>
  <c r="Z771" i="29"/>
  <c r="AC771" i="29"/>
  <c r="Z697" i="29"/>
  <c r="Z619" i="29"/>
  <c r="Z735" i="29"/>
  <c r="AC735" i="29"/>
  <c r="Z701" i="29"/>
  <c r="Z407" i="29"/>
  <c r="Z733" i="29"/>
  <c r="AC733" i="29"/>
  <c r="Z460" i="29"/>
  <c r="Z358" i="29"/>
  <c r="Z34" i="30"/>
  <c r="Z76" i="30"/>
  <c r="AA99" i="30"/>
  <c r="Z352" i="29"/>
  <c r="Z337" i="29"/>
  <c r="Z364" i="29"/>
  <c r="Z356" i="29"/>
  <c r="Z137" i="29"/>
  <c r="Z275" i="29"/>
  <c r="Z60" i="29"/>
  <c r="Z302" i="29"/>
  <c r="Z102" i="29"/>
  <c r="Z25" i="29"/>
  <c r="Z147" i="29"/>
  <c r="Z348" i="29"/>
  <c r="Z679" i="29"/>
  <c r="Z131" i="29"/>
  <c r="Z394" i="29"/>
  <c r="Z169" i="29"/>
  <c r="Z319" i="29"/>
  <c r="Z305" i="29"/>
  <c r="Z312" i="29"/>
  <c r="Z293" i="29"/>
  <c r="Z578" i="29"/>
  <c r="Z587" i="29"/>
  <c r="Z688" i="29"/>
  <c r="Z494" i="29"/>
  <c r="AC774" i="29"/>
  <c r="Z774" i="29"/>
  <c r="Z705" i="29"/>
  <c r="Z757" i="29"/>
  <c r="AC757" i="29"/>
  <c r="Z692" i="29"/>
  <c r="Z748" i="29"/>
  <c r="AC748" i="29"/>
  <c r="Z77" i="30"/>
  <c r="Z86" i="30"/>
  <c r="Z137" i="30"/>
  <c r="Z109" i="30"/>
  <c r="Z46" i="30"/>
  <c r="Z164" i="29"/>
  <c r="Z210" i="29"/>
  <c r="AC210" i="29"/>
  <c r="Z108" i="29"/>
  <c r="Z30" i="29"/>
  <c r="Z168" i="29"/>
  <c r="Z127" i="29"/>
  <c r="Z51" i="29"/>
  <c r="Z101" i="29"/>
  <c r="Z237" i="29"/>
  <c r="AC237" i="29"/>
  <c r="Z70" i="29"/>
  <c r="Z341" i="29"/>
  <c r="Z232" i="29"/>
  <c r="AC232" i="29"/>
  <c r="Z165" i="29"/>
  <c r="Z373" i="29"/>
  <c r="Z287" i="29"/>
  <c r="Z318" i="29"/>
  <c r="Z492" i="29"/>
  <c r="Z604" i="29"/>
  <c r="Z458" i="29"/>
  <c r="Z499" i="29"/>
  <c r="Z345" i="29"/>
  <c r="Z529" i="29"/>
  <c r="Z500" i="29"/>
  <c r="Z618" i="29"/>
  <c r="Z751" i="29"/>
  <c r="AC751" i="29"/>
  <c r="Z645" i="29"/>
  <c r="Z695" i="29"/>
  <c r="Z41" i="29"/>
  <c r="Z681" i="29"/>
  <c r="Z680" i="29"/>
  <c r="Z511" i="29"/>
  <c r="Z706" i="29"/>
  <c r="Z673" i="29"/>
  <c r="Z522" i="29"/>
  <c r="Z515" i="29"/>
  <c r="Z88" i="30"/>
  <c r="Z27" i="30"/>
  <c r="Z20" i="30"/>
  <c r="Z139" i="30"/>
  <c r="AA239" i="29"/>
  <c r="AD239" i="29"/>
  <c r="AA228" i="29"/>
  <c r="AD228" i="29"/>
  <c r="Z43" i="29"/>
  <c r="Z66" i="29"/>
  <c r="Z282" i="29"/>
  <c r="Z56" i="29"/>
  <c r="Z105" i="29"/>
  <c r="Z266" i="29"/>
  <c r="Z115" i="29"/>
  <c r="Z390" i="29"/>
  <c r="Z55" i="29"/>
  <c r="Z357" i="29"/>
  <c r="Z240" i="29"/>
  <c r="AC240" i="29"/>
  <c r="AA639" i="29"/>
  <c r="AA672" i="29"/>
  <c r="AA487" i="29"/>
  <c r="AA605" i="29"/>
  <c r="AD736" i="29"/>
  <c r="AA736" i="29"/>
  <c r="AA120" i="29"/>
  <c r="AA707" i="29"/>
  <c r="AA749" i="29"/>
  <c r="AD749" i="29"/>
  <c r="AA167" i="29"/>
  <c r="Z580" i="29"/>
  <c r="Z126" i="29"/>
  <c r="Z664" i="29"/>
  <c r="AC770" i="29"/>
  <c r="Z770" i="29"/>
  <c r="Z690" i="29"/>
  <c r="AA110" i="30"/>
  <c r="AA87" i="30"/>
  <c r="AA89" i="30"/>
  <c r="AA108" i="30"/>
  <c r="AA113" i="30"/>
  <c r="Z89" i="29"/>
  <c r="Z383" i="29"/>
  <c r="X776" i="29"/>
  <c r="AA446" i="29"/>
  <c r="AA517" i="29"/>
  <c r="AA433" i="29"/>
  <c r="AA708" i="29"/>
  <c r="AA95" i="30"/>
  <c r="AA134" i="29"/>
  <c r="AA14" i="29"/>
  <c r="AA52" i="29"/>
  <c r="AD204" i="29"/>
  <c r="AA204" i="29"/>
  <c r="AA233" i="29"/>
  <c r="AD233" i="29"/>
  <c r="AA310" i="29"/>
  <c r="AA111" i="29"/>
  <c r="AA229" i="29"/>
  <c r="AD229" i="29"/>
  <c r="AA376" i="29"/>
  <c r="AA650" i="29"/>
  <c r="AA474" i="29"/>
  <c r="AA582" i="29"/>
  <c r="AA314" i="29"/>
  <c r="AA432" i="29"/>
  <c r="AA489" i="29"/>
  <c r="AA320" i="29"/>
  <c r="AA493" i="29"/>
  <c r="Z737" i="29"/>
  <c r="AC737" i="29"/>
  <c r="Z488" i="29"/>
  <c r="Z496" i="29"/>
  <c r="Z655" i="29"/>
  <c r="Z135" i="30"/>
  <c r="Z140" i="30"/>
  <c r="Z61" i="29"/>
  <c r="AA180" i="29"/>
  <c r="AA47" i="29"/>
  <c r="AA90" i="29"/>
  <c r="AA347" i="29"/>
  <c r="AA198" i="29"/>
  <c r="AD198" i="29"/>
  <c r="AA156" i="29"/>
  <c r="AA215" i="29"/>
  <c r="AD215" i="29"/>
  <c r="AA234" i="29"/>
  <c r="AD234" i="29"/>
  <c r="AA589" i="29"/>
  <c r="AA622" i="29"/>
  <c r="AA602" i="29"/>
  <c r="AA332" i="29"/>
  <c r="AA611" i="29"/>
  <c r="AA534" i="29"/>
  <c r="AA467" i="29"/>
  <c r="AA570" i="29"/>
  <c r="AA503" i="29"/>
  <c r="AA607" i="29"/>
  <c r="Z218" i="29"/>
  <c r="AC218" i="29"/>
  <c r="Z280" i="29"/>
  <c r="Z106" i="29"/>
  <c r="Z298" i="29"/>
  <c r="Z18" i="29"/>
  <c r="Z86" i="29"/>
  <c r="Z355" i="29"/>
  <c r="Z381" i="29"/>
  <c r="Z49" i="29"/>
  <c r="Z309" i="29"/>
  <c r="Z366" i="29"/>
  <c r="Z272" i="29"/>
  <c r="Z362" i="29"/>
  <c r="Z405" i="29"/>
  <c r="AA374" i="29"/>
  <c r="AA269" i="29"/>
  <c r="AA421" i="29"/>
  <c r="Z379" i="29"/>
  <c r="Z728" i="29"/>
  <c r="AC728" i="29"/>
  <c r="Z223" i="29"/>
  <c r="AC223" i="29"/>
  <c r="Z502" i="29"/>
  <c r="Z471" i="29"/>
  <c r="Z372" i="29"/>
  <c r="Z677" i="29"/>
  <c r="Z593" i="29"/>
  <c r="Z307" i="29"/>
  <c r="Z530" i="29"/>
  <c r="Z57" i="30"/>
  <c r="Z103" i="29"/>
  <c r="Z139" i="29"/>
  <c r="Z35" i="29"/>
  <c r="Z226" i="29"/>
  <c r="AC226" i="29"/>
  <c r="Z130" i="29"/>
  <c r="Z640" i="29"/>
  <c r="Z73" i="30"/>
  <c r="AA264" i="29"/>
  <c r="AA214" i="29"/>
  <c r="AD214" i="29"/>
  <c r="AA43" i="29"/>
  <c r="AA66" i="29"/>
  <c r="AA282" i="29"/>
  <c r="AA56" i="29"/>
  <c r="AA105" i="29"/>
  <c r="AA132" i="29"/>
  <c r="AA118" i="29"/>
  <c r="AA115" i="29"/>
  <c r="AA273" i="29"/>
  <c r="AA290" i="29"/>
  <c r="AA170" i="29"/>
  <c r="AA398" i="29"/>
  <c r="AA152" i="29"/>
  <c r="AA329" i="29"/>
  <c r="AA225" i="29"/>
  <c r="AD225" i="29"/>
  <c r="AA649" i="29"/>
  <c r="AA532" i="29"/>
  <c r="AA402" i="29"/>
  <c r="AA484" i="29"/>
  <c r="Z363" i="29"/>
  <c r="Z403" i="29"/>
  <c r="Z442" i="29"/>
  <c r="Z316" i="29"/>
  <c r="Z571" i="29"/>
  <c r="Z608" i="29"/>
  <c r="Z773" i="29"/>
  <c r="AC773" i="29"/>
  <c r="AC754" i="29"/>
  <c r="Z754" i="29"/>
  <c r="X563" i="29"/>
  <c r="AA739" i="29"/>
  <c r="AD739" i="29"/>
  <c r="AA606" i="29"/>
  <c r="AA664" i="29"/>
  <c r="AD770" i="29"/>
  <c r="AA770" i="29"/>
  <c r="AA230" i="29"/>
  <c r="AD230" i="29"/>
  <c r="Z85" i="30"/>
  <c r="Z82" i="30"/>
  <c r="Z58" i="30"/>
  <c r="AA89" i="29"/>
  <c r="AA508" i="29"/>
  <c r="Z328" i="29"/>
  <c r="Z686" i="29"/>
  <c r="AA80" i="30"/>
  <c r="Z16" i="29"/>
  <c r="Z149" i="29"/>
  <c r="Z431" i="29"/>
  <c r="Z122" i="29"/>
  <c r="Z236" i="29"/>
  <c r="AC236" i="29"/>
  <c r="Z242" i="29"/>
  <c r="AC242" i="29"/>
  <c r="Z406" i="29"/>
  <c r="Z133" i="29"/>
  <c r="Z521" i="29"/>
  <c r="Z505" i="29"/>
  <c r="Z594" i="29"/>
  <c r="Z445" i="29"/>
  <c r="Z483" i="29"/>
  <c r="Z731" i="29"/>
  <c r="AC731" i="29"/>
  <c r="Z430" i="29"/>
  <c r="X763" i="29"/>
  <c r="AA737" i="29"/>
  <c r="AD737" i="29"/>
  <c r="AA488" i="29"/>
  <c r="AA496" i="29"/>
  <c r="AA684" i="29"/>
  <c r="AA93" i="29"/>
  <c r="AA140" i="30"/>
  <c r="AA100" i="30"/>
  <c r="AA61" i="29"/>
  <c r="AA211" i="29"/>
  <c r="AD211" i="29"/>
  <c r="Z24" i="29"/>
  <c r="Z176" i="29"/>
  <c r="Z385" i="29"/>
  <c r="Z91" i="29"/>
  <c r="Z377" i="29"/>
  <c r="Z335" i="29"/>
  <c r="Z330" i="29"/>
  <c r="Z652" i="29"/>
  <c r="Z349" i="29"/>
  <c r="Z23" i="29"/>
  <c r="Z426" i="29"/>
  <c r="Z464" i="29"/>
  <c r="Z359" i="29"/>
  <c r="Z360" i="29"/>
  <c r="Z617" i="29"/>
  <c r="AA106" i="30"/>
  <c r="AA280" i="29"/>
  <c r="AA222" i="29"/>
  <c r="AD222" i="29"/>
  <c r="AA298" i="29"/>
  <c r="AA256" i="29"/>
  <c r="AA68" i="29"/>
  <c r="AA173" i="29"/>
  <c r="AA86" i="29"/>
  <c r="AA355" i="29"/>
  <c r="AA381" i="29"/>
  <c r="AA125" i="29"/>
  <c r="AA366" i="29"/>
  <c r="AA501" i="29"/>
  <c r="AA96" i="29"/>
  <c r="AA262" i="29"/>
  <c r="AA253" i="29"/>
  <c r="AA57" i="29"/>
  <c r="AA207" i="29"/>
  <c r="AD207" i="29"/>
  <c r="AA243" i="29"/>
  <c r="AD243" i="29"/>
  <c r="AA75" i="29"/>
  <c r="AA26" i="29"/>
  <c r="AA36" i="29"/>
  <c r="AA258" i="29"/>
  <c r="AA283" i="29"/>
  <c r="AA201" i="29"/>
  <c r="AD201" i="29"/>
  <c r="AA121" i="29"/>
  <c r="AA154" i="29"/>
  <c r="AA32" i="29"/>
  <c r="AA20" i="29"/>
  <c r="AA38" i="29"/>
  <c r="AA107" i="29"/>
  <c r="AA63" i="29"/>
  <c r="AA162" i="29"/>
  <c r="AA157" i="29"/>
  <c r="AA427" i="29"/>
  <c r="AA324" i="29"/>
  <c r="AA263" i="29"/>
  <c r="AA675" i="29"/>
  <c r="AA333" i="29"/>
  <c r="AA98" i="29"/>
  <c r="AA294" i="29"/>
  <c r="AA220" i="29"/>
  <c r="AD220" i="29"/>
  <c r="AA342" i="29"/>
  <c r="AA241" i="29"/>
  <c r="AD241" i="29"/>
  <c r="AA92" i="29"/>
  <c r="AA158" i="29"/>
  <c r="AA344" i="29"/>
  <c r="AA268" i="29"/>
  <c r="AA378" i="29"/>
  <c r="AA393" i="29"/>
  <c r="AA150" i="29"/>
  <c r="AA346" i="29"/>
  <c r="AA572" i="29"/>
  <c r="AA350" i="29"/>
  <c r="AA451" i="29"/>
  <c r="AA148" i="29"/>
  <c r="AA339" i="29"/>
  <c r="AA527" i="29"/>
  <c r="AA399" i="29"/>
  <c r="AA466" i="29"/>
  <c r="AA422" i="29"/>
  <c r="Z524" i="29"/>
  <c r="Z639" i="29"/>
  <c r="Z321" i="29"/>
  <c r="Z424" i="29"/>
  <c r="Z672" i="29"/>
  <c r="Z353" i="29"/>
  <c r="Z487" i="29"/>
  <c r="Z769" i="29"/>
  <c r="AC769" i="29"/>
  <c r="Z455" i="29"/>
  <c r="Z613" i="29"/>
  <c r="Z605" i="29"/>
  <c r="Z581" i="29"/>
  <c r="Z569" i="29"/>
  <c r="AC736" i="29"/>
  <c r="Z736" i="29"/>
  <c r="Z663" i="29"/>
  <c r="Z693" i="29"/>
  <c r="Z120" i="29"/>
  <c r="Z481" i="29"/>
  <c r="Z653" i="29"/>
  <c r="Z707" i="29"/>
  <c r="Z698" i="29"/>
  <c r="Z749" i="29"/>
  <c r="AC749" i="29"/>
  <c r="Z700" i="29"/>
  <c r="Z167" i="29"/>
  <c r="Z404" i="29"/>
  <c r="AA685" i="29"/>
  <c r="AD752" i="29"/>
  <c r="AA752" i="29"/>
  <c r="AA408" i="29"/>
  <c r="AA711" i="29"/>
  <c r="AD732" i="29"/>
  <c r="AA732" i="29"/>
  <c r="AA584" i="29"/>
  <c r="AA579" i="29"/>
  <c r="AA575" i="29"/>
  <c r="AA533" i="29"/>
  <c r="AA703" i="29"/>
  <c r="AA208" i="29"/>
  <c r="AD208" i="29"/>
  <c r="Z110" i="30"/>
  <c r="Z157" i="30"/>
  <c r="Z49" i="30"/>
  <c r="Z87" i="30"/>
  <c r="Z148" i="30"/>
  <c r="AC148" i="30"/>
  <c r="Z89" i="30"/>
  <c r="Z97" i="30"/>
  <c r="Z108" i="30"/>
  <c r="Z112" i="30"/>
  <c r="Z84" i="30"/>
  <c r="Z113" i="30"/>
  <c r="AA463" i="29"/>
  <c r="AA625" i="29"/>
  <c r="AA334" i="29"/>
  <c r="AA646" i="29"/>
  <c r="AC740" i="29"/>
  <c r="Z740" i="29"/>
  <c r="Z446" i="29"/>
  <c r="Z540" i="29"/>
  <c r="Z517" i="29"/>
  <c r="Z397" i="29"/>
  <c r="Z433" i="29"/>
  <c r="Z708" i="29"/>
  <c r="Z758" i="29"/>
  <c r="AC758" i="29"/>
  <c r="Z78" i="30"/>
  <c r="Z95" i="30"/>
  <c r="Z52" i="30"/>
  <c r="Z96" i="30"/>
  <c r="Z19" i="30"/>
  <c r="AD147" i="30"/>
  <c r="AA147" i="30"/>
  <c r="Z134" i="29"/>
  <c r="Z174" i="29"/>
  <c r="Z14" i="29"/>
  <c r="Z97" i="29"/>
  <c r="Z52" i="29"/>
  <c r="Z166" i="29"/>
  <c r="Z204" i="29"/>
  <c r="AC204" i="29"/>
  <c r="Z306" i="29"/>
  <c r="Z300" i="29"/>
  <c r="Z233" i="29"/>
  <c r="AC233" i="29"/>
  <c r="Z325" i="29"/>
  <c r="Z310" i="29"/>
  <c r="Z267" i="29"/>
  <c r="Z111" i="29"/>
  <c r="Z439" i="29"/>
  <c r="Z229" i="29"/>
  <c r="AC229" i="29"/>
  <c r="Z516" i="29"/>
  <c r="Z376" i="29"/>
  <c r="Z212" i="29"/>
  <c r="AC212" i="29"/>
  <c r="Z650" i="29"/>
  <c r="Z301" i="29"/>
  <c r="Z441" i="29"/>
  <c r="Z474" i="29"/>
  <c r="Z453" i="29"/>
  <c r="Z582" i="29"/>
  <c r="Z113" i="29"/>
  <c r="Z314" i="29"/>
  <c r="Z588" i="29"/>
  <c r="Z432" i="29"/>
  <c r="Z528" i="29"/>
  <c r="Z400" i="29"/>
  <c r="Z489" i="29"/>
  <c r="Z583" i="29"/>
  <c r="Z320" i="29"/>
  <c r="Z448" i="29"/>
  <c r="Z493" i="29"/>
  <c r="Z699" i="29"/>
  <c r="AD729" i="29"/>
  <c r="AA729" i="29"/>
  <c r="AA667" i="29"/>
  <c r="AA260" i="29"/>
  <c r="AA434" i="29"/>
  <c r="AA678" i="29"/>
  <c r="AA662" i="29"/>
  <c r="AA271" i="29"/>
  <c r="AA658" i="29"/>
  <c r="AA647" i="29"/>
  <c r="AA743" i="29"/>
  <c r="AD743" i="29"/>
  <c r="AA447" i="29"/>
  <c r="AA482" i="29"/>
  <c r="AA670" i="29"/>
  <c r="AA231" i="29"/>
  <c r="AD231" i="29"/>
  <c r="AA72" i="30"/>
  <c r="AA71" i="30"/>
  <c r="AA75" i="30"/>
  <c r="AA70" i="30"/>
  <c r="AA81" i="30"/>
  <c r="X151" i="30"/>
  <c r="AA114" i="29"/>
  <c r="AA28" i="29"/>
  <c r="AA71" i="29"/>
  <c r="AA141" i="29"/>
  <c r="X417" i="29"/>
  <c r="Z180" i="29"/>
  <c r="Z19" i="29"/>
  <c r="Z47" i="29"/>
  <c r="Z65" i="29"/>
  <c r="Z34" i="29"/>
  <c r="Z90" i="29"/>
  <c r="Z308" i="29"/>
  <c r="Z347" i="29"/>
  <c r="AC235" i="29"/>
  <c r="Z235" i="29"/>
  <c r="Z198" i="29"/>
  <c r="AC198" i="29"/>
  <c r="Z276" i="29"/>
  <c r="Z31" i="29"/>
  <c r="Z156" i="29"/>
  <c r="Z401" i="29"/>
  <c r="Z215" i="29"/>
  <c r="AC215" i="29"/>
  <c r="Z694" i="29"/>
  <c r="Z234" i="29"/>
  <c r="AC234" i="29"/>
  <c r="Z523" i="29"/>
  <c r="Z589" i="29"/>
  <c r="Z128" i="29"/>
  <c r="Z622" i="29"/>
  <c r="Z443" i="29"/>
  <c r="Z473" i="29"/>
  <c r="Z602" i="29"/>
  <c r="Z303" i="29"/>
  <c r="Z332" i="29"/>
  <c r="Z469" i="29"/>
  <c r="Z577" i="29"/>
  <c r="Z611" i="29"/>
  <c r="Z531" i="29"/>
  <c r="Z534" i="29"/>
  <c r="Z755" i="29"/>
  <c r="AC755" i="29"/>
  <c r="Z767" i="29"/>
  <c r="AC767" i="29"/>
  <c r="Z467" i="29"/>
  <c r="Z570" i="29"/>
  <c r="Z696" i="29"/>
  <c r="Z261" i="29"/>
  <c r="Z503" i="29"/>
  <c r="Z510" i="29"/>
  <c r="Z710" i="29"/>
  <c r="Z607" i="29"/>
  <c r="X248" i="29"/>
  <c r="AA83" i="30"/>
  <c r="AA90" i="30"/>
  <c r="AA93" i="30"/>
  <c r="AA259" i="29"/>
  <c r="AA87" i="29"/>
  <c r="AA88" i="29"/>
  <c r="AA22" i="29"/>
  <c r="AA21" i="29"/>
  <c r="AA200" i="29"/>
  <c r="AD200" i="29"/>
  <c r="AA117" i="29"/>
  <c r="AA178" i="29"/>
  <c r="AA76" i="29"/>
  <c r="AA50" i="29"/>
  <c r="AA153" i="29"/>
  <c r="AA171" i="29"/>
  <c r="AA74" i="29"/>
  <c r="AA17" i="29"/>
  <c r="AA15" i="29"/>
  <c r="AA317" i="29"/>
  <c r="AA181" i="29"/>
  <c r="AA39" i="29"/>
  <c r="AA112" i="29"/>
  <c r="AA291" i="29"/>
  <c r="AA217" i="29"/>
  <c r="AD217" i="29"/>
  <c r="AA340" i="29"/>
  <c r="AA295" i="29"/>
  <c r="AA146" i="29"/>
  <c r="AA206" i="29"/>
  <c r="AD206" i="29"/>
  <c r="AA110" i="29"/>
  <c r="AA368" i="29"/>
  <c r="AA304" i="29"/>
  <c r="AA436" i="29"/>
  <c r="AA142" i="29"/>
  <c r="AA135" i="29"/>
  <c r="AA299" i="29"/>
  <c r="AA221" i="29"/>
  <c r="AD221" i="29"/>
  <c r="AA343" i="29"/>
  <c r="AA279" i="29"/>
  <c r="X194" i="29"/>
  <c r="Z374" i="29"/>
  <c r="Z541" i="29"/>
  <c r="Z269" i="29"/>
  <c r="Z421" i="29"/>
  <c r="Z497" i="29"/>
  <c r="AA354" i="29"/>
  <c r="AD750" i="29"/>
  <c r="AA750" i="29"/>
  <c r="AA277" i="29"/>
  <c r="AA425" i="29"/>
  <c r="AA509" i="29"/>
  <c r="AA438" i="29"/>
  <c r="AA535" i="29"/>
  <c r="AA452" i="29"/>
  <c r="AA179" i="29"/>
  <c r="AA255" i="29"/>
  <c r="AA490" i="29"/>
  <c r="AA429" i="29"/>
  <c r="AA480" i="29"/>
  <c r="AA459" i="29"/>
  <c r="AA538" i="29"/>
  <c r="AA485" i="29"/>
  <c r="AA435" i="29"/>
  <c r="AA615" i="29"/>
  <c r="AA676" i="29"/>
  <c r="AA771" i="29"/>
  <c r="AD771" i="29"/>
  <c r="AA697" i="29"/>
  <c r="AA619" i="29"/>
  <c r="AA735" i="29"/>
  <c r="AD735" i="29"/>
  <c r="AA701" i="29"/>
  <c r="AA407" i="29"/>
  <c r="AA733" i="29"/>
  <c r="AD733" i="29"/>
  <c r="AA460" i="29"/>
  <c r="AA358" i="29"/>
  <c r="AA76" i="30"/>
  <c r="Z22" i="30"/>
  <c r="Z59" i="30"/>
  <c r="AA352" i="29"/>
  <c r="AA337" i="29"/>
  <c r="AA364" i="29"/>
  <c r="AA356" i="29"/>
  <c r="AA137" i="29"/>
  <c r="AA275" i="29"/>
  <c r="AA60" i="29"/>
  <c r="AA302" i="29"/>
  <c r="AA102" i="29"/>
  <c r="AA25" i="29"/>
  <c r="AA147" i="29"/>
  <c r="AA348" i="29"/>
  <c r="AA679" i="29"/>
  <c r="AA131" i="29"/>
  <c r="AA394" i="29"/>
  <c r="AA169" i="29"/>
  <c r="AA319" i="29"/>
  <c r="AA305" i="29"/>
  <c r="AA312" i="29"/>
  <c r="AA293" i="29"/>
  <c r="AA578" i="29"/>
  <c r="AA587" i="29"/>
  <c r="AA688" i="29"/>
  <c r="AA494" i="29"/>
  <c r="AD774" i="29"/>
  <c r="AA774" i="29"/>
  <c r="AA705" i="29"/>
  <c r="AD757" i="29"/>
  <c r="AA757" i="29"/>
  <c r="AA692" i="29"/>
  <c r="AD748" i="29"/>
  <c r="AA748" i="29"/>
  <c r="AA77" i="30"/>
  <c r="AA86" i="30"/>
  <c r="AA137" i="30"/>
  <c r="AA109" i="30"/>
  <c r="AA46" i="30"/>
  <c r="AA164" i="29"/>
  <c r="AA210" i="29"/>
  <c r="AD210" i="29"/>
  <c r="AA108" i="29"/>
  <c r="AA30" i="29"/>
  <c r="AA168" i="29"/>
  <c r="AA127" i="29"/>
  <c r="AA51" i="29"/>
  <c r="AA101" i="29"/>
  <c r="AA237" i="29"/>
  <c r="AD237" i="29"/>
  <c r="AA70" i="29"/>
  <c r="AA341" i="29"/>
  <c r="AA232" i="29"/>
  <c r="AD232" i="29"/>
  <c r="AA165" i="29"/>
  <c r="AA373" i="29"/>
  <c r="AA287" i="29"/>
  <c r="AA318" i="29"/>
  <c r="AA492" i="29"/>
  <c r="AA604" i="29"/>
  <c r="AA458" i="29"/>
  <c r="AA499" i="29"/>
  <c r="AA345" i="29"/>
  <c r="AA529" i="29"/>
  <c r="AA500" i="29"/>
  <c r="AA618" i="29"/>
  <c r="AA751" i="29"/>
  <c r="AD751" i="29"/>
  <c r="AA645" i="29"/>
  <c r="AA695" i="29"/>
  <c r="AA41" i="29"/>
  <c r="AA681" i="29"/>
  <c r="AA680" i="29"/>
  <c r="AA511" i="29"/>
  <c r="AA706" i="29"/>
  <c r="AA673" i="29"/>
  <c r="AA522" i="29"/>
  <c r="AA515" i="29"/>
  <c r="AA88" i="30"/>
  <c r="AA139" i="30"/>
  <c r="AA105" i="30"/>
  <c r="Z475" i="29"/>
  <c r="AA475" i="29"/>
  <c r="X557" i="29"/>
  <c r="T142" i="30"/>
  <c r="F73" i="27" s="1"/>
  <c r="BM73" i="27" s="1"/>
  <c r="U154" i="30"/>
  <c r="T557" i="29"/>
  <c r="F46" i="27" s="1"/>
  <c r="BM46" i="27" s="1"/>
  <c r="U565" i="29"/>
  <c r="U635" i="29" s="1"/>
  <c r="G50" i="27" s="1"/>
  <c r="BN50" i="27" s="1"/>
  <c r="U638" i="29"/>
  <c r="T724" i="29"/>
  <c r="F52" i="27" s="1"/>
  <c r="BM52" i="27" s="1"/>
  <c r="U727" i="29"/>
  <c r="T763" i="29"/>
  <c r="F54" i="27" s="1"/>
  <c r="BM54" i="27" s="1"/>
  <c r="S779" i="29"/>
  <c r="W197" i="29"/>
  <c r="U248" i="29"/>
  <c r="G40" i="27" s="1"/>
  <c r="BN40" i="27" s="1"/>
  <c r="U145" i="30"/>
  <c r="T417" i="29"/>
  <c r="F44" i="27" s="1"/>
  <c r="BM44" i="27" s="1"/>
  <c r="W69" i="30"/>
  <c r="U128" i="30"/>
  <c r="G67" i="27" s="1"/>
  <c r="BN67" i="27" s="1"/>
  <c r="W80" i="29"/>
  <c r="W321" i="28"/>
  <c r="H29" i="27" s="1"/>
  <c r="BO29" i="27" s="1"/>
  <c r="U132" i="30"/>
  <c r="U420" i="29"/>
  <c r="U766" i="29"/>
  <c r="T776" i="29"/>
  <c r="F56" i="27" s="1"/>
  <c r="BM56" i="27" s="1"/>
  <c r="T248" i="29"/>
  <c r="F40" i="27" s="1"/>
  <c r="BM40" i="27" s="1"/>
  <c r="U560" i="29"/>
  <c r="T128" i="30"/>
  <c r="F67" i="27" s="1"/>
  <c r="BM67" i="27" s="1"/>
  <c r="T194" i="29"/>
  <c r="F38" i="27" s="1"/>
  <c r="BM38" i="27" s="1"/>
  <c r="W251" i="29"/>
  <c r="U417" i="29"/>
  <c r="G44" i="27" s="1"/>
  <c r="BN44" i="27" s="1"/>
  <c r="W149" i="28"/>
  <c r="U251" i="28"/>
  <c r="S139" i="28"/>
  <c r="E11" i="27" s="1"/>
  <c r="BL11" i="27" s="1"/>
  <c r="T137" i="28"/>
  <c r="T139" i="28" s="1"/>
  <c r="F11" i="27" s="1"/>
  <c r="BM11" i="27" s="1"/>
  <c r="T284" i="28"/>
  <c r="U284" i="28" s="1"/>
  <c r="BM58" i="27" l="1"/>
  <c r="E59" i="27"/>
  <c r="F58" i="27"/>
  <c r="W142" i="28"/>
  <c r="AC776" i="29"/>
  <c r="X779" i="29"/>
  <c r="Z194" i="29"/>
  <c r="Z763" i="29"/>
  <c r="Z248" i="29"/>
  <c r="Z128" i="30"/>
  <c r="Z635" i="29"/>
  <c r="AC763" i="29"/>
  <c r="AC248" i="29"/>
  <c r="Z724" i="29"/>
  <c r="Z557" i="29"/>
  <c r="Z417" i="29"/>
  <c r="Z151" i="30"/>
  <c r="W417" i="29"/>
  <c r="H44" i="27" s="1"/>
  <c r="BO44" i="27" s="1"/>
  <c r="Y251" i="29"/>
  <c r="W128" i="30"/>
  <c r="H67" i="27" s="1"/>
  <c r="BO67" i="27" s="1"/>
  <c r="Y69" i="30"/>
  <c r="W248" i="29"/>
  <c r="H40" i="27" s="1"/>
  <c r="BO40" i="27" s="1"/>
  <c r="Y197" i="29"/>
  <c r="Z776" i="29"/>
  <c r="Z142" i="30"/>
  <c r="W565" i="29"/>
  <c r="AC151" i="30"/>
  <c r="W194" i="29"/>
  <c r="H38" i="27" s="1"/>
  <c r="BO38" i="27" s="1"/>
  <c r="Y80" i="29"/>
  <c r="AA80" i="29" s="1"/>
  <c r="AA194" i="29" s="1"/>
  <c r="W154" i="30"/>
  <c r="W420" i="29"/>
  <c r="U557" i="29"/>
  <c r="G46" i="27" s="1"/>
  <c r="BN46" i="27" s="1"/>
  <c r="W638" i="29"/>
  <c r="U724" i="29"/>
  <c r="G52" i="27" s="1"/>
  <c r="BN52" i="27" s="1"/>
  <c r="W727" i="29"/>
  <c r="U763" i="29"/>
  <c r="G54" i="27" s="1"/>
  <c r="BN54" i="27" s="1"/>
  <c r="T779" i="29"/>
  <c r="W132" i="30"/>
  <c r="U142" i="30"/>
  <c r="G73" i="27" s="1"/>
  <c r="BN73" i="27" s="1"/>
  <c r="W560" i="29"/>
  <c r="U563" i="29"/>
  <c r="G48" i="27" s="1"/>
  <c r="BN48" i="27" s="1"/>
  <c r="U776" i="29"/>
  <c r="G56" i="27" s="1"/>
  <c r="BN56" i="27" s="1"/>
  <c r="W766" i="29"/>
  <c r="U151" i="30"/>
  <c r="G75" i="27" s="1"/>
  <c r="BN75" i="27" s="1"/>
  <c r="W145" i="30"/>
  <c r="U137" i="28"/>
  <c r="W251" i="28"/>
  <c r="U253" i="28"/>
  <c r="G19" i="27" s="1"/>
  <c r="BN19" i="27" s="1"/>
  <c r="W284" i="28"/>
  <c r="BN58" i="27" l="1"/>
  <c r="G58" i="27"/>
  <c r="F59" i="27"/>
  <c r="W144" i="28"/>
  <c r="H13" i="27" s="1"/>
  <c r="BO13" i="27" s="1"/>
  <c r="Z779" i="29"/>
  <c r="W253" i="28"/>
  <c r="H19" i="27" s="1"/>
  <c r="BO19" i="27" s="1"/>
  <c r="W151" i="30"/>
  <c r="H75" i="27" s="1"/>
  <c r="BO75" i="27" s="1"/>
  <c r="Y145" i="30"/>
  <c r="W142" i="30"/>
  <c r="H73" i="27" s="1"/>
  <c r="BO73" i="27" s="1"/>
  <c r="Y132" i="30"/>
  <c r="Y154" i="30"/>
  <c r="W563" i="29"/>
  <c r="H48" i="27" s="1"/>
  <c r="BO48" i="27" s="1"/>
  <c r="Y560" i="29"/>
  <c r="W635" i="29"/>
  <c r="H50" i="27" s="1"/>
  <c r="BO50" i="27" s="1"/>
  <c r="Y565" i="29"/>
  <c r="Y417" i="29"/>
  <c r="AA251" i="29"/>
  <c r="AA417" i="29" s="1"/>
  <c r="W557" i="29"/>
  <c r="H46" i="27" s="1"/>
  <c r="BO46" i="27" s="1"/>
  <c r="Y420" i="29"/>
  <c r="AA69" i="30"/>
  <c r="AA128" i="30" s="1"/>
  <c r="Y128" i="30"/>
  <c r="W776" i="29"/>
  <c r="H56" i="27" s="1"/>
  <c r="BO56" i="27" s="1"/>
  <c r="Y766" i="29"/>
  <c r="W763" i="29"/>
  <c r="H54" i="27" s="1"/>
  <c r="BO54" i="27" s="1"/>
  <c r="Y727" i="29"/>
  <c r="W724" i="29"/>
  <c r="H52" i="27" s="1"/>
  <c r="BO52" i="27" s="1"/>
  <c r="Y638" i="29"/>
  <c r="AA197" i="29"/>
  <c r="AA248" i="29" s="1"/>
  <c r="Y248" i="29"/>
  <c r="AD197" i="29"/>
  <c r="AD248" i="29" s="1"/>
  <c r="Y194" i="29"/>
  <c r="U779" i="29"/>
  <c r="U139" i="28"/>
  <c r="G11" i="27" s="1"/>
  <c r="BN11" i="27" s="1"/>
  <c r="W137" i="28"/>
  <c r="BO58" i="27" l="1"/>
  <c r="G59" i="27"/>
  <c r="H58" i="27"/>
  <c r="W779" i="29"/>
  <c r="AA638" i="29"/>
  <c r="AA724" i="29" s="1"/>
  <c r="Y724" i="29"/>
  <c r="Y142" i="30"/>
  <c r="AA132" i="30"/>
  <c r="AA142" i="30" s="1"/>
  <c r="AA565" i="29"/>
  <c r="AA635" i="29" s="1"/>
  <c r="Y635" i="29"/>
  <c r="AD727" i="29"/>
  <c r="AD763" i="29" s="1"/>
  <c r="Y763" i="29"/>
  <c r="AA727" i="29"/>
  <c r="AA763" i="29" s="1"/>
  <c r="AA154" i="30"/>
  <c r="AA145" i="30"/>
  <c r="AA151" i="30" s="1"/>
  <c r="Y151" i="30"/>
  <c r="AD145" i="30"/>
  <c r="AD151" i="30" s="1"/>
  <c r="AD766" i="29"/>
  <c r="AD776" i="29" s="1"/>
  <c r="AA766" i="29"/>
  <c r="AA776" i="29" s="1"/>
  <c r="Y776" i="29"/>
  <c r="AA420" i="29"/>
  <c r="AA557" i="29" s="1"/>
  <c r="Y557" i="29"/>
  <c r="AD560" i="29"/>
  <c r="AD563" i="29" s="1"/>
  <c r="AA560" i="29"/>
  <c r="AA563" i="29" s="1"/>
  <c r="Y563" i="29"/>
  <c r="W139" i="28"/>
  <c r="H11" i="27" s="1"/>
  <c r="BO11" i="27" s="1"/>
  <c r="H59" i="27" l="1"/>
  <c r="Y779" i="29"/>
  <c r="AA779" i="29"/>
  <c r="I51" i="26" l="1"/>
  <c r="H45" i="26"/>
  <c r="K50" i="26"/>
  <c r="G34" i="26"/>
  <c r="M34" i="26" s="1"/>
  <c r="F34" i="26"/>
  <c r="L34" i="26" s="1"/>
  <c r="E34" i="26"/>
  <c r="K34" i="26" s="1"/>
  <c r="D34" i="26"/>
  <c r="C34" i="26"/>
  <c r="H11" i="26"/>
  <c r="H9" i="26"/>
  <c r="M4" i="26"/>
  <c r="L4" i="26"/>
  <c r="K4" i="26"/>
  <c r="J4" i="26"/>
  <c r="I4" i="26"/>
  <c r="H14" i="26" l="1"/>
  <c r="H16" i="26"/>
  <c r="H44" i="26"/>
  <c r="H13" i="26"/>
  <c r="D51" i="26"/>
  <c r="H15" i="26"/>
  <c r="D30" i="26" s="1"/>
  <c r="R36" i="26"/>
  <c r="H12" i="26"/>
  <c r="C29" i="26" s="1"/>
  <c r="H38" i="26"/>
  <c r="L38" i="26" s="1"/>
  <c r="G25" i="26"/>
  <c r="E51" i="26"/>
  <c r="Q36" i="26"/>
  <c r="H42" i="26"/>
  <c r="H46" i="26"/>
  <c r="J46" i="26" s="1"/>
  <c r="H48" i="26"/>
  <c r="K46" i="26"/>
  <c r="P7" i="26"/>
  <c r="Q7" i="26"/>
  <c r="H10" i="26"/>
  <c r="C28" i="26" s="1"/>
  <c r="D19" i="26"/>
  <c r="J6" i="26" s="1"/>
  <c r="C22" i="26"/>
  <c r="F51" i="26"/>
  <c r="G19" i="26"/>
  <c r="M16" i="26" s="1"/>
  <c r="H6" i="26"/>
  <c r="H7" i="26"/>
  <c r="H8" i="26"/>
  <c r="H17" i="26"/>
  <c r="E24" i="26" s="1"/>
  <c r="E19" i="26"/>
  <c r="H36" i="26"/>
  <c r="J36" i="26" s="1"/>
  <c r="P36" i="26"/>
  <c r="H40" i="26"/>
  <c r="J40" i="26" s="1"/>
  <c r="C51" i="26"/>
  <c r="G51" i="26"/>
  <c r="C19" i="26"/>
  <c r="C25" i="26"/>
  <c r="F19" i="26"/>
  <c r="L17" i="26" s="1"/>
  <c r="J50" i="26"/>
  <c r="L46" i="26" l="1"/>
  <c r="C33" i="26"/>
  <c r="AB334" i="29"/>
  <c r="AB395" i="29"/>
  <c r="I17" i="26"/>
  <c r="P6" i="26"/>
  <c r="F29" i="26"/>
  <c r="M38" i="26"/>
  <c r="K38" i="26"/>
  <c r="J38" i="26"/>
  <c r="N50" i="26"/>
  <c r="M6" i="26"/>
  <c r="G23" i="26"/>
  <c r="F23" i="26"/>
  <c r="M10" i="26"/>
  <c r="E30" i="26"/>
  <c r="C30" i="26"/>
  <c r="G30" i="26"/>
  <c r="M8" i="26"/>
  <c r="F30" i="26"/>
  <c r="M46" i="26"/>
  <c r="D28" i="26"/>
  <c r="AB257" i="29" s="1"/>
  <c r="S7" i="26"/>
  <c r="I6" i="26"/>
  <c r="D29" i="26"/>
  <c r="AB577" i="29" s="1"/>
  <c r="E23" i="26"/>
  <c r="S36" i="26"/>
  <c r="Q6" i="26"/>
  <c r="E32" i="26"/>
  <c r="I8" i="26"/>
  <c r="H25" i="26"/>
  <c r="D55" i="26"/>
  <c r="D23" i="26"/>
  <c r="E29" i="26"/>
  <c r="J12" i="26"/>
  <c r="C23" i="26"/>
  <c r="G24" i="26"/>
  <c r="G29" i="26"/>
  <c r="C26" i="26"/>
  <c r="L12" i="26"/>
  <c r="L13" i="26"/>
  <c r="L8" i="26"/>
  <c r="L7" i="26"/>
  <c r="L6" i="26"/>
  <c r="L16" i="26"/>
  <c r="L14" i="26"/>
  <c r="L10" i="26"/>
  <c r="L15" i="26"/>
  <c r="C31" i="26"/>
  <c r="R6" i="26"/>
  <c r="I16" i="26"/>
  <c r="I15" i="26"/>
  <c r="I14" i="26"/>
  <c r="C24" i="26"/>
  <c r="I10" i="26"/>
  <c r="D26" i="26"/>
  <c r="G22" i="26"/>
  <c r="H22" i="26" s="1"/>
  <c r="E28" i="26"/>
  <c r="F28" i="26"/>
  <c r="F32" i="26"/>
  <c r="M14" i="26"/>
  <c r="D24" i="26"/>
  <c r="F26" i="26"/>
  <c r="E26" i="26"/>
  <c r="H19" i="26"/>
  <c r="C21" i="26" s="1"/>
  <c r="G55" i="26"/>
  <c r="H51" i="26"/>
  <c r="F53" i="26" s="1"/>
  <c r="J31" i="26"/>
  <c r="D54" i="26"/>
  <c r="M36" i="26"/>
  <c r="N36" i="26" s="1"/>
  <c r="K16" i="26"/>
  <c r="K15" i="26"/>
  <c r="K14" i="26"/>
  <c r="K13" i="26"/>
  <c r="K10" i="26"/>
  <c r="K12" i="26"/>
  <c r="K17" i="26"/>
  <c r="K7" i="26"/>
  <c r="K6" i="26"/>
  <c r="F27" i="26"/>
  <c r="G27" i="26"/>
  <c r="D27" i="26"/>
  <c r="D33" i="26"/>
  <c r="M12" i="26"/>
  <c r="G31" i="26"/>
  <c r="E33" i="26"/>
  <c r="C27" i="26"/>
  <c r="J10" i="26"/>
  <c r="J16" i="26"/>
  <c r="J15" i="26"/>
  <c r="J14" i="26"/>
  <c r="J8" i="26"/>
  <c r="J7" i="26"/>
  <c r="D31" i="26"/>
  <c r="J17" i="26"/>
  <c r="K8" i="26"/>
  <c r="J13" i="26"/>
  <c r="G26" i="26"/>
  <c r="M13" i="26"/>
  <c r="M17" i="26"/>
  <c r="F33" i="26"/>
  <c r="G54" i="26"/>
  <c r="G28" i="26"/>
  <c r="F54" i="26"/>
  <c r="M40" i="26"/>
  <c r="K40" i="26"/>
  <c r="C32" i="26"/>
  <c r="C55" i="26"/>
  <c r="G32" i="26"/>
  <c r="F24" i="26"/>
  <c r="M15" i="26"/>
  <c r="I12" i="26"/>
  <c r="L40" i="26"/>
  <c r="E54" i="26"/>
  <c r="D32" i="26"/>
  <c r="G33" i="26"/>
  <c r="I13" i="26"/>
  <c r="C54" i="26"/>
  <c r="M7" i="26"/>
  <c r="I7" i="26"/>
  <c r="AB588" i="29" l="1"/>
  <c r="AB618" i="29"/>
  <c r="AB589" i="29"/>
  <c r="AB381" i="29"/>
  <c r="N38" i="26"/>
  <c r="AB603" i="29"/>
  <c r="AB572" i="29"/>
  <c r="AB590" i="29"/>
  <c r="AB283" i="29"/>
  <c r="AB335" i="29"/>
  <c r="AB409" i="29"/>
  <c r="AB365" i="29"/>
  <c r="AB587" i="29"/>
  <c r="AB615" i="29"/>
  <c r="AB621" i="29"/>
  <c r="AB358" i="29"/>
  <c r="AB251" i="29"/>
  <c r="AB393" i="29"/>
  <c r="AB317" i="29"/>
  <c r="AB410" i="29"/>
  <c r="AB580" i="29"/>
  <c r="AB622" i="29"/>
  <c r="AB617" i="29"/>
  <c r="AB267" i="29"/>
  <c r="AB394" i="29"/>
  <c r="AB332" i="29"/>
  <c r="AB253" i="29"/>
  <c r="AB414" i="29"/>
  <c r="N46" i="26"/>
  <c r="AB565" i="29"/>
  <c r="AB575" i="29"/>
  <c r="AB570" i="29"/>
  <c r="AB569" i="29"/>
  <c r="AB352" i="29"/>
  <c r="AB271" i="29"/>
  <c r="AC271" i="29" s="1"/>
  <c r="AB270" i="29"/>
  <c r="AB268" i="29"/>
  <c r="AB269" i="29"/>
  <c r="AD410" i="29"/>
  <c r="AC410" i="29"/>
  <c r="AB612" i="29"/>
  <c r="AC612" i="29" s="1"/>
  <c r="AB584" i="29"/>
  <c r="AB606" i="29"/>
  <c r="AB605" i="29"/>
  <c r="AB342" i="29"/>
  <c r="AB378" i="29"/>
  <c r="AB376" i="29"/>
  <c r="AB375" i="29"/>
  <c r="AB349" i="29"/>
  <c r="AD349" i="29" s="1"/>
  <c r="AB413" i="29"/>
  <c r="L51" i="26"/>
  <c r="AB620" i="29"/>
  <c r="AB576" i="29"/>
  <c r="AB602" i="29"/>
  <c r="AB601" i="29"/>
  <c r="AB256" i="29"/>
  <c r="AB356" i="29"/>
  <c r="AC356" i="29" s="1"/>
  <c r="AB355" i="29"/>
  <c r="AB354" i="29"/>
  <c r="AB333" i="29"/>
  <c r="AB415" i="29"/>
  <c r="AD414" i="29"/>
  <c r="AC414" i="29"/>
  <c r="AB185" i="29"/>
  <c r="AB190" i="29"/>
  <c r="AB188" i="29"/>
  <c r="AB189" i="29"/>
  <c r="AB183" i="29"/>
  <c r="AB191" i="29"/>
  <c r="AB182" i="29"/>
  <c r="AB186" i="29"/>
  <c r="AB187" i="29"/>
  <c r="AB184" i="29"/>
  <c r="AB192" i="29"/>
  <c r="AB619" i="29"/>
  <c r="AB607" i="29"/>
  <c r="AB586" i="29"/>
  <c r="AC586" i="29" s="1"/>
  <c r="AB585" i="29"/>
  <c r="AB272" i="29"/>
  <c r="AC272" i="29" s="1"/>
  <c r="AB314" i="29"/>
  <c r="AB312" i="29"/>
  <c r="AD312" i="29" s="1"/>
  <c r="AB311" i="29"/>
  <c r="AB301" i="29"/>
  <c r="AB411" i="29"/>
  <c r="AB579" i="29"/>
  <c r="AB583" i="29"/>
  <c r="AB574" i="29"/>
  <c r="AB573" i="29"/>
  <c r="AB262" i="29"/>
  <c r="AC262" i="29" s="1"/>
  <c r="AB292" i="29"/>
  <c r="AB291" i="29"/>
  <c r="AB290" i="29"/>
  <c r="AB285" i="29"/>
  <c r="AB412" i="29"/>
  <c r="AC257" i="29"/>
  <c r="AD257" i="29"/>
  <c r="AD577" i="29"/>
  <c r="AC577" i="29"/>
  <c r="AC587" i="29"/>
  <c r="AD587" i="29"/>
  <c r="AC565" i="29"/>
  <c r="AD565" i="29"/>
  <c r="AD576" i="29"/>
  <c r="AC576" i="29"/>
  <c r="AC618" i="29"/>
  <c r="AD618" i="29"/>
  <c r="AD586" i="29"/>
  <c r="AD617" i="29"/>
  <c r="AC617" i="29"/>
  <c r="AC585" i="29"/>
  <c r="AD585" i="29"/>
  <c r="AC283" i="29"/>
  <c r="AD283" i="29"/>
  <c r="AC256" i="29"/>
  <c r="AD256" i="29"/>
  <c r="AD272" i="29"/>
  <c r="AD352" i="29"/>
  <c r="AC352" i="29"/>
  <c r="AC395" i="29"/>
  <c r="AD395" i="29"/>
  <c r="AC314" i="29"/>
  <c r="AD314" i="29"/>
  <c r="AC251" i="29"/>
  <c r="AD251" i="29"/>
  <c r="AD376" i="29"/>
  <c r="AC376" i="29"/>
  <c r="AD334" i="29"/>
  <c r="AC334" i="29"/>
  <c r="AC291" i="29"/>
  <c r="AD291" i="29"/>
  <c r="AD409" i="29"/>
  <c r="AC409" i="29"/>
  <c r="AC375" i="29"/>
  <c r="AD375" i="29"/>
  <c r="AC332" i="29"/>
  <c r="AD332" i="29"/>
  <c r="AC290" i="29"/>
  <c r="AD290" i="29"/>
  <c r="AD381" i="29"/>
  <c r="AC381" i="29"/>
  <c r="AC317" i="29"/>
  <c r="AD317" i="29"/>
  <c r="AC285" i="29"/>
  <c r="AD285" i="29"/>
  <c r="AC253" i="29"/>
  <c r="AD253" i="29"/>
  <c r="AB640" i="29"/>
  <c r="AB644" i="29"/>
  <c r="AB648" i="29"/>
  <c r="AB652" i="29"/>
  <c r="AB656" i="29"/>
  <c r="AB660" i="29"/>
  <c r="AB664" i="29"/>
  <c r="AB668" i="29"/>
  <c r="AB672" i="29"/>
  <c r="AB676" i="29"/>
  <c r="AB680" i="29"/>
  <c r="AB684" i="29"/>
  <c r="AB688" i="29"/>
  <c r="AB692" i="29"/>
  <c r="AB696" i="29"/>
  <c r="AB700" i="29"/>
  <c r="AB704" i="29"/>
  <c r="AB708" i="29"/>
  <c r="AB638" i="29"/>
  <c r="AB641" i="29"/>
  <c r="AB645" i="29"/>
  <c r="AB649" i="29"/>
  <c r="AB653" i="29"/>
  <c r="AB657" i="29"/>
  <c r="AB661" i="29"/>
  <c r="AB665" i="29"/>
  <c r="AB669" i="29"/>
  <c r="AB673" i="29"/>
  <c r="AB677" i="29"/>
  <c r="AB681" i="29"/>
  <c r="AB685" i="29"/>
  <c r="AB689" i="29"/>
  <c r="AB693" i="29"/>
  <c r="AB697" i="29"/>
  <c r="AB701" i="29"/>
  <c r="AB705" i="29"/>
  <c r="AB709" i="29"/>
  <c r="AB642" i="29"/>
  <c r="AB650" i="29"/>
  <c r="AB658" i="29"/>
  <c r="AB666" i="29"/>
  <c r="AB674" i="29"/>
  <c r="AB682" i="29"/>
  <c r="AB690" i="29"/>
  <c r="AB698" i="29"/>
  <c r="AB706" i="29"/>
  <c r="AB643" i="29"/>
  <c r="AB651" i="29"/>
  <c r="AB659" i="29"/>
  <c r="AB667" i="29"/>
  <c r="AB675" i="29"/>
  <c r="AB683" i="29"/>
  <c r="AB691" i="29"/>
  <c r="AB699" i="29"/>
  <c r="AB707" i="29"/>
  <c r="AB639" i="29"/>
  <c r="AB655" i="29"/>
  <c r="AB671" i="29"/>
  <c r="AB687" i="29"/>
  <c r="AB703" i="29"/>
  <c r="AB646" i="29"/>
  <c r="AB662" i="29"/>
  <c r="AB678" i="29"/>
  <c r="AB694" i="29"/>
  <c r="AB710" i="29"/>
  <c r="AB647" i="29"/>
  <c r="AB663" i="29"/>
  <c r="AB679" i="29"/>
  <c r="AB695" i="29"/>
  <c r="AB711" i="29"/>
  <c r="AB702" i="29"/>
  <c r="AB686" i="29"/>
  <c r="AB654" i="29"/>
  <c r="AB670" i="29"/>
  <c r="R26" i="26"/>
  <c r="AG151" i="30"/>
  <c r="AJ151" i="30"/>
  <c r="AE151" i="30"/>
  <c r="AH151" i="30"/>
  <c r="AB624" i="29"/>
  <c r="AB611" i="29"/>
  <c r="AB608" i="29"/>
  <c r="AB616" i="29"/>
  <c r="AB600" i="29"/>
  <c r="AB568" i="29"/>
  <c r="AB599" i="29"/>
  <c r="AB567" i="29"/>
  <c r="AB614" i="29"/>
  <c r="AB598" i="29"/>
  <c r="AB582" i="29"/>
  <c r="AB566" i="29"/>
  <c r="AB613" i="29"/>
  <c r="AB597" i="29"/>
  <c r="AB581" i="29"/>
  <c r="AB400" i="29"/>
  <c r="AB320" i="29"/>
  <c r="AB368" i="29"/>
  <c r="AB336" i="29"/>
  <c r="AB404" i="29"/>
  <c r="AB408" i="29"/>
  <c r="AB331" i="29"/>
  <c r="AB407" i="29"/>
  <c r="AB391" i="29"/>
  <c r="AB372" i="29"/>
  <c r="AB351" i="29"/>
  <c r="AB330" i="29"/>
  <c r="AB308" i="29"/>
  <c r="AB287" i="29"/>
  <c r="AB266" i="29"/>
  <c r="AB406" i="29"/>
  <c r="AB390" i="29"/>
  <c r="AB371" i="29"/>
  <c r="AB350" i="29"/>
  <c r="AB328" i="29"/>
  <c r="AB307" i="29"/>
  <c r="AB286" i="29"/>
  <c r="AB264" i="29"/>
  <c r="AB405" i="29"/>
  <c r="AB389" i="29"/>
  <c r="AB370" i="29"/>
  <c r="AB348" i="29"/>
  <c r="AB327" i="29"/>
  <c r="AB306" i="29"/>
  <c r="AB284" i="29"/>
  <c r="AB263" i="29"/>
  <c r="AB377" i="29"/>
  <c r="AB361" i="29"/>
  <c r="AB345" i="29"/>
  <c r="AB329" i="29"/>
  <c r="AB313" i="29"/>
  <c r="AB297" i="29"/>
  <c r="AB281" i="29"/>
  <c r="AB265" i="29"/>
  <c r="AB422" i="29"/>
  <c r="AB426" i="29"/>
  <c r="AB430" i="29"/>
  <c r="AB434" i="29"/>
  <c r="AB438" i="29"/>
  <c r="AB442" i="29"/>
  <c r="AB446" i="29"/>
  <c r="AB450" i="29"/>
  <c r="AB454" i="29"/>
  <c r="AB458" i="29"/>
  <c r="AB462" i="29"/>
  <c r="AB466" i="29"/>
  <c r="AB470" i="29"/>
  <c r="AB474" i="29"/>
  <c r="AB478" i="29"/>
  <c r="AB482" i="29"/>
  <c r="AB486" i="29"/>
  <c r="AB490" i="29"/>
  <c r="AB494" i="29"/>
  <c r="AB498" i="29"/>
  <c r="AB502" i="29"/>
  <c r="AB506" i="29"/>
  <c r="AB423" i="29"/>
  <c r="AB427" i="29"/>
  <c r="AB431" i="29"/>
  <c r="AB435" i="29"/>
  <c r="AB439" i="29"/>
  <c r="AB443" i="29"/>
  <c r="AB447" i="29"/>
  <c r="AB451" i="29"/>
  <c r="AB455" i="29"/>
  <c r="AB459" i="29"/>
  <c r="AB463" i="29"/>
  <c r="AB467" i="29"/>
  <c r="AB471" i="29"/>
  <c r="AB475" i="29"/>
  <c r="AB479" i="29"/>
  <c r="AB483" i="29"/>
  <c r="AB487" i="29"/>
  <c r="AB491" i="29"/>
  <c r="AB495" i="29"/>
  <c r="AB499" i="29"/>
  <c r="AB503" i="29"/>
  <c r="AB424" i="29"/>
  <c r="AB432" i="29"/>
  <c r="AB440" i="29"/>
  <c r="AB448" i="29"/>
  <c r="AB456" i="29"/>
  <c r="AB464" i="29"/>
  <c r="AB472" i="29"/>
  <c r="AB480" i="29"/>
  <c r="AB488" i="29"/>
  <c r="AB496" i="29"/>
  <c r="AB504" i="29"/>
  <c r="AB509" i="29"/>
  <c r="AB513" i="29"/>
  <c r="AB517" i="29"/>
  <c r="AB521" i="29"/>
  <c r="AB525" i="29"/>
  <c r="AB529" i="29"/>
  <c r="AB533" i="29"/>
  <c r="AB537" i="29"/>
  <c r="AB541" i="29"/>
  <c r="AB429" i="29"/>
  <c r="AB441" i="29"/>
  <c r="AB452" i="29"/>
  <c r="AB461" i="29"/>
  <c r="AB473" i="29"/>
  <c r="AB484" i="29"/>
  <c r="AB493" i="29"/>
  <c r="AB505" i="29"/>
  <c r="AB511" i="29"/>
  <c r="AB516" i="29"/>
  <c r="AB522" i="29"/>
  <c r="AB527" i="29"/>
  <c r="AB532" i="29"/>
  <c r="AB538" i="29"/>
  <c r="AB421" i="29"/>
  <c r="AB433" i="29"/>
  <c r="AB444" i="29"/>
  <c r="AB453" i="29"/>
  <c r="AB465" i="29"/>
  <c r="AB476" i="29"/>
  <c r="AB485" i="29"/>
  <c r="AB497" i="29"/>
  <c r="AB507" i="29"/>
  <c r="AB512" i="29"/>
  <c r="AB518" i="29"/>
  <c r="AB523" i="29"/>
  <c r="AB528" i="29"/>
  <c r="AB534" i="29"/>
  <c r="AB539" i="29"/>
  <c r="AB425" i="29"/>
  <c r="AB436" i="29"/>
  <c r="AB445" i="29"/>
  <c r="AB457" i="29"/>
  <c r="AB468" i="29"/>
  <c r="AB477" i="29"/>
  <c r="AB489" i="29"/>
  <c r="AB500" i="29"/>
  <c r="AB508" i="29"/>
  <c r="AB514" i="29"/>
  <c r="AB519" i="29"/>
  <c r="AB524" i="29"/>
  <c r="AB530" i="29"/>
  <c r="AB535" i="29"/>
  <c r="AB540" i="29"/>
  <c r="AB449" i="29"/>
  <c r="AB492" i="29"/>
  <c r="AB520" i="29"/>
  <c r="AB420" i="29"/>
  <c r="AB437" i="29"/>
  <c r="AB515" i="29"/>
  <c r="AB460" i="29"/>
  <c r="AB501" i="29"/>
  <c r="AB526" i="29"/>
  <c r="AB428" i="29"/>
  <c r="AB469" i="29"/>
  <c r="AB510" i="29"/>
  <c r="AB531" i="29"/>
  <c r="AB481" i="29"/>
  <c r="AB536" i="29"/>
  <c r="AC620" i="29"/>
  <c r="AD620" i="29"/>
  <c r="AD572" i="29"/>
  <c r="AC572" i="29"/>
  <c r="AD607" i="29"/>
  <c r="AC607" i="29"/>
  <c r="AD602" i="29"/>
  <c r="AC602" i="29"/>
  <c r="AC570" i="29"/>
  <c r="AD570" i="29"/>
  <c r="AC601" i="29"/>
  <c r="AD601" i="29"/>
  <c r="AD342" i="29"/>
  <c r="AC342" i="29"/>
  <c r="AD358" i="29"/>
  <c r="AC358" i="29"/>
  <c r="AD267" i="29"/>
  <c r="AC267" i="29"/>
  <c r="AD378" i="29"/>
  <c r="AC378" i="29"/>
  <c r="AC335" i="29"/>
  <c r="AD335" i="29"/>
  <c r="AC292" i="29"/>
  <c r="AD292" i="29"/>
  <c r="AD394" i="29"/>
  <c r="AC394" i="29"/>
  <c r="AC355" i="29"/>
  <c r="AD355" i="29"/>
  <c r="AC270" i="29"/>
  <c r="AD270" i="29"/>
  <c r="AC393" i="29"/>
  <c r="AD393" i="29"/>
  <c r="AD354" i="29"/>
  <c r="AC354" i="29"/>
  <c r="AC311" i="29"/>
  <c r="AD311" i="29"/>
  <c r="AC268" i="29"/>
  <c r="AD268" i="29"/>
  <c r="AC365" i="29"/>
  <c r="AD365" i="29"/>
  <c r="AD333" i="29"/>
  <c r="AC333" i="29"/>
  <c r="AD301" i="29"/>
  <c r="AC301" i="29"/>
  <c r="AC269" i="29"/>
  <c r="AD269" i="29"/>
  <c r="AB571" i="29"/>
  <c r="AB596" i="29"/>
  <c r="AB595" i="29"/>
  <c r="AB604" i="29"/>
  <c r="AB592" i="29"/>
  <c r="AB623" i="29"/>
  <c r="AB591" i="29"/>
  <c r="AB626" i="29"/>
  <c r="AB610" i="29"/>
  <c r="AB594" i="29"/>
  <c r="AB578" i="29"/>
  <c r="AB625" i="29"/>
  <c r="AB609" i="29"/>
  <c r="AB593" i="29"/>
  <c r="AB388" i="29"/>
  <c r="AB384" i="29"/>
  <c r="AB299" i="29"/>
  <c r="AB396" i="29"/>
  <c r="AB315" i="29"/>
  <c r="AB347" i="29"/>
  <c r="AB392" i="29"/>
  <c r="AB310" i="29"/>
  <c r="AB403" i="29"/>
  <c r="AB387" i="29"/>
  <c r="AB367" i="29"/>
  <c r="AB346" i="29"/>
  <c r="AB324" i="29"/>
  <c r="AB303" i="29"/>
  <c r="AB282" i="29"/>
  <c r="AB260" i="29"/>
  <c r="AB402" i="29"/>
  <c r="AB386" i="29"/>
  <c r="AB366" i="29"/>
  <c r="AB344" i="29"/>
  <c r="AB323" i="29"/>
  <c r="AB302" i="29"/>
  <c r="AB280" i="29"/>
  <c r="AB259" i="29"/>
  <c r="AB401" i="29"/>
  <c r="AB385" i="29"/>
  <c r="AB364" i="29"/>
  <c r="AB343" i="29"/>
  <c r="AB322" i="29"/>
  <c r="AB300" i="29"/>
  <c r="AB279" i="29"/>
  <c r="AB258" i="29"/>
  <c r="AB373" i="29"/>
  <c r="AB357" i="29"/>
  <c r="AB341" i="29"/>
  <c r="AB325" i="29"/>
  <c r="AB309" i="29"/>
  <c r="AB293" i="29"/>
  <c r="AB277" i="29"/>
  <c r="AB261" i="29"/>
  <c r="AD619" i="29"/>
  <c r="AC619" i="29"/>
  <c r="AD575" i="29"/>
  <c r="AC575" i="29"/>
  <c r="AD569" i="29"/>
  <c r="AC569" i="29"/>
  <c r="AB16" i="29"/>
  <c r="AB20" i="29"/>
  <c r="AB24" i="29"/>
  <c r="AB28" i="29"/>
  <c r="AB32" i="29"/>
  <c r="AB36" i="29"/>
  <c r="AB40" i="29"/>
  <c r="AB44" i="29"/>
  <c r="AB48" i="29"/>
  <c r="AB52" i="29"/>
  <c r="AB56" i="29"/>
  <c r="AB60" i="29"/>
  <c r="AB64" i="29"/>
  <c r="AB68" i="29"/>
  <c r="AB72" i="29"/>
  <c r="AB76" i="29"/>
  <c r="AB80" i="29"/>
  <c r="AB84" i="29"/>
  <c r="AB88" i="29"/>
  <c r="AB92" i="29"/>
  <c r="AB96" i="29"/>
  <c r="AB100" i="29"/>
  <c r="AB17" i="29"/>
  <c r="AB21" i="29"/>
  <c r="AB25" i="29"/>
  <c r="AB29" i="29"/>
  <c r="AB33" i="29"/>
  <c r="AB37" i="29"/>
  <c r="AB41" i="29"/>
  <c r="AB45" i="29"/>
  <c r="AB49" i="29"/>
  <c r="AB53" i="29"/>
  <c r="AB57" i="29"/>
  <c r="AB61" i="29"/>
  <c r="AB65" i="29"/>
  <c r="AB69" i="29"/>
  <c r="AB73" i="29"/>
  <c r="AB77" i="29"/>
  <c r="AB81" i="29"/>
  <c r="AB85" i="29"/>
  <c r="AB89" i="29"/>
  <c r="AB93" i="29"/>
  <c r="AB97" i="29"/>
  <c r="AB101" i="29"/>
  <c r="AB14" i="29"/>
  <c r="AB18" i="29"/>
  <c r="AB22" i="29"/>
  <c r="AB26" i="29"/>
  <c r="AB30" i="29"/>
  <c r="AB34" i="29"/>
  <c r="AB38" i="29"/>
  <c r="AB42" i="29"/>
  <c r="AB46" i="29"/>
  <c r="AB50" i="29"/>
  <c r="AB54" i="29"/>
  <c r="AB58" i="29"/>
  <c r="AB62" i="29"/>
  <c r="AB66" i="29"/>
  <c r="AB70" i="29"/>
  <c r="AB74" i="29"/>
  <c r="AB78" i="29"/>
  <c r="AB82" i="29"/>
  <c r="AB86" i="29"/>
  <c r="AB90" i="29"/>
  <c r="AB94" i="29"/>
  <c r="AB98" i="29"/>
  <c r="AB27" i="29"/>
  <c r="AB43" i="29"/>
  <c r="AB59" i="29"/>
  <c r="AB75" i="29"/>
  <c r="AB91" i="29"/>
  <c r="AB103" i="29"/>
  <c r="AB107" i="29"/>
  <c r="AB111" i="29"/>
  <c r="AB115" i="29"/>
  <c r="AB119" i="29"/>
  <c r="AB123" i="29"/>
  <c r="AB127" i="29"/>
  <c r="AB131" i="29"/>
  <c r="AB135" i="29"/>
  <c r="AB139" i="29"/>
  <c r="AB143" i="29"/>
  <c r="AB147" i="29"/>
  <c r="AB151" i="29"/>
  <c r="AB155" i="29"/>
  <c r="AB159" i="29"/>
  <c r="AB163" i="29"/>
  <c r="AB167" i="29"/>
  <c r="AB171" i="29"/>
  <c r="AB175" i="29"/>
  <c r="AB179" i="29"/>
  <c r="AB39" i="29"/>
  <c r="AB71" i="29"/>
  <c r="AB106" i="29"/>
  <c r="AB114" i="29"/>
  <c r="AB126" i="29"/>
  <c r="AB134" i="29"/>
  <c r="AB146" i="29"/>
  <c r="AB154" i="29"/>
  <c r="AB166" i="29"/>
  <c r="AB174" i="29"/>
  <c r="AB15" i="29"/>
  <c r="AB31" i="29"/>
  <c r="AB47" i="29"/>
  <c r="AB63" i="29"/>
  <c r="AB79" i="29"/>
  <c r="AB95" i="29"/>
  <c r="AB104" i="29"/>
  <c r="AB108" i="29"/>
  <c r="AB112" i="29"/>
  <c r="AB116" i="29"/>
  <c r="AB120" i="29"/>
  <c r="AB124" i="29"/>
  <c r="AB128" i="29"/>
  <c r="AB132" i="29"/>
  <c r="AB136" i="29"/>
  <c r="AB140" i="29"/>
  <c r="AB144" i="29"/>
  <c r="AB148" i="29"/>
  <c r="AB152" i="29"/>
  <c r="AB156" i="29"/>
  <c r="AB160" i="29"/>
  <c r="AB164" i="29"/>
  <c r="AB168" i="29"/>
  <c r="AB172" i="29"/>
  <c r="AB176" i="29"/>
  <c r="AB180" i="29"/>
  <c r="AB87" i="29"/>
  <c r="AB122" i="29"/>
  <c r="AB142" i="29"/>
  <c r="AB162" i="29"/>
  <c r="AB178" i="29"/>
  <c r="AB19" i="29"/>
  <c r="AB35" i="29"/>
  <c r="AB51" i="29"/>
  <c r="AB67" i="29"/>
  <c r="AB83" i="29"/>
  <c r="AB99" i="29"/>
  <c r="AB105" i="29"/>
  <c r="AB109" i="29"/>
  <c r="AB113" i="29"/>
  <c r="AB117" i="29"/>
  <c r="AB121" i="29"/>
  <c r="AB125" i="29"/>
  <c r="AB129" i="29"/>
  <c r="AB133" i="29"/>
  <c r="AB137" i="29"/>
  <c r="AB141" i="29"/>
  <c r="AB145" i="29"/>
  <c r="AB149" i="29"/>
  <c r="AB153" i="29"/>
  <c r="AB157" i="29"/>
  <c r="AB161" i="29"/>
  <c r="AB165" i="29"/>
  <c r="AB169" i="29"/>
  <c r="AB173" i="29"/>
  <c r="AB177" i="29"/>
  <c r="AB181" i="29"/>
  <c r="AB23" i="29"/>
  <c r="AB55" i="29"/>
  <c r="AB102" i="29"/>
  <c r="AB110" i="29"/>
  <c r="AB118" i="29"/>
  <c r="AB130" i="29"/>
  <c r="AB138" i="29"/>
  <c r="AB150" i="29"/>
  <c r="AB158" i="29"/>
  <c r="AB170" i="29"/>
  <c r="AB13" i="29"/>
  <c r="Q26" i="26"/>
  <c r="AF151" i="30"/>
  <c r="AI151" i="30"/>
  <c r="AC603" i="29"/>
  <c r="AD603" i="29"/>
  <c r="AD612" i="29"/>
  <c r="AD580" i="29"/>
  <c r="AC580" i="29"/>
  <c r="AD579" i="29"/>
  <c r="AC579" i="29"/>
  <c r="AD588" i="29"/>
  <c r="AC588" i="29"/>
  <c r="AD584" i="29"/>
  <c r="AC584" i="29"/>
  <c r="AD615" i="29"/>
  <c r="AC615" i="29"/>
  <c r="AD583" i="29"/>
  <c r="AC583" i="29"/>
  <c r="AD622" i="29"/>
  <c r="AC622" i="29"/>
  <c r="AC606" i="29"/>
  <c r="AD606" i="29"/>
  <c r="AC590" i="29"/>
  <c r="AD590" i="29"/>
  <c r="AC574" i="29"/>
  <c r="AD574" i="29"/>
  <c r="AC621" i="29"/>
  <c r="AD621" i="29"/>
  <c r="AD605" i="29"/>
  <c r="AC605" i="29"/>
  <c r="AD589" i="29"/>
  <c r="AC589" i="29"/>
  <c r="AC573" i="29"/>
  <c r="AD573" i="29"/>
  <c r="AB326" i="29"/>
  <c r="AB363" i="29"/>
  <c r="AB278" i="29"/>
  <c r="AB379" i="29"/>
  <c r="AB294" i="29"/>
  <c r="AB304" i="29"/>
  <c r="AB374" i="29"/>
  <c r="AB288" i="29"/>
  <c r="AB399" i="29"/>
  <c r="AB383" i="29"/>
  <c r="AB362" i="29"/>
  <c r="AB340" i="29"/>
  <c r="AB319" i="29"/>
  <c r="AB298" i="29"/>
  <c r="AB276" i="29"/>
  <c r="AB255" i="29"/>
  <c r="AB398" i="29"/>
  <c r="AB382" i="29"/>
  <c r="AB360" i="29"/>
  <c r="AB339" i="29"/>
  <c r="AB318" i="29"/>
  <c r="AB296" i="29"/>
  <c r="AB275" i="29"/>
  <c r="AB254" i="29"/>
  <c r="AB397" i="29"/>
  <c r="AB380" i="29"/>
  <c r="AB359" i="29"/>
  <c r="AB338" i="29"/>
  <c r="AB316" i="29"/>
  <c r="AB295" i="29"/>
  <c r="AB274" i="29"/>
  <c r="AB252" i="29"/>
  <c r="AB369" i="29"/>
  <c r="AB353" i="29"/>
  <c r="AB337" i="29"/>
  <c r="AB321" i="29"/>
  <c r="AB305" i="29"/>
  <c r="AB289" i="29"/>
  <c r="AB273" i="29"/>
  <c r="H30" i="26"/>
  <c r="J51" i="26"/>
  <c r="M19" i="26"/>
  <c r="G21" i="26"/>
  <c r="F21" i="26"/>
  <c r="H28" i="26"/>
  <c r="H23" i="26"/>
  <c r="H29" i="26"/>
  <c r="H33" i="26"/>
  <c r="C53" i="26"/>
  <c r="N40" i="26"/>
  <c r="J19" i="26"/>
  <c r="M51" i="26"/>
  <c r="G53" i="26"/>
  <c r="H55" i="26"/>
  <c r="I19" i="26"/>
  <c r="S6" i="26"/>
  <c r="P26" i="26"/>
  <c r="H32" i="26"/>
  <c r="H27" i="26"/>
  <c r="E21" i="26"/>
  <c r="H24" i="26"/>
  <c r="L19" i="26"/>
  <c r="K19" i="26"/>
  <c r="K51" i="26"/>
  <c r="H31" i="26"/>
  <c r="H54" i="26"/>
  <c r="D21" i="26"/>
  <c r="AB75" i="30" s="1"/>
  <c r="G56" i="26"/>
  <c r="D56" i="26"/>
  <c r="C56" i="26"/>
  <c r="E53" i="26"/>
  <c r="D53" i="26"/>
  <c r="H26" i="26"/>
  <c r="AB83" i="30" l="1"/>
  <c r="AB101" i="30"/>
  <c r="AB96" i="30"/>
  <c r="AC184" i="29"/>
  <c r="AD184" i="29"/>
  <c r="AB109" i="30"/>
  <c r="AB100" i="30"/>
  <c r="AB87" i="30"/>
  <c r="AC192" i="29"/>
  <c r="AD192" i="29"/>
  <c r="AC188" i="29"/>
  <c r="AD188" i="29"/>
  <c r="AD413" i="29"/>
  <c r="AC413" i="29"/>
  <c r="AD271" i="29"/>
  <c r="AB78" i="30"/>
  <c r="AD78" i="30" s="1"/>
  <c r="AB77" i="30"/>
  <c r="AB84" i="30"/>
  <c r="AB71" i="30"/>
  <c r="AD356" i="29"/>
  <c r="AD187" i="29"/>
  <c r="AC187" i="29"/>
  <c r="AC185" i="29"/>
  <c r="AD185" i="29"/>
  <c r="AB110" i="30"/>
  <c r="AB154" i="30"/>
  <c r="AB80" i="30"/>
  <c r="AB156" i="30"/>
  <c r="AD186" i="29"/>
  <c r="AC186" i="29"/>
  <c r="AC312" i="29"/>
  <c r="AD262" i="29"/>
  <c r="AB89" i="30"/>
  <c r="AB98" i="30"/>
  <c r="AB155" i="30"/>
  <c r="AC155" i="30" s="1"/>
  <c r="AC349" i="29"/>
  <c r="AD412" i="29"/>
  <c r="AC412" i="29"/>
  <c r="AD182" i="29"/>
  <c r="AC182" i="29"/>
  <c r="AB73" i="30"/>
  <c r="AB90" i="30"/>
  <c r="AB158" i="30"/>
  <c r="AD191" i="29"/>
  <c r="AC191" i="29"/>
  <c r="AD415" i="29"/>
  <c r="AC415" i="29"/>
  <c r="AC190" i="29"/>
  <c r="AD190" i="29"/>
  <c r="AB70" i="30"/>
  <c r="AD70" i="30" s="1"/>
  <c r="AB157" i="30"/>
  <c r="AB103" i="30"/>
  <c r="AC411" i="29"/>
  <c r="AD411" i="29"/>
  <c r="AD183" i="29"/>
  <c r="AC183" i="29"/>
  <c r="AB113" i="30"/>
  <c r="AB112" i="30"/>
  <c r="AB99" i="30"/>
  <c r="AD189" i="29"/>
  <c r="AC189" i="29"/>
  <c r="AB417" i="29"/>
  <c r="AC75" i="30"/>
  <c r="AD75" i="30"/>
  <c r="AD321" i="29"/>
  <c r="AC321" i="29"/>
  <c r="AC338" i="29"/>
  <c r="AD338" i="29"/>
  <c r="AC254" i="29"/>
  <c r="AD254" i="29"/>
  <c r="AD255" i="29"/>
  <c r="AC255" i="29"/>
  <c r="AC340" i="29"/>
  <c r="AD340" i="29"/>
  <c r="AD379" i="29"/>
  <c r="AC379" i="29"/>
  <c r="AD150" i="29"/>
  <c r="AC150" i="29"/>
  <c r="AD181" i="29"/>
  <c r="AC181" i="29"/>
  <c r="AC149" i="29"/>
  <c r="AD149" i="29"/>
  <c r="AC133" i="29"/>
  <c r="AD133" i="29"/>
  <c r="AC99" i="29"/>
  <c r="AD99" i="29"/>
  <c r="AC142" i="29"/>
  <c r="AD142" i="29"/>
  <c r="AC160" i="29"/>
  <c r="AD160" i="29"/>
  <c r="AC144" i="29"/>
  <c r="AD144" i="29"/>
  <c r="AD112" i="29"/>
  <c r="AC112" i="29"/>
  <c r="AD15" i="29"/>
  <c r="AC15" i="29"/>
  <c r="AC146" i="29"/>
  <c r="AD146" i="29"/>
  <c r="AC175" i="29"/>
  <c r="AD175" i="29"/>
  <c r="AC159" i="29"/>
  <c r="AD159" i="29"/>
  <c r="AC143" i="29"/>
  <c r="AD143" i="29"/>
  <c r="AC127" i="29"/>
  <c r="AD127" i="29"/>
  <c r="AC75" i="29"/>
  <c r="AD75" i="29"/>
  <c r="AC98" i="29"/>
  <c r="AD98" i="29"/>
  <c r="AD82" i="29"/>
  <c r="AC82" i="29"/>
  <c r="AD66" i="29"/>
  <c r="AC66" i="29"/>
  <c r="AC50" i="29"/>
  <c r="AD50" i="29"/>
  <c r="AD34" i="29"/>
  <c r="AC34" i="29"/>
  <c r="AD18" i="29"/>
  <c r="AC18" i="29"/>
  <c r="AC93" i="29"/>
  <c r="AD93" i="29"/>
  <c r="AC61" i="29"/>
  <c r="AD61" i="29"/>
  <c r="AC45" i="29"/>
  <c r="AD45" i="29"/>
  <c r="AC29" i="29"/>
  <c r="AD29" i="29"/>
  <c r="AC100" i="29"/>
  <c r="AD100" i="29"/>
  <c r="AD84" i="29"/>
  <c r="AC84" i="29"/>
  <c r="AC68" i="29"/>
  <c r="AD68" i="29"/>
  <c r="AC52" i="29"/>
  <c r="AD52" i="29"/>
  <c r="AC36" i="29"/>
  <c r="AD36" i="29"/>
  <c r="AD20" i="29"/>
  <c r="AC20" i="29"/>
  <c r="AD309" i="29"/>
  <c r="AC309" i="29"/>
  <c r="AC322" i="29"/>
  <c r="AD322" i="29"/>
  <c r="AD401" i="29"/>
  <c r="AC401" i="29"/>
  <c r="AD323" i="29"/>
  <c r="AC323" i="29"/>
  <c r="AC402" i="29"/>
  <c r="AD402" i="29"/>
  <c r="AC324" i="29"/>
  <c r="AD324" i="29"/>
  <c r="AD403" i="29"/>
  <c r="AC403" i="29"/>
  <c r="AC315" i="29"/>
  <c r="AD315" i="29"/>
  <c r="AC388" i="29"/>
  <c r="AD388" i="29"/>
  <c r="AC609" i="29"/>
  <c r="AD609" i="29"/>
  <c r="AC610" i="29"/>
  <c r="AD610" i="29"/>
  <c r="AC592" i="29"/>
  <c r="AD592" i="29"/>
  <c r="AD571" i="29"/>
  <c r="AC571" i="29"/>
  <c r="AD481" i="29"/>
  <c r="AC481" i="29"/>
  <c r="AC428" i="29"/>
  <c r="AD428" i="29"/>
  <c r="AC515" i="29"/>
  <c r="AD515" i="29"/>
  <c r="AC492" i="29"/>
  <c r="AD492" i="29"/>
  <c r="AD530" i="29"/>
  <c r="AC530" i="29"/>
  <c r="AC508" i="29"/>
  <c r="AD508" i="29"/>
  <c r="AC468" i="29"/>
  <c r="AD468" i="29"/>
  <c r="AD425" i="29"/>
  <c r="AC425" i="29"/>
  <c r="AD523" i="29"/>
  <c r="AC523" i="29"/>
  <c r="AD497" i="29"/>
  <c r="AC497" i="29"/>
  <c r="AD453" i="29"/>
  <c r="AC453" i="29"/>
  <c r="AC538" i="29"/>
  <c r="AD538" i="29"/>
  <c r="AD516" i="29"/>
  <c r="AC516" i="29"/>
  <c r="AC484" i="29"/>
  <c r="AD484" i="29"/>
  <c r="AD441" i="29"/>
  <c r="AC441" i="29"/>
  <c r="AD533" i="29"/>
  <c r="AC533" i="29"/>
  <c r="AC517" i="29"/>
  <c r="AD517" i="29"/>
  <c r="AD496" i="29"/>
  <c r="AC496" i="29"/>
  <c r="AD464" i="29"/>
  <c r="AC464" i="29"/>
  <c r="AC432" i="29"/>
  <c r="AD432" i="29"/>
  <c r="AC495" i="29"/>
  <c r="AD495" i="29"/>
  <c r="AC479" i="29"/>
  <c r="AD479" i="29"/>
  <c r="AC463" i="29"/>
  <c r="AD463" i="29"/>
  <c r="AC447" i="29"/>
  <c r="AD447" i="29"/>
  <c r="AD431" i="29"/>
  <c r="AC431" i="29"/>
  <c r="AD502" i="29"/>
  <c r="AC502" i="29"/>
  <c r="AC486" i="29"/>
  <c r="AD486" i="29"/>
  <c r="AC470" i="29"/>
  <c r="AD470" i="29"/>
  <c r="AD454" i="29"/>
  <c r="AC454" i="29"/>
  <c r="AD438" i="29"/>
  <c r="AC438" i="29"/>
  <c r="AD422" i="29"/>
  <c r="AC422" i="29"/>
  <c r="AC297" i="29"/>
  <c r="AD297" i="29"/>
  <c r="AC361" i="29"/>
  <c r="AD361" i="29"/>
  <c r="AD306" i="29"/>
  <c r="AC306" i="29"/>
  <c r="AC389" i="29"/>
  <c r="AD389" i="29"/>
  <c r="AD307" i="29"/>
  <c r="AC307" i="29"/>
  <c r="AD390" i="29"/>
  <c r="AC390" i="29"/>
  <c r="AD308" i="29"/>
  <c r="AC308" i="29"/>
  <c r="AC391" i="29"/>
  <c r="AD391" i="29"/>
  <c r="AD404" i="29"/>
  <c r="AC404" i="29"/>
  <c r="AD400" i="29"/>
  <c r="AC400" i="29"/>
  <c r="AC566" i="29"/>
  <c r="AD566" i="29"/>
  <c r="AC567" i="29"/>
  <c r="AD567" i="29"/>
  <c r="AD616" i="29"/>
  <c r="AC616" i="29"/>
  <c r="AD686" i="29"/>
  <c r="AC686" i="29"/>
  <c r="AC679" i="29"/>
  <c r="AD679" i="29"/>
  <c r="AD703" i="29"/>
  <c r="AC703" i="29"/>
  <c r="AC683" i="29"/>
  <c r="AD683" i="29"/>
  <c r="AC651" i="29"/>
  <c r="AD651" i="29"/>
  <c r="AC658" i="29"/>
  <c r="AD658" i="29"/>
  <c r="AC705" i="29"/>
  <c r="AD705" i="29"/>
  <c r="AC673" i="29"/>
  <c r="AD673" i="29"/>
  <c r="AC641" i="29"/>
  <c r="AD641" i="29"/>
  <c r="AD700" i="29"/>
  <c r="AC700" i="29"/>
  <c r="AD668" i="29"/>
  <c r="AC668" i="29"/>
  <c r="AC78" i="30"/>
  <c r="AC77" i="30"/>
  <c r="AD77" i="30"/>
  <c r="AD87" i="30"/>
  <c r="AC87" i="30"/>
  <c r="AC337" i="29"/>
  <c r="AD337" i="29"/>
  <c r="AC359" i="29"/>
  <c r="AD359" i="29"/>
  <c r="AD360" i="29"/>
  <c r="AC360" i="29"/>
  <c r="AD374" i="29"/>
  <c r="AC374" i="29"/>
  <c r="AC13" i="29"/>
  <c r="AD13" i="29"/>
  <c r="AD102" i="29"/>
  <c r="AC102" i="29"/>
  <c r="AC161" i="29"/>
  <c r="AD161" i="29"/>
  <c r="AC129" i="29"/>
  <c r="AD129" i="29"/>
  <c r="AD83" i="29"/>
  <c r="AC83" i="29"/>
  <c r="AC122" i="29"/>
  <c r="AD122" i="29"/>
  <c r="AC156" i="29"/>
  <c r="AD156" i="29"/>
  <c r="AC124" i="29"/>
  <c r="AD124" i="29"/>
  <c r="AC63" i="29"/>
  <c r="AD63" i="29"/>
  <c r="AC134" i="29"/>
  <c r="AD134" i="29"/>
  <c r="AC171" i="29"/>
  <c r="AD171" i="29"/>
  <c r="AD139" i="29"/>
  <c r="AC139" i="29"/>
  <c r="AD107" i="29"/>
  <c r="AC107" i="29"/>
  <c r="AD94" i="29"/>
  <c r="AC94" i="29"/>
  <c r="AC78" i="29"/>
  <c r="AD78" i="29"/>
  <c r="AD46" i="29"/>
  <c r="AC46" i="29"/>
  <c r="AC14" i="29"/>
  <c r="AD14" i="29"/>
  <c r="AC73" i="29"/>
  <c r="AD73" i="29"/>
  <c r="AC41" i="29"/>
  <c r="AD41" i="29"/>
  <c r="AC96" i="29"/>
  <c r="AD96" i="29"/>
  <c r="AC64" i="29"/>
  <c r="AD64" i="29"/>
  <c r="AC32" i="29"/>
  <c r="AD32" i="29"/>
  <c r="AD325" i="29"/>
  <c r="AC325" i="29"/>
  <c r="AC343" i="29"/>
  <c r="AD343" i="29"/>
  <c r="AD344" i="29"/>
  <c r="AC344" i="29"/>
  <c r="AC346" i="29"/>
  <c r="AD346" i="29"/>
  <c r="AC396" i="29"/>
  <c r="AD396" i="29"/>
  <c r="AD625" i="29"/>
  <c r="AC625" i="29"/>
  <c r="AC626" i="29"/>
  <c r="AD626" i="29"/>
  <c r="AD531" i="29"/>
  <c r="AC531" i="29"/>
  <c r="AC437" i="29"/>
  <c r="AD437" i="29"/>
  <c r="AD524" i="29"/>
  <c r="AC524" i="29"/>
  <c r="AC500" i="29"/>
  <c r="AD500" i="29"/>
  <c r="AC539" i="29"/>
  <c r="AD539" i="29"/>
  <c r="AD485" i="29"/>
  <c r="AC485" i="29"/>
  <c r="AC444" i="29"/>
  <c r="AD444" i="29"/>
  <c r="AC511" i="29"/>
  <c r="AD511" i="29"/>
  <c r="AD473" i="29"/>
  <c r="AC473" i="29"/>
  <c r="AC529" i="29"/>
  <c r="AD529" i="29"/>
  <c r="AC488" i="29"/>
  <c r="AD488" i="29"/>
  <c r="AC456" i="29"/>
  <c r="AD456" i="29"/>
  <c r="AC491" i="29"/>
  <c r="AD491" i="29"/>
  <c r="AD459" i="29"/>
  <c r="AC459" i="29"/>
  <c r="AD427" i="29"/>
  <c r="AC427" i="29"/>
  <c r="AD482" i="29"/>
  <c r="AC482" i="29"/>
  <c r="AC450" i="29"/>
  <c r="AD450" i="29"/>
  <c r="AC313" i="29"/>
  <c r="AD313" i="29"/>
  <c r="AC327" i="29"/>
  <c r="AD327" i="29"/>
  <c r="AD405" i="29"/>
  <c r="AC405" i="29"/>
  <c r="AC328" i="29"/>
  <c r="AD328" i="29"/>
  <c r="AD330" i="29"/>
  <c r="AC330" i="29"/>
  <c r="AC407" i="29"/>
  <c r="AD407" i="29"/>
  <c r="AC336" i="29"/>
  <c r="AD336" i="29"/>
  <c r="AD581" i="29"/>
  <c r="AC581" i="29"/>
  <c r="AD582" i="29"/>
  <c r="AC582" i="29"/>
  <c r="AC599" i="29"/>
  <c r="AD599" i="29"/>
  <c r="AD608" i="29"/>
  <c r="AC608" i="29"/>
  <c r="AD663" i="29"/>
  <c r="AC663" i="29"/>
  <c r="AC678" i="29"/>
  <c r="AD678" i="29"/>
  <c r="AD687" i="29"/>
  <c r="AC687" i="29"/>
  <c r="AC707" i="29"/>
  <c r="AD707" i="29"/>
  <c r="AC675" i="29"/>
  <c r="AD675" i="29"/>
  <c r="AC643" i="29"/>
  <c r="AD643" i="29"/>
  <c r="AD650" i="29"/>
  <c r="AC650" i="29"/>
  <c r="AC701" i="29"/>
  <c r="AD701" i="29"/>
  <c r="AC685" i="29"/>
  <c r="AD685" i="29"/>
  <c r="AC669" i="29"/>
  <c r="AD669" i="29"/>
  <c r="AD653" i="29"/>
  <c r="AC653" i="29"/>
  <c r="AB724" i="29"/>
  <c r="AC638" i="29"/>
  <c r="AD638" i="29"/>
  <c r="AD696" i="29"/>
  <c r="AC696" i="29"/>
  <c r="AC680" i="29"/>
  <c r="AD680" i="29"/>
  <c r="AC664" i="29"/>
  <c r="AD664" i="29"/>
  <c r="AC648" i="29"/>
  <c r="AD648" i="29"/>
  <c r="AD110" i="30"/>
  <c r="AC110" i="30"/>
  <c r="AC73" i="30"/>
  <c r="AD73" i="30"/>
  <c r="AC113" i="30"/>
  <c r="AD113" i="30"/>
  <c r="AD101" i="30"/>
  <c r="AC101" i="30"/>
  <c r="AB160" i="30"/>
  <c r="AC154" i="30"/>
  <c r="AD154" i="30"/>
  <c r="AD90" i="30"/>
  <c r="AC90" i="30"/>
  <c r="AD112" i="30"/>
  <c r="AC112" i="30"/>
  <c r="AD96" i="30"/>
  <c r="AC96" i="30"/>
  <c r="AC80" i="30"/>
  <c r="AD80" i="30"/>
  <c r="AC158" i="30"/>
  <c r="AD158" i="30"/>
  <c r="AC99" i="30"/>
  <c r="AD99" i="30"/>
  <c r="AC83" i="30"/>
  <c r="AD83" i="30"/>
  <c r="AB635" i="29"/>
  <c r="AC289" i="29"/>
  <c r="AD289" i="29"/>
  <c r="AD353" i="29"/>
  <c r="AC353" i="29"/>
  <c r="AD295" i="29"/>
  <c r="AC295" i="29"/>
  <c r="AC380" i="29"/>
  <c r="AD380" i="29"/>
  <c r="AC296" i="29"/>
  <c r="AD296" i="29"/>
  <c r="AC382" i="29"/>
  <c r="AD382" i="29"/>
  <c r="AD298" i="29"/>
  <c r="AC298" i="29"/>
  <c r="AD383" i="29"/>
  <c r="AC383" i="29"/>
  <c r="AC304" i="29"/>
  <c r="AD304" i="29"/>
  <c r="AD363" i="29"/>
  <c r="AC363" i="29"/>
  <c r="AC170" i="29"/>
  <c r="AD170" i="29"/>
  <c r="AD130" i="29"/>
  <c r="AC130" i="29"/>
  <c r="AD55" i="29"/>
  <c r="AC55" i="29"/>
  <c r="AC173" i="29"/>
  <c r="AD173" i="29"/>
  <c r="AC157" i="29"/>
  <c r="AD157" i="29"/>
  <c r="AC141" i="29"/>
  <c r="AD141" i="29"/>
  <c r="AC125" i="29"/>
  <c r="AD125" i="29"/>
  <c r="AC109" i="29"/>
  <c r="AD109" i="29"/>
  <c r="AD67" i="29"/>
  <c r="AC67" i="29"/>
  <c r="AC178" i="29"/>
  <c r="AD178" i="29"/>
  <c r="AC87" i="29"/>
  <c r="AD87" i="29"/>
  <c r="AC168" i="29"/>
  <c r="AD168" i="29"/>
  <c r="AC152" i="29"/>
  <c r="AD152" i="29"/>
  <c r="AD136" i="29"/>
  <c r="AC136" i="29"/>
  <c r="AD120" i="29"/>
  <c r="AC120" i="29"/>
  <c r="AC104" i="29"/>
  <c r="AD104" i="29"/>
  <c r="AC47" i="29"/>
  <c r="AD47" i="29"/>
  <c r="AD166" i="29"/>
  <c r="AC166" i="29"/>
  <c r="AD126" i="29"/>
  <c r="AC126" i="29"/>
  <c r="AC39" i="29"/>
  <c r="AD39" i="29"/>
  <c r="AC167" i="29"/>
  <c r="AD167" i="29"/>
  <c r="AC151" i="29"/>
  <c r="AD151" i="29"/>
  <c r="AD135" i="29"/>
  <c r="AC135" i="29"/>
  <c r="AC119" i="29"/>
  <c r="AD119" i="29"/>
  <c r="AD103" i="29"/>
  <c r="AC103" i="29"/>
  <c r="AC43" i="29"/>
  <c r="AD43" i="29"/>
  <c r="AC90" i="29"/>
  <c r="AD90" i="29"/>
  <c r="AD74" i="29"/>
  <c r="AC74" i="29"/>
  <c r="AC58" i="29"/>
  <c r="AD58" i="29"/>
  <c r="AC42" i="29"/>
  <c r="AD42" i="29"/>
  <c r="AD26" i="29"/>
  <c r="AC26" i="29"/>
  <c r="AC101" i="29"/>
  <c r="AD101" i="29"/>
  <c r="AC85" i="29"/>
  <c r="AD85" i="29"/>
  <c r="AC69" i="29"/>
  <c r="AD69" i="29"/>
  <c r="AC53" i="29"/>
  <c r="AD53" i="29"/>
  <c r="AC37" i="29"/>
  <c r="AD37" i="29"/>
  <c r="AD21" i="29"/>
  <c r="AC21" i="29"/>
  <c r="AD92" i="29"/>
  <c r="AC92" i="29"/>
  <c r="AD76" i="29"/>
  <c r="AC76" i="29"/>
  <c r="AD60" i="29"/>
  <c r="AC60" i="29"/>
  <c r="AC44" i="29"/>
  <c r="AD44" i="29"/>
  <c r="AC28" i="29"/>
  <c r="AD28" i="29"/>
  <c r="AD277" i="29"/>
  <c r="AC277" i="29"/>
  <c r="AC341" i="29"/>
  <c r="AD341" i="29"/>
  <c r="AD279" i="29"/>
  <c r="AC279" i="29"/>
  <c r="AD364" i="29"/>
  <c r="AC364" i="29"/>
  <c r="AD280" i="29"/>
  <c r="AC280" i="29"/>
  <c r="AD366" i="29"/>
  <c r="AC366" i="29"/>
  <c r="AC282" i="29"/>
  <c r="AD282" i="29"/>
  <c r="AC367" i="29"/>
  <c r="AD367" i="29"/>
  <c r="AC392" i="29"/>
  <c r="AD392" i="29"/>
  <c r="AC299" i="29"/>
  <c r="AD299" i="29"/>
  <c r="AD578" i="29"/>
  <c r="AC578" i="29"/>
  <c r="AC591" i="29"/>
  <c r="AD591" i="29"/>
  <c r="AC595" i="29"/>
  <c r="AD595" i="29"/>
  <c r="AD510" i="29"/>
  <c r="AC510" i="29"/>
  <c r="AC501" i="29"/>
  <c r="AD501" i="29"/>
  <c r="AB557" i="29"/>
  <c r="AC420" i="29"/>
  <c r="AD420" i="29"/>
  <c r="AD540" i="29"/>
  <c r="AC540" i="29"/>
  <c r="AC519" i="29"/>
  <c r="AD519" i="29"/>
  <c r="AD489" i="29"/>
  <c r="AC489" i="29"/>
  <c r="AC445" i="29"/>
  <c r="AD445" i="29"/>
  <c r="AC534" i="29"/>
  <c r="AD534" i="29"/>
  <c r="AC512" i="29"/>
  <c r="AD512" i="29"/>
  <c r="AC476" i="29"/>
  <c r="AD476" i="29"/>
  <c r="AC433" i="29"/>
  <c r="AD433" i="29"/>
  <c r="AC527" i="29"/>
  <c r="AD527" i="29"/>
  <c r="AC505" i="29"/>
  <c r="AD505" i="29"/>
  <c r="AC461" i="29"/>
  <c r="AD461" i="29"/>
  <c r="AD541" i="29"/>
  <c r="AC541" i="29"/>
  <c r="AC525" i="29"/>
  <c r="AD525" i="29"/>
  <c r="AC509" i="29"/>
  <c r="AD509" i="29"/>
  <c r="AC480" i="29"/>
  <c r="AD480" i="29"/>
  <c r="AD448" i="29"/>
  <c r="AC448" i="29"/>
  <c r="AC503" i="29"/>
  <c r="AD503" i="29"/>
  <c r="AD487" i="29"/>
  <c r="AC487" i="29"/>
  <c r="AD471" i="29"/>
  <c r="AC471" i="29"/>
  <c r="AD455" i="29"/>
  <c r="AC455" i="29"/>
  <c r="AD439" i="29"/>
  <c r="AC439" i="29"/>
  <c r="AC423" i="29"/>
  <c r="AD423" i="29"/>
  <c r="AC494" i="29"/>
  <c r="AD494" i="29"/>
  <c r="AC478" i="29"/>
  <c r="AD478" i="29"/>
  <c r="AC462" i="29"/>
  <c r="AD462" i="29"/>
  <c r="AC446" i="29"/>
  <c r="AD446" i="29"/>
  <c r="AD430" i="29"/>
  <c r="AC430" i="29"/>
  <c r="AC265" i="29"/>
  <c r="AD265" i="29"/>
  <c r="AC329" i="29"/>
  <c r="AD329" i="29"/>
  <c r="AD263" i="29"/>
  <c r="AC263" i="29"/>
  <c r="AC348" i="29"/>
  <c r="AD348" i="29"/>
  <c r="AC264" i="29"/>
  <c r="AD264" i="29"/>
  <c r="AC350" i="29"/>
  <c r="AD350" i="29"/>
  <c r="AD266" i="29"/>
  <c r="AC266" i="29"/>
  <c r="AC351" i="29"/>
  <c r="AD351" i="29"/>
  <c r="AC331" i="29"/>
  <c r="AD331" i="29"/>
  <c r="AD368" i="29"/>
  <c r="AC368" i="29"/>
  <c r="AC597" i="29"/>
  <c r="AD597" i="29"/>
  <c r="AC598" i="29"/>
  <c r="AD598" i="29"/>
  <c r="AD568" i="29"/>
  <c r="AC568" i="29"/>
  <c r="AD611" i="29"/>
  <c r="AC611" i="29"/>
  <c r="AC670" i="29"/>
  <c r="AD670" i="29"/>
  <c r="AC711" i="29"/>
  <c r="AD711" i="29"/>
  <c r="AC647" i="29"/>
  <c r="AD647" i="29"/>
  <c r="AD662" i="29"/>
  <c r="AC662" i="29"/>
  <c r="AC671" i="29"/>
  <c r="AD671" i="29"/>
  <c r="AD699" i="29"/>
  <c r="AC699" i="29"/>
  <c r="AC667" i="29"/>
  <c r="AD667" i="29"/>
  <c r="AC706" i="29"/>
  <c r="AD706" i="29"/>
  <c r="AC674" i="29"/>
  <c r="AD674" i="29"/>
  <c r="AD642" i="29"/>
  <c r="AC642" i="29"/>
  <c r="AD697" i="29"/>
  <c r="AC697" i="29"/>
  <c r="AC681" i="29"/>
  <c r="AD681" i="29"/>
  <c r="AC665" i="29"/>
  <c r="AD665" i="29"/>
  <c r="AC649" i="29"/>
  <c r="AD649" i="29"/>
  <c r="AD708" i="29"/>
  <c r="AC708" i="29"/>
  <c r="AC692" i="29"/>
  <c r="AD692" i="29"/>
  <c r="AD676" i="29"/>
  <c r="AC676" i="29"/>
  <c r="AC660" i="29"/>
  <c r="AD660" i="29"/>
  <c r="AC644" i="29"/>
  <c r="AD644" i="29"/>
  <c r="AB94" i="30"/>
  <c r="AB102" i="30"/>
  <c r="AB97" i="30"/>
  <c r="AB93" i="30"/>
  <c r="AB69" i="30"/>
  <c r="AB82" i="30"/>
  <c r="AB108" i="30"/>
  <c r="AB92" i="30"/>
  <c r="AB76" i="30"/>
  <c r="AB111" i="30"/>
  <c r="AB95" i="30"/>
  <c r="AB79" i="30"/>
  <c r="AC252" i="29"/>
  <c r="AD252" i="29"/>
  <c r="AD339" i="29"/>
  <c r="AC339" i="29"/>
  <c r="AC288" i="29"/>
  <c r="AD288" i="29"/>
  <c r="AC110" i="29"/>
  <c r="AD110" i="29"/>
  <c r="AC165" i="29"/>
  <c r="AD165" i="29"/>
  <c r="AD117" i="29"/>
  <c r="AC117" i="29"/>
  <c r="AD35" i="29"/>
  <c r="AC35" i="29"/>
  <c r="AD176" i="29"/>
  <c r="AC176" i="29"/>
  <c r="AD128" i="29"/>
  <c r="AC128" i="29"/>
  <c r="AC79" i="29"/>
  <c r="AD79" i="29"/>
  <c r="AD106" i="29"/>
  <c r="AC106" i="29"/>
  <c r="AD111" i="29"/>
  <c r="AC111" i="29"/>
  <c r="AC77" i="29"/>
  <c r="AD77" i="29"/>
  <c r="AC373" i="29"/>
  <c r="AD373" i="29"/>
  <c r="AD694" i="29"/>
  <c r="AC694" i="29"/>
  <c r="AD639" i="29"/>
  <c r="AC639" i="29"/>
  <c r="AD690" i="29"/>
  <c r="AC690" i="29"/>
  <c r="AD689" i="29"/>
  <c r="AC689" i="29"/>
  <c r="AC657" i="29"/>
  <c r="AD657" i="29"/>
  <c r="AC684" i="29"/>
  <c r="AD684" i="29"/>
  <c r="AC652" i="29"/>
  <c r="AD652" i="29"/>
  <c r="AC89" i="30"/>
  <c r="AD89" i="30"/>
  <c r="AC109" i="30"/>
  <c r="AD109" i="30"/>
  <c r="AC98" i="30"/>
  <c r="AD98" i="30"/>
  <c r="AD157" i="30"/>
  <c r="AC157" i="30"/>
  <c r="AC100" i="30"/>
  <c r="AD100" i="30"/>
  <c r="AD84" i="30"/>
  <c r="AC84" i="30"/>
  <c r="AC103" i="30"/>
  <c r="AD103" i="30"/>
  <c r="AC71" i="30"/>
  <c r="AD71" i="30"/>
  <c r="AB162" i="30"/>
  <c r="AB133" i="30"/>
  <c r="AB137" i="30"/>
  <c r="AB132" i="30"/>
  <c r="AB48" i="30"/>
  <c r="AB52" i="30"/>
  <c r="AB56" i="30"/>
  <c r="AB44" i="30"/>
  <c r="AB17" i="30"/>
  <c r="AB21" i="30"/>
  <c r="AB25" i="30"/>
  <c r="AB29" i="30"/>
  <c r="AB33" i="30"/>
  <c r="AB13" i="30"/>
  <c r="AB134" i="30"/>
  <c r="AB138" i="30"/>
  <c r="AB45" i="30"/>
  <c r="AB49" i="30"/>
  <c r="AC49" i="30" s="1"/>
  <c r="AB53" i="30"/>
  <c r="AB57" i="30"/>
  <c r="AB14" i="30"/>
  <c r="AB18" i="30"/>
  <c r="AB22" i="30"/>
  <c r="AB26" i="30"/>
  <c r="AB30" i="30"/>
  <c r="AB34" i="30"/>
  <c r="AB135" i="30"/>
  <c r="AB46" i="30"/>
  <c r="AB54" i="30"/>
  <c r="AB19" i="30"/>
  <c r="AB27" i="30"/>
  <c r="AB35" i="30"/>
  <c r="AB136" i="30"/>
  <c r="AB47" i="30"/>
  <c r="AC47" i="30" s="1"/>
  <c r="AB55" i="30"/>
  <c r="AB20" i="30"/>
  <c r="AB28" i="30"/>
  <c r="AB36" i="30"/>
  <c r="AB139" i="30"/>
  <c r="AB50" i="30"/>
  <c r="AB24" i="30"/>
  <c r="AB140" i="30"/>
  <c r="AB51" i="30"/>
  <c r="AB15" i="30"/>
  <c r="AC15" i="30" s="1"/>
  <c r="AB31" i="30"/>
  <c r="AB58" i="30"/>
  <c r="AB16" i="30"/>
  <c r="AB32" i="30"/>
  <c r="AB23" i="30"/>
  <c r="AB59" i="30"/>
  <c r="AC273" i="29"/>
  <c r="AD273" i="29"/>
  <c r="AD274" i="29"/>
  <c r="AC274" i="29"/>
  <c r="AC275" i="29"/>
  <c r="AD275" i="29"/>
  <c r="AD276" i="29"/>
  <c r="AC276" i="29"/>
  <c r="AD362" i="29"/>
  <c r="AC362" i="29"/>
  <c r="AC278" i="29"/>
  <c r="AD278" i="29"/>
  <c r="AD138" i="29"/>
  <c r="AC138" i="29"/>
  <c r="AD177" i="29"/>
  <c r="AC177" i="29"/>
  <c r="AD145" i="29"/>
  <c r="AC145" i="29"/>
  <c r="AD113" i="29"/>
  <c r="AC113" i="29"/>
  <c r="AD19" i="29"/>
  <c r="AC19" i="29"/>
  <c r="AC172" i="29"/>
  <c r="AD172" i="29"/>
  <c r="AD140" i="29"/>
  <c r="AC140" i="29"/>
  <c r="AC108" i="29"/>
  <c r="AD108" i="29"/>
  <c r="AD174" i="29"/>
  <c r="AC174" i="29"/>
  <c r="AD71" i="29"/>
  <c r="AC71" i="29"/>
  <c r="AC155" i="29"/>
  <c r="AD155" i="29"/>
  <c r="AC123" i="29"/>
  <c r="AD123" i="29"/>
  <c r="AD59" i="29"/>
  <c r="AC59" i="29"/>
  <c r="AC62" i="29"/>
  <c r="AD62" i="29"/>
  <c r="AC30" i="29"/>
  <c r="AD30" i="29"/>
  <c r="AD89" i="29"/>
  <c r="AC89" i="29"/>
  <c r="AD57" i="29"/>
  <c r="AC57" i="29"/>
  <c r="AC25" i="29"/>
  <c r="AD25" i="29"/>
  <c r="AC80" i="29"/>
  <c r="AD80" i="29"/>
  <c r="AC48" i="29"/>
  <c r="AD48" i="29"/>
  <c r="AD16" i="29"/>
  <c r="AC16" i="29"/>
  <c r="AD261" i="29"/>
  <c r="AC261" i="29"/>
  <c r="AC258" i="29"/>
  <c r="AD258" i="29"/>
  <c r="AD259" i="29"/>
  <c r="AC259" i="29"/>
  <c r="AC260" i="29"/>
  <c r="AD260" i="29"/>
  <c r="AC310" i="29"/>
  <c r="AD310" i="29"/>
  <c r="AC604" i="29"/>
  <c r="AD604" i="29"/>
  <c r="AC526" i="29"/>
  <c r="AD526" i="29"/>
  <c r="AC449" i="29"/>
  <c r="AD449" i="29"/>
  <c r="AC457" i="29"/>
  <c r="AD457" i="29"/>
  <c r="AC518" i="29"/>
  <c r="AD518" i="29"/>
  <c r="AC532" i="29"/>
  <c r="AD532" i="29"/>
  <c r="AD429" i="29"/>
  <c r="AC429" i="29"/>
  <c r="AC513" i="29"/>
  <c r="AD513" i="29"/>
  <c r="AD424" i="29"/>
  <c r="AC424" i="29"/>
  <c r="AC475" i="29"/>
  <c r="AD475" i="29"/>
  <c r="AD443" i="29"/>
  <c r="AC443" i="29"/>
  <c r="AC498" i="29"/>
  <c r="AD498" i="29"/>
  <c r="AC466" i="29"/>
  <c r="AD466" i="29"/>
  <c r="AD434" i="29"/>
  <c r="AC434" i="29"/>
  <c r="AC377" i="29"/>
  <c r="AD377" i="29"/>
  <c r="AD406" i="29"/>
  <c r="AC406" i="29"/>
  <c r="AC702" i="29"/>
  <c r="AD702" i="29"/>
  <c r="AC682" i="29"/>
  <c r="AD682" i="29"/>
  <c r="AC305" i="29"/>
  <c r="AD305" i="29"/>
  <c r="AD369" i="29"/>
  <c r="AC369" i="29"/>
  <c r="AD316" i="29"/>
  <c r="AC316" i="29"/>
  <c r="AD397" i="29"/>
  <c r="AC397" i="29"/>
  <c r="AC318" i="29"/>
  <c r="AD318" i="29"/>
  <c r="AC398" i="29"/>
  <c r="AD398" i="29"/>
  <c r="AD319" i="29"/>
  <c r="AC319" i="29"/>
  <c r="AD399" i="29"/>
  <c r="AC399" i="29"/>
  <c r="AD294" i="29"/>
  <c r="AC294" i="29"/>
  <c r="AC326" i="29"/>
  <c r="AD326" i="29"/>
  <c r="AC158" i="29"/>
  <c r="AD158" i="29"/>
  <c r="AC118" i="29"/>
  <c r="AD118" i="29"/>
  <c r="AD23" i="29"/>
  <c r="AC23" i="29"/>
  <c r="AC169" i="29"/>
  <c r="AD169" i="29"/>
  <c r="AD153" i="29"/>
  <c r="AC153" i="29"/>
  <c r="AD137" i="29"/>
  <c r="AC137" i="29"/>
  <c r="AC121" i="29"/>
  <c r="AD121" i="29"/>
  <c r="AC105" i="29"/>
  <c r="AD105" i="29"/>
  <c r="AC51" i="29"/>
  <c r="AD51" i="29"/>
  <c r="AD162" i="29"/>
  <c r="AC162" i="29"/>
  <c r="AD180" i="29"/>
  <c r="AC180" i="29"/>
  <c r="AC164" i="29"/>
  <c r="AD164" i="29"/>
  <c r="AC148" i="29"/>
  <c r="AD148" i="29"/>
  <c r="AC132" i="29"/>
  <c r="AD132" i="29"/>
  <c r="AC116" i="29"/>
  <c r="AD116" i="29"/>
  <c r="AC95" i="29"/>
  <c r="AD95" i="29"/>
  <c r="AD31" i="29"/>
  <c r="AC31" i="29"/>
  <c r="AD154" i="29"/>
  <c r="AC154" i="29"/>
  <c r="AC114" i="29"/>
  <c r="AD114" i="29"/>
  <c r="AC179" i="29"/>
  <c r="AD179" i="29"/>
  <c r="AC163" i="29"/>
  <c r="AD163" i="29"/>
  <c r="AD147" i="29"/>
  <c r="AC147" i="29"/>
  <c r="AC131" i="29"/>
  <c r="AD131" i="29"/>
  <c r="AC115" i="29"/>
  <c r="AD115" i="29"/>
  <c r="AC91" i="29"/>
  <c r="AD91" i="29"/>
  <c r="AC27" i="29"/>
  <c r="AD27" i="29"/>
  <c r="AD86" i="29"/>
  <c r="AC86" i="29"/>
  <c r="AC70" i="29"/>
  <c r="AD70" i="29"/>
  <c r="AC54" i="29"/>
  <c r="AD54" i="29"/>
  <c r="AC38" i="29"/>
  <c r="AD38" i="29"/>
  <c r="AC22" i="29"/>
  <c r="AD22" i="29"/>
  <c r="AD97" i="29"/>
  <c r="AC97" i="29"/>
  <c r="AC81" i="29"/>
  <c r="AD81" i="29"/>
  <c r="AD65" i="29"/>
  <c r="AC65" i="29"/>
  <c r="AD49" i="29"/>
  <c r="AC49" i="29"/>
  <c r="AC33" i="29"/>
  <c r="AD33" i="29"/>
  <c r="AC17" i="29"/>
  <c r="AD17" i="29"/>
  <c r="AD88" i="29"/>
  <c r="AC88" i="29"/>
  <c r="AD72" i="29"/>
  <c r="AC72" i="29"/>
  <c r="AD56" i="29"/>
  <c r="AC56" i="29"/>
  <c r="AC40" i="29"/>
  <c r="AD40" i="29"/>
  <c r="AD24" i="29"/>
  <c r="AC24" i="29"/>
  <c r="AC293" i="29"/>
  <c r="AD293" i="29"/>
  <c r="AD357" i="29"/>
  <c r="AC357" i="29"/>
  <c r="AD300" i="29"/>
  <c r="AC300" i="29"/>
  <c r="AD385" i="29"/>
  <c r="AC385" i="29"/>
  <c r="AC302" i="29"/>
  <c r="AD302" i="29"/>
  <c r="AC386" i="29"/>
  <c r="AD386" i="29"/>
  <c r="AD303" i="29"/>
  <c r="AC303" i="29"/>
  <c r="AC387" i="29"/>
  <c r="AD387" i="29"/>
  <c r="AC347" i="29"/>
  <c r="AD347" i="29"/>
  <c r="AD384" i="29"/>
  <c r="AC384" i="29"/>
  <c r="AD593" i="29"/>
  <c r="AC593" i="29"/>
  <c r="AD594" i="29"/>
  <c r="AC594" i="29"/>
  <c r="AD623" i="29"/>
  <c r="AC623" i="29"/>
  <c r="AC596" i="29"/>
  <c r="AD596" i="29"/>
  <c r="AD536" i="29"/>
  <c r="AC536" i="29"/>
  <c r="AD469" i="29"/>
  <c r="AC469" i="29"/>
  <c r="AC460" i="29"/>
  <c r="AD460" i="29"/>
  <c r="AC520" i="29"/>
  <c r="AD520" i="29"/>
  <c r="AC535" i="29"/>
  <c r="AD535" i="29"/>
  <c r="AC514" i="29"/>
  <c r="AD514" i="29"/>
  <c r="AD477" i="29"/>
  <c r="AC477" i="29"/>
  <c r="AD436" i="29"/>
  <c r="AC436" i="29"/>
  <c r="AD528" i="29"/>
  <c r="AC528" i="29"/>
  <c r="AC507" i="29"/>
  <c r="AD507" i="29"/>
  <c r="AC465" i="29"/>
  <c r="AD465" i="29"/>
  <c r="AD421" i="29"/>
  <c r="AC421" i="29"/>
  <c r="AC522" i="29"/>
  <c r="AD522" i="29"/>
  <c r="AD493" i="29"/>
  <c r="AC493" i="29"/>
  <c r="AD452" i="29"/>
  <c r="AC452" i="29"/>
  <c r="AC537" i="29"/>
  <c r="AD537" i="29"/>
  <c r="AC521" i="29"/>
  <c r="AD521" i="29"/>
  <c r="AC504" i="29"/>
  <c r="AD504" i="29"/>
  <c r="AC472" i="29"/>
  <c r="AD472" i="29"/>
  <c r="AC440" i="29"/>
  <c r="AD440" i="29"/>
  <c r="AC499" i="29"/>
  <c r="AD499" i="29"/>
  <c r="AD483" i="29"/>
  <c r="AC483" i="29"/>
  <c r="AC467" i="29"/>
  <c r="AD467" i="29"/>
  <c r="AD451" i="29"/>
  <c r="AC451" i="29"/>
  <c r="AC435" i="29"/>
  <c r="AD435" i="29"/>
  <c r="AC506" i="29"/>
  <c r="AD506" i="29"/>
  <c r="AD490" i="29"/>
  <c r="AC490" i="29"/>
  <c r="AC474" i="29"/>
  <c r="AD474" i="29"/>
  <c r="AC458" i="29"/>
  <c r="AD458" i="29"/>
  <c r="AC442" i="29"/>
  <c r="AD442" i="29"/>
  <c r="AD426" i="29"/>
  <c r="AC426" i="29"/>
  <c r="AC281" i="29"/>
  <c r="AD281" i="29"/>
  <c r="AC345" i="29"/>
  <c r="AD345" i="29"/>
  <c r="AC284" i="29"/>
  <c r="AD284" i="29"/>
  <c r="AC370" i="29"/>
  <c r="AD370" i="29"/>
  <c r="AC286" i="29"/>
  <c r="AD286" i="29"/>
  <c r="AD371" i="29"/>
  <c r="AC371" i="29"/>
  <c r="AC287" i="29"/>
  <c r="AD287" i="29"/>
  <c r="AD372" i="29"/>
  <c r="AC372" i="29"/>
  <c r="AC408" i="29"/>
  <c r="AD408" i="29"/>
  <c r="AD320" i="29"/>
  <c r="AC320" i="29"/>
  <c r="AD613" i="29"/>
  <c r="AC613" i="29"/>
  <c r="AC614" i="29"/>
  <c r="AD614" i="29"/>
  <c r="AC600" i="29"/>
  <c r="AD600" i="29"/>
  <c r="AC624" i="29"/>
  <c r="AD624" i="29"/>
  <c r="AC654" i="29"/>
  <c r="AD654" i="29"/>
  <c r="AC695" i="29"/>
  <c r="AD695" i="29"/>
  <c r="AD710" i="29"/>
  <c r="AC710" i="29"/>
  <c r="AD646" i="29"/>
  <c r="AC646" i="29"/>
  <c r="AD655" i="29"/>
  <c r="AC655" i="29"/>
  <c r="AC691" i="29"/>
  <c r="AD691" i="29"/>
  <c r="AC659" i="29"/>
  <c r="AD659" i="29"/>
  <c r="AD698" i="29"/>
  <c r="AC698" i="29"/>
  <c r="AC666" i="29"/>
  <c r="AD666" i="29"/>
  <c r="AD709" i="29"/>
  <c r="AC709" i="29"/>
  <c r="AD693" i="29"/>
  <c r="AC693" i="29"/>
  <c r="AD677" i="29"/>
  <c r="AC677" i="29"/>
  <c r="AC661" i="29"/>
  <c r="AD661" i="29"/>
  <c r="AC645" i="29"/>
  <c r="AD645" i="29"/>
  <c r="AD704" i="29"/>
  <c r="AC704" i="29"/>
  <c r="AD688" i="29"/>
  <c r="AC688" i="29"/>
  <c r="AD672" i="29"/>
  <c r="AC672" i="29"/>
  <c r="AC656" i="29"/>
  <c r="AD656" i="29"/>
  <c r="AD640" i="29"/>
  <c r="AC640" i="29"/>
  <c r="AB105" i="30"/>
  <c r="AB86" i="30"/>
  <c r="AB81" i="30"/>
  <c r="AB85" i="30"/>
  <c r="AB106" i="30"/>
  <c r="AB74" i="30"/>
  <c r="AB104" i="30"/>
  <c r="AB88" i="30"/>
  <c r="AB72" i="30"/>
  <c r="AB107" i="30"/>
  <c r="AB91" i="30"/>
  <c r="H53" i="26"/>
  <c r="J26" i="26"/>
  <c r="K27" i="26" s="1"/>
  <c r="J27" i="26"/>
  <c r="H21" i="26"/>
  <c r="H56" i="26"/>
  <c r="AC70" i="30" l="1"/>
  <c r="AD417" i="29"/>
  <c r="AD635" i="29"/>
  <c r="AD107" i="30"/>
  <c r="AC107" i="30"/>
  <c r="AC32" i="30"/>
  <c r="AD32" i="30"/>
  <c r="AD20" i="30"/>
  <c r="AC20" i="30"/>
  <c r="AD26" i="30"/>
  <c r="AC26" i="30"/>
  <c r="AB65" i="30"/>
  <c r="AC44" i="30"/>
  <c r="AD95" i="30"/>
  <c r="AC95" i="30"/>
  <c r="AC106" i="30"/>
  <c r="AD106" i="30"/>
  <c r="AC51" i="30"/>
  <c r="AD51" i="30"/>
  <c r="AC139" i="30"/>
  <c r="AD139" i="30"/>
  <c r="AD55" i="30"/>
  <c r="AC55" i="30"/>
  <c r="AD27" i="30"/>
  <c r="AC27" i="30"/>
  <c r="AD135" i="30"/>
  <c r="AC135" i="30"/>
  <c r="AD22" i="30"/>
  <c r="AC22" i="30"/>
  <c r="AC53" i="30"/>
  <c r="AD53" i="30"/>
  <c r="AC134" i="30"/>
  <c r="AD134" i="30"/>
  <c r="AD25" i="30"/>
  <c r="AC25" i="30"/>
  <c r="AC56" i="30"/>
  <c r="AD56" i="30"/>
  <c r="AC137" i="30"/>
  <c r="AD137" i="30"/>
  <c r="AC111" i="30"/>
  <c r="AD111" i="30"/>
  <c r="AD82" i="30"/>
  <c r="AC82" i="30"/>
  <c r="AC102" i="30"/>
  <c r="AD102" i="30"/>
  <c r="AB779" i="29"/>
  <c r="AC635" i="29"/>
  <c r="AD74" i="30"/>
  <c r="AC74" i="30"/>
  <c r="AD194" i="29"/>
  <c r="AD35" i="30"/>
  <c r="AC35" i="30"/>
  <c r="AD57" i="30"/>
  <c r="AC57" i="30"/>
  <c r="AD29" i="30"/>
  <c r="AC29" i="30"/>
  <c r="AD97" i="30"/>
  <c r="AC97" i="30"/>
  <c r="AC724" i="29"/>
  <c r="AC72" i="30"/>
  <c r="AD72" i="30"/>
  <c r="AC88" i="30"/>
  <c r="AD88" i="30"/>
  <c r="AC85" i="30"/>
  <c r="AD85" i="30"/>
  <c r="AD59" i="30"/>
  <c r="AC59" i="30"/>
  <c r="AC58" i="30"/>
  <c r="AD58" i="30"/>
  <c r="AC140" i="30"/>
  <c r="AD140" i="30"/>
  <c r="AD36" i="30"/>
  <c r="AC36" i="30"/>
  <c r="AD19" i="30"/>
  <c r="AC19" i="30"/>
  <c r="AD34" i="30"/>
  <c r="AC34" i="30"/>
  <c r="AD18" i="30"/>
  <c r="AC18" i="30"/>
  <c r="AB41" i="30"/>
  <c r="AC13" i="30"/>
  <c r="AC21" i="30"/>
  <c r="AD21" i="30"/>
  <c r="AD52" i="30"/>
  <c r="AC52" i="30"/>
  <c r="AC133" i="30"/>
  <c r="AD133" i="30"/>
  <c r="AC76" i="30"/>
  <c r="AD76" i="30"/>
  <c r="AB128" i="30"/>
  <c r="AC69" i="30"/>
  <c r="AD69" i="30"/>
  <c r="AC94" i="30"/>
  <c r="AD94" i="30"/>
  <c r="AD557" i="29"/>
  <c r="AC417" i="29"/>
  <c r="AC86" i="30"/>
  <c r="AD86" i="30"/>
  <c r="AC46" i="30"/>
  <c r="AD46" i="30"/>
  <c r="AC138" i="30"/>
  <c r="AD138" i="30"/>
  <c r="AB142" i="30"/>
  <c r="AC132" i="30"/>
  <c r="AD132" i="30"/>
  <c r="AD108" i="30"/>
  <c r="AC108" i="30"/>
  <c r="AC105" i="30"/>
  <c r="AD105" i="30"/>
  <c r="AC91" i="30"/>
  <c r="AD91" i="30"/>
  <c r="AC104" i="30"/>
  <c r="AD104" i="30"/>
  <c r="AD81" i="30"/>
  <c r="AC81" i="30"/>
  <c r="AD23" i="30"/>
  <c r="AC23" i="30"/>
  <c r="AC31" i="30"/>
  <c r="AD31" i="30"/>
  <c r="AD24" i="30"/>
  <c r="AC24" i="30"/>
  <c r="AC28" i="30"/>
  <c r="AD28" i="30"/>
  <c r="AC136" i="30"/>
  <c r="AD136" i="30"/>
  <c r="AC54" i="30"/>
  <c r="AD54" i="30"/>
  <c r="AC30" i="30"/>
  <c r="AD30" i="30"/>
  <c r="AD33" i="30"/>
  <c r="AC33" i="30"/>
  <c r="AD17" i="30"/>
  <c r="AC17" i="30"/>
  <c r="AC162" i="30"/>
  <c r="AD162" i="30"/>
  <c r="AC79" i="30"/>
  <c r="AD79" i="30"/>
  <c r="AC92" i="30"/>
  <c r="AD92" i="30"/>
  <c r="AD93" i="30"/>
  <c r="AC93" i="30"/>
  <c r="AC557" i="29"/>
  <c r="AD724" i="29"/>
  <c r="AC194" i="29"/>
  <c r="Q27" i="26"/>
  <c r="R27" i="26"/>
  <c r="P27" i="26"/>
  <c r="AI635" i="29" l="1"/>
  <c r="AI779" i="29" s="1"/>
  <c r="AC128" i="30"/>
  <c r="AF128" i="30" s="1"/>
  <c r="AH417" i="29"/>
  <c r="AJ162" i="30"/>
  <c r="AH162" i="30"/>
  <c r="AI162" i="30"/>
  <c r="AC142" i="30"/>
  <c r="AH194" i="29"/>
  <c r="AE194" i="29"/>
  <c r="AD142" i="30"/>
  <c r="AJ724" i="29"/>
  <c r="AJ779" i="29" s="1"/>
  <c r="AE417" i="29"/>
  <c r="AD128" i="30"/>
  <c r="AE557" i="29"/>
  <c r="AB164" i="30"/>
  <c r="AH557" i="29"/>
  <c r="AG724" i="29"/>
  <c r="AG779" i="29" s="1"/>
  <c r="AC779" i="29"/>
  <c r="AF635" i="29"/>
  <c r="AF779" i="29" s="1"/>
  <c r="AE779" i="29" l="1"/>
  <c r="AE128" i="30"/>
  <c r="AG128" i="30"/>
  <c r="AG142" i="30"/>
  <c r="AE142" i="30"/>
  <c r="AF142" i="30"/>
  <c r="AJ128" i="30"/>
  <c r="AI128" i="30"/>
  <c r="AH128" i="30"/>
  <c r="AJ142" i="30"/>
  <c r="AH142" i="30"/>
  <c r="AI142" i="30"/>
  <c r="O143" i="19" l="1"/>
  <c r="P143" i="19" s="1"/>
  <c r="Q143" i="19" s="1"/>
  <c r="L143" i="19"/>
  <c r="M143" i="19" s="1"/>
  <c r="R143" i="19" s="1"/>
  <c r="O142" i="19"/>
  <c r="P142" i="19" s="1"/>
  <c r="Q142" i="19" s="1"/>
  <c r="L142" i="19"/>
  <c r="M142" i="19" s="1"/>
  <c r="R142" i="19" s="1"/>
  <c r="U142" i="19" s="1"/>
  <c r="O139" i="19"/>
  <c r="P139" i="19"/>
  <c r="Q139" i="19" s="1"/>
  <c r="L139" i="19"/>
  <c r="M139" i="19" s="1"/>
  <c r="O136" i="19"/>
  <c r="P136" i="19" s="1"/>
  <c r="Q136" i="19" s="1"/>
  <c r="L136" i="19"/>
  <c r="M136" i="19" s="1"/>
  <c r="R136" i="19" s="1"/>
  <c r="O133" i="19"/>
  <c r="P133" i="19" s="1"/>
  <c r="Q133" i="19" s="1"/>
  <c r="L133" i="19"/>
  <c r="M133" i="19" s="1"/>
  <c r="R133" i="19" s="1"/>
  <c r="U126" i="19"/>
  <c r="R124" i="19"/>
  <c r="N124" i="19"/>
  <c r="O122" i="19"/>
  <c r="P122" i="19" s="1"/>
  <c r="Q122" i="19" s="1"/>
  <c r="L122" i="19"/>
  <c r="M122" i="19" s="1"/>
  <c r="O121" i="19"/>
  <c r="N155" i="30" s="1"/>
  <c r="L121" i="19"/>
  <c r="M121" i="19" s="1"/>
  <c r="R121" i="19" s="1"/>
  <c r="S121" i="19" s="1"/>
  <c r="T121" i="19" s="1"/>
  <c r="O120" i="19"/>
  <c r="L120" i="19"/>
  <c r="M120" i="19" s="1"/>
  <c r="R120" i="19" s="1"/>
  <c r="O115" i="19"/>
  <c r="P115" i="19" s="1"/>
  <c r="Q115" i="19" s="1"/>
  <c r="L115" i="19"/>
  <c r="M115" i="19" s="1"/>
  <c r="N114" i="19"/>
  <c r="O114" i="19" s="1"/>
  <c r="P114" i="19" s="1"/>
  <c r="Q114" i="19" s="1"/>
  <c r="L114" i="19"/>
  <c r="M114" i="19" s="1"/>
  <c r="N113" i="19"/>
  <c r="O113" i="19" s="1"/>
  <c r="P113" i="19" s="1"/>
  <c r="Q113" i="19" s="1"/>
  <c r="L113" i="19"/>
  <c r="M113" i="19" s="1"/>
  <c r="R113" i="19" s="1"/>
  <c r="S113" i="19" s="1"/>
  <c r="T113" i="19" s="1"/>
  <c r="N112" i="19"/>
  <c r="L112" i="19"/>
  <c r="M112" i="19" s="1"/>
  <c r="N107" i="19"/>
  <c r="O107" i="19" s="1"/>
  <c r="P107" i="19" s="1"/>
  <c r="Q107" i="19" s="1"/>
  <c r="L107" i="19"/>
  <c r="M107" i="19" s="1"/>
  <c r="N106" i="19"/>
  <c r="O106" i="19" s="1"/>
  <c r="P106" i="19" s="1"/>
  <c r="Q106" i="19" s="1"/>
  <c r="L106" i="19"/>
  <c r="M106" i="19" s="1"/>
  <c r="O105" i="19"/>
  <c r="P105" i="19" s="1"/>
  <c r="Q105" i="19" s="1"/>
  <c r="L105" i="19"/>
  <c r="M105" i="19" s="1"/>
  <c r="N104" i="19"/>
  <c r="O104" i="19" s="1"/>
  <c r="P104" i="19" s="1"/>
  <c r="Q104" i="19" s="1"/>
  <c r="L104" i="19"/>
  <c r="M104" i="19" s="1"/>
  <c r="N103" i="19"/>
  <c r="O103" i="19" s="1"/>
  <c r="P103" i="19" s="1"/>
  <c r="Q103" i="19" s="1"/>
  <c r="L103" i="19"/>
  <c r="M103" i="19" s="1"/>
  <c r="O102" i="19"/>
  <c r="P102" i="19" s="1"/>
  <c r="Q102" i="19" s="1"/>
  <c r="L102" i="19"/>
  <c r="M102" i="19" s="1"/>
  <c r="O101" i="19"/>
  <c r="L101" i="19"/>
  <c r="M101" i="19" s="1"/>
  <c r="O95" i="19"/>
  <c r="P95" i="19" s="1"/>
  <c r="Q95" i="19" s="1"/>
  <c r="L95" i="19"/>
  <c r="M95" i="19" s="1"/>
  <c r="O94" i="19"/>
  <c r="P94" i="19" s="1"/>
  <c r="Q94" i="19" s="1"/>
  <c r="L94" i="19"/>
  <c r="M94" i="19" s="1"/>
  <c r="O93" i="19"/>
  <c r="P93" i="19" s="1"/>
  <c r="Q93" i="19" s="1"/>
  <c r="L93" i="19"/>
  <c r="M93" i="19" s="1"/>
  <c r="O92" i="19"/>
  <c r="P92" i="19" s="1"/>
  <c r="Q92" i="19" s="1"/>
  <c r="L92" i="19"/>
  <c r="M92" i="19" s="1"/>
  <c r="O91" i="19"/>
  <c r="P91" i="19" s="1"/>
  <c r="Q91" i="19" s="1"/>
  <c r="L91" i="19"/>
  <c r="M91" i="19" s="1"/>
  <c r="O90" i="19"/>
  <c r="P90" i="19" s="1"/>
  <c r="Q90" i="19" s="1"/>
  <c r="L90" i="19"/>
  <c r="M90" i="19" s="1"/>
  <c r="O89" i="19"/>
  <c r="P89" i="19" s="1"/>
  <c r="Q89" i="19" s="1"/>
  <c r="L89" i="19"/>
  <c r="M89" i="19" s="1"/>
  <c r="O88" i="19"/>
  <c r="P88" i="19" s="1"/>
  <c r="Q88" i="19" s="1"/>
  <c r="L88" i="19"/>
  <c r="M88" i="19" s="1"/>
  <c r="O87" i="19"/>
  <c r="P87" i="19" s="1"/>
  <c r="Q87" i="19" s="1"/>
  <c r="L87" i="19"/>
  <c r="M87" i="19" s="1"/>
  <c r="O86" i="19"/>
  <c r="P86" i="19" s="1"/>
  <c r="Q86" i="19" s="1"/>
  <c r="L86" i="19"/>
  <c r="M86" i="19" s="1"/>
  <c r="O85" i="19"/>
  <c r="P85" i="19" s="1"/>
  <c r="Q85" i="19" s="1"/>
  <c r="L85" i="19"/>
  <c r="M85" i="19" s="1"/>
  <c r="O84" i="19"/>
  <c r="P84" i="19" s="1"/>
  <c r="Q84" i="19" s="1"/>
  <c r="L84" i="19"/>
  <c r="M84" i="19" s="1"/>
  <c r="O83" i="19"/>
  <c r="P83" i="19" s="1"/>
  <c r="Q83" i="19" s="1"/>
  <c r="L83" i="19"/>
  <c r="M83" i="19" s="1"/>
  <c r="O82" i="19"/>
  <c r="P82" i="19" s="1"/>
  <c r="Q82" i="19" s="1"/>
  <c r="L82" i="19"/>
  <c r="M82" i="19" s="1"/>
  <c r="O81" i="19"/>
  <c r="P81" i="19" s="1"/>
  <c r="Q81" i="19" s="1"/>
  <c r="L81" i="19"/>
  <c r="M81" i="19" s="1"/>
  <c r="O80" i="19"/>
  <c r="P80" i="19" s="1"/>
  <c r="Q80" i="19" s="1"/>
  <c r="L80" i="19"/>
  <c r="M80" i="19" s="1"/>
  <c r="O79" i="19"/>
  <c r="P79" i="19" s="1"/>
  <c r="Q79" i="19" s="1"/>
  <c r="L79" i="19"/>
  <c r="M79" i="19" s="1"/>
  <c r="O78" i="19"/>
  <c r="P78" i="19" s="1"/>
  <c r="Q78" i="19" s="1"/>
  <c r="L78" i="19"/>
  <c r="M78" i="19" s="1"/>
  <c r="R78" i="19" s="1"/>
  <c r="O77" i="19"/>
  <c r="P77" i="19" s="1"/>
  <c r="Q77" i="19" s="1"/>
  <c r="L77" i="19"/>
  <c r="M77" i="19" s="1"/>
  <c r="R77" i="19" s="1"/>
  <c r="U77" i="19" s="1"/>
  <c r="O76" i="19"/>
  <c r="P76" i="19" s="1"/>
  <c r="Q76" i="19" s="1"/>
  <c r="L76" i="19"/>
  <c r="M76" i="19" s="1"/>
  <c r="R76" i="19" s="1"/>
  <c r="U76" i="19" s="1"/>
  <c r="O75" i="19"/>
  <c r="P75" i="19" s="1"/>
  <c r="Q75" i="19" s="1"/>
  <c r="L75" i="19"/>
  <c r="M75" i="19" s="1"/>
  <c r="R75" i="19" s="1"/>
  <c r="U75" i="19" s="1"/>
  <c r="O74" i="19"/>
  <c r="P74" i="19" s="1"/>
  <c r="Q74" i="19" s="1"/>
  <c r="L74" i="19"/>
  <c r="M74" i="19" s="1"/>
  <c r="N73" i="19"/>
  <c r="O73" i="19" s="1"/>
  <c r="P73" i="19" s="1"/>
  <c r="Q73" i="19" s="1"/>
  <c r="L73" i="19"/>
  <c r="M73" i="19" s="1"/>
  <c r="O72" i="19"/>
  <c r="P72" i="19" s="1"/>
  <c r="Q72" i="19" s="1"/>
  <c r="L72" i="19"/>
  <c r="M72" i="19" s="1"/>
  <c r="R72" i="19" s="1"/>
  <c r="N71" i="19"/>
  <c r="O71" i="19" s="1"/>
  <c r="P71" i="19" s="1"/>
  <c r="Q71" i="19" s="1"/>
  <c r="R71" i="19" s="1"/>
  <c r="S71" i="19" s="1"/>
  <c r="L71" i="19"/>
  <c r="M71" i="19" s="1"/>
  <c r="O70" i="19"/>
  <c r="P70" i="19" s="1"/>
  <c r="Q70" i="19" s="1"/>
  <c r="L70" i="19"/>
  <c r="M70" i="19" s="1"/>
  <c r="R70" i="19" s="1"/>
  <c r="O69" i="19"/>
  <c r="P69" i="19" s="1"/>
  <c r="Q69" i="19" s="1"/>
  <c r="L69" i="19"/>
  <c r="M69" i="19" s="1"/>
  <c r="R69" i="19" s="1"/>
  <c r="O68" i="19"/>
  <c r="P68" i="19" s="1"/>
  <c r="Q68" i="19" s="1"/>
  <c r="L68" i="19"/>
  <c r="M68" i="19" s="1"/>
  <c r="R68" i="19" s="1"/>
  <c r="O67" i="19"/>
  <c r="P67" i="19" s="1"/>
  <c r="Q67" i="19" s="1"/>
  <c r="L67" i="19"/>
  <c r="M67" i="19" s="1"/>
  <c r="R67" i="19" s="1"/>
  <c r="U67" i="19" s="1"/>
  <c r="O66" i="19"/>
  <c r="P66" i="19" s="1"/>
  <c r="Q66" i="19" s="1"/>
  <c r="L66" i="19"/>
  <c r="M66" i="19" s="1"/>
  <c r="R66" i="19" s="1"/>
  <c r="O65" i="19"/>
  <c r="P65" i="19" s="1"/>
  <c r="Q65" i="19" s="1"/>
  <c r="L65" i="19"/>
  <c r="M65" i="19" s="1"/>
  <c r="R65" i="19" s="1"/>
  <c r="U65" i="19" s="1"/>
  <c r="O64" i="19"/>
  <c r="P64" i="19" s="1"/>
  <c r="Q64" i="19" s="1"/>
  <c r="L64" i="19"/>
  <c r="M64" i="19" s="1"/>
  <c r="R64" i="19" s="1"/>
  <c r="N63" i="19"/>
  <c r="O63" i="19" s="1"/>
  <c r="P63" i="19" s="1"/>
  <c r="Q63" i="19" s="1"/>
  <c r="L63" i="19"/>
  <c r="M63" i="19" s="1"/>
  <c r="R63" i="19" s="1"/>
  <c r="N62" i="19"/>
  <c r="O62" i="19" s="1"/>
  <c r="P62" i="19" s="1"/>
  <c r="Q62" i="19" s="1"/>
  <c r="L62" i="19"/>
  <c r="M62" i="19" s="1"/>
  <c r="O61" i="19"/>
  <c r="P61" i="19" s="1"/>
  <c r="Q61" i="19" s="1"/>
  <c r="L61" i="19"/>
  <c r="M61" i="19" s="1"/>
  <c r="R61" i="19" s="1"/>
  <c r="O60" i="19"/>
  <c r="P60" i="19" s="1"/>
  <c r="Q60" i="19" s="1"/>
  <c r="L60" i="19"/>
  <c r="M60" i="19" s="1"/>
  <c r="R60" i="19" s="1"/>
  <c r="O59" i="19"/>
  <c r="P59" i="19" s="1"/>
  <c r="Q59" i="19" s="1"/>
  <c r="L59" i="19"/>
  <c r="M59" i="19" s="1"/>
  <c r="R59" i="19" s="1"/>
  <c r="O58" i="19"/>
  <c r="P58" i="19" s="1"/>
  <c r="Q58" i="19" s="1"/>
  <c r="L58" i="19"/>
  <c r="M58" i="19" s="1"/>
  <c r="R58" i="19" s="1"/>
  <c r="O57" i="19"/>
  <c r="P57" i="19" s="1"/>
  <c r="Q57" i="19" s="1"/>
  <c r="L57" i="19"/>
  <c r="M57" i="19" s="1"/>
  <c r="R57" i="19" s="1"/>
  <c r="N53" i="19"/>
  <c r="O51" i="19"/>
  <c r="P51" i="19" s="1"/>
  <c r="Q51" i="19" s="1"/>
  <c r="L51" i="19"/>
  <c r="M51" i="19" s="1"/>
  <c r="O50" i="19"/>
  <c r="P50" i="19" s="1"/>
  <c r="Q50" i="19" s="1"/>
  <c r="L50" i="19"/>
  <c r="M50" i="19" s="1"/>
  <c r="O49" i="19"/>
  <c r="P49" i="19" s="1"/>
  <c r="Q49" i="19" s="1"/>
  <c r="L49" i="19"/>
  <c r="M49" i="19" s="1"/>
  <c r="O48" i="19"/>
  <c r="P48" i="19" s="1"/>
  <c r="Q48" i="19" s="1"/>
  <c r="L48" i="19"/>
  <c r="M48" i="19" s="1"/>
  <c r="O47" i="19"/>
  <c r="P47" i="19" s="1"/>
  <c r="Q47" i="19" s="1"/>
  <c r="L47" i="19"/>
  <c r="M47" i="19" s="1"/>
  <c r="O46" i="19"/>
  <c r="P46" i="19" s="1"/>
  <c r="Q46" i="19" s="1"/>
  <c r="L46" i="19"/>
  <c r="M46" i="19" s="1"/>
  <c r="O45" i="19"/>
  <c r="P45" i="19" s="1"/>
  <c r="Q45" i="19" s="1"/>
  <c r="L45" i="19"/>
  <c r="M45" i="19" s="1"/>
  <c r="O44" i="19"/>
  <c r="P44" i="19" s="1"/>
  <c r="Q44" i="19" s="1"/>
  <c r="L44" i="19"/>
  <c r="M44" i="19" s="1"/>
  <c r="O43" i="19"/>
  <c r="L43" i="19"/>
  <c r="M43" i="19" s="1"/>
  <c r="R43" i="19" s="1"/>
  <c r="S43" i="19" s="1"/>
  <c r="T43" i="19" s="1"/>
  <c r="O42" i="19"/>
  <c r="N47" i="30" s="1"/>
  <c r="L42" i="19"/>
  <c r="M42" i="19" s="1"/>
  <c r="R42" i="19" s="1"/>
  <c r="S42" i="19" s="1"/>
  <c r="O41" i="19"/>
  <c r="P41" i="19" s="1"/>
  <c r="Q41" i="19" s="1"/>
  <c r="L41" i="19"/>
  <c r="M41" i="19" s="1"/>
  <c r="R41" i="19" s="1"/>
  <c r="U41" i="19" s="1"/>
  <c r="O40" i="19"/>
  <c r="N44" i="30" s="1"/>
  <c r="L40" i="19"/>
  <c r="M40" i="19" s="1"/>
  <c r="R40" i="19" s="1"/>
  <c r="U40" i="19" s="1"/>
  <c r="O35" i="19"/>
  <c r="P35" i="19" s="1"/>
  <c r="Q35" i="19" s="1"/>
  <c r="L35" i="19"/>
  <c r="M35" i="19" s="1"/>
  <c r="R35" i="19" s="1"/>
  <c r="S35" i="19" s="1"/>
  <c r="T35" i="19" s="1"/>
  <c r="U35" i="19" s="1"/>
  <c r="O34" i="19"/>
  <c r="P34" i="19" s="1"/>
  <c r="Q34" i="19" s="1"/>
  <c r="L34" i="19"/>
  <c r="M34" i="19" s="1"/>
  <c r="O33" i="19"/>
  <c r="P33" i="19" s="1"/>
  <c r="Q33" i="19" s="1"/>
  <c r="L33" i="19"/>
  <c r="M33" i="19" s="1"/>
  <c r="O32" i="19"/>
  <c r="P32" i="19" s="1"/>
  <c r="Q32" i="19" s="1"/>
  <c r="R32" i="19" s="1"/>
  <c r="S32" i="19" s="1"/>
  <c r="T32" i="19" s="1"/>
  <c r="L32" i="19"/>
  <c r="M32" i="19" s="1"/>
  <c r="O31" i="19"/>
  <c r="P31" i="19" s="1"/>
  <c r="Q31" i="19" s="1"/>
  <c r="L31" i="19"/>
  <c r="M31" i="19" s="1"/>
  <c r="R31" i="19" s="1"/>
  <c r="S31" i="19" s="1"/>
  <c r="O30" i="19"/>
  <c r="P30" i="19" s="1"/>
  <c r="Q30" i="19" s="1"/>
  <c r="L30" i="19"/>
  <c r="M30" i="19" s="1"/>
  <c r="O29" i="19"/>
  <c r="P29" i="19" s="1"/>
  <c r="Q29" i="19" s="1"/>
  <c r="L29" i="19"/>
  <c r="M29" i="19" s="1"/>
  <c r="O28" i="19"/>
  <c r="P28" i="19" s="1"/>
  <c r="Q28" i="19" s="1"/>
  <c r="L28" i="19"/>
  <c r="M28" i="19" s="1"/>
  <c r="O27" i="19"/>
  <c r="P27" i="19" s="1"/>
  <c r="Q27" i="19" s="1"/>
  <c r="L27" i="19"/>
  <c r="M27" i="19" s="1"/>
  <c r="R27" i="19" s="1"/>
  <c r="S27" i="19" s="1"/>
  <c r="T27" i="19" s="1"/>
  <c r="O26" i="19"/>
  <c r="P26" i="19" s="1"/>
  <c r="Q26" i="19" s="1"/>
  <c r="L26" i="19"/>
  <c r="M26" i="19" s="1"/>
  <c r="N25" i="19"/>
  <c r="O25" i="19" s="1"/>
  <c r="P25" i="19" s="1"/>
  <c r="Q25" i="19" s="1"/>
  <c r="L25" i="19"/>
  <c r="M25" i="19" s="1"/>
  <c r="R25" i="19" s="1"/>
  <c r="O24" i="19"/>
  <c r="P24" i="19" s="1"/>
  <c r="Q24" i="19" s="1"/>
  <c r="L24" i="19"/>
  <c r="M24" i="19" s="1"/>
  <c r="R24" i="19" s="1"/>
  <c r="O23" i="19"/>
  <c r="P23" i="19" s="1"/>
  <c r="Q23" i="19" s="1"/>
  <c r="L23" i="19"/>
  <c r="M23" i="19" s="1"/>
  <c r="R23" i="19" s="1"/>
  <c r="O22" i="19"/>
  <c r="P22" i="19" s="1"/>
  <c r="Q22" i="19" s="1"/>
  <c r="L22" i="19"/>
  <c r="M22" i="19" s="1"/>
  <c r="R22" i="19" s="1"/>
  <c r="O21" i="19"/>
  <c r="P21" i="19" s="1"/>
  <c r="Q21" i="19" s="1"/>
  <c r="R21" i="19" s="1"/>
  <c r="S21" i="19" s="1"/>
  <c r="L21" i="19"/>
  <c r="M21" i="19" s="1"/>
  <c r="N20" i="19"/>
  <c r="L20" i="19"/>
  <c r="M20" i="19" s="1"/>
  <c r="R20" i="19" s="1"/>
  <c r="O19" i="19"/>
  <c r="P19" i="19" s="1"/>
  <c r="Q19" i="19" s="1"/>
  <c r="L19" i="19"/>
  <c r="M19" i="19" s="1"/>
  <c r="R19" i="19" s="1"/>
  <c r="S19" i="19" s="1"/>
  <c r="T19" i="19" s="1"/>
  <c r="O18" i="19"/>
  <c r="P18" i="19" s="1"/>
  <c r="Q18" i="19" s="1"/>
  <c r="L18" i="19"/>
  <c r="M18" i="19" s="1"/>
  <c r="R18" i="19" s="1"/>
  <c r="O17" i="19"/>
  <c r="P17" i="19" s="1"/>
  <c r="Q17" i="19" s="1"/>
  <c r="L17" i="19"/>
  <c r="M17" i="19" s="1"/>
  <c r="R17" i="19" s="1"/>
  <c r="O16" i="19"/>
  <c r="P16" i="19" s="1"/>
  <c r="Q16" i="19" s="1"/>
  <c r="L16" i="19"/>
  <c r="M16" i="19" s="1"/>
  <c r="R16" i="19" s="1"/>
  <c r="O15" i="19"/>
  <c r="L15" i="19"/>
  <c r="M15" i="19" s="1"/>
  <c r="R15" i="19" s="1"/>
  <c r="S15" i="19" s="1"/>
  <c r="T15" i="19" s="1"/>
  <c r="O14" i="19"/>
  <c r="N13" i="30" s="1"/>
  <c r="L14" i="19"/>
  <c r="M14" i="19" s="1"/>
  <c r="R14" i="19" s="1"/>
  <c r="A3" i="19"/>
  <c r="T12" i="19" s="1"/>
  <c r="S12" i="19"/>
  <c r="N432" i="18"/>
  <c r="O432" i="18" s="1"/>
  <c r="P432" i="18" s="1"/>
  <c r="Q432" i="18" s="1"/>
  <c r="L432" i="18"/>
  <c r="M432" i="18" s="1"/>
  <c r="R432" i="18" s="1"/>
  <c r="O431" i="18"/>
  <c r="P431" i="18" s="1"/>
  <c r="Q431" i="18" s="1"/>
  <c r="L431" i="18"/>
  <c r="M431" i="18" s="1"/>
  <c r="R431" i="18" s="1"/>
  <c r="U431" i="18" s="1"/>
  <c r="O427" i="18"/>
  <c r="P427" i="18" s="1"/>
  <c r="Q427" i="18" s="1"/>
  <c r="L427" i="18"/>
  <c r="M427" i="18" s="1"/>
  <c r="R427" i="18" s="1"/>
  <c r="O426" i="18"/>
  <c r="P426" i="18" s="1"/>
  <c r="Q426" i="18" s="1"/>
  <c r="L426" i="18"/>
  <c r="M426" i="18" s="1"/>
  <c r="R426" i="18" s="1"/>
  <c r="O425" i="18"/>
  <c r="P425" i="18" s="1"/>
  <c r="Q425" i="18" s="1"/>
  <c r="L425" i="18"/>
  <c r="M425" i="18" s="1"/>
  <c r="O424" i="18"/>
  <c r="P424" i="18" s="1"/>
  <c r="Q424" i="18" s="1"/>
  <c r="L424" i="18"/>
  <c r="M424" i="18" s="1"/>
  <c r="O423" i="18"/>
  <c r="P423" i="18" s="1"/>
  <c r="Q423" i="18" s="1"/>
  <c r="L423" i="18"/>
  <c r="M423" i="18" s="1"/>
  <c r="R423" i="18" s="1"/>
  <c r="O422" i="18"/>
  <c r="P422" i="18" s="1"/>
  <c r="Q422" i="18" s="1"/>
  <c r="L422" i="18"/>
  <c r="M422" i="18" s="1"/>
  <c r="R422" i="18" s="1"/>
  <c r="O421" i="18"/>
  <c r="P421" i="18" s="1"/>
  <c r="Q421" i="18" s="1"/>
  <c r="L421" i="18"/>
  <c r="M421" i="18" s="1"/>
  <c r="R421" i="18" s="1"/>
  <c r="S421" i="18" s="1"/>
  <c r="O420" i="18"/>
  <c r="P420" i="18" s="1"/>
  <c r="Q420" i="18" s="1"/>
  <c r="L420" i="18"/>
  <c r="M420" i="18" s="1"/>
  <c r="R420" i="18" s="1"/>
  <c r="S420" i="18" s="1"/>
  <c r="O419" i="18"/>
  <c r="P419" i="18" s="1"/>
  <c r="Q419" i="18" s="1"/>
  <c r="L419" i="18"/>
  <c r="M419" i="18" s="1"/>
  <c r="R419" i="18" s="1"/>
  <c r="O418" i="18"/>
  <c r="P418" i="18" s="1"/>
  <c r="Q418" i="18" s="1"/>
  <c r="L418" i="18"/>
  <c r="M418" i="18" s="1"/>
  <c r="R418" i="18" s="1"/>
  <c r="N417" i="18"/>
  <c r="O417" i="18" s="1"/>
  <c r="P417" i="18" s="1"/>
  <c r="Q417" i="18" s="1"/>
  <c r="L417" i="18"/>
  <c r="M417" i="18" s="1"/>
  <c r="R417" i="18" s="1"/>
  <c r="O416" i="18"/>
  <c r="P416" i="18" s="1"/>
  <c r="Q416" i="18" s="1"/>
  <c r="L416" i="18"/>
  <c r="M416" i="18" s="1"/>
  <c r="O415" i="18"/>
  <c r="P415" i="18" s="1"/>
  <c r="Q415" i="18" s="1"/>
  <c r="L415" i="18"/>
  <c r="M415" i="18" s="1"/>
  <c r="N414" i="18"/>
  <c r="O414" i="18" s="1"/>
  <c r="L414" i="18"/>
  <c r="M414" i="18" s="1"/>
  <c r="R414" i="18" s="1"/>
  <c r="N413" i="18"/>
  <c r="O413" i="18" s="1"/>
  <c r="P413" i="18" s="1"/>
  <c r="Q413" i="18" s="1"/>
  <c r="L413" i="18"/>
  <c r="M413" i="18" s="1"/>
  <c r="R413" i="18" s="1"/>
  <c r="O412" i="18"/>
  <c r="P412" i="18" s="1"/>
  <c r="Q412" i="18" s="1"/>
  <c r="L412" i="18"/>
  <c r="M412" i="18" s="1"/>
  <c r="R412" i="18" s="1"/>
  <c r="S412" i="18" s="1"/>
  <c r="O411" i="18"/>
  <c r="P411" i="18" s="1"/>
  <c r="Q411" i="18" s="1"/>
  <c r="L411" i="18"/>
  <c r="M411" i="18" s="1"/>
  <c r="N410" i="18"/>
  <c r="O410" i="18" s="1"/>
  <c r="P410" i="18" s="1"/>
  <c r="Q410" i="18" s="1"/>
  <c r="L410" i="18"/>
  <c r="M410" i="18" s="1"/>
  <c r="R410" i="18" s="1"/>
  <c r="U410" i="18" s="1"/>
  <c r="O409" i="18"/>
  <c r="P409" i="18" s="1"/>
  <c r="Q409" i="18" s="1"/>
  <c r="L409" i="18"/>
  <c r="M409" i="18" s="1"/>
  <c r="N408" i="18"/>
  <c r="O408" i="18" s="1"/>
  <c r="P408" i="18" s="1"/>
  <c r="Q408" i="18" s="1"/>
  <c r="L408" i="18"/>
  <c r="M408" i="18" s="1"/>
  <c r="R408" i="18" s="1"/>
  <c r="O407" i="18"/>
  <c r="P407" i="18" s="1"/>
  <c r="Q407" i="18" s="1"/>
  <c r="L407" i="18"/>
  <c r="M407" i="18" s="1"/>
  <c r="O406" i="18"/>
  <c r="P406" i="18" s="1"/>
  <c r="Q406" i="18" s="1"/>
  <c r="R406" i="18" s="1"/>
  <c r="L406" i="18"/>
  <c r="M406" i="18" s="1"/>
  <c r="O405" i="18"/>
  <c r="P405" i="18" s="1"/>
  <c r="Q405" i="18" s="1"/>
  <c r="L405" i="18"/>
  <c r="M405" i="18" s="1"/>
  <c r="R405" i="18" s="1"/>
  <c r="O404" i="18"/>
  <c r="P404" i="18" s="1"/>
  <c r="Q404" i="18" s="1"/>
  <c r="L404" i="18"/>
  <c r="M404" i="18" s="1"/>
  <c r="O403" i="18"/>
  <c r="P403" i="18" s="1"/>
  <c r="Q403" i="18" s="1"/>
  <c r="L403" i="18"/>
  <c r="M403" i="18" s="1"/>
  <c r="R403" i="18" s="1"/>
  <c r="O402" i="18"/>
  <c r="P402" i="18" s="1"/>
  <c r="Q402" i="18" s="1"/>
  <c r="L402" i="18"/>
  <c r="M402" i="18" s="1"/>
  <c r="R402" i="18" s="1"/>
  <c r="O401" i="18"/>
  <c r="P401" i="18" s="1"/>
  <c r="Q401" i="18" s="1"/>
  <c r="L401" i="18"/>
  <c r="M401" i="18" s="1"/>
  <c r="R401" i="18" s="1"/>
  <c r="O400" i="18"/>
  <c r="P400" i="18" s="1"/>
  <c r="Q400" i="18" s="1"/>
  <c r="L400" i="18"/>
  <c r="M400" i="18" s="1"/>
  <c r="R400" i="18" s="1"/>
  <c r="S400" i="18" s="1"/>
  <c r="O399" i="18"/>
  <c r="P399" i="18" s="1"/>
  <c r="Q399" i="18" s="1"/>
  <c r="L399" i="18"/>
  <c r="M399" i="18" s="1"/>
  <c r="R399" i="18" s="1"/>
  <c r="U399" i="18" s="1"/>
  <c r="O398" i="18"/>
  <c r="P398" i="18" s="1"/>
  <c r="Q398" i="18" s="1"/>
  <c r="L398" i="18"/>
  <c r="M398" i="18" s="1"/>
  <c r="R398" i="18" s="1"/>
  <c r="N397" i="18"/>
  <c r="O397" i="18" s="1"/>
  <c r="P397" i="18" s="1"/>
  <c r="Q397" i="18" s="1"/>
  <c r="L397" i="18"/>
  <c r="M397" i="18" s="1"/>
  <c r="O396" i="18"/>
  <c r="P396" i="18" s="1"/>
  <c r="Q396" i="18" s="1"/>
  <c r="L396" i="18"/>
  <c r="M396" i="18" s="1"/>
  <c r="O392" i="18"/>
  <c r="P392" i="18" s="1"/>
  <c r="Q392" i="18" s="1"/>
  <c r="L392" i="18"/>
  <c r="M392" i="18" s="1"/>
  <c r="R392" i="18" s="1"/>
  <c r="S392" i="18" s="1"/>
  <c r="O391" i="18"/>
  <c r="P391" i="18" s="1"/>
  <c r="Q391" i="18" s="1"/>
  <c r="L391" i="18"/>
  <c r="M391" i="18"/>
  <c r="R391" i="18" s="1"/>
  <c r="U391" i="18" s="1"/>
  <c r="O390" i="18"/>
  <c r="P390" i="18" s="1"/>
  <c r="Q390" i="18" s="1"/>
  <c r="L390" i="18"/>
  <c r="M390" i="18" s="1"/>
  <c r="R390" i="18" s="1"/>
  <c r="O389" i="18"/>
  <c r="P389" i="18" s="1"/>
  <c r="Q389" i="18" s="1"/>
  <c r="L389" i="18"/>
  <c r="M389" i="18" s="1"/>
  <c r="R389" i="18" s="1"/>
  <c r="U389" i="18" s="1"/>
  <c r="O388" i="18"/>
  <c r="P388" i="18" s="1"/>
  <c r="Q388" i="18" s="1"/>
  <c r="L388" i="18"/>
  <c r="M388" i="18" s="1"/>
  <c r="R388" i="18" s="1"/>
  <c r="O387" i="18"/>
  <c r="P387" i="18" s="1"/>
  <c r="Q387" i="18" s="1"/>
  <c r="L387" i="18"/>
  <c r="M387" i="18" s="1"/>
  <c r="R387" i="18" s="1"/>
  <c r="O386" i="18"/>
  <c r="P386" i="18" s="1"/>
  <c r="Q386" i="18" s="1"/>
  <c r="L386" i="18"/>
  <c r="M386" i="18" s="1"/>
  <c r="O385" i="18"/>
  <c r="P385" i="18" s="1"/>
  <c r="Q385" i="18" s="1"/>
  <c r="L385" i="18"/>
  <c r="M385" i="18" s="1"/>
  <c r="R385" i="18" s="1"/>
  <c r="S385" i="18" s="1"/>
  <c r="O384" i="18"/>
  <c r="P384" i="18"/>
  <c r="Q384" i="18" s="1"/>
  <c r="L384" i="18"/>
  <c r="M384" i="18" s="1"/>
  <c r="O383" i="18"/>
  <c r="P383" i="18" s="1"/>
  <c r="Q383" i="18" s="1"/>
  <c r="L383" i="18"/>
  <c r="M383" i="18" s="1"/>
  <c r="R383" i="18" s="1"/>
  <c r="U383" i="18" s="1"/>
  <c r="O382" i="18"/>
  <c r="P382" i="18" s="1"/>
  <c r="Q382" i="18" s="1"/>
  <c r="L382" i="18"/>
  <c r="M382" i="18" s="1"/>
  <c r="O381" i="18"/>
  <c r="P381" i="18" s="1"/>
  <c r="Q381" i="18" s="1"/>
  <c r="L381" i="18"/>
  <c r="M381" i="18" s="1"/>
  <c r="R381" i="18" s="1"/>
  <c r="O380" i="18"/>
  <c r="P380" i="18" s="1"/>
  <c r="Q380" i="18" s="1"/>
  <c r="L380" i="18"/>
  <c r="M380" i="18" s="1"/>
  <c r="R380" i="18" s="1"/>
  <c r="O379" i="18"/>
  <c r="P379" i="18" s="1"/>
  <c r="Q379" i="18" s="1"/>
  <c r="L379" i="18"/>
  <c r="M379" i="18" s="1"/>
  <c r="R379" i="18" s="1"/>
  <c r="O378" i="18"/>
  <c r="P378" i="18" s="1"/>
  <c r="Q378" i="18" s="1"/>
  <c r="L378" i="18"/>
  <c r="M378" i="18" s="1"/>
  <c r="R378" i="18" s="1"/>
  <c r="U378" i="18" s="1"/>
  <c r="O377" i="18"/>
  <c r="P377" i="18" s="1"/>
  <c r="Q377" i="18" s="1"/>
  <c r="L377" i="18"/>
  <c r="M377" i="18" s="1"/>
  <c r="R377" i="18" s="1"/>
  <c r="O376" i="18"/>
  <c r="P376" i="18" s="1"/>
  <c r="Q376" i="18" s="1"/>
  <c r="L376" i="18"/>
  <c r="M376" i="18" s="1"/>
  <c r="R376" i="18" s="1"/>
  <c r="U376" i="18" s="1"/>
  <c r="O375" i="18"/>
  <c r="P375" i="18" s="1"/>
  <c r="Q375" i="18" s="1"/>
  <c r="L375" i="18"/>
  <c r="M375" i="18" s="1"/>
  <c r="R375" i="18" s="1"/>
  <c r="U375" i="18" s="1"/>
  <c r="O374" i="18"/>
  <c r="P374" i="18" s="1"/>
  <c r="Q374" i="18" s="1"/>
  <c r="L374" i="18"/>
  <c r="M374" i="18" s="1"/>
  <c r="R374" i="18" s="1"/>
  <c r="O373" i="18"/>
  <c r="P373" i="18" s="1"/>
  <c r="Q373" i="18" s="1"/>
  <c r="L373" i="18"/>
  <c r="M373" i="18" s="1"/>
  <c r="R373" i="18" s="1"/>
  <c r="U373" i="18" s="1"/>
  <c r="O372" i="18"/>
  <c r="P372" i="18" s="1"/>
  <c r="Q372" i="18" s="1"/>
  <c r="L372" i="18"/>
  <c r="M372" i="18" s="1"/>
  <c r="R372" i="18" s="1"/>
  <c r="O371" i="18"/>
  <c r="P371" i="18" s="1"/>
  <c r="Q371" i="18" s="1"/>
  <c r="L371" i="18"/>
  <c r="M371" i="18" s="1"/>
  <c r="R371" i="18" s="1"/>
  <c r="U371" i="18" s="1"/>
  <c r="O370" i="18"/>
  <c r="P370" i="18" s="1"/>
  <c r="Q370" i="18" s="1"/>
  <c r="L370" i="18"/>
  <c r="M370" i="18" s="1"/>
  <c r="R370" i="18" s="1"/>
  <c r="O369" i="18"/>
  <c r="P369" i="18" s="1"/>
  <c r="Q369" i="18" s="1"/>
  <c r="L369" i="18"/>
  <c r="M369" i="18" s="1"/>
  <c r="R369" i="18" s="1"/>
  <c r="U369" i="18" s="1"/>
  <c r="O368" i="18"/>
  <c r="P368" i="18" s="1"/>
  <c r="Q368" i="18" s="1"/>
  <c r="L368" i="18"/>
  <c r="M368" i="18" s="1"/>
  <c r="R368" i="18" s="1"/>
  <c r="O365" i="18"/>
  <c r="P365" i="18" s="1"/>
  <c r="Q365" i="18" s="1"/>
  <c r="L365" i="18"/>
  <c r="M365" i="18" s="1"/>
  <c r="R365" i="18" s="1"/>
  <c r="S365" i="18" s="1"/>
  <c r="T365" i="18" s="1"/>
  <c r="O364" i="18"/>
  <c r="P364" i="18" s="1"/>
  <c r="Q364" i="18" s="1"/>
  <c r="L364" i="18"/>
  <c r="M364" i="18" s="1"/>
  <c r="R364" i="18" s="1"/>
  <c r="U364" i="18" s="1"/>
  <c r="N363" i="18"/>
  <c r="O363" i="18" s="1"/>
  <c r="P363" i="18" s="1"/>
  <c r="Q363" i="18" s="1"/>
  <c r="L363" i="18"/>
  <c r="M363" i="18" s="1"/>
  <c r="R363" i="18" s="1"/>
  <c r="O362" i="18"/>
  <c r="P362" i="18" s="1"/>
  <c r="Q362" i="18" s="1"/>
  <c r="L362" i="18"/>
  <c r="M362" i="18" s="1"/>
  <c r="R362" i="18" s="1"/>
  <c r="O361" i="18"/>
  <c r="P361" i="18" s="1"/>
  <c r="Q361" i="18" s="1"/>
  <c r="L361" i="18"/>
  <c r="M361" i="18" s="1"/>
  <c r="R361" i="18" s="1"/>
  <c r="O360" i="18"/>
  <c r="P360" i="18" s="1"/>
  <c r="Q360" i="18" s="1"/>
  <c r="L360" i="18"/>
  <c r="M360" i="18" s="1"/>
  <c r="R360" i="18" s="1"/>
  <c r="N359" i="18"/>
  <c r="O359" i="18" s="1"/>
  <c r="P359" i="18" s="1"/>
  <c r="Q359" i="18" s="1"/>
  <c r="L359" i="18"/>
  <c r="M359" i="18" s="1"/>
  <c r="R359" i="18" s="1"/>
  <c r="N358" i="18"/>
  <c r="O358" i="18" s="1"/>
  <c r="P358" i="18" s="1"/>
  <c r="Q358" i="18" s="1"/>
  <c r="L358" i="18"/>
  <c r="M358" i="18" s="1"/>
  <c r="R358" i="18" s="1"/>
  <c r="O357" i="18"/>
  <c r="P357" i="18" s="1"/>
  <c r="Q357" i="18" s="1"/>
  <c r="L357" i="18"/>
  <c r="M357" i="18" s="1"/>
  <c r="R357" i="18" s="1"/>
  <c r="N356" i="18"/>
  <c r="O356" i="18" s="1"/>
  <c r="P356" i="18" s="1"/>
  <c r="Q356" i="18" s="1"/>
  <c r="L356" i="18"/>
  <c r="M356" i="18" s="1"/>
  <c r="R356" i="18" s="1"/>
  <c r="O355" i="18"/>
  <c r="P355" i="18" s="1"/>
  <c r="Q355" i="18" s="1"/>
  <c r="L355" i="18"/>
  <c r="M355" i="18" s="1"/>
  <c r="R355" i="18" s="1"/>
  <c r="S355" i="18" s="1"/>
  <c r="O354" i="18"/>
  <c r="P354" i="18" s="1"/>
  <c r="Q354" i="18" s="1"/>
  <c r="L354" i="18"/>
  <c r="M354" i="18" s="1"/>
  <c r="R354" i="18" s="1"/>
  <c r="U354" i="18" s="1"/>
  <c r="N353" i="18"/>
  <c r="O353" i="18" s="1"/>
  <c r="P353" i="18" s="1"/>
  <c r="Q353" i="18" s="1"/>
  <c r="L353" i="18"/>
  <c r="M353" i="18" s="1"/>
  <c r="R353" i="18" s="1"/>
  <c r="O352" i="18"/>
  <c r="P352" i="18" s="1"/>
  <c r="Q352" i="18" s="1"/>
  <c r="L352" i="18"/>
  <c r="M352" i="18" s="1"/>
  <c r="R352" i="18" s="1"/>
  <c r="S352" i="18" s="1"/>
  <c r="O351" i="18"/>
  <c r="P351" i="18"/>
  <c r="Q351" i="18" s="1"/>
  <c r="L351" i="18"/>
  <c r="M351" i="18" s="1"/>
  <c r="R351" i="18" s="1"/>
  <c r="O349" i="18"/>
  <c r="P349" i="18" s="1"/>
  <c r="Q349" i="18" s="1"/>
  <c r="L349" i="18"/>
  <c r="M349" i="18" s="1"/>
  <c r="O348" i="18"/>
  <c r="P348" i="18" s="1"/>
  <c r="Q348" i="18" s="1"/>
  <c r="L348" i="18"/>
  <c r="M348" i="18" s="1"/>
  <c r="O347" i="18"/>
  <c r="P347" i="18" s="1"/>
  <c r="Q347" i="18" s="1"/>
  <c r="L347" i="18"/>
  <c r="M347" i="18" s="1"/>
  <c r="R347" i="18" s="1"/>
  <c r="N346" i="18"/>
  <c r="O346" i="18" s="1"/>
  <c r="P346" i="18" s="1"/>
  <c r="Q346" i="18" s="1"/>
  <c r="L346" i="18"/>
  <c r="M346" i="18" s="1"/>
  <c r="O343" i="18"/>
  <c r="P343" i="18" s="1"/>
  <c r="Q343" i="18" s="1"/>
  <c r="L343" i="18"/>
  <c r="M343" i="18" s="1"/>
  <c r="R343" i="18" s="1"/>
  <c r="N342" i="18"/>
  <c r="O342" i="18" s="1"/>
  <c r="P342" i="18" s="1"/>
  <c r="Q342" i="18" s="1"/>
  <c r="L342" i="18"/>
  <c r="M342" i="18" s="1"/>
  <c r="R342" i="18" s="1"/>
  <c r="O341" i="18"/>
  <c r="P341" i="18" s="1"/>
  <c r="Q341" i="18" s="1"/>
  <c r="L341" i="18"/>
  <c r="M341" i="18" s="1"/>
  <c r="R341" i="18" s="1"/>
  <c r="O340" i="18"/>
  <c r="P340" i="18" s="1"/>
  <c r="Q340" i="18" s="1"/>
  <c r="L340" i="18"/>
  <c r="M340" i="18" s="1"/>
  <c r="R340" i="18" s="1"/>
  <c r="U340" i="18" s="1"/>
  <c r="N339" i="18"/>
  <c r="O339" i="18" s="1"/>
  <c r="P339" i="18" s="1"/>
  <c r="Q339" i="18" s="1"/>
  <c r="L339" i="18"/>
  <c r="M339" i="18" s="1"/>
  <c r="R339" i="18" s="1"/>
  <c r="O338" i="18"/>
  <c r="P338" i="18" s="1"/>
  <c r="Q338" i="18" s="1"/>
  <c r="L338" i="18"/>
  <c r="M338" i="18" s="1"/>
  <c r="R338" i="18" s="1"/>
  <c r="O337" i="18"/>
  <c r="P337" i="18" s="1"/>
  <c r="Q337" i="18" s="1"/>
  <c r="L337" i="18"/>
  <c r="M337" i="18" s="1"/>
  <c r="R337" i="18" s="1"/>
  <c r="O336" i="18"/>
  <c r="P336" i="18" s="1"/>
  <c r="Q336" i="18" s="1"/>
  <c r="L336" i="18"/>
  <c r="M336" i="18" s="1"/>
  <c r="R336" i="18" s="1"/>
  <c r="S336" i="18" s="1"/>
  <c r="T336" i="18" s="1"/>
  <c r="O335" i="18"/>
  <c r="P335" i="18" s="1"/>
  <c r="Q335" i="18" s="1"/>
  <c r="L335" i="18"/>
  <c r="M335" i="18" s="1"/>
  <c r="R335" i="18" s="1"/>
  <c r="O334" i="18"/>
  <c r="P334" i="18" s="1"/>
  <c r="Q334" i="18" s="1"/>
  <c r="L334" i="18"/>
  <c r="M334" i="18" s="1"/>
  <c r="R334" i="18" s="1"/>
  <c r="S334" i="18" s="1"/>
  <c r="O333" i="18"/>
  <c r="P333" i="18" s="1"/>
  <c r="Q333" i="18" s="1"/>
  <c r="L333" i="18"/>
  <c r="M333" i="18" s="1"/>
  <c r="R333" i="18" s="1"/>
  <c r="O330" i="18"/>
  <c r="P330" i="18" s="1"/>
  <c r="Q330" i="18" s="1"/>
  <c r="L330" i="18"/>
  <c r="M330" i="18" s="1"/>
  <c r="R330" i="18" s="1"/>
  <c r="U330" i="18" s="1"/>
  <c r="O329" i="18"/>
  <c r="P329" i="18" s="1"/>
  <c r="Q329" i="18" s="1"/>
  <c r="L329" i="18"/>
  <c r="M329" i="18" s="1"/>
  <c r="R329" i="18" s="1"/>
  <c r="O328" i="18"/>
  <c r="P328" i="18" s="1"/>
  <c r="Q328" i="18" s="1"/>
  <c r="L328" i="18"/>
  <c r="M328" i="18" s="1"/>
  <c r="R328" i="18" s="1"/>
  <c r="O325" i="18"/>
  <c r="P325" i="18" s="1"/>
  <c r="Q325" i="18" s="1"/>
  <c r="L325" i="18"/>
  <c r="M325" i="18" s="1"/>
  <c r="R325" i="18" s="1"/>
  <c r="U325" i="18" s="1"/>
  <c r="N324" i="18"/>
  <c r="O324" i="18" s="1"/>
  <c r="P324" i="18" s="1"/>
  <c r="Q324" i="18" s="1"/>
  <c r="L324" i="18"/>
  <c r="M324" i="18" s="1"/>
  <c r="R324" i="18" s="1"/>
  <c r="U324" i="18" s="1"/>
  <c r="O323" i="18"/>
  <c r="P323" i="18" s="1"/>
  <c r="Q323" i="18" s="1"/>
  <c r="L323" i="18"/>
  <c r="M323" i="18" s="1"/>
  <c r="R323" i="18" s="1"/>
  <c r="S323" i="18" s="1"/>
  <c r="O320" i="18"/>
  <c r="P320" i="18" s="1"/>
  <c r="Q320" i="18" s="1"/>
  <c r="L320" i="18"/>
  <c r="M320" i="18" s="1"/>
  <c r="R320" i="18" s="1"/>
  <c r="O319" i="18"/>
  <c r="P319" i="18" s="1"/>
  <c r="Q319" i="18" s="1"/>
  <c r="L319" i="18"/>
  <c r="M319" i="18" s="1"/>
  <c r="R319" i="18" s="1"/>
  <c r="O318" i="18"/>
  <c r="P318" i="18" s="1"/>
  <c r="Q318" i="18" s="1"/>
  <c r="L318" i="18"/>
  <c r="M318" i="18" s="1"/>
  <c r="R318" i="18" s="1"/>
  <c r="U318" i="18" s="1"/>
  <c r="O317" i="18"/>
  <c r="P317" i="18" s="1"/>
  <c r="Q317" i="18" s="1"/>
  <c r="L317" i="18"/>
  <c r="M317" i="18" s="1"/>
  <c r="R317" i="18" s="1"/>
  <c r="U317" i="18" s="1"/>
  <c r="N316" i="18"/>
  <c r="O316" i="18" s="1"/>
  <c r="P316" i="18" s="1"/>
  <c r="Q316" i="18" s="1"/>
  <c r="L316" i="18"/>
  <c r="M316" i="18" s="1"/>
  <c r="R316" i="18" s="1"/>
  <c r="O313" i="18"/>
  <c r="P313" i="18" s="1"/>
  <c r="Q313" i="18" s="1"/>
  <c r="L313" i="18"/>
  <c r="M313" i="18" s="1"/>
  <c r="R313" i="18" s="1"/>
  <c r="U313" i="18" s="1"/>
  <c r="N305" i="18"/>
  <c r="O303" i="18"/>
  <c r="P303" i="18" s="1"/>
  <c r="Q303" i="18" s="1"/>
  <c r="L303" i="18"/>
  <c r="M303" i="18" s="1"/>
  <c r="O302" i="18"/>
  <c r="L302" i="18"/>
  <c r="M302" i="18" s="1"/>
  <c r="U299" i="18"/>
  <c r="T299" i="18"/>
  <c r="S299" i="18"/>
  <c r="R299" i="18"/>
  <c r="Q299" i="18"/>
  <c r="P299" i="18"/>
  <c r="O299" i="18"/>
  <c r="N299" i="18"/>
  <c r="O293" i="18"/>
  <c r="P293" i="18" s="1"/>
  <c r="Q293" i="18" s="1"/>
  <c r="L293" i="18"/>
  <c r="M293" i="18" s="1"/>
  <c r="O292" i="18"/>
  <c r="P292" i="18" s="1"/>
  <c r="Q292" i="18" s="1"/>
  <c r="L292" i="18"/>
  <c r="M292" i="18" s="1"/>
  <c r="R292" i="18" s="1"/>
  <c r="S292" i="18" s="1"/>
  <c r="N291" i="18"/>
  <c r="L291" i="18"/>
  <c r="M291" i="18" s="1"/>
  <c r="R291" i="18" s="1"/>
  <c r="O290" i="18"/>
  <c r="N456" i="28" s="1"/>
  <c r="L290" i="18"/>
  <c r="M290" i="18" s="1"/>
  <c r="R290" i="18" s="1"/>
  <c r="N289" i="18"/>
  <c r="O289" i="18" s="1"/>
  <c r="N358" i="28" s="1"/>
  <c r="L289" i="18"/>
  <c r="M289" i="18" s="1"/>
  <c r="R289" i="18" s="1"/>
  <c r="O288" i="18"/>
  <c r="P288" i="18" s="1"/>
  <c r="Q288" i="18" s="1"/>
  <c r="L288" i="18"/>
  <c r="M288" i="18" s="1"/>
  <c r="R288" i="18" s="1"/>
  <c r="U288" i="18" s="1"/>
  <c r="O287" i="18"/>
  <c r="N355" i="28" s="1"/>
  <c r="L287" i="18"/>
  <c r="M287" i="18" s="1"/>
  <c r="R287" i="18" s="1"/>
  <c r="O286" i="18"/>
  <c r="N353" i="28" s="1"/>
  <c r="L286" i="18"/>
  <c r="M286" i="18" s="1"/>
  <c r="R286" i="18" s="1"/>
  <c r="O285" i="18"/>
  <c r="P285" i="18" s="1"/>
  <c r="Q285" i="18" s="1"/>
  <c r="L285" i="18"/>
  <c r="M285" i="18" s="1"/>
  <c r="R285" i="18" s="1"/>
  <c r="U285" i="18" s="1"/>
  <c r="O284" i="18"/>
  <c r="P284" i="18" s="1"/>
  <c r="Q284" i="18" s="1"/>
  <c r="L284" i="18"/>
  <c r="M284" i="18" s="1"/>
  <c r="R284" i="18" s="1"/>
  <c r="U284" i="18" s="1"/>
  <c r="O283" i="18"/>
  <c r="P283" i="18" s="1"/>
  <c r="Q283" i="18" s="1"/>
  <c r="L283" i="18"/>
  <c r="M283" i="18" s="1"/>
  <c r="R283" i="18" s="1"/>
  <c r="O282" i="18"/>
  <c r="N463" i="28" s="1"/>
  <c r="L282" i="18"/>
  <c r="M282" i="18" s="1"/>
  <c r="R282" i="18" s="1"/>
  <c r="O281" i="18"/>
  <c r="N348" i="28" s="1"/>
  <c r="L281" i="18"/>
  <c r="M281" i="18" s="1"/>
  <c r="R281" i="18" s="1"/>
  <c r="O280" i="18"/>
  <c r="N346" i="28" s="1"/>
  <c r="L280" i="18"/>
  <c r="M280" i="18" s="1"/>
  <c r="R280" i="18" s="1"/>
  <c r="O279" i="18"/>
  <c r="N344" i="28" s="1"/>
  <c r="L279" i="18"/>
  <c r="M279" i="18" s="1"/>
  <c r="R279" i="18" s="1"/>
  <c r="U279" i="18"/>
  <c r="O278" i="18"/>
  <c r="N342" i="28" s="1"/>
  <c r="L278" i="18"/>
  <c r="M278" i="18" s="1"/>
  <c r="R278" i="18" s="1"/>
  <c r="U278" i="18" s="1"/>
  <c r="O277" i="18"/>
  <c r="L277" i="18"/>
  <c r="M277" i="18" s="1"/>
  <c r="R277" i="18" s="1"/>
  <c r="U277" i="18" s="1"/>
  <c r="O276" i="18"/>
  <c r="N338" i="28" s="1"/>
  <c r="L276" i="18"/>
  <c r="M276" i="18" s="1"/>
  <c r="R276" i="18" s="1"/>
  <c r="O275" i="18"/>
  <c r="N336" i="28" s="1"/>
  <c r="L275" i="18"/>
  <c r="M275" i="18" s="1"/>
  <c r="R275" i="18" s="1"/>
  <c r="S275" i="18" s="1"/>
  <c r="O274" i="18"/>
  <c r="N334" i="28" s="1"/>
  <c r="L274" i="18"/>
  <c r="M274" i="18" s="1"/>
  <c r="R274" i="18" s="1"/>
  <c r="O273" i="18"/>
  <c r="N461" i="28" s="1"/>
  <c r="L273" i="18"/>
  <c r="M273" i="18" s="1"/>
  <c r="R273" i="18" s="1"/>
  <c r="U273" i="18" s="1"/>
  <c r="O272" i="18"/>
  <c r="N459" i="28" s="1"/>
  <c r="L272" i="18"/>
  <c r="M272" i="18" s="1"/>
  <c r="R272" i="18" s="1"/>
  <c r="O271" i="18"/>
  <c r="N332" i="28" s="1"/>
  <c r="L271" i="18"/>
  <c r="M271" i="18" s="1"/>
  <c r="R271" i="18" s="1"/>
  <c r="S271" i="18" s="1"/>
  <c r="O270" i="18"/>
  <c r="N452" i="28" s="1"/>
  <c r="L270" i="18"/>
  <c r="M270" i="18" s="1"/>
  <c r="R270" i="18" s="1"/>
  <c r="O269" i="18"/>
  <c r="N454" i="28" s="1"/>
  <c r="L269" i="18"/>
  <c r="M269" i="18" s="1"/>
  <c r="R269" i="18" s="1"/>
  <c r="S269" i="18" s="1"/>
  <c r="T269" i="18" s="1"/>
  <c r="O268" i="18"/>
  <c r="N330" i="28" s="1"/>
  <c r="L268" i="18"/>
  <c r="M268" i="18" s="1"/>
  <c r="R268" i="18" s="1"/>
  <c r="S268" i="18" s="1"/>
  <c r="O267" i="18"/>
  <c r="N328" i="28" s="1"/>
  <c r="L267" i="18"/>
  <c r="M267" i="18" s="1"/>
  <c r="R267" i="18" s="1"/>
  <c r="U267" i="18" s="1"/>
  <c r="O266" i="18"/>
  <c r="N326" i="28" s="1"/>
  <c r="L266" i="18"/>
  <c r="M266" i="18" s="1"/>
  <c r="R266" i="18" s="1"/>
  <c r="O265" i="18"/>
  <c r="N324" i="28" s="1"/>
  <c r="L265" i="18"/>
  <c r="M265" i="18" s="1"/>
  <c r="R265" i="18" s="1"/>
  <c r="S265" i="18" s="1"/>
  <c r="O260" i="18"/>
  <c r="P260" i="18" s="1"/>
  <c r="Q260" i="18" s="1"/>
  <c r="L260" i="18"/>
  <c r="M260" i="18" s="1"/>
  <c r="O259" i="18"/>
  <c r="P259" i="18" s="1"/>
  <c r="Q259" i="18"/>
  <c r="L259" i="18"/>
  <c r="M259" i="18" s="1"/>
  <c r="R259" i="18" s="1"/>
  <c r="S259" i="18" s="1"/>
  <c r="O258" i="18"/>
  <c r="P258" i="18" s="1"/>
  <c r="Q258" i="18" s="1"/>
  <c r="L258" i="18"/>
  <c r="M258" i="18"/>
  <c r="R258" i="18" s="1"/>
  <c r="U258" i="18" s="1"/>
  <c r="O257" i="18"/>
  <c r="P257" i="18" s="1"/>
  <c r="Q257" i="18" s="1"/>
  <c r="L257" i="18"/>
  <c r="M257" i="18" s="1"/>
  <c r="R257" i="18" s="1"/>
  <c r="O256" i="18"/>
  <c r="P256" i="18" s="1"/>
  <c r="Q256" i="18" s="1"/>
  <c r="L256" i="18"/>
  <c r="M256" i="18" s="1"/>
  <c r="R256" i="18" s="1"/>
  <c r="N255" i="18"/>
  <c r="N262" i="18" s="1"/>
  <c r="L255" i="18"/>
  <c r="M255" i="18" s="1"/>
  <c r="R255" i="18" s="1"/>
  <c r="O250" i="18"/>
  <c r="P250" i="18" s="1"/>
  <c r="Q250" i="18" s="1"/>
  <c r="L250" i="18"/>
  <c r="M250" i="18" s="1"/>
  <c r="R250" i="18" s="1"/>
  <c r="U250" i="18" s="1"/>
  <c r="O249" i="18"/>
  <c r="P249" i="18" s="1"/>
  <c r="Q249" i="18" s="1"/>
  <c r="L249" i="18"/>
  <c r="M249" i="18" s="1"/>
  <c r="R249" i="18" s="1"/>
  <c r="S249" i="18" s="1"/>
  <c r="O248" i="18"/>
  <c r="N300" i="28" s="1"/>
  <c r="L248" i="18"/>
  <c r="M248" i="18" s="1"/>
  <c r="R248" i="18" s="1"/>
  <c r="S248" i="18" s="1"/>
  <c r="O247" i="18"/>
  <c r="P247" i="18" s="1"/>
  <c r="Q247" i="18" s="1"/>
  <c r="L247" i="18"/>
  <c r="M247" i="18" s="1"/>
  <c r="R247" i="18" s="1"/>
  <c r="N246" i="18"/>
  <c r="O246" i="18" s="1"/>
  <c r="P246" i="18" s="1"/>
  <c r="Q246" i="18" s="1"/>
  <c r="L246" i="18"/>
  <c r="M246" i="18" s="1"/>
  <c r="R246" i="18" s="1"/>
  <c r="U246" i="18" s="1"/>
  <c r="O245" i="18"/>
  <c r="P245" i="18" s="1"/>
  <c r="Q245" i="18" s="1"/>
  <c r="L245" i="18"/>
  <c r="M245" i="18" s="1"/>
  <c r="O244" i="18"/>
  <c r="P244" i="18" s="1"/>
  <c r="Q244" i="18" s="1"/>
  <c r="L244" i="18"/>
  <c r="M244" i="18" s="1"/>
  <c r="R244" i="18" s="1"/>
  <c r="O243" i="18"/>
  <c r="P243" i="18" s="1"/>
  <c r="Q243" i="18" s="1"/>
  <c r="L243" i="18"/>
  <c r="M243" i="18" s="1"/>
  <c r="R243" i="18" s="1"/>
  <c r="U243" i="18" s="1"/>
  <c r="O242" i="18"/>
  <c r="P242" i="18" s="1"/>
  <c r="Q242" i="18" s="1"/>
  <c r="L242" i="18"/>
  <c r="M242" i="18" s="1"/>
  <c r="R242" i="18" s="1"/>
  <c r="S242" i="18" s="1"/>
  <c r="T242" i="18" s="1"/>
  <c r="N241" i="18"/>
  <c r="O241" i="18" s="1"/>
  <c r="P241" i="18" s="1"/>
  <c r="Q241" i="18" s="1"/>
  <c r="L241" i="18"/>
  <c r="M241" i="18" s="1"/>
  <c r="R241" i="18" s="1"/>
  <c r="O235" i="18"/>
  <c r="P235" i="18" s="1"/>
  <c r="Q235" i="18" s="1"/>
  <c r="L235" i="18"/>
  <c r="M235" i="18" s="1"/>
  <c r="N234" i="18"/>
  <c r="O234" i="18" s="1"/>
  <c r="P234" i="18" s="1"/>
  <c r="Q234" i="18" s="1"/>
  <c r="L234" i="18"/>
  <c r="M234" i="18" s="1"/>
  <c r="R234" i="18" s="1"/>
  <c r="N233" i="18"/>
  <c r="O233" i="18" s="1"/>
  <c r="P233" i="18" s="1"/>
  <c r="Q233" i="18" s="1"/>
  <c r="L233" i="18"/>
  <c r="M233" i="18" s="1"/>
  <c r="R233" i="18" s="1"/>
  <c r="O232" i="18"/>
  <c r="N286" i="28" s="1"/>
  <c r="L232" i="18"/>
  <c r="M232" i="18" s="1"/>
  <c r="R232" i="18" s="1"/>
  <c r="S232" i="18" s="1"/>
  <c r="O231" i="18"/>
  <c r="N533" i="28" s="1"/>
  <c r="L231" i="18"/>
  <c r="M231" i="18" s="1"/>
  <c r="R231" i="18" s="1"/>
  <c r="S231" i="18" s="1"/>
  <c r="O230" i="18"/>
  <c r="N288" i="28" s="1"/>
  <c r="L230" i="18"/>
  <c r="M230" i="18" s="1"/>
  <c r="R230" i="18" s="1"/>
  <c r="O229" i="18"/>
  <c r="N297" i="28" s="1"/>
  <c r="L229" i="18"/>
  <c r="M229" i="18" s="1"/>
  <c r="R229" i="18" s="1"/>
  <c r="U229" i="18" s="1"/>
  <c r="N228" i="18"/>
  <c r="O228" i="18" s="1"/>
  <c r="L228" i="18"/>
  <c r="M228" i="18" s="1"/>
  <c r="R228" i="18" s="1"/>
  <c r="O223" i="18"/>
  <c r="P223" i="18" s="1"/>
  <c r="Q223" i="18" s="1"/>
  <c r="L223" i="18"/>
  <c r="M223" i="18" s="1"/>
  <c r="R223" i="18" s="1"/>
  <c r="O222" i="18"/>
  <c r="P222" i="18" s="1"/>
  <c r="Q222" i="18" s="1"/>
  <c r="L222" i="18"/>
  <c r="M222" i="18" s="1"/>
  <c r="R222" i="18" s="1"/>
  <c r="U222" i="18" s="1"/>
  <c r="N221" i="18"/>
  <c r="L221" i="18"/>
  <c r="M221" i="18" s="1"/>
  <c r="R221" i="18" s="1"/>
  <c r="O220" i="18"/>
  <c r="N432" i="28" s="1"/>
  <c r="L220" i="18"/>
  <c r="M220" i="18" s="1"/>
  <c r="R220" i="18" s="1"/>
  <c r="O215" i="18"/>
  <c r="P215" i="18" s="1"/>
  <c r="Q215" i="18" s="1"/>
  <c r="L215" i="18"/>
  <c r="M215" i="18" s="1"/>
  <c r="R215" i="18" s="1"/>
  <c r="U215" i="18" s="1"/>
  <c r="N214" i="18"/>
  <c r="O214" i="18" s="1"/>
  <c r="P214" i="18" s="1"/>
  <c r="Q214" i="18" s="1"/>
  <c r="L214" i="18"/>
  <c r="M214" i="18" s="1"/>
  <c r="R214" i="18" s="1"/>
  <c r="N213" i="18"/>
  <c r="O213" i="18" s="1"/>
  <c r="P213" i="18" s="1"/>
  <c r="Q213" i="18" s="1"/>
  <c r="L213" i="18"/>
  <c r="M213" i="18" s="1"/>
  <c r="R213" i="18" s="1"/>
  <c r="U213" i="18" s="1"/>
  <c r="N212" i="18"/>
  <c r="O212" i="18" s="1"/>
  <c r="P212" i="18" s="1"/>
  <c r="Q212" i="18" s="1"/>
  <c r="L212" i="18"/>
  <c r="M212" i="18" s="1"/>
  <c r="R212" i="18" s="1"/>
  <c r="O211" i="18"/>
  <c r="P211" i="18" s="1"/>
  <c r="Q211" i="18" s="1"/>
  <c r="L211" i="18"/>
  <c r="M211" i="18" s="1"/>
  <c r="R211" i="18" s="1"/>
  <c r="S211" i="18" s="1"/>
  <c r="T211" i="18" s="1"/>
  <c r="N210" i="18"/>
  <c r="O210" i="18" s="1"/>
  <c r="P210" i="18" s="1"/>
  <c r="Q210" i="18" s="1"/>
  <c r="L210" i="18"/>
  <c r="M210" i="18" s="1"/>
  <c r="R210" i="18" s="1"/>
  <c r="U210" i="18" s="1"/>
  <c r="O209" i="18"/>
  <c r="N416" i="28" s="1"/>
  <c r="L209" i="18"/>
  <c r="M209" i="18" s="1"/>
  <c r="R209" i="18" s="1"/>
  <c r="S209" i="18" s="1"/>
  <c r="O208" i="18"/>
  <c r="N496" i="28" s="1"/>
  <c r="L208" i="18"/>
  <c r="M208" i="18" s="1"/>
  <c r="R208" i="18" s="1"/>
  <c r="O207" i="18"/>
  <c r="N419" i="28" s="1"/>
  <c r="L207" i="18"/>
  <c r="M207" i="18" s="1"/>
  <c r="R207" i="18" s="1"/>
  <c r="U207" i="18" s="1"/>
  <c r="O206" i="18"/>
  <c r="N421" i="28" s="1"/>
  <c r="L206" i="18"/>
  <c r="M206" i="18" s="1"/>
  <c r="R206" i="18" s="1"/>
  <c r="N205" i="18"/>
  <c r="O205" i="18" s="1"/>
  <c r="N256" i="28" s="1"/>
  <c r="L205" i="18"/>
  <c r="M205" i="18" s="1"/>
  <c r="R205" i="18" s="1"/>
  <c r="U205" i="18" s="1"/>
  <c r="O204" i="18"/>
  <c r="N426" i="28" s="1"/>
  <c r="L204" i="18"/>
  <c r="M204" i="18" s="1"/>
  <c r="R204" i="18" s="1"/>
  <c r="U204" i="18" s="1"/>
  <c r="N199" i="18"/>
  <c r="L199" i="18"/>
  <c r="M199" i="18" s="1"/>
  <c r="R199" i="18" s="1"/>
  <c r="U199" i="18" s="1"/>
  <c r="U201" i="18" s="1"/>
  <c r="O194" i="18"/>
  <c r="P194" i="18" s="1"/>
  <c r="Q194" i="18" s="1"/>
  <c r="L194" i="18"/>
  <c r="M194" i="18" s="1"/>
  <c r="O193" i="18"/>
  <c r="P193" i="18" s="1"/>
  <c r="Q193" i="18" s="1"/>
  <c r="L193" i="18"/>
  <c r="M193" i="18" s="1"/>
  <c r="O192" i="18"/>
  <c r="P192" i="18" s="1"/>
  <c r="Q192" i="18" s="1"/>
  <c r="L192" i="18"/>
  <c r="M192" i="18" s="1"/>
  <c r="O191" i="18"/>
  <c r="P191" i="18" s="1"/>
  <c r="Q191" i="18" s="1"/>
  <c r="L191" i="18"/>
  <c r="M191" i="18" s="1"/>
  <c r="N190" i="18"/>
  <c r="O190" i="18" s="1"/>
  <c r="P190" i="18" s="1"/>
  <c r="Q190" i="18" s="1"/>
  <c r="L190" i="18"/>
  <c r="M190" i="18" s="1"/>
  <c r="R190" i="18" s="1"/>
  <c r="N189" i="18"/>
  <c r="O189" i="18" s="1"/>
  <c r="P189" i="18" s="1"/>
  <c r="Q189" i="18" s="1"/>
  <c r="L189" i="18"/>
  <c r="M189" i="18" s="1"/>
  <c r="R189" i="18" s="1"/>
  <c r="N188" i="18"/>
  <c r="O188" i="18" s="1"/>
  <c r="P188" i="18" s="1"/>
  <c r="Q188" i="18" s="1"/>
  <c r="L188" i="18"/>
  <c r="M188" i="18" s="1"/>
  <c r="R188" i="18" s="1"/>
  <c r="U188" i="18" s="1"/>
  <c r="N187" i="18"/>
  <c r="O187" i="18" s="1"/>
  <c r="P187" i="18" s="1"/>
  <c r="Q187" i="18" s="1"/>
  <c r="L187" i="18"/>
  <c r="M187" i="18" s="1"/>
  <c r="R187" i="18" s="1"/>
  <c r="U187" i="18" s="1"/>
  <c r="O186" i="18"/>
  <c r="N412" i="28" s="1"/>
  <c r="L186" i="18"/>
  <c r="M186" i="18" s="1"/>
  <c r="R186" i="18" s="1"/>
  <c r="U186" i="18" s="1"/>
  <c r="O185" i="18"/>
  <c r="N504" i="28" s="1"/>
  <c r="L185" i="18"/>
  <c r="M185" i="18" s="1"/>
  <c r="R185" i="18" s="1"/>
  <c r="U185" i="18" s="1"/>
  <c r="O184" i="18"/>
  <c r="N373" i="28" s="1"/>
  <c r="L184" i="18"/>
  <c r="M184" i="18" s="1"/>
  <c r="R184" i="18" s="1"/>
  <c r="O183" i="18"/>
  <c r="N410" i="28" s="1"/>
  <c r="L183" i="18"/>
  <c r="M183" i="18" s="1"/>
  <c r="R183" i="18" s="1"/>
  <c r="S183" i="18" s="1"/>
  <c r="O182" i="18"/>
  <c r="N414" i="28" s="1"/>
  <c r="L182" i="18"/>
  <c r="M182" i="18" s="1"/>
  <c r="R182" i="18" s="1"/>
  <c r="O181" i="18"/>
  <c r="L181" i="18"/>
  <c r="M181" i="18" s="1"/>
  <c r="R181" i="18" s="1"/>
  <c r="U181" i="18" s="1"/>
  <c r="N180" i="18"/>
  <c r="O180" i="18" s="1"/>
  <c r="L180" i="18"/>
  <c r="M180" i="18" s="1"/>
  <c r="R180" i="18" s="1"/>
  <c r="O179" i="18"/>
  <c r="L179" i="18"/>
  <c r="M179" i="18" s="1"/>
  <c r="R179" i="18" s="1"/>
  <c r="S179" i="18" s="1"/>
  <c r="O174" i="18"/>
  <c r="P174" i="18" s="1"/>
  <c r="Q174" i="18" s="1"/>
  <c r="L174" i="18"/>
  <c r="M174" i="18" s="1"/>
  <c r="O173" i="18"/>
  <c r="P173" i="18" s="1"/>
  <c r="Q173" i="18" s="1"/>
  <c r="L173" i="18"/>
  <c r="M173" i="18" s="1"/>
  <c r="R173" i="18" s="1"/>
  <c r="S173" i="18" s="1"/>
  <c r="T173" i="18" s="1"/>
  <c r="O172" i="18"/>
  <c r="P172" i="18" s="1"/>
  <c r="Q172" i="18" s="1"/>
  <c r="L172" i="18"/>
  <c r="M172" i="18" s="1"/>
  <c r="O171" i="18"/>
  <c r="P171" i="18" s="1"/>
  <c r="Q171" i="18" s="1"/>
  <c r="L171" i="18"/>
  <c r="M171" i="18" s="1"/>
  <c r="O170" i="18"/>
  <c r="P170" i="18" s="1"/>
  <c r="Q170" i="18" s="1"/>
  <c r="L170" i="18"/>
  <c r="M170" i="18" s="1"/>
  <c r="O169" i="18"/>
  <c r="P169" i="18" s="1"/>
  <c r="Q169" i="18" s="1"/>
  <c r="L169" i="18"/>
  <c r="M169" i="18" s="1"/>
  <c r="O168" i="18"/>
  <c r="P168" i="18" s="1"/>
  <c r="Q168" i="18" s="1"/>
  <c r="L168" i="18"/>
  <c r="M168" i="18" s="1"/>
  <c r="O167" i="18"/>
  <c r="P167" i="18" s="1"/>
  <c r="Q167" i="18" s="1"/>
  <c r="L167" i="18"/>
  <c r="M167" i="18" s="1"/>
  <c r="O166" i="18"/>
  <c r="P166" i="18" s="1"/>
  <c r="Q166" i="18" s="1"/>
  <c r="L166" i="18"/>
  <c r="M166" i="18" s="1"/>
  <c r="O165" i="18"/>
  <c r="P165" i="18" s="1"/>
  <c r="Q165" i="18" s="1"/>
  <c r="L165" i="18"/>
  <c r="M165" i="18" s="1"/>
  <c r="O164" i="18"/>
  <c r="P164" i="18" s="1"/>
  <c r="Q164" i="18" s="1"/>
  <c r="L164" i="18"/>
  <c r="M164" i="18" s="1"/>
  <c r="O163" i="18"/>
  <c r="P163" i="18" s="1"/>
  <c r="Q163" i="18" s="1"/>
  <c r="L163" i="18"/>
  <c r="M163" i="18" s="1"/>
  <c r="R163" i="18" s="1"/>
  <c r="O162" i="18"/>
  <c r="P162" i="18" s="1"/>
  <c r="Q162" i="18" s="1"/>
  <c r="L162" i="18"/>
  <c r="M162" i="18" s="1"/>
  <c r="R162" i="18" s="1"/>
  <c r="U162" i="18" s="1"/>
  <c r="O161" i="18"/>
  <c r="P161" i="18" s="1"/>
  <c r="Q161" i="18" s="1"/>
  <c r="L161" i="18"/>
  <c r="M161" i="18" s="1"/>
  <c r="R161" i="18" s="1"/>
  <c r="O160" i="18"/>
  <c r="P160" i="18" s="1"/>
  <c r="Q160" i="18" s="1"/>
  <c r="L160" i="18"/>
  <c r="M160" i="18" s="1"/>
  <c r="R160" i="18" s="1"/>
  <c r="S160" i="18" s="1"/>
  <c r="O159" i="18"/>
  <c r="P159" i="18" s="1"/>
  <c r="Q159" i="18" s="1"/>
  <c r="L159" i="18"/>
  <c r="M159" i="18" s="1"/>
  <c r="R159" i="18" s="1"/>
  <c r="O158" i="18"/>
  <c r="P158" i="18" s="1"/>
  <c r="Q158" i="18" s="1"/>
  <c r="L158" i="18"/>
  <c r="M158" i="18" s="1"/>
  <c r="R158" i="18" s="1"/>
  <c r="U158" i="18" s="1"/>
  <c r="O157" i="18"/>
  <c r="P157" i="18" s="1"/>
  <c r="Q157" i="18" s="1"/>
  <c r="L157" i="18"/>
  <c r="M157" i="18" s="1"/>
  <c r="R157" i="18" s="1"/>
  <c r="O156" i="18"/>
  <c r="P156" i="18" s="1"/>
  <c r="Q156" i="18" s="1"/>
  <c r="L156" i="18"/>
  <c r="M156" i="18" s="1"/>
  <c r="R156" i="18" s="1"/>
  <c r="O155" i="18"/>
  <c r="P155" i="18" s="1"/>
  <c r="Q155" i="18" s="1"/>
  <c r="L155" i="18"/>
  <c r="M155" i="18" s="1"/>
  <c r="R155" i="18" s="1"/>
  <c r="N154" i="18"/>
  <c r="O154" i="18" s="1"/>
  <c r="P154" i="18" s="1"/>
  <c r="Q154" i="18" s="1"/>
  <c r="L154" i="18"/>
  <c r="M154" i="18" s="1"/>
  <c r="N153" i="18"/>
  <c r="O153" i="18" s="1"/>
  <c r="P153" i="18" s="1"/>
  <c r="Q153" i="18" s="1"/>
  <c r="L153" i="18"/>
  <c r="M153" i="18" s="1"/>
  <c r="N152" i="18"/>
  <c r="O152" i="18" s="1"/>
  <c r="P152" i="18" s="1"/>
  <c r="Q152" i="18" s="1"/>
  <c r="L152" i="18"/>
  <c r="M152" i="18" s="1"/>
  <c r="N151" i="18"/>
  <c r="O151" i="18" s="1"/>
  <c r="P151" i="18" s="1"/>
  <c r="Q151" i="18" s="1"/>
  <c r="L151" i="18"/>
  <c r="M151" i="18" s="1"/>
  <c r="N150" i="18"/>
  <c r="O150" i="18" s="1"/>
  <c r="P150" i="18" s="1"/>
  <c r="Q150" i="18" s="1"/>
  <c r="L150" i="18"/>
  <c r="M150" i="18" s="1"/>
  <c r="N149" i="18"/>
  <c r="O149" i="18" s="1"/>
  <c r="P149" i="18" s="1"/>
  <c r="Q149" i="18" s="1"/>
  <c r="L149" i="18"/>
  <c r="M149" i="18" s="1"/>
  <c r="N148" i="18"/>
  <c r="O148" i="18" s="1"/>
  <c r="P148" i="18" s="1"/>
  <c r="Q148" i="18" s="1"/>
  <c r="L148" i="18"/>
  <c r="M148" i="18" s="1"/>
  <c r="N147" i="18"/>
  <c r="O147" i="18" s="1"/>
  <c r="P147" i="18" s="1"/>
  <c r="Q147" i="18" s="1"/>
  <c r="L147" i="18"/>
  <c r="M147" i="18" s="1"/>
  <c r="N146" i="18"/>
  <c r="O146" i="18" s="1"/>
  <c r="P146" i="18" s="1"/>
  <c r="Q146" i="18" s="1"/>
  <c r="L146" i="18"/>
  <c r="M146" i="18" s="1"/>
  <c r="N145" i="18"/>
  <c r="O145" i="18" s="1"/>
  <c r="P145" i="18" s="1"/>
  <c r="Q145" i="18" s="1"/>
  <c r="L145" i="18"/>
  <c r="M145" i="18" s="1"/>
  <c r="R145" i="18" s="1"/>
  <c r="N144" i="18"/>
  <c r="O144" i="18" s="1"/>
  <c r="P144" i="18" s="1"/>
  <c r="Q144" i="18" s="1"/>
  <c r="L144" i="18"/>
  <c r="M144" i="18" s="1"/>
  <c r="R144" i="18" s="1"/>
  <c r="U144" i="18" s="1"/>
  <c r="N143" i="18"/>
  <c r="O143" i="18" s="1"/>
  <c r="P143" i="18" s="1"/>
  <c r="Q143" i="18" s="1"/>
  <c r="L143" i="18"/>
  <c r="M143" i="18" s="1"/>
  <c r="R143" i="18" s="1"/>
  <c r="O142" i="18"/>
  <c r="N543" i="28" s="1"/>
  <c r="L142" i="18"/>
  <c r="M142" i="18" s="1"/>
  <c r="R142" i="18" s="1"/>
  <c r="U142" i="18" s="1"/>
  <c r="O141" i="18"/>
  <c r="N541" i="28" s="1"/>
  <c r="L141" i="18"/>
  <c r="M141" i="18" s="1"/>
  <c r="R141" i="18" s="1"/>
  <c r="O140" i="18"/>
  <c r="P140" i="18" s="1"/>
  <c r="Q140" i="18" s="1"/>
  <c r="L140" i="18"/>
  <c r="M140" i="18" s="1"/>
  <c r="R140" i="18" s="1"/>
  <c r="O139" i="18"/>
  <c r="N518" i="28" s="1"/>
  <c r="L139" i="18"/>
  <c r="M139" i="18" s="1"/>
  <c r="R139" i="18" s="1"/>
  <c r="O138" i="18"/>
  <c r="N539" i="28" s="1"/>
  <c r="L138" i="18"/>
  <c r="M138" i="18" s="1"/>
  <c r="R138" i="18" s="1"/>
  <c r="O137" i="18"/>
  <c r="N150" i="28" s="1"/>
  <c r="L137" i="18"/>
  <c r="M137" i="18" s="1"/>
  <c r="R137" i="18" s="1"/>
  <c r="O136" i="18"/>
  <c r="N512" i="28" s="1"/>
  <c r="L136" i="18"/>
  <c r="M136" i="18" s="1"/>
  <c r="R136" i="18" s="1"/>
  <c r="U136" i="18" s="1"/>
  <c r="N135" i="18"/>
  <c r="O135" i="18" s="1"/>
  <c r="P135" i="18" s="1"/>
  <c r="Q135" i="18" s="1"/>
  <c r="L135" i="18"/>
  <c r="M135" i="18" s="1"/>
  <c r="R135" i="18" s="1"/>
  <c r="U135" i="18" s="1"/>
  <c r="O134" i="18"/>
  <c r="N508" i="28" s="1"/>
  <c r="L134" i="18"/>
  <c r="M134" i="18" s="1"/>
  <c r="R134" i="18" s="1"/>
  <c r="N133" i="18"/>
  <c r="O133" i="18" s="1"/>
  <c r="N401" i="28" s="1"/>
  <c r="L133" i="18"/>
  <c r="M133" i="18" s="1"/>
  <c r="R133" i="18" s="1"/>
  <c r="U133" i="18" s="1"/>
  <c r="O132" i="18"/>
  <c r="N405" i="28" s="1"/>
  <c r="L132" i="18"/>
  <c r="M132" i="18" s="1"/>
  <c r="R132" i="18" s="1"/>
  <c r="S132" i="18" s="1"/>
  <c r="N131" i="18"/>
  <c r="O131" i="18" s="1"/>
  <c r="N147" i="28" s="1"/>
  <c r="L131" i="18"/>
  <c r="M131" i="18" s="1"/>
  <c r="R131" i="18" s="1"/>
  <c r="O125" i="18"/>
  <c r="P125" i="18" s="1"/>
  <c r="Q125" i="18" s="1"/>
  <c r="L125" i="18"/>
  <c r="M125" i="18"/>
  <c r="N124" i="18"/>
  <c r="O124" i="18" s="1"/>
  <c r="P124" i="18" s="1"/>
  <c r="Q124" i="18" s="1"/>
  <c r="L124" i="18"/>
  <c r="M124" i="18" s="1"/>
  <c r="N123" i="18"/>
  <c r="L123" i="18"/>
  <c r="M123" i="18" s="1"/>
  <c r="O118" i="18"/>
  <c r="P118" i="18" s="1"/>
  <c r="Q118" i="18" s="1"/>
  <c r="L118" i="18"/>
  <c r="M118" i="18" s="1"/>
  <c r="O117" i="18"/>
  <c r="P117" i="18" s="1"/>
  <c r="Q117" i="18" s="1"/>
  <c r="L117" i="18"/>
  <c r="M117" i="18" s="1"/>
  <c r="R117" i="18" s="1"/>
  <c r="S117" i="18" s="1"/>
  <c r="O116" i="18"/>
  <c r="P116" i="18" s="1"/>
  <c r="Q116" i="18" s="1"/>
  <c r="L116" i="18"/>
  <c r="M116" i="18" s="1"/>
  <c r="O115" i="18"/>
  <c r="P115" i="18" s="1"/>
  <c r="Q115" i="18" s="1"/>
  <c r="L115" i="18"/>
  <c r="M115" i="18" s="1"/>
  <c r="O114" i="18"/>
  <c r="P114" i="18" s="1"/>
  <c r="Q114" i="18" s="1"/>
  <c r="L114" i="18"/>
  <c r="M114" i="18" s="1"/>
  <c r="O113" i="18"/>
  <c r="P113" i="18" s="1"/>
  <c r="Q113" i="18" s="1"/>
  <c r="L113" i="18"/>
  <c r="M113" i="18" s="1"/>
  <c r="O112" i="18"/>
  <c r="P112" i="18" s="1"/>
  <c r="Q112" i="18" s="1"/>
  <c r="L112" i="18"/>
  <c r="M112" i="18" s="1"/>
  <c r="O111" i="18"/>
  <c r="P111" i="18" s="1"/>
  <c r="Q111" i="18" s="1"/>
  <c r="L111" i="18"/>
  <c r="M111" i="18" s="1"/>
  <c r="O110" i="18"/>
  <c r="P110" i="18" s="1"/>
  <c r="Q110" i="18" s="1"/>
  <c r="L110" i="18"/>
  <c r="M110" i="18" s="1"/>
  <c r="R110" i="18" s="1"/>
  <c r="O109" i="18"/>
  <c r="P109" i="18" s="1"/>
  <c r="Q109" i="18" s="1"/>
  <c r="L109" i="18"/>
  <c r="M109" i="18" s="1"/>
  <c r="O108" i="18"/>
  <c r="P108" i="18" s="1"/>
  <c r="Q108" i="18" s="1"/>
  <c r="R108" i="18" s="1"/>
  <c r="S108" i="18" s="1"/>
  <c r="L108" i="18"/>
  <c r="M108" i="18" s="1"/>
  <c r="O107" i="18"/>
  <c r="P107" i="18" s="1"/>
  <c r="Q107" i="18" s="1"/>
  <c r="L107" i="18"/>
  <c r="M107" i="18"/>
  <c r="O106" i="18"/>
  <c r="P106" i="18" s="1"/>
  <c r="Q106" i="18" s="1"/>
  <c r="L106" i="18"/>
  <c r="M106" i="18" s="1"/>
  <c r="O105" i="18"/>
  <c r="P105" i="18" s="1"/>
  <c r="Q105" i="18" s="1"/>
  <c r="L105" i="18"/>
  <c r="M105" i="18" s="1"/>
  <c r="O104" i="18"/>
  <c r="P104" i="18" s="1"/>
  <c r="Q104" i="18" s="1"/>
  <c r="L104" i="18"/>
  <c r="M104" i="18" s="1"/>
  <c r="R104" i="18" s="1"/>
  <c r="S104" i="18" s="1"/>
  <c r="T104" i="18" s="1"/>
  <c r="O103" i="18"/>
  <c r="P103" i="18" s="1"/>
  <c r="Q103" i="18" s="1"/>
  <c r="L103" i="18"/>
  <c r="M103" i="18" s="1"/>
  <c r="O102" i="18"/>
  <c r="P102" i="18" s="1"/>
  <c r="Q102" i="18" s="1"/>
  <c r="L102" i="18"/>
  <c r="M102" i="18" s="1"/>
  <c r="O101" i="18"/>
  <c r="P101" i="18" s="1"/>
  <c r="Q101" i="18" s="1"/>
  <c r="L101" i="18"/>
  <c r="M101" i="18" s="1"/>
  <c r="N100" i="18"/>
  <c r="O100" i="18" s="1"/>
  <c r="P100" i="18" s="1"/>
  <c r="Q100" i="18" s="1"/>
  <c r="L100" i="18"/>
  <c r="M100" i="18" s="1"/>
  <c r="O99" i="18"/>
  <c r="P99" i="18" s="1"/>
  <c r="Q99" i="18" s="1"/>
  <c r="L99" i="18"/>
  <c r="M99" i="18" s="1"/>
  <c r="O98" i="18"/>
  <c r="P98" i="18" s="1"/>
  <c r="Q98" i="18" s="1"/>
  <c r="L98" i="18"/>
  <c r="M98" i="18" s="1"/>
  <c r="N97" i="18"/>
  <c r="O97" i="18" s="1"/>
  <c r="P97" i="18" s="1"/>
  <c r="Q97" i="18" s="1"/>
  <c r="L97" i="18"/>
  <c r="M97" i="18" s="1"/>
  <c r="O96" i="18"/>
  <c r="P96" i="18" s="1"/>
  <c r="Q96" i="18" s="1"/>
  <c r="L96" i="18"/>
  <c r="M96" i="18" s="1"/>
  <c r="O95" i="18"/>
  <c r="P95" i="18" s="1"/>
  <c r="Q95" i="18" s="1"/>
  <c r="L95" i="18"/>
  <c r="M95" i="18" s="1"/>
  <c r="O94" i="18"/>
  <c r="P94" i="18" s="1"/>
  <c r="Q94" i="18" s="1"/>
  <c r="L94" i="18"/>
  <c r="M94" i="18" s="1"/>
  <c r="O93" i="18"/>
  <c r="P93" i="18" s="1"/>
  <c r="Q93" i="18" s="1"/>
  <c r="L93" i="18"/>
  <c r="M93" i="18" s="1"/>
  <c r="O92" i="18"/>
  <c r="P92" i="18" s="1"/>
  <c r="Q92" i="18" s="1"/>
  <c r="L92" i="18"/>
  <c r="M92" i="18" s="1"/>
  <c r="O91" i="18"/>
  <c r="P91" i="18" s="1"/>
  <c r="Q91" i="18" s="1"/>
  <c r="L91" i="18"/>
  <c r="M91" i="18" s="1"/>
  <c r="O90" i="18"/>
  <c r="P90" i="18" s="1"/>
  <c r="Q90" i="18" s="1"/>
  <c r="L90" i="18"/>
  <c r="M90" i="18" s="1"/>
  <c r="O89" i="18"/>
  <c r="P89" i="18" s="1"/>
  <c r="Q89" i="18" s="1"/>
  <c r="L89" i="18"/>
  <c r="M89" i="18" s="1"/>
  <c r="O88" i="18"/>
  <c r="P88" i="18" s="1"/>
  <c r="Q88" i="18" s="1"/>
  <c r="L88" i="18"/>
  <c r="M88" i="18" s="1"/>
  <c r="O87" i="18"/>
  <c r="P87" i="18" s="1"/>
  <c r="Q87" i="18" s="1"/>
  <c r="L87" i="18"/>
  <c r="M87" i="18" s="1"/>
  <c r="O86" i="18"/>
  <c r="P86" i="18" s="1"/>
  <c r="Q86" i="18" s="1"/>
  <c r="L86" i="18"/>
  <c r="M86" i="18" s="1"/>
  <c r="R86" i="18" s="1"/>
  <c r="S86" i="18" s="1"/>
  <c r="O85" i="18"/>
  <c r="P85" i="18" s="1"/>
  <c r="Q85" i="18" s="1"/>
  <c r="L85" i="18"/>
  <c r="M85" i="18" s="1"/>
  <c r="R85" i="18" s="1"/>
  <c r="S85" i="18" s="1"/>
  <c r="T85" i="18" s="1"/>
  <c r="U85" i="18" s="1"/>
  <c r="O84" i="18"/>
  <c r="P84" i="18" s="1"/>
  <c r="Q84" i="18" s="1"/>
  <c r="L84" i="18"/>
  <c r="M84" i="18" s="1"/>
  <c r="O83" i="18"/>
  <c r="P83" i="18" s="1"/>
  <c r="Q83" i="18" s="1"/>
  <c r="L83" i="18"/>
  <c r="M83" i="18" s="1"/>
  <c r="O82" i="18"/>
  <c r="P82" i="18" s="1"/>
  <c r="Q82" i="18" s="1"/>
  <c r="L82" i="18"/>
  <c r="M82" i="18" s="1"/>
  <c r="O81" i="18"/>
  <c r="P81" i="18" s="1"/>
  <c r="Q81" i="18" s="1"/>
  <c r="L81" i="18"/>
  <c r="M81" i="18" s="1"/>
  <c r="N80" i="18"/>
  <c r="O80" i="18" s="1"/>
  <c r="P80" i="18" s="1"/>
  <c r="Q80" i="18" s="1"/>
  <c r="L80" i="18"/>
  <c r="M80" i="18" s="1"/>
  <c r="N79" i="18"/>
  <c r="O79" i="18" s="1"/>
  <c r="P79" i="18" s="1"/>
  <c r="Q79" i="18" s="1"/>
  <c r="L79" i="18"/>
  <c r="M79" i="18" s="1"/>
  <c r="O78" i="18"/>
  <c r="P78" i="18" s="1"/>
  <c r="Q78" i="18" s="1"/>
  <c r="L78" i="18"/>
  <c r="M78" i="18" s="1"/>
  <c r="O77" i="18"/>
  <c r="P77" i="18" s="1"/>
  <c r="Q77" i="18" s="1"/>
  <c r="L77" i="18"/>
  <c r="M77" i="18" s="1"/>
  <c r="N76" i="18"/>
  <c r="O76" i="18" s="1"/>
  <c r="P76" i="18" s="1"/>
  <c r="Q76" i="18" s="1"/>
  <c r="L76" i="18"/>
  <c r="M76" i="18" s="1"/>
  <c r="O75" i="18"/>
  <c r="P75" i="18" s="1"/>
  <c r="Q75" i="18" s="1"/>
  <c r="L75" i="18"/>
  <c r="M75" i="18" s="1"/>
  <c r="O74" i="18"/>
  <c r="P74" i="18" s="1"/>
  <c r="Q74" i="18" s="1"/>
  <c r="L74" i="18"/>
  <c r="M74" i="18" s="1"/>
  <c r="N73" i="18"/>
  <c r="O73" i="18" s="1"/>
  <c r="P73" i="18" s="1"/>
  <c r="Q73" i="18" s="1"/>
  <c r="L73" i="18"/>
  <c r="M73" i="18" s="1"/>
  <c r="O72" i="18"/>
  <c r="P72" i="18" s="1"/>
  <c r="Q72" i="18" s="1"/>
  <c r="L72" i="18"/>
  <c r="M72" i="18" s="1"/>
  <c r="N71" i="18"/>
  <c r="O71" i="18" s="1"/>
  <c r="P71" i="18" s="1"/>
  <c r="Q71" i="18" s="1"/>
  <c r="L71" i="18"/>
  <c r="M71" i="18" s="1"/>
  <c r="N70" i="18"/>
  <c r="O70" i="18" s="1"/>
  <c r="P70" i="18" s="1"/>
  <c r="Q70" i="18" s="1"/>
  <c r="L70" i="18"/>
  <c r="M70" i="18" s="1"/>
  <c r="O69" i="18"/>
  <c r="P69" i="18" s="1"/>
  <c r="Q69" i="18" s="1"/>
  <c r="L69" i="18"/>
  <c r="M69" i="18" s="1"/>
  <c r="O68" i="18"/>
  <c r="P68" i="18" s="1"/>
  <c r="Q68" i="18" s="1"/>
  <c r="L68" i="18"/>
  <c r="M68" i="18" s="1"/>
  <c r="O67" i="18"/>
  <c r="P67" i="18" s="1"/>
  <c r="Q67" i="18" s="1"/>
  <c r="L67" i="18"/>
  <c r="M67" i="18" s="1"/>
  <c r="O66" i="18"/>
  <c r="P66" i="18" s="1"/>
  <c r="Q66" i="18" s="1"/>
  <c r="L66" i="18"/>
  <c r="M66" i="18" s="1"/>
  <c r="R66" i="18" s="1"/>
  <c r="O65" i="18"/>
  <c r="P65" i="18" s="1"/>
  <c r="Q65" i="18" s="1"/>
  <c r="L65" i="18"/>
  <c r="M65" i="18" s="1"/>
  <c r="R65" i="18" s="1"/>
  <c r="U65" i="18" s="1"/>
  <c r="N64" i="18"/>
  <c r="O64" i="18" s="1"/>
  <c r="P64" i="18" s="1"/>
  <c r="Q64" i="18" s="1"/>
  <c r="L64" i="18"/>
  <c r="M64" i="18" s="1"/>
  <c r="O63" i="18"/>
  <c r="P63" i="18" s="1"/>
  <c r="Q63" i="18" s="1"/>
  <c r="L63" i="18"/>
  <c r="M63" i="18"/>
  <c r="O62" i="18"/>
  <c r="P62" i="18" s="1"/>
  <c r="Q62" i="18" s="1"/>
  <c r="L62" i="18"/>
  <c r="M62" i="18" s="1"/>
  <c r="O61" i="18"/>
  <c r="P61" i="18" s="1"/>
  <c r="Q61" i="18" s="1"/>
  <c r="L61" i="18"/>
  <c r="M61" i="18" s="1"/>
  <c r="R61" i="18" s="1"/>
  <c r="U61" i="18" s="1"/>
  <c r="N60" i="18"/>
  <c r="O60" i="18" s="1"/>
  <c r="P60" i="18" s="1"/>
  <c r="Q60" i="18" s="1"/>
  <c r="L60" i="18"/>
  <c r="M60" i="18" s="1"/>
  <c r="O59" i="18"/>
  <c r="P59" i="18" s="1"/>
  <c r="Q59" i="18" s="1"/>
  <c r="L59" i="18"/>
  <c r="M59" i="18" s="1"/>
  <c r="R59" i="18" s="1"/>
  <c r="S59" i="18" s="1"/>
  <c r="N58" i="18"/>
  <c r="O58" i="18" s="1"/>
  <c r="L58" i="18"/>
  <c r="M58" i="18" s="1"/>
  <c r="O57" i="18"/>
  <c r="P57" i="18" s="1"/>
  <c r="Q57" i="18" s="1"/>
  <c r="L57" i="18"/>
  <c r="M57" i="18" s="1"/>
  <c r="R57" i="18" s="1"/>
  <c r="O56" i="18"/>
  <c r="L56" i="18"/>
  <c r="M56" i="18" s="1"/>
  <c r="R56" i="18" s="1"/>
  <c r="S56" i="18" s="1"/>
  <c r="N55" i="18"/>
  <c r="O55" i="18" s="1"/>
  <c r="L55" i="18"/>
  <c r="M55" i="18" s="1"/>
  <c r="R55" i="18" s="1"/>
  <c r="N54" i="18"/>
  <c r="O54" i="18" s="1"/>
  <c r="P54" i="18" s="1"/>
  <c r="Q54" i="18" s="1"/>
  <c r="L54" i="18"/>
  <c r="M54" i="18" s="1"/>
  <c r="R54" i="18" s="1"/>
  <c r="O53" i="18"/>
  <c r="P53" i="18" s="1"/>
  <c r="Q53" i="18" s="1"/>
  <c r="L53" i="18"/>
  <c r="M53" i="18" s="1"/>
  <c r="R53" i="18" s="1"/>
  <c r="N52" i="18"/>
  <c r="O52" i="18" s="1"/>
  <c r="P52" i="18" s="1"/>
  <c r="Q52" i="18" s="1"/>
  <c r="L52" i="18"/>
  <c r="M52" i="18" s="1"/>
  <c r="R52" i="18" s="1"/>
  <c r="U52" i="18" s="1"/>
  <c r="N51" i="18"/>
  <c r="O51" i="18" s="1"/>
  <c r="P51" i="18" s="1"/>
  <c r="Q51" i="18" s="1"/>
  <c r="L51" i="18"/>
  <c r="M51" i="18" s="1"/>
  <c r="R51" i="18" s="1"/>
  <c r="U51" i="18" s="1"/>
  <c r="O50" i="18"/>
  <c r="P50" i="18" s="1"/>
  <c r="Q50" i="18" s="1"/>
  <c r="L50" i="18"/>
  <c r="M50" i="18" s="1"/>
  <c r="R50" i="18" s="1"/>
  <c r="U50" i="18" s="1"/>
  <c r="O49" i="18"/>
  <c r="L49" i="18"/>
  <c r="M49" i="18" s="1"/>
  <c r="R49" i="18" s="1"/>
  <c r="U49" i="18" s="1"/>
  <c r="O48" i="18"/>
  <c r="L48" i="18"/>
  <c r="M48" i="18" s="1"/>
  <c r="R48" i="18" s="1"/>
  <c r="O47" i="18"/>
  <c r="L47" i="18"/>
  <c r="M47" i="18" s="1"/>
  <c r="R47" i="18" s="1"/>
  <c r="U47" i="18" s="1"/>
  <c r="O46" i="18"/>
  <c r="N206" i="28" s="1"/>
  <c r="L46" i="18"/>
  <c r="M46" i="18" s="1"/>
  <c r="R46" i="18" s="1"/>
  <c r="S46" i="18" s="1"/>
  <c r="O45" i="18"/>
  <c r="L45" i="18"/>
  <c r="M45" i="18" s="1"/>
  <c r="R45" i="18" s="1"/>
  <c r="S45" i="18" s="1"/>
  <c r="O44" i="18"/>
  <c r="N202" i="28" s="1"/>
  <c r="L44" i="18"/>
  <c r="M44" i="18" s="1"/>
  <c r="R44" i="18" s="1"/>
  <c r="U44" i="18" s="1"/>
  <c r="O43" i="18"/>
  <c r="N200" i="28" s="1"/>
  <c r="L43" i="18"/>
  <c r="M43" i="18" s="1"/>
  <c r="R43" i="18" s="1"/>
  <c r="U43" i="18" s="1"/>
  <c r="O42" i="18"/>
  <c r="N531" i="28" s="1"/>
  <c r="L42" i="18"/>
  <c r="M42" i="18" s="1"/>
  <c r="R42" i="18" s="1"/>
  <c r="S42" i="18" s="1"/>
  <c r="T42" i="18" s="1"/>
  <c r="O41" i="18"/>
  <c r="N529" i="28" s="1"/>
  <c r="L41" i="18"/>
  <c r="M41" i="18" s="1"/>
  <c r="R41" i="18" s="1"/>
  <c r="O40" i="18"/>
  <c r="N28" i="28" s="1"/>
  <c r="L40" i="18"/>
  <c r="M40" i="18" s="1"/>
  <c r="R40" i="18" s="1"/>
  <c r="U40" i="18" s="1"/>
  <c r="O39" i="18"/>
  <c r="L39" i="18"/>
  <c r="M39" i="18" s="1"/>
  <c r="R39" i="18" s="1"/>
  <c r="O38" i="18"/>
  <c r="N24" i="28" s="1"/>
  <c r="L38" i="18"/>
  <c r="M38" i="18" s="1"/>
  <c r="R38" i="18" s="1"/>
  <c r="U38" i="18" s="1"/>
  <c r="O37" i="18"/>
  <c r="N269" i="28" s="1"/>
  <c r="L37" i="18"/>
  <c r="M37" i="18" s="1"/>
  <c r="R37" i="18" s="1"/>
  <c r="O36" i="18"/>
  <c r="L36" i="18"/>
  <c r="M36" i="18" s="1"/>
  <c r="R36" i="18" s="1"/>
  <c r="U36" i="18" s="1"/>
  <c r="O35" i="18"/>
  <c r="N506" i="28" s="1"/>
  <c r="P35" i="18"/>
  <c r="Q35" i="18" s="1"/>
  <c r="L35" i="18"/>
  <c r="M35" i="18" s="1"/>
  <c r="R35" i="18" s="1"/>
  <c r="O34" i="18"/>
  <c r="N20" i="28" s="1"/>
  <c r="L34" i="18"/>
  <c r="M34" i="18" s="1"/>
  <c r="R34" i="18" s="1"/>
  <c r="N33" i="18"/>
  <c r="O33" i="18" s="1"/>
  <c r="P33" i="18" s="1"/>
  <c r="Q33" i="18" s="1"/>
  <c r="L33" i="18"/>
  <c r="M33" i="18" s="1"/>
  <c r="R33" i="18" s="1"/>
  <c r="O32" i="18"/>
  <c r="N494" i="28" s="1"/>
  <c r="L32" i="18"/>
  <c r="M32" i="18" s="1"/>
  <c r="R32" i="18" s="1"/>
  <c r="U32" i="18" s="1"/>
  <c r="O31" i="18"/>
  <c r="N552" i="28" s="1"/>
  <c r="L31" i="18"/>
  <c r="M31" i="18" s="1"/>
  <c r="R31" i="18" s="1"/>
  <c r="S31" i="18" s="1"/>
  <c r="O30" i="18"/>
  <c r="L30" i="18"/>
  <c r="M30" i="18" s="1"/>
  <c r="R30" i="18" s="1"/>
  <c r="O29" i="18"/>
  <c r="L29" i="18"/>
  <c r="M29" i="18" s="1"/>
  <c r="R29" i="18" s="1"/>
  <c r="O28" i="18"/>
  <c r="N526" i="28" s="1"/>
  <c r="L28" i="18"/>
  <c r="M28" i="18" s="1"/>
  <c r="R28" i="18" s="1"/>
  <c r="U28" i="18" s="1"/>
  <c r="O27" i="18"/>
  <c r="N500" i="28" s="1"/>
  <c r="L27" i="18"/>
  <c r="M27" i="18" s="1"/>
  <c r="R27" i="18" s="1"/>
  <c r="S27" i="18" s="1"/>
  <c r="O26" i="18"/>
  <c r="P26" i="18" s="1"/>
  <c r="Q26" i="18" s="1"/>
  <c r="L26" i="18"/>
  <c r="M26" i="18" s="1"/>
  <c r="R26" i="18" s="1"/>
  <c r="S26" i="18" s="1"/>
  <c r="O25" i="18"/>
  <c r="N498" i="28" s="1"/>
  <c r="L25" i="18"/>
  <c r="M25" i="18" s="1"/>
  <c r="R25" i="18" s="1"/>
  <c r="S25" i="18" s="1"/>
  <c r="O24" i="18"/>
  <c r="N369" i="28" s="1"/>
  <c r="L24" i="18"/>
  <c r="M24" i="18" s="1"/>
  <c r="R24" i="18" s="1"/>
  <c r="O23" i="18"/>
  <c r="N430" i="28" s="1"/>
  <c r="L23" i="18"/>
  <c r="M23" i="18" s="1"/>
  <c r="R23" i="18" s="1"/>
  <c r="S23" i="18" s="1"/>
  <c r="N22" i="18"/>
  <c r="L22" i="18"/>
  <c r="M22" i="18" s="1"/>
  <c r="R22" i="18" s="1"/>
  <c r="U22" i="18" s="1"/>
  <c r="O21" i="18"/>
  <c r="N371" i="28" s="1"/>
  <c r="L21" i="18"/>
  <c r="M21" i="18" s="1"/>
  <c r="R21" i="18" s="1"/>
  <c r="U21" i="18" s="1"/>
  <c r="O20" i="18"/>
  <c r="N535" i="28" s="1"/>
  <c r="L20" i="18"/>
  <c r="M20" i="18" s="1"/>
  <c r="R20" i="18" s="1"/>
  <c r="U20" i="18" s="1"/>
  <c r="O19" i="18"/>
  <c r="N435" i="28" s="1"/>
  <c r="L19" i="18"/>
  <c r="M19" i="18" s="1"/>
  <c r="R19" i="18" s="1"/>
  <c r="S19" i="18" s="1"/>
  <c r="O18" i="18"/>
  <c r="L18" i="18"/>
  <c r="M18" i="18" s="1"/>
  <c r="R18" i="18" s="1"/>
  <c r="O17" i="18"/>
  <c r="N443" i="28" s="1"/>
  <c r="L17" i="18"/>
  <c r="M17" i="18" s="1"/>
  <c r="R17" i="18" s="1"/>
  <c r="N16" i="18"/>
  <c r="O16" i="18" s="1"/>
  <c r="L16" i="18"/>
  <c r="M16" i="18" s="1"/>
  <c r="R16" i="18" s="1"/>
  <c r="O15" i="18"/>
  <c r="P15" i="18" s="1"/>
  <c r="Q15" i="18" s="1"/>
  <c r="L15" i="18"/>
  <c r="M15" i="18" s="1"/>
  <c r="R15" i="18" s="1"/>
  <c r="U15" i="18" s="1"/>
  <c r="B3" i="18"/>
  <c r="R2" i="18" s="1"/>
  <c r="T12" i="18" s="1"/>
  <c r="R1" i="18"/>
  <c r="S21" i="18"/>
  <c r="U25" i="18"/>
  <c r="U26" i="18"/>
  <c r="U45" i="18"/>
  <c r="U31" i="18"/>
  <c r="S34" i="18"/>
  <c r="U34" i="18"/>
  <c r="S157" i="18"/>
  <c r="U157" i="18"/>
  <c r="U266" i="18"/>
  <c r="S266" i="18"/>
  <c r="T266" i="18" s="1"/>
  <c r="S341" i="18"/>
  <c r="T341" i="18" s="1"/>
  <c r="U341" i="18"/>
  <c r="U359" i="18"/>
  <c r="S359" i="18"/>
  <c r="T359" i="18" s="1"/>
  <c r="S362" i="18"/>
  <c r="T362" i="18" s="1"/>
  <c r="U362" i="18"/>
  <c r="S369" i="18"/>
  <c r="S399" i="18"/>
  <c r="T399" i="18" s="1"/>
  <c r="S32" i="18"/>
  <c r="T32" i="18" s="1"/>
  <c r="U56" i="18"/>
  <c r="S137" i="18"/>
  <c r="U137" i="18"/>
  <c r="S28" i="18"/>
  <c r="T28" i="18" s="1"/>
  <c r="U131" i="18"/>
  <c r="S134" i="18"/>
  <c r="T134" i="18" s="1"/>
  <c r="U134" i="18"/>
  <c r="U155" i="18"/>
  <c r="S155" i="18"/>
  <c r="T155" i="18" s="1"/>
  <c r="U139" i="18"/>
  <c r="S139" i="18"/>
  <c r="T139" i="18" s="1"/>
  <c r="U159" i="18"/>
  <c r="S159" i="18"/>
  <c r="U212" i="18"/>
  <c r="U214" i="18"/>
  <c r="S141" i="18"/>
  <c r="S161" i="18"/>
  <c r="U161" i="18"/>
  <c r="U189" i="18"/>
  <c r="S215" i="18"/>
  <c r="T215" i="18" s="1"/>
  <c r="S276" i="18"/>
  <c r="U276" i="18"/>
  <c r="U320" i="18"/>
  <c r="S320" i="18"/>
  <c r="U143" i="18"/>
  <c r="U163" i="18"/>
  <c r="S163" i="18"/>
  <c r="T163" i="18" s="1"/>
  <c r="S234" i="18"/>
  <c r="T234" i="18" s="1"/>
  <c r="U234" i="18"/>
  <c r="S290" i="18"/>
  <c r="T290" i="18" s="1"/>
  <c r="U290" i="18"/>
  <c r="U182" i="18"/>
  <c r="S182" i="18"/>
  <c r="T182" i="18" s="1"/>
  <c r="U183" i="18"/>
  <c r="N225" i="18"/>
  <c r="O221" i="18"/>
  <c r="S257" i="18"/>
  <c r="S258" i="18"/>
  <c r="U259" i="18"/>
  <c r="T259" i="18"/>
  <c r="U270" i="18"/>
  <c r="S270" i="18"/>
  <c r="T270" i="18" s="1"/>
  <c r="U281" i="18"/>
  <c r="S281" i="18"/>
  <c r="T281" i="18" s="1"/>
  <c r="S283" i="18"/>
  <c r="T283" i="18" s="1"/>
  <c r="U283" i="18"/>
  <c r="S287" i="18"/>
  <c r="T287" i="18" s="1"/>
  <c r="U287" i="18"/>
  <c r="S184" i="18"/>
  <c r="T184" i="18" s="1"/>
  <c r="U184" i="18"/>
  <c r="S206" i="18"/>
  <c r="T206" i="18" s="1"/>
  <c r="U206" i="18"/>
  <c r="S222" i="18"/>
  <c r="T222" i="18" s="1"/>
  <c r="S228" i="18"/>
  <c r="U228" i="18"/>
  <c r="U233" i="18"/>
  <c r="S272" i="18"/>
  <c r="U272" i="18"/>
  <c r="S278" i="18"/>
  <c r="T278" i="18" s="1"/>
  <c r="S279" i="18"/>
  <c r="T279" i="18" s="1"/>
  <c r="U282" i="18"/>
  <c r="S282" i="18"/>
  <c r="T282" i="18" s="1"/>
  <c r="U286" i="18"/>
  <c r="S286" i="18"/>
  <c r="S329" i="18"/>
  <c r="T329" i="18" s="1"/>
  <c r="U329" i="18"/>
  <c r="S186" i="18"/>
  <c r="S204" i="18"/>
  <c r="S207" i="18"/>
  <c r="U209" i="18"/>
  <c r="S210" i="18"/>
  <c r="T210" i="18" s="1"/>
  <c r="U220" i="18"/>
  <c r="S220" i="18"/>
  <c r="S229" i="18"/>
  <c r="T229" i="18" s="1"/>
  <c r="U230" i="18"/>
  <c r="S230" i="18"/>
  <c r="T230" i="18" s="1"/>
  <c r="T231" i="18"/>
  <c r="U241" i="18"/>
  <c r="S243" i="18"/>
  <c r="T243" i="18" s="1"/>
  <c r="U248" i="18"/>
  <c r="U257" i="18"/>
  <c r="U269" i="18"/>
  <c r="U274" i="18"/>
  <c r="S274" i="18"/>
  <c r="T274" i="18" s="1"/>
  <c r="S318" i="18"/>
  <c r="S319" i="18"/>
  <c r="T319" i="18" s="1"/>
  <c r="U319" i="18"/>
  <c r="U334" i="18"/>
  <c r="U337" i="18"/>
  <c r="S337" i="18"/>
  <c r="T337" i="18" s="1"/>
  <c r="S338" i="18"/>
  <c r="U338" i="18"/>
  <c r="U289" i="18"/>
  <c r="S313" i="18"/>
  <c r="U323" i="18"/>
  <c r="T323" i="18"/>
  <c r="S335" i="18"/>
  <c r="T335" i="18" s="1"/>
  <c r="U335" i="18"/>
  <c r="S289" i="18"/>
  <c r="T289" i="18" s="1"/>
  <c r="U291" i="18"/>
  <c r="R293" i="18"/>
  <c r="U316" i="18"/>
  <c r="S316" i="18"/>
  <c r="T316" i="18" s="1"/>
  <c r="U333" i="18"/>
  <c r="S333" i="18"/>
  <c r="U339" i="18"/>
  <c r="S339" i="18"/>
  <c r="T339" i="18" s="1"/>
  <c r="U342" i="18"/>
  <c r="S343" i="18"/>
  <c r="T343" i="18" s="1"/>
  <c r="U343" i="18"/>
  <c r="U347" i="18"/>
  <c r="S347" i="18"/>
  <c r="T347" i="18" s="1"/>
  <c r="U351" i="18"/>
  <c r="S351" i="18"/>
  <c r="T351" i="18" s="1"/>
  <c r="S354" i="18"/>
  <c r="T354" i="18" s="1"/>
  <c r="U355" i="18"/>
  <c r="U357" i="18"/>
  <c r="S357" i="18"/>
  <c r="U363" i="18"/>
  <c r="S364" i="18"/>
  <c r="T364" i="18" s="1"/>
  <c r="S370" i="18"/>
  <c r="T370" i="18" s="1"/>
  <c r="U370" i="18"/>
  <c r="S374" i="18"/>
  <c r="U374" i="18"/>
  <c r="S361" i="18"/>
  <c r="U361" i="18"/>
  <c r="U368" i="18"/>
  <c r="S368" i="18"/>
  <c r="T368" i="18" s="1"/>
  <c r="U372" i="18"/>
  <c r="S372" i="18"/>
  <c r="T372" i="18" s="1"/>
  <c r="U377" i="18"/>
  <c r="S377" i="18"/>
  <c r="U381" i="18"/>
  <c r="S381" i="18"/>
  <c r="U403" i="18"/>
  <c r="S403" i="18"/>
  <c r="T403" i="18" s="1"/>
  <c r="U418" i="18"/>
  <c r="S418" i="18"/>
  <c r="U426" i="18"/>
  <c r="S426" i="18"/>
  <c r="U432" i="18"/>
  <c r="S432" i="18"/>
  <c r="T432" i="18" s="1"/>
  <c r="U356" i="18"/>
  <c r="S358" i="18"/>
  <c r="T358" i="18" s="1"/>
  <c r="U358" i="18"/>
  <c r="U360" i="18"/>
  <c r="S360" i="18"/>
  <c r="S375" i="18"/>
  <c r="T375" i="18" s="1"/>
  <c r="U380" i="18"/>
  <c r="S380" i="18"/>
  <c r="T380" i="18" s="1"/>
  <c r="U388" i="18"/>
  <c r="S388" i="18"/>
  <c r="T388" i="18" s="1"/>
  <c r="S383" i="18"/>
  <c r="U392" i="18"/>
  <c r="S401" i="18"/>
  <c r="T401" i="18" s="1"/>
  <c r="U401" i="18"/>
  <c r="S413" i="18"/>
  <c r="U414" i="18"/>
  <c r="U398" i="18"/>
  <c r="U402" i="18"/>
  <c r="S405" i="18"/>
  <c r="T405" i="18" s="1"/>
  <c r="U405" i="18"/>
  <c r="S431" i="18"/>
  <c r="S398" i="18"/>
  <c r="U421" i="18"/>
  <c r="T421" i="18"/>
  <c r="S391" i="18"/>
  <c r="T391" i="18" s="1"/>
  <c r="U400" i="18"/>
  <c r="S402" i="18"/>
  <c r="R409" i="18"/>
  <c r="S409" i="18" s="1"/>
  <c r="R411" i="18"/>
  <c r="S411" i="18" s="1"/>
  <c r="T411" i="18" s="1"/>
  <c r="U411" i="18" s="1"/>
  <c r="U413" i="18"/>
  <c r="S419" i="18"/>
  <c r="T419" i="18" s="1"/>
  <c r="U419" i="18"/>
  <c r="S423" i="18"/>
  <c r="T423" i="18" s="1"/>
  <c r="U423" i="18"/>
  <c r="S427" i="18"/>
  <c r="T427" i="18" s="1"/>
  <c r="U427" i="18"/>
  <c r="U20" i="19"/>
  <c r="S20" i="19"/>
  <c r="T20" i="19" s="1"/>
  <c r="S22" i="19"/>
  <c r="T22" i="19" s="1"/>
  <c r="U22" i="19"/>
  <c r="U27" i="19"/>
  <c r="S14" i="19"/>
  <c r="T14" i="19" s="1"/>
  <c r="U14" i="19"/>
  <c r="U17" i="19"/>
  <c r="S17" i="19"/>
  <c r="T17" i="19" s="1"/>
  <c r="R26" i="19"/>
  <c r="S26" i="19" s="1"/>
  <c r="U16" i="19"/>
  <c r="S16" i="19"/>
  <c r="T16" i="19" s="1"/>
  <c r="U60" i="19"/>
  <c r="S60" i="19"/>
  <c r="T60" i="19" s="1"/>
  <c r="U66" i="19"/>
  <c r="S66" i="19"/>
  <c r="T66" i="19" s="1"/>
  <c r="U69" i="19"/>
  <c r="S69" i="19"/>
  <c r="T69" i="19" s="1"/>
  <c r="O20" i="19"/>
  <c r="U59" i="19"/>
  <c r="S59" i="19"/>
  <c r="T59" i="19" s="1"/>
  <c r="S68" i="19"/>
  <c r="T68" i="19"/>
  <c r="U68" i="19"/>
  <c r="S40" i="19"/>
  <c r="T40" i="19" s="1"/>
  <c r="S58" i="19"/>
  <c r="T58" i="19" s="1"/>
  <c r="U58" i="19"/>
  <c r="R62" i="19"/>
  <c r="U63" i="19"/>
  <c r="S64" i="19"/>
  <c r="T64" i="19" s="1"/>
  <c r="U64" i="19"/>
  <c r="P14" i="19"/>
  <c r="Q14" i="19" s="1"/>
  <c r="S41" i="19"/>
  <c r="T41" i="19" s="1"/>
  <c r="U42" i="19"/>
  <c r="T42" i="19"/>
  <c r="R44" i="19"/>
  <c r="S44" i="19" s="1"/>
  <c r="T44" i="19" s="1"/>
  <c r="U44" i="19" s="1"/>
  <c r="R48" i="19"/>
  <c r="S61" i="19"/>
  <c r="T61" i="19" s="1"/>
  <c r="U61" i="19"/>
  <c r="U70" i="19"/>
  <c r="S70" i="19"/>
  <c r="T70" i="19" s="1"/>
  <c r="U72" i="19"/>
  <c r="S72" i="19"/>
  <c r="T72" i="19" s="1"/>
  <c r="U133" i="19"/>
  <c r="S133" i="19"/>
  <c r="T133" i="19" s="1"/>
  <c r="S77" i="19"/>
  <c r="T77" i="19" s="1"/>
  <c r="U78" i="19"/>
  <c r="S78" i="19"/>
  <c r="T78" i="19" s="1"/>
  <c r="R93" i="19"/>
  <c r="S93" i="19" s="1"/>
  <c r="U120" i="19"/>
  <c r="S120" i="19"/>
  <c r="T120" i="19" s="1"/>
  <c r="R94" i="19"/>
  <c r="S94" i="19" s="1"/>
  <c r="T94" i="19" s="1"/>
  <c r="U94" i="19" s="1"/>
  <c r="U143" i="19"/>
  <c r="S143" i="19"/>
  <c r="T143" i="19" s="1"/>
  <c r="R95" i="19"/>
  <c r="S95" i="19" s="1"/>
  <c r="R104" i="19"/>
  <c r="S104" i="19" s="1"/>
  <c r="T104" i="19" s="1"/>
  <c r="U104" i="19" s="1"/>
  <c r="P101" i="19"/>
  <c r="P109" i="19" s="1"/>
  <c r="P120" i="19"/>
  <c r="O112" i="19"/>
  <c r="P112" i="19" s="1"/>
  <c r="Q120" i="19"/>
  <c r="S48" i="19"/>
  <c r="P221" i="18"/>
  <c r="Q221" i="18" s="1"/>
  <c r="O22" i="18"/>
  <c r="N15" i="28" s="1"/>
  <c r="P43" i="18"/>
  <c r="Q43" i="18" s="1"/>
  <c r="R98" i="18"/>
  <c r="S98" i="18" s="1"/>
  <c r="P289" i="18"/>
  <c r="Q289" i="18" s="1"/>
  <c r="P41" i="18"/>
  <c r="Q41" i="18" s="1"/>
  <c r="P42" i="18"/>
  <c r="Q42" i="18" s="1"/>
  <c r="R167" i="18"/>
  <c r="S167" i="18" s="1"/>
  <c r="T167" i="18" s="1"/>
  <c r="R303" i="18"/>
  <c r="S303" i="18" s="1"/>
  <c r="P132" i="18"/>
  <c r="Q132" i="18" s="1"/>
  <c r="P206" i="18"/>
  <c r="Q206" i="18" s="1"/>
  <c r="P209" i="18"/>
  <c r="Q209" i="18" s="1"/>
  <c r="O255" i="18"/>
  <c r="P265" i="18"/>
  <c r="P267" i="18"/>
  <c r="Q267" i="18" s="1"/>
  <c r="P269" i="18"/>
  <c r="Q269" i="18" s="1"/>
  <c r="P273" i="18"/>
  <c r="Q273" i="18"/>
  <c r="P290" i="18"/>
  <c r="Q290" i="18" s="1"/>
  <c r="O291" i="18"/>
  <c r="R407" i="18"/>
  <c r="S407" i="18" s="1"/>
  <c r="P134" i="18"/>
  <c r="Q134" i="18" s="1"/>
  <c r="S291" i="18"/>
  <c r="S379" i="18"/>
  <c r="U379" i="18"/>
  <c r="S390" i="18"/>
  <c r="T390" i="18" s="1"/>
  <c r="U390" i="18"/>
  <c r="P183" i="18"/>
  <c r="Q183" i="18" s="1"/>
  <c r="P185" i="18"/>
  <c r="Q185" i="18" s="1"/>
  <c r="P205" i="18"/>
  <c r="Q205" i="18" s="1"/>
  <c r="P272" i="18"/>
  <c r="Q272" i="18" s="1"/>
  <c r="P287" i="18"/>
  <c r="Q287" i="18" s="1"/>
  <c r="P266" i="18"/>
  <c r="Q266" i="18" s="1"/>
  <c r="P270" i="18"/>
  <c r="Q270" i="18" s="1"/>
  <c r="P278" i="18"/>
  <c r="Q278" i="18" s="1"/>
  <c r="R415" i="18"/>
  <c r="S415" i="18" s="1"/>
  <c r="U417" i="18"/>
  <c r="R28" i="19"/>
  <c r="S28" i="19" s="1"/>
  <c r="R34" i="19"/>
  <c r="S34" i="19" s="1"/>
  <c r="T34" i="19" s="1"/>
  <c r="U34" i="19" s="1"/>
  <c r="P42" i="19"/>
  <c r="Q42" i="19" s="1"/>
  <c r="N109" i="19"/>
  <c r="N117" i="19"/>
  <c r="Q265" i="18"/>
  <c r="S66" i="18" l="1"/>
  <c r="U66" i="18"/>
  <c r="S47" i="18"/>
  <c r="T47" i="18" s="1"/>
  <c r="U59" i="18"/>
  <c r="S43" i="18"/>
  <c r="T43" i="18" s="1"/>
  <c r="R82" i="18"/>
  <c r="R106" i="18"/>
  <c r="S106" i="18" s="1"/>
  <c r="R115" i="18"/>
  <c r="S115" i="18" s="1"/>
  <c r="R164" i="18"/>
  <c r="R168" i="18"/>
  <c r="S168" i="18" s="1"/>
  <c r="R74" i="19"/>
  <c r="R107" i="18"/>
  <c r="S107" i="18" s="1"/>
  <c r="P32" i="18"/>
  <c r="Q32" i="18" s="1"/>
  <c r="P24" i="18"/>
  <c r="Q24" i="18" s="1"/>
  <c r="S51" i="18"/>
  <c r="T51" i="18" s="1"/>
  <c r="S50" i="18"/>
  <c r="T50" i="18" s="1"/>
  <c r="T45" i="18"/>
  <c r="R91" i="18"/>
  <c r="S91" i="18" s="1"/>
  <c r="T91" i="18" s="1"/>
  <c r="R93" i="18"/>
  <c r="R105" i="18"/>
  <c r="S105" i="18" s="1"/>
  <c r="R114" i="18"/>
  <c r="S114" i="18" s="1"/>
  <c r="R124" i="18"/>
  <c r="S131" i="18"/>
  <c r="R245" i="18"/>
  <c r="R260" i="18"/>
  <c r="R348" i="18"/>
  <c r="S348" i="18" s="1"/>
  <c r="T348" i="18" s="1"/>
  <c r="T400" i="18"/>
  <c r="R416" i="18"/>
  <c r="R85" i="19"/>
  <c r="S85" i="19" s="1"/>
  <c r="S136" i="19"/>
  <c r="T136" i="19" s="1"/>
  <c r="U136" i="19"/>
  <c r="N491" i="28"/>
  <c r="P228" i="18"/>
  <c r="Q228" i="18" s="1"/>
  <c r="S378" i="18"/>
  <c r="T378" i="18" s="1"/>
  <c r="S330" i="18"/>
  <c r="N252" i="18"/>
  <c r="P208" i="18"/>
  <c r="Q208" i="18" s="1"/>
  <c r="P220" i="18"/>
  <c r="P225" i="18" s="1"/>
  <c r="P276" i="18"/>
  <c r="Q276" i="18" s="1"/>
  <c r="O252" i="18"/>
  <c r="T26" i="18"/>
  <c r="T232" i="18"/>
  <c r="T249" i="18"/>
  <c r="T268" i="18"/>
  <c r="S353" i="18"/>
  <c r="T353" i="18" s="1"/>
  <c r="R103" i="19"/>
  <c r="S103" i="19" s="1"/>
  <c r="T103" i="19" s="1"/>
  <c r="R107" i="19"/>
  <c r="S107" i="19" s="1"/>
  <c r="T107" i="19" s="1"/>
  <c r="R139" i="19"/>
  <c r="S139" i="19" s="1"/>
  <c r="T139" i="19" s="1"/>
  <c r="P268" i="18"/>
  <c r="Q268" i="18" s="1"/>
  <c r="P137" i="18"/>
  <c r="Q137" i="18" s="1"/>
  <c r="P40" i="18"/>
  <c r="Q40" i="18" s="1"/>
  <c r="U420" i="18"/>
  <c r="U412" i="18"/>
  <c r="S340" i="18"/>
  <c r="T340" i="18" s="1"/>
  <c r="T204" i="18"/>
  <c r="S212" i="18"/>
  <c r="S136" i="18"/>
  <c r="R201" i="18"/>
  <c r="R76" i="18"/>
  <c r="R88" i="18"/>
  <c r="S88" i="18" s="1"/>
  <c r="T88" i="18" s="1"/>
  <c r="R103" i="18"/>
  <c r="S103" i="18" s="1"/>
  <c r="T103" i="18" s="1"/>
  <c r="R150" i="18"/>
  <c r="S150" i="18" s="1"/>
  <c r="R349" i="18"/>
  <c r="S349" i="18" s="1"/>
  <c r="R424" i="18"/>
  <c r="S15" i="18"/>
  <c r="T15" i="18" s="1"/>
  <c r="P44" i="18"/>
  <c r="Q44" i="18" s="1"/>
  <c r="U19" i="19"/>
  <c r="U336" i="18"/>
  <c r="U292" i="18"/>
  <c r="T34" i="18"/>
  <c r="R73" i="18"/>
  <c r="S73" i="18" s="1"/>
  <c r="T73" i="18" s="1"/>
  <c r="U73" i="18" s="1"/>
  <c r="R77" i="18"/>
  <c r="S77" i="18" s="1"/>
  <c r="R96" i="18"/>
  <c r="S96" i="18" s="1"/>
  <c r="R125" i="18"/>
  <c r="S125" i="18" s="1"/>
  <c r="T125" i="18" s="1"/>
  <c r="R193" i="18"/>
  <c r="R397" i="18"/>
  <c r="S397" i="18" s="1"/>
  <c r="T397" i="18" s="1"/>
  <c r="U397" i="18" s="1"/>
  <c r="S371" i="18"/>
  <c r="T371" i="18" s="1"/>
  <c r="S185" i="18"/>
  <c r="T185" i="18" s="1"/>
  <c r="U23" i="18"/>
  <c r="R111" i="18"/>
  <c r="S111" i="18" s="1"/>
  <c r="S288" i="18"/>
  <c r="P25" i="18"/>
  <c r="Q25" i="18" s="1"/>
  <c r="O109" i="19"/>
  <c r="T220" i="18"/>
  <c r="T183" i="18"/>
  <c r="T161" i="18"/>
  <c r="T137" i="18"/>
  <c r="T56" i="18"/>
  <c r="R74" i="18"/>
  <c r="S74" i="18" s="1"/>
  <c r="T74" i="18" s="1"/>
  <c r="U74" i="18" s="1"/>
  <c r="S363" i="18"/>
  <c r="T363" i="18" s="1"/>
  <c r="S25" i="19"/>
  <c r="T25" i="19" s="1"/>
  <c r="R33" i="19"/>
  <c r="S33" i="19" s="1"/>
  <c r="R45" i="19"/>
  <c r="S45" i="19" s="1"/>
  <c r="T45" i="19" s="1"/>
  <c r="R49" i="19"/>
  <c r="S49" i="19" s="1"/>
  <c r="T228" i="18"/>
  <c r="O262" i="18"/>
  <c r="U15" i="19"/>
  <c r="T361" i="18"/>
  <c r="T272" i="18"/>
  <c r="T276" i="18"/>
  <c r="T157" i="18"/>
  <c r="U42" i="18"/>
  <c r="S284" i="18"/>
  <c r="P133" i="18"/>
  <c r="Q133" i="18" s="1"/>
  <c r="S324" i="18"/>
  <c r="P204" i="18"/>
  <c r="Q204" i="18" s="1"/>
  <c r="U132" i="18"/>
  <c r="R60" i="18"/>
  <c r="S60" i="18" s="1"/>
  <c r="R67" i="18"/>
  <c r="S67" i="18" s="1"/>
  <c r="T67" i="18" s="1"/>
  <c r="U67" i="18" s="1"/>
  <c r="R71" i="18"/>
  <c r="S71" i="18" s="1"/>
  <c r="R83" i="18"/>
  <c r="S83" i="18" s="1"/>
  <c r="S199" i="18"/>
  <c r="R122" i="19"/>
  <c r="S122" i="19" s="1"/>
  <c r="P55" i="18"/>
  <c r="Q55" i="18" s="1"/>
  <c r="N217" i="28"/>
  <c r="S110" i="18"/>
  <c r="T110" i="18" s="1"/>
  <c r="U110" i="18" s="1"/>
  <c r="U23" i="19"/>
  <c r="S23" i="19"/>
  <c r="T23" i="19" s="1"/>
  <c r="S76" i="18"/>
  <c r="T76" i="18"/>
  <c r="U76" i="18" s="1"/>
  <c r="U138" i="18"/>
  <c r="S138" i="18"/>
  <c r="T138" i="18" s="1"/>
  <c r="R172" i="18"/>
  <c r="S172" i="18" s="1"/>
  <c r="S424" i="18"/>
  <c r="T424" i="18" s="1"/>
  <c r="U424" i="18" s="1"/>
  <c r="N441" i="28"/>
  <c r="P16" i="18"/>
  <c r="Q16" i="18" s="1"/>
  <c r="P180" i="18"/>
  <c r="Q180" i="18" s="1"/>
  <c r="N195" i="28"/>
  <c r="S57" i="18"/>
  <c r="T57" i="18" s="1"/>
  <c r="U57" i="18"/>
  <c r="S193" i="18"/>
  <c r="T193" i="18" s="1"/>
  <c r="S201" i="18"/>
  <c r="T199" i="18"/>
  <c r="T201" i="18" s="1"/>
  <c r="T431" i="18"/>
  <c r="T383" i="18"/>
  <c r="T381" i="18"/>
  <c r="T357" i="18"/>
  <c r="T318" i="18"/>
  <c r="T258" i="18"/>
  <c r="S246" i="18"/>
  <c r="T246" i="18" s="1"/>
  <c r="U231" i="18"/>
  <c r="T209" i="18"/>
  <c r="T186" i="18"/>
  <c r="S277" i="18"/>
  <c r="T277" i="18" s="1"/>
  <c r="S250" i="18"/>
  <c r="S213" i="18"/>
  <c r="T213" i="18" s="1"/>
  <c r="S188" i="18"/>
  <c r="T188" i="18" s="1"/>
  <c r="U265" i="18"/>
  <c r="S142" i="18"/>
  <c r="T142" i="18" s="1"/>
  <c r="U221" i="18"/>
  <c r="T160" i="18"/>
  <c r="T136" i="18"/>
  <c r="U27" i="18"/>
  <c r="S44" i="18"/>
  <c r="T44" i="18" s="1"/>
  <c r="N501" i="28"/>
  <c r="O501" i="28" s="1"/>
  <c r="P501" i="28" s="1"/>
  <c r="Q501" i="28" s="1"/>
  <c r="S501" i="28" s="1"/>
  <c r="O500" i="28"/>
  <c r="P500" i="28" s="1"/>
  <c r="Q500" i="28" s="1"/>
  <c r="T500" i="28"/>
  <c r="U500" i="28" s="1"/>
  <c r="W500" i="28" s="1"/>
  <c r="P29" i="18"/>
  <c r="Q29" i="18" s="1"/>
  <c r="N449" i="28"/>
  <c r="N553" i="28"/>
  <c r="O553" i="28" s="1"/>
  <c r="P553" i="28" s="1"/>
  <c r="Q553" i="28" s="1"/>
  <c r="S553" i="28" s="1"/>
  <c r="O552" i="28"/>
  <c r="P552" i="28" s="1"/>
  <c r="Q552" i="28" s="1"/>
  <c r="T552" i="28"/>
  <c r="U552" i="28" s="1"/>
  <c r="W552" i="28" s="1"/>
  <c r="P36" i="18"/>
  <c r="Q36" i="18" s="1"/>
  <c r="N22" i="28"/>
  <c r="N25" i="28"/>
  <c r="O25" i="28" s="1"/>
  <c r="P25" i="28" s="1"/>
  <c r="Q25" i="28" s="1"/>
  <c r="S25" i="28" s="1"/>
  <c r="O24" i="28"/>
  <c r="P24" i="28" s="1"/>
  <c r="Q24" i="28" s="1"/>
  <c r="T24" i="28"/>
  <c r="U24" i="28" s="1"/>
  <c r="W24" i="28" s="1"/>
  <c r="N29" i="28"/>
  <c r="O29" i="28" s="1"/>
  <c r="P29" i="28" s="1"/>
  <c r="Q29" i="28" s="1"/>
  <c r="S29" i="28" s="1"/>
  <c r="O28" i="28"/>
  <c r="P28" i="28" s="1"/>
  <c r="Q28" i="28" s="1"/>
  <c r="T28" i="28"/>
  <c r="U28" i="28" s="1"/>
  <c r="W28" i="28" s="1"/>
  <c r="N532" i="28"/>
  <c r="O531" i="28"/>
  <c r="P531" i="28" s="1"/>
  <c r="Q531" i="28" s="1"/>
  <c r="T531" i="28"/>
  <c r="U531" i="28" s="1"/>
  <c r="W531" i="28" s="1"/>
  <c r="N203" i="28"/>
  <c r="O203" i="28" s="1"/>
  <c r="P203" i="28" s="1"/>
  <c r="Q203" i="28" s="1"/>
  <c r="S203" i="28" s="1"/>
  <c r="O202" i="28"/>
  <c r="P202" i="28" s="1"/>
  <c r="Q202" i="28" s="1"/>
  <c r="T202" i="28"/>
  <c r="U202" i="28" s="1"/>
  <c r="W202" i="28" s="1"/>
  <c r="N207" i="28"/>
  <c r="O207" i="28" s="1"/>
  <c r="P207" i="28" s="1"/>
  <c r="Q207" i="28" s="1"/>
  <c r="S207" i="28" s="1"/>
  <c r="O206" i="28"/>
  <c r="P206" i="28" s="1"/>
  <c r="Q206" i="28" s="1"/>
  <c r="T206" i="28"/>
  <c r="U206" i="28" s="1"/>
  <c r="W206" i="28" s="1"/>
  <c r="P48" i="18"/>
  <c r="Q48" i="18" s="1"/>
  <c r="N210" i="28"/>
  <c r="N540" i="28"/>
  <c r="O540" i="28" s="1"/>
  <c r="P540" i="28" s="1"/>
  <c r="Q540" i="28" s="1"/>
  <c r="S540" i="28" s="1"/>
  <c r="T540" i="28" s="1"/>
  <c r="U540" i="28" s="1"/>
  <c r="W540" i="28" s="1"/>
  <c r="O539" i="28"/>
  <c r="P539" i="28" s="1"/>
  <c r="Q539" i="28" s="1"/>
  <c r="T539" i="28"/>
  <c r="U539" i="28" s="1"/>
  <c r="W539" i="28" s="1"/>
  <c r="N544" i="28"/>
  <c r="O544" i="28" s="1"/>
  <c r="P544" i="28" s="1"/>
  <c r="Q544" i="28" s="1"/>
  <c r="S544" i="28" s="1"/>
  <c r="T544" i="28" s="1"/>
  <c r="U544" i="28" s="1"/>
  <c r="W544" i="28" s="1"/>
  <c r="O543" i="28"/>
  <c r="P543" i="28" s="1"/>
  <c r="Q543" i="28" s="1"/>
  <c r="T543" i="28"/>
  <c r="U543" i="28" s="1"/>
  <c r="W543" i="28" s="1"/>
  <c r="N298" i="28"/>
  <c r="O298" i="28" s="1"/>
  <c r="P298" i="28" s="1"/>
  <c r="Q298" i="28" s="1"/>
  <c r="S298" i="28" s="1"/>
  <c r="O297" i="28"/>
  <c r="T297" i="28"/>
  <c r="N534" i="28"/>
  <c r="O534" i="28" s="1"/>
  <c r="P534" i="28" s="1"/>
  <c r="Q534" i="28" s="1"/>
  <c r="S534" i="28" s="1"/>
  <c r="O533" i="28"/>
  <c r="P533" i="28" s="1"/>
  <c r="Q533" i="28" s="1"/>
  <c r="T533" i="28"/>
  <c r="U533" i="28" s="1"/>
  <c r="W533" i="28" s="1"/>
  <c r="R235" i="18"/>
  <c r="N301" i="28"/>
  <c r="O301" i="28" s="1"/>
  <c r="P301" i="28" s="1"/>
  <c r="Q301" i="28" s="1"/>
  <c r="S301" i="28" s="1"/>
  <c r="O300" i="28"/>
  <c r="P300" i="28" s="1"/>
  <c r="Q300" i="28" s="1"/>
  <c r="S300" i="28" s="1"/>
  <c r="N325" i="28"/>
  <c r="O325" i="28" s="1"/>
  <c r="P325" i="28" s="1"/>
  <c r="Q325" i="28" s="1"/>
  <c r="S325" i="28" s="1"/>
  <c r="O324" i="28"/>
  <c r="T324" i="28"/>
  <c r="N329" i="28"/>
  <c r="O329" i="28" s="1"/>
  <c r="P329" i="28" s="1"/>
  <c r="Q329" i="28" s="1"/>
  <c r="S329" i="28" s="1"/>
  <c r="O328" i="28"/>
  <c r="P328" i="28" s="1"/>
  <c r="Q328" i="28" s="1"/>
  <c r="T328" i="28"/>
  <c r="U328" i="28" s="1"/>
  <c r="W328" i="28" s="1"/>
  <c r="N455" i="28"/>
  <c r="O455" i="28" s="1"/>
  <c r="P455" i="28" s="1"/>
  <c r="Q455" i="28" s="1"/>
  <c r="S455" i="28" s="1"/>
  <c r="T455" i="28" s="1"/>
  <c r="U455" i="28" s="1"/>
  <c r="W455" i="28" s="1"/>
  <c r="O454" i="28"/>
  <c r="P454" i="28" s="1"/>
  <c r="Q454" i="28" s="1"/>
  <c r="T454" i="28"/>
  <c r="U454" i="28" s="1"/>
  <c r="W454" i="28" s="1"/>
  <c r="N333" i="28"/>
  <c r="O333" i="28" s="1"/>
  <c r="P333" i="28" s="1"/>
  <c r="Q333" i="28" s="1"/>
  <c r="S333" i="28" s="1"/>
  <c r="O332" i="28"/>
  <c r="P332" i="28" s="1"/>
  <c r="Q332" i="28" s="1"/>
  <c r="T332" i="28"/>
  <c r="U332" i="28" s="1"/>
  <c r="W332" i="28" s="1"/>
  <c r="N462" i="28"/>
  <c r="O462" i="28" s="1"/>
  <c r="P462" i="28" s="1"/>
  <c r="Q462" i="28" s="1"/>
  <c r="S462" i="28" s="1"/>
  <c r="T462" i="28" s="1"/>
  <c r="U462" i="28" s="1"/>
  <c r="W462" i="28" s="1"/>
  <c r="O461" i="28"/>
  <c r="P461" i="28" s="1"/>
  <c r="Q461" i="28" s="1"/>
  <c r="T461" i="28"/>
  <c r="U461" i="28" s="1"/>
  <c r="W461" i="28" s="1"/>
  <c r="N337" i="28"/>
  <c r="O337" i="28" s="1"/>
  <c r="P337" i="28" s="1"/>
  <c r="Q337" i="28" s="1"/>
  <c r="S337" i="28" s="1"/>
  <c r="O336" i="28"/>
  <c r="P336" i="28" s="1"/>
  <c r="Q336" i="28" s="1"/>
  <c r="T336" i="28"/>
  <c r="U336" i="28" s="1"/>
  <c r="W336" i="28" s="1"/>
  <c r="P277" i="18"/>
  <c r="Q277" i="18" s="1"/>
  <c r="N340" i="28"/>
  <c r="P43" i="19"/>
  <c r="Q43" i="19" s="1"/>
  <c r="N49" i="30"/>
  <c r="R79" i="19"/>
  <c r="S79" i="19" s="1"/>
  <c r="T79" i="19" s="1"/>
  <c r="U79" i="19" s="1"/>
  <c r="R81" i="19"/>
  <c r="N156" i="30"/>
  <c r="O156" i="30" s="1"/>
  <c r="P156" i="30" s="1"/>
  <c r="Q156" i="30" s="1"/>
  <c r="S156" i="30" s="1"/>
  <c r="S160" i="30" s="1"/>
  <c r="E77" i="27" s="1"/>
  <c r="BL77" i="27" s="1"/>
  <c r="O155" i="30"/>
  <c r="T155" i="30"/>
  <c r="N444" i="28"/>
  <c r="O444" i="28" s="1"/>
  <c r="P444" i="28" s="1"/>
  <c r="Q444" i="28" s="1"/>
  <c r="S444" i="28" s="1"/>
  <c r="T444" i="28" s="1"/>
  <c r="U444" i="28" s="1"/>
  <c r="W444" i="28" s="1"/>
  <c r="O443" i="28"/>
  <c r="P443" i="28" s="1"/>
  <c r="Q443" i="28" s="1"/>
  <c r="T443" i="28"/>
  <c r="U443" i="28" s="1"/>
  <c r="W443" i="28" s="1"/>
  <c r="N372" i="28"/>
  <c r="O372" i="28" s="1"/>
  <c r="P372" i="28" s="1"/>
  <c r="Q372" i="28" s="1"/>
  <c r="S372" i="28" s="1"/>
  <c r="O371" i="28"/>
  <c r="P371" i="28" s="1"/>
  <c r="Q371" i="28" s="1"/>
  <c r="T371" i="28"/>
  <c r="U371" i="28" s="1"/>
  <c r="W371" i="28" s="1"/>
  <c r="N499" i="28"/>
  <c r="O499" i="28" s="1"/>
  <c r="P499" i="28" s="1"/>
  <c r="Q499" i="28" s="1"/>
  <c r="S499" i="28" s="1"/>
  <c r="T499" i="28" s="1"/>
  <c r="U499" i="28" s="1"/>
  <c r="W499" i="28" s="1"/>
  <c r="O498" i="28"/>
  <c r="P498" i="28" s="1"/>
  <c r="Q498" i="28" s="1"/>
  <c r="T498" i="28"/>
  <c r="U498" i="28" s="1"/>
  <c r="W498" i="28" s="1"/>
  <c r="N509" i="28"/>
  <c r="O509" i="28" s="1"/>
  <c r="P509" i="28" s="1"/>
  <c r="Q509" i="28" s="1"/>
  <c r="S509" i="28" s="1"/>
  <c r="O508" i="28"/>
  <c r="P508" i="28" s="1"/>
  <c r="Q508" i="28" s="1"/>
  <c r="T508" i="28"/>
  <c r="U508" i="28" s="1"/>
  <c r="W508" i="28" s="1"/>
  <c r="N415" i="28"/>
  <c r="O415" i="28" s="1"/>
  <c r="P415" i="28" s="1"/>
  <c r="Q415" i="28" s="1"/>
  <c r="S415" i="28" s="1"/>
  <c r="T415" i="28" s="1"/>
  <c r="U415" i="28" s="1"/>
  <c r="W415" i="28" s="1"/>
  <c r="O414" i="28"/>
  <c r="P414" i="28" s="1"/>
  <c r="Q414" i="28" s="1"/>
  <c r="T414" i="28"/>
  <c r="U414" i="28" s="1"/>
  <c r="W414" i="28" s="1"/>
  <c r="N413" i="28"/>
  <c r="O413" i="28" s="1"/>
  <c r="P413" i="28" s="1"/>
  <c r="Q413" i="28" s="1"/>
  <c r="S413" i="28" s="1"/>
  <c r="T413" i="28" s="1"/>
  <c r="U413" i="28" s="1"/>
  <c r="W413" i="28" s="1"/>
  <c r="O412" i="28"/>
  <c r="P412" i="28" s="1"/>
  <c r="Q412" i="28" s="1"/>
  <c r="T412" i="28"/>
  <c r="U412" i="28" s="1"/>
  <c r="W412" i="28" s="1"/>
  <c r="N420" i="28"/>
  <c r="O420" i="28" s="1"/>
  <c r="P420" i="28" s="1"/>
  <c r="Q420" i="28" s="1"/>
  <c r="S420" i="28" s="1"/>
  <c r="T420" i="28" s="1"/>
  <c r="U420" i="28" s="1"/>
  <c r="W420" i="28" s="1"/>
  <c r="O419" i="28"/>
  <c r="P419" i="28" s="1"/>
  <c r="Q419" i="28" s="1"/>
  <c r="T419" i="28"/>
  <c r="U419" i="28" s="1"/>
  <c r="W419" i="28" s="1"/>
  <c r="N464" i="28"/>
  <c r="O464" i="28" s="1"/>
  <c r="P464" i="28" s="1"/>
  <c r="Q464" i="28" s="1"/>
  <c r="S464" i="28" s="1"/>
  <c r="T464" i="28" s="1"/>
  <c r="U464" i="28" s="1"/>
  <c r="W464" i="28" s="1"/>
  <c r="O463" i="28"/>
  <c r="P463" i="28" s="1"/>
  <c r="Q463" i="28" s="1"/>
  <c r="T463" i="28"/>
  <c r="U463" i="28" s="1"/>
  <c r="W463" i="28" s="1"/>
  <c r="N354" i="28"/>
  <c r="O354" i="28" s="1"/>
  <c r="P354" i="28" s="1"/>
  <c r="Q354" i="28" s="1"/>
  <c r="S354" i="28" s="1"/>
  <c r="O353" i="28"/>
  <c r="P353" i="28" s="1"/>
  <c r="Q353" i="28" s="1"/>
  <c r="T353" i="28"/>
  <c r="U353" i="28" s="1"/>
  <c r="W353" i="28" s="1"/>
  <c r="N457" i="28"/>
  <c r="O457" i="28" s="1"/>
  <c r="P457" i="28" s="1"/>
  <c r="Q457" i="28" s="1"/>
  <c r="S457" i="28" s="1"/>
  <c r="T457" i="28" s="1"/>
  <c r="U457" i="28" s="1"/>
  <c r="W457" i="28" s="1"/>
  <c r="O456" i="28"/>
  <c r="P456" i="28" s="1"/>
  <c r="Q456" i="28" s="1"/>
  <c r="T456" i="28"/>
  <c r="U456" i="28" s="1"/>
  <c r="W456" i="28" s="1"/>
  <c r="P286" i="18"/>
  <c r="Q286" i="18" s="1"/>
  <c r="S75" i="19"/>
  <c r="T75" i="19" s="1"/>
  <c r="U25" i="19"/>
  <c r="S414" i="18"/>
  <c r="U365" i="18"/>
  <c r="T418" i="18"/>
  <c r="T377" i="18"/>
  <c r="N217" i="18"/>
  <c r="P186" i="18"/>
  <c r="Q186" i="18" s="1"/>
  <c r="T379" i="18"/>
  <c r="T284" i="18"/>
  <c r="P184" i="18"/>
  <c r="Q184" i="18" s="1"/>
  <c r="T288" i="18"/>
  <c r="N16" i="28"/>
  <c r="O15" i="28"/>
  <c r="P15" i="28" s="1"/>
  <c r="Q15" i="28" s="1"/>
  <c r="T15" i="28"/>
  <c r="U15" i="28" s="1"/>
  <c r="W15" i="28" s="1"/>
  <c r="N97" i="19"/>
  <c r="S142" i="19"/>
  <c r="T142" i="19" s="1"/>
  <c r="U121" i="19"/>
  <c r="S63" i="19"/>
  <c r="T63" i="19" s="1"/>
  <c r="U43" i="19"/>
  <c r="T402" i="18"/>
  <c r="T412" i="18"/>
  <c r="S389" i="18"/>
  <c r="T389" i="18" s="1"/>
  <c r="U385" i="18"/>
  <c r="T352" i="18"/>
  <c r="T330" i="18"/>
  <c r="T292" i="18"/>
  <c r="T334" i="18"/>
  <c r="T275" i="18"/>
  <c r="T286" i="18"/>
  <c r="U242" i="18"/>
  <c r="S317" i="18"/>
  <c r="T317" i="18" s="1"/>
  <c r="U271" i="18"/>
  <c r="T265" i="18"/>
  <c r="N492" i="28"/>
  <c r="O492" i="28" s="1"/>
  <c r="P492" i="28" s="1"/>
  <c r="Q492" i="28" s="1"/>
  <c r="S492" i="28" s="1"/>
  <c r="T492" i="28" s="1"/>
  <c r="U492" i="28" s="1"/>
  <c r="W492" i="28" s="1"/>
  <c r="O491" i="28"/>
  <c r="P491" i="28" s="1"/>
  <c r="Q491" i="28" s="1"/>
  <c r="T491" i="28"/>
  <c r="U491" i="28" s="1"/>
  <c r="W491" i="28" s="1"/>
  <c r="S162" i="18"/>
  <c r="T162" i="18" s="1"/>
  <c r="N148" i="28"/>
  <c r="O148" i="28" s="1"/>
  <c r="P148" i="28" s="1"/>
  <c r="Q148" i="28" s="1"/>
  <c r="S148" i="28" s="1"/>
  <c r="O147" i="28"/>
  <c r="T147" i="28"/>
  <c r="S221" i="18"/>
  <c r="T221" i="18" s="1"/>
  <c r="U160" i="18"/>
  <c r="U46" i="18"/>
  <c r="S373" i="18"/>
  <c r="T373" i="18" s="1"/>
  <c r="S61" i="18"/>
  <c r="T61" i="18" s="1"/>
  <c r="S20" i="18"/>
  <c r="T20" i="18" s="1"/>
  <c r="P18" i="18"/>
  <c r="Q18" i="18" s="1"/>
  <c r="N437" i="28"/>
  <c r="N536" i="28"/>
  <c r="O536" i="28" s="1"/>
  <c r="P536" i="28" s="1"/>
  <c r="Q536" i="28" s="1"/>
  <c r="S536" i="28" s="1"/>
  <c r="O535" i="28"/>
  <c r="T535" i="28"/>
  <c r="N370" i="28"/>
  <c r="O369" i="28"/>
  <c r="T369" i="28"/>
  <c r="N507" i="28"/>
  <c r="O507" i="28" s="1"/>
  <c r="P507" i="28" s="1"/>
  <c r="Q507" i="28" s="1"/>
  <c r="S507" i="28" s="1"/>
  <c r="T507" i="28" s="1"/>
  <c r="U507" i="28" s="1"/>
  <c r="W507" i="28" s="1"/>
  <c r="O506" i="28"/>
  <c r="P506" i="28" s="1"/>
  <c r="Q506" i="28" s="1"/>
  <c r="T506" i="28"/>
  <c r="U506" i="28" s="1"/>
  <c r="W506" i="28" s="1"/>
  <c r="P56" i="18"/>
  <c r="Q56" i="18" s="1"/>
  <c r="N375" i="28"/>
  <c r="N402" i="28"/>
  <c r="O402" i="28" s="1"/>
  <c r="P402" i="28" s="1"/>
  <c r="Q402" i="28" s="1"/>
  <c r="S402" i="28" s="1"/>
  <c r="T402" i="28" s="1"/>
  <c r="U402" i="28" s="1"/>
  <c r="W402" i="28" s="1"/>
  <c r="O401" i="28"/>
  <c r="P401" i="28" s="1"/>
  <c r="Q401" i="28" s="1"/>
  <c r="T401" i="28"/>
  <c r="U401" i="28" s="1"/>
  <c r="W401" i="28" s="1"/>
  <c r="N151" i="28"/>
  <c r="O151" i="28" s="1"/>
  <c r="P151" i="28" s="1"/>
  <c r="Q151" i="28" s="1"/>
  <c r="S151" i="28" s="1"/>
  <c r="O150" i="28"/>
  <c r="P150" i="28" s="1"/>
  <c r="Q150" i="28" s="1"/>
  <c r="T150" i="28"/>
  <c r="U150" i="28" s="1"/>
  <c r="W150" i="28" s="1"/>
  <c r="P179" i="18"/>
  <c r="Q179" i="18" s="1"/>
  <c r="N424" i="28"/>
  <c r="P181" i="18"/>
  <c r="Q181" i="18" s="1"/>
  <c r="N446" i="28"/>
  <c r="N411" i="28"/>
  <c r="O411" i="28" s="1"/>
  <c r="P411" i="28" s="1"/>
  <c r="Q411" i="28" s="1"/>
  <c r="S411" i="28" s="1"/>
  <c r="T411" i="28" s="1"/>
  <c r="U411" i="28" s="1"/>
  <c r="W411" i="28" s="1"/>
  <c r="O410" i="28"/>
  <c r="P410" i="28" s="1"/>
  <c r="Q410" i="28" s="1"/>
  <c r="T410" i="28"/>
  <c r="U410" i="28" s="1"/>
  <c r="W410" i="28" s="1"/>
  <c r="N505" i="28"/>
  <c r="O505" i="28" s="1"/>
  <c r="P505" i="28" s="1"/>
  <c r="Q505" i="28" s="1"/>
  <c r="S505" i="28" s="1"/>
  <c r="O504" i="28"/>
  <c r="P504" i="28" s="1"/>
  <c r="Q504" i="28" s="1"/>
  <c r="T504" i="28"/>
  <c r="U504" i="28" s="1"/>
  <c r="W504" i="28" s="1"/>
  <c r="N427" i="28"/>
  <c r="O427" i="28" s="1"/>
  <c r="P427" i="28" s="1"/>
  <c r="Q427" i="28" s="1"/>
  <c r="S427" i="28" s="1"/>
  <c r="T427" i="28" s="1"/>
  <c r="U427" i="28" s="1"/>
  <c r="W427" i="28" s="1"/>
  <c r="O426" i="28"/>
  <c r="P426" i="28" s="1"/>
  <c r="Q426" i="28" s="1"/>
  <c r="T426" i="28"/>
  <c r="U426" i="28" s="1"/>
  <c r="W426" i="28" s="1"/>
  <c r="N422" i="28"/>
  <c r="O422" i="28" s="1"/>
  <c r="P422" i="28" s="1"/>
  <c r="Q422" i="28" s="1"/>
  <c r="S422" i="28" s="1"/>
  <c r="T422" i="28" s="1"/>
  <c r="U422" i="28" s="1"/>
  <c r="W422" i="28" s="1"/>
  <c r="O421" i="28"/>
  <c r="P421" i="28" s="1"/>
  <c r="Q421" i="28" s="1"/>
  <c r="T421" i="28"/>
  <c r="U421" i="28" s="1"/>
  <c r="W421" i="28" s="1"/>
  <c r="N497" i="28"/>
  <c r="O497" i="28" s="1"/>
  <c r="P497" i="28" s="1"/>
  <c r="Q497" i="28" s="1"/>
  <c r="S497" i="28" s="1"/>
  <c r="T497" i="28" s="1"/>
  <c r="U497" i="28" s="1"/>
  <c r="W497" i="28" s="1"/>
  <c r="O496" i="28"/>
  <c r="P496" i="28" s="1"/>
  <c r="Q496" i="28" s="1"/>
  <c r="T496" i="28"/>
  <c r="U496" i="28" s="1"/>
  <c r="W496" i="28" s="1"/>
  <c r="N345" i="28"/>
  <c r="O344" i="28"/>
  <c r="P344" i="28" s="1"/>
  <c r="Q344" i="28" s="1"/>
  <c r="T344" i="28"/>
  <c r="U344" i="28" s="1"/>
  <c r="W344" i="28" s="1"/>
  <c r="N349" i="28"/>
  <c r="O349" i="28" s="1"/>
  <c r="P349" i="28" s="1"/>
  <c r="Q349" i="28" s="1"/>
  <c r="S349" i="28" s="1"/>
  <c r="O348" i="28"/>
  <c r="P348" i="28" s="1"/>
  <c r="Q348" i="28" s="1"/>
  <c r="T348" i="28"/>
  <c r="U348" i="28" s="1"/>
  <c r="W348" i="28" s="1"/>
  <c r="N356" i="28"/>
  <c r="O356" i="28" s="1"/>
  <c r="P356" i="28" s="1"/>
  <c r="Q356" i="28" s="1"/>
  <c r="S356" i="28" s="1"/>
  <c r="O355" i="28"/>
  <c r="P355" i="28" s="1"/>
  <c r="Q355" i="28" s="1"/>
  <c r="T355" i="28"/>
  <c r="U355" i="28" s="1"/>
  <c r="W355" i="28" s="1"/>
  <c r="N359" i="28"/>
  <c r="O359" i="28" s="1"/>
  <c r="P359" i="28" s="1"/>
  <c r="Q359" i="28" s="1"/>
  <c r="S359" i="28" s="1"/>
  <c r="O358" i="28"/>
  <c r="P358" i="28" s="1"/>
  <c r="Q358" i="28" s="1"/>
  <c r="T358" i="28"/>
  <c r="U358" i="28" s="1"/>
  <c r="W358" i="28" s="1"/>
  <c r="N14" i="30"/>
  <c r="O14" i="30" s="1"/>
  <c r="P14" i="30" s="1"/>
  <c r="Q14" i="30" s="1"/>
  <c r="S14" i="30" s="1"/>
  <c r="O13" i="30"/>
  <c r="T13" i="30"/>
  <c r="N436" i="28"/>
  <c r="O436" i="28" s="1"/>
  <c r="P436" i="28" s="1"/>
  <c r="Q436" i="28" s="1"/>
  <c r="S436" i="28" s="1"/>
  <c r="T436" i="28" s="1"/>
  <c r="U436" i="28" s="1"/>
  <c r="W436" i="28" s="1"/>
  <c r="O435" i="28"/>
  <c r="P435" i="28" s="1"/>
  <c r="Q435" i="28" s="1"/>
  <c r="T435" i="28"/>
  <c r="U435" i="28" s="1"/>
  <c r="W435" i="28" s="1"/>
  <c r="N431" i="28"/>
  <c r="O431" i="28" s="1"/>
  <c r="P431" i="28" s="1"/>
  <c r="Q431" i="28" s="1"/>
  <c r="S431" i="28" s="1"/>
  <c r="T431" i="28" s="1"/>
  <c r="U431" i="28" s="1"/>
  <c r="W431" i="28" s="1"/>
  <c r="O430" i="28"/>
  <c r="P430" i="28" s="1"/>
  <c r="Q430" i="28" s="1"/>
  <c r="T430" i="28"/>
  <c r="U430" i="28" s="1"/>
  <c r="W430" i="28" s="1"/>
  <c r="N220" i="28"/>
  <c r="O220" i="28" s="1"/>
  <c r="P220" i="28" s="1"/>
  <c r="Q220" i="28" s="1"/>
  <c r="S220" i="28" s="1"/>
  <c r="O219" i="28"/>
  <c r="P219" i="28" s="1"/>
  <c r="Q219" i="28" s="1"/>
  <c r="S219" i="28" s="1"/>
  <c r="N406" i="28"/>
  <c r="O406" i="28" s="1"/>
  <c r="P406" i="28" s="1"/>
  <c r="Q406" i="28" s="1"/>
  <c r="S406" i="28" s="1"/>
  <c r="T406" i="28" s="1"/>
  <c r="U406" i="28" s="1"/>
  <c r="W406" i="28" s="1"/>
  <c r="O405" i="28"/>
  <c r="P405" i="28" s="1"/>
  <c r="Q405" i="28" s="1"/>
  <c r="T405" i="28"/>
  <c r="U405" i="28" s="1"/>
  <c r="W405" i="28" s="1"/>
  <c r="N513" i="28"/>
  <c r="O513" i="28" s="1"/>
  <c r="P513" i="28" s="1"/>
  <c r="Q513" i="28" s="1"/>
  <c r="S513" i="28" s="1"/>
  <c r="T513" i="28" s="1"/>
  <c r="U513" i="28" s="1"/>
  <c r="W513" i="28" s="1"/>
  <c r="O512" i="28"/>
  <c r="P512" i="28" s="1"/>
  <c r="Q512" i="28" s="1"/>
  <c r="T512" i="28"/>
  <c r="U512" i="28" s="1"/>
  <c r="W512" i="28" s="1"/>
  <c r="N374" i="28"/>
  <c r="O374" i="28" s="1"/>
  <c r="P374" i="28" s="1"/>
  <c r="Q374" i="28" s="1"/>
  <c r="S374" i="28" s="1"/>
  <c r="O373" i="28"/>
  <c r="P373" i="28" s="1"/>
  <c r="Q373" i="28" s="1"/>
  <c r="T373" i="28"/>
  <c r="U373" i="28" s="1"/>
  <c r="W373" i="28" s="1"/>
  <c r="N257" i="28"/>
  <c r="O256" i="28"/>
  <c r="T256" i="28"/>
  <c r="U256" i="28" s="1"/>
  <c r="N417" i="28"/>
  <c r="O417" i="28" s="1"/>
  <c r="P417" i="28" s="1"/>
  <c r="Q417" i="28" s="1"/>
  <c r="S417" i="28" s="1"/>
  <c r="T417" i="28" s="1"/>
  <c r="U417" i="28" s="1"/>
  <c r="W417" i="28" s="1"/>
  <c r="O416" i="28"/>
  <c r="P416" i="28" s="1"/>
  <c r="Q416" i="28" s="1"/>
  <c r="T416" i="28"/>
  <c r="U416" i="28" s="1"/>
  <c r="W416" i="28" s="1"/>
  <c r="N347" i="28"/>
  <c r="O347" i="28" s="1"/>
  <c r="P347" i="28" s="1"/>
  <c r="Q347" i="28" s="1"/>
  <c r="S347" i="28" s="1"/>
  <c r="O346" i="28"/>
  <c r="P346" i="28" s="1"/>
  <c r="Q346" i="28" s="1"/>
  <c r="T346" i="28"/>
  <c r="U346" i="28" s="1"/>
  <c r="W346" i="28" s="1"/>
  <c r="P15" i="19"/>
  <c r="Q15" i="19" s="1"/>
  <c r="N15" i="30"/>
  <c r="P207" i="18"/>
  <c r="Q207" i="18" s="1"/>
  <c r="P282" i="18"/>
  <c r="Q282" i="18" s="1"/>
  <c r="S376" i="18"/>
  <c r="T376" i="18" s="1"/>
  <c r="T420" i="18"/>
  <c r="T392" i="18"/>
  <c r="T426" i="18"/>
  <c r="T374" i="18"/>
  <c r="U352" i="18"/>
  <c r="S342" i="18"/>
  <c r="T342" i="18" s="1"/>
  <c r="T324" i="18"/>
  <c r="T338" i="18"/>
  <c r="U275" i="18"/>
  <c r="S273" i="18"/>
  <c r="T273" i="18" s="1"/>
  <c r="T248" i="18"/>
  <c r="T207" i="18"/>
  <c r="O225" i="18"/>
  <c r="N428" i="28"/>
  <c r="T320" i="18"/>
  <c r="T21" i="18"/>
  <c r="T19" i="18"/>
  <c r="N527" i="28"/>
  <c r="O527" i="28" s="1"/>
  <c r="P527" i="28" s="1"/>
  <c r="Q527" i="28" s="1"/>
  <c r="S527" i="28" s="1"/>
  <c r="O526" i="28"/>
  <c r="P526" i="28" s="1"/>
  <c r="Q526" i="28" s="1"/>
  <c r="T526" i="28"/>
  <c r="U526" i="28" s="1"/>
  <c r="W526" i="28" s="1"/>
  <c r="P30" i="18"/>
  <c r="Q30" i="18" s="1"/>
  <c r="N17" i="28"/>
  <c r="N495" i="28"/>
  <c r="O495" i="28" s="1"/>
  <c r="P495" i="28" s="1"/>
  <c r="Q495" i="28" s="1"/>
  <c r="S495" i="28" s="1"/>
  <c r="O494" i="28"/>
  <c r="P494" i="28" s="1"/>
  <c r="Q494" i="28" s="1"/>
  <c r="T494" i="28"/>
  <c r="U494" i="28" s="1"/>
  <c r="W494" i="28" s="1"/>
  <c r="N21" i="28"/>
  <c r="O21" i="28" s="1"/>
  <c r="P21" i="28" s="1"/>
  <c r="Q21" i="28" s="1"/>
  <c r="S21" i="28" s="1"/>
  <c r="O20" i="28"/>
  <c r="P20" i="28" s="1"/>
  <c r="Q20" i="28" s="1"/>
  <c r="T20" i="28"/>
  <c r="U20" i="28" s="1"/>
  <c r="W20" i="28" s="1"/>
  <c r="N270" i="28"/>
  <c r="O270" i="28" s="1"/>
  <c r="P270" i="28" s="1"/>
  <c r="Q270" i="28" s="1"/>
  <c r="S270" i="28" s="1"/>
  <c r="O269" i="28"/>
  <c r="T269" i="28"/>
  <c r="P39" i="18"/>
  <c r="Q39" i="18" s="1"/>
  <c r="N26" i="28"/>
  <c r="N530" i="28"/>
  <c r="O530" i="28" s="1"/>
  <c r="P530" i="28" s="1"/>
  <c r="Q530" i="28" s="1"/>
  <c r="S530" i="28" s="1"/>
  <c r="O529" i="28"/>
  <c r="P529" i="28" s="1"/>
  <c r="Q529" i="28" s="1"/>
  <c r="T529" i="28"/>
  <c r="U529" i="28" s="1"/>
  <c r="W529" i="28" s="1"/>
  <c r="N201" i="28"/>
  <c r="O201" i="28" s="1"/>
  <c r="P201" i="28" s="1"/>
  <c r="Q201" i="28" s="1"/>
  <c r="S201" i="28" s="1"/>
  <c r="O200" i="28"/>
  <c r="P200" i="28" s="1"/>
  <c r="Q200" i="28" s="1"/>
  <c r="T200" i="28"/>
  <c r="U200" i="28" s="1"/>
  <c r="W200" i="28" s="1"/>
  <c r="P45" i="18"/>
  <c r="Q45" i="18" s="1"/>
  <c r="N204" i="28"/>
  <c r="P47" i="18"/>
  <c r="Q47" i="18" s="1"/>
  <c r="N208" i="28"/>
  <c r="P49" i="18"/>
  <c r="Q49" i="18" s="1"/>
  <c r="N212" i="28"/>
  <c r="R62" i="18"/>
  <c r="S62" i="18" s="1"/>
  <c r="R70" i="18"/>
  <c r="S70" i="18" s="1"/>
  <c r="R118" i="18"/>
  <c r="S118" i="18" s="1"/>
  <c r="T118" i="18" s="1"/>
  <c r="U118" i="18" s="1"/>
  <c r="T132" i="18"/>
  <c r="N519" i="28"/>
  <c r="O519" i="28" s="1"/>
  <c r="P519" i="28" s="1"/>
  <c r="Q519" i="28" s="1"/>
  <c r="S519" i="28" s="1"/>
  <c r="O518" i="28"/>
  <c r="P518" i="28" s="1"/>
  <c r="Q518" i="28" s="1"/>
  <c r="T518" i="28"/>
  <c r="U518" i="28" s="1"/>
  <c r="W518" i="28" s="1"/>
  <c r="N542" i="28"/>
  <c r="O542" i="28" s="1"/>
  <c r="P542" i="28" s="1"/>
  <c r="Q542" i="28" s="1"/>
  <c r="S542" i="28" s="1"/>
  <c r="T542" i="28" s="1"/>
  <c r="U542" i="28" s="1"/>
  <c r="W542" i="28" s="1"/>
  <c r="O541" i="28"/>
  <c r="P541" i="28" s="1"/>
  <c r="Q541" i="28" s="1"/>
  <c r="T541" i="28"/>
  <c r="U541" i="28" s="1"/>
  <c r="W541" i="28" s="1"/>
  <c r="N433" i="28"/>
  <c r="O433" i="28" s="1"/>
  <c r="P433" i="28" s="1"/>
  <c r="Q433" i="28" s="1"/>
  <c r="S433" i="28" s="1"/>
  <c r="T433" i="28" s="1"/>
  <c r="U433" i="28" s="1"/>
  <c r="W433" i="28" s="1"/>
  <c r="O432" i="28"/>
  <c r="P432" i="28" s="1"/>
  <c r="Q432" i="28" s="1"/>
  <c r="T432" i="28"/>
  <c r="U432" i="28" s="1"/>
  <c r="W432" i="28" s="1"/>
  <c r="N289" i="28"/>
  <c r="O289" i="28" s="1"/>
  <c r="P289" i="28" s="1"/>
  <c r="Q289" i="28" s="1"/>
  <c r="S289" i="28" s="1"/>
  <c r="O288" i="28"/>
  <c r="P288" i="28" s="1"/>
  <c r="Q288" i="28" s="1"/>
  <c r="T288" i="28"/>
  <c r="U288" i="28" s="1"/>
  <c r="W288" i="28" s="1"/>
  <c r="N287" i="28"/>
  <c r="O286" i="28"/>
  <c r="T286" i="28"/>
  <c r="U286" i="28" s="1"/>
  <c r="N327" i="28"/>
  <c r="O327" i="28" s="1"/>
  <c r="P327" i="28" s="1"/>
  <c r="Q327" i="28" s="1"/>
  <c r="S327" i="28" s="1"/>
  <c r="O326" i="28"/>
  <c r="P326" i="28" s="1"/>
  <c r="Q326" i="28" s="1"/>
  <c r="T326" i="28"/>
  <c r="U326" i="28" s="1"/>
  <c r="W326" i="28" s="1"/>
  <c r="N331" i="28"/>
  <c r="O331" i="28" s="1"/>
  <c r="P331" i="28" s="1"/>
  <c r="Q331" i="28" s="1"/>
  <c r="S331" i="28" s="1"/>
  <c r="O330" i="28"/>
  <c r="P330" i="28" s="1"/>
  <c r="Q330" i="28" s="1"/>
  <c r="T330" i="28"/>
  <c r="U330" i="28" s="1"/>
  <c r="W330" i="28" s="1"/>
  <c r="N453" i="28"/>
  <c r="O453" i="28" s="1"/>
  <c r="P453" i="28" s="1"/>
  <c r="Q453" i="28" s="1"/>
  <c r="S453" i="28" s="1"/>
  <c r="T453" i="28" s="1"/>
  <c r="U453" i="28" s="1"/>
  <c r="W453" i="28" s="1"/>
  <c r="O452" i="28"/>
  <c r="P452" i="28" s="1"/>
  <c r="Q452" i="28" s="1"/>
  <c r="T452" i="28"/>
  <c r="U452" i="28" s="1"/>
  <c r="W452" i="28" s="1"/>
  <c r="N460" i="28"/>
  <c r="O460" i="28" s="1"/>
  <c r="P460" i="28" s="1"/>
  <c r="Q460" i="28" s="1"/>
  <c r="S460" i="28" s="1"/>
  <c r="T460" i="28" s="1"/>
  <c r="U460" i="28" s="1"/>
  <c r="W460" i="28" s="1"/>
  <c r="O459" i="28"/>
  <c r="P459" i="28" s="1"/>
  <c r="Q459" i="28" s="1"/>
  <c r="T459" i="28"/>
  <c r="U459" i="28" s="1"/>
  <c r="W459" i="28" s="1"/>
  <c r="N335" i="28"/>
  <c r="O335" i="28" s="1"/>
  <c r="P335" i="28" s="1"/>
  <c r="Q335" i="28" s="1"/>
  <c r="S335" i="28" s="1"/>
  <c r="O334" i="28"/>
  <c r="P334" i="28" s="1"/>
  <c r="Q334" i="28" s="1"/>
  <c r="T334" i="28"/>
  <c r="U334" i="28" s="1"/>
  <c r="W334" i="28" s="1"/>
  <c r="N339" i="28"/>
  <c r="O339" i="28" s="1"/>
  <c r="P339" i="28" s="1"/>
  <c r="Q339" i="28" s="1"/>
  <c r="S339" i="28" s="1"/>
  <c r="O338" i="28"/>
  <c r="P338" i="28" s="1"/>
  <c r="Q338" i="28" s="1"/>
  <c r="T338" i="28"/>
  <c r="U338" i="28" s="1"/>
  <c r="W338" i="28" s="1"/>
  <c r="N343" i="28"/>
  <c r="O343" i="28" s="1"/>
  <c r="P343" i="28" s="1"/>
  <c r="Q343" i="28" s="1"/>
  <c r="S343" i="28" s="1"/>
  <c r="O342" i="28"/>
  <c r="P342" i="28" s="1"/>
  <c r="Q342" i="28" s="1"/>
  <c r="T342" i="28"/>
  <c r="U342" i="28" s="1"/>
  <c r="W342" i="28" s="1"/>
  <c r="R396" i="18"/>
  <c r="S396" i="18" s="1"/>
  <c r="T396" i="18" s="1"/>
  <c r="U396" i="18" s="1"/>
  <c r="S408" i="18"/>
  <c r="T408" i="18" s="1"/>
  <c r="O44" i="30"/>
  <c r="N45" i="30"/>
  <c r="T44" i="30"/>
  <c r="N48" i="30"/>
  <c r="O48" i="30" s="1"/>
  <c r="P48" i="30" s="1"/>
  <c r="Q48" i="30" s="1"/>
  <c r="S48" i="30" s="1"/>
  <c r="O47" i="30"/>
  <c r="P47" i="30" s="1"/>
  <c r="Q47" i="30" s="1"/>
  <c r="T47" i="30"/>
  <c r="U47" i="30" s="1"/>
  <c r="W47" i="30" s="1"/>
  <c r="Y47" i="30" s="1"/>
  <c r="R90" i="19"/>
  <c r="S90" i="19" s="1"/>
  <c r="S247" i="18"/>
  <c r="T247" i="18"/>
  <c r="U247" i="18"/>
  <c r="S255" i="18"/>
  <c r="T255" i="18" s="1"/>
  <c r="U255" i="18"/>
  <c r="R262" i="18"/>
  <c r="U39" i="18"/>
  <c r="S39" i="18"/>
  <c r="T39" i="18" s="1"/>
  <c r="S140" i="18"/>
  <c r="T140" i="18" s="1"/>
  <c r="U140" i="18"/>
  <c r="U156" i="18"/>
  <c r="S156" i="18"/>
  <c r="T156" i="18" s="1"/>
  <c r="R166" i="18"/>
  <c r="S166" i="18" s="1"/>
  <c r="S180" i="18"/>
  <c r="U180" i="18"/>
  <c r="R252" i="18"/>
  <c r="S245" i="18"/>
  <c r="T245" i="18" s="1"/>
  <c r="U245" i="18" s="1"/>
  <c r="S260" i="18"/>
  <c r="T260" i="18" s="1"/>
  <c r="U260" i="18" s="1"/>
  <c r="U57" i="19"/>
  <c r="S57" i="19"/>
  <c r="T57" i="19" s="1"/>
  <c r="U16" i="18"/>
  <c r="S16" i="18"/>
  <c r="T16" i="18" s="1"/>
  <c r="S190" i="18"/>
  <c r="T190" i="18" s="1"/>
  <c r="U190" i="18"/>
  <c r="R225" i="18"/>
  <c r="U223" i="18"/>
  <c r="S223" i="18"/>
  <c r="T223" i="18" s="1"/>
  <c r="S244" i="18"/>
  <c r="T244" i="18" s="1"/>
  <c r="U244" i="18"/>
  <c r="U280" i="18"/>
  <c r="S280" i="18"/>
  <c r="T280" i="18" s="1"/>
  <c r="S328" i="18"/>
  <c r="T328" i="18" s="1"/>
  <c r="U328" i="18"/>
  <c r="S422" i="18"/>
  <c r="T422" i="18" s="1"/>
  <c r="U422" i="18"/>
  <c r="S18" i="19"/>
  <c r="T18" i="19" s="1"/>
  <c r="U18" i="19"/>
  <c r="U53" i="18"/>
  <c r="S53" i="18"/>
  <c r="T53" i="18" s="1"/>
  <c r="S145" i="18"/>
  <c r="T145" i="18" s="1"/>
  <c r="U145" i="18"/>
  <c r="U208" i="18"/>
  <c r="S208" i="18"/>
  <c r="T208" i="18" s="1"/>
  <c r="U387" i="18"/>
  <c r="S387" i="18"/>
  <c r="T387" i="18" s="1"/>
  <c r="T414" i="18"/>
  <c r="P414" i="18"/>
  <c r="Q414" i="18" s="1"/>
  <c r="U24" i="19"/>
  <c r="S24" i="19"/>
  <c r="T24" i="19" s="1"/>
  <c r="R94" i="18"/>
  <c r="S94" i="18" s="1"/>
  <c r="R217" i="18"/>
  <c r="U348" i="18"/>
  <c r="O37" i="19"/>
  <c r="U125" i="18"/>
  <c r="P19" i="18"/>
  <c r="Q19" i="18" s="1"/>
  <c r="R151" i="18"/>
  <c r="P232" i="18"/>
  <c r="Q232" i="18" s="1"/>
  <c r="S241" i="18"/>
  <c r="T241" i="18" s="1"/>
  <c r="N37" i="19"/>
  <c r="N128" i="19" s="1"/>
  <c r="R29" i="19"/>
  <c r="S29" i="19" s="1"/>
  <c r="T29" i="19" s="1"/>
  <c r="R82" i="19"/>
  <c r="S82" i="19" s="1"/>
  <c r="T82" i="19" s="1"/>
  <c r="U82" i="19" s="1"/>
  <c r="T413" i="18"/>
  <c r="R109" i="18"/>
  <c r="T117" i="18"/>
  <c r="U117" i="18" s="1"/>
  <c r="P141" i="18"/>
  <c r="Q141" i="18" s="1"/>
  <c r="S143" i="18"/>
  <c r="T143" i="18" s="1"/>
  <c r="R152" i="18"/>
  <c r="S152" i="18" s="1"/>
  <c r="R154" i="18"/>
  <c r="R194" i="18"/>
  <c r="S194" i="18" s="1"/>
  <c r="R102" i="19"/>
  <c r="S102" i="19" s="1"/>
  <c r="T102" i="19" s="1"/>
  <c r="S74" i="19"/>
  <c r="T81" i="19"/>
  <c r="U81" i="19" s="1"/>
  <c r="S81" i="19"/>
  <c r="U167" i="18"/>
  <c r="O120" i="18"/>
  <c r="T95" i="19"/>
  <c r="U95" i="19" s="1"/>
  <c r="T108" i="18"/>
  <c r="U108" i="18" s="1"/>
  <c r="T96" i="18"/>
  <c r="U96" i="18" s="1"/>
  <c r="T71" i="18"/>
  <c r="U71" i="18" s="1"/>
  <c r="O97" i="19"/>
  <c r="S76" i="19"/>
  <c r="T76" i="19" s="1"/>
  <c r="S67" i="19"/>
  <c r="T67" i="19" s="1"/>
  <c r="Q97" i="19"/>
  <c r="T360" i="18"/>
  <c r="R295" i="18"/>
  <c r="T313" i="18"/>
  <c r="U211" i="18"/>
  <c r="O217" i="18"/>
  <c r="U232" i="18"/>
  <c r="S214" i="18"/>
  <c r="T214" i="18" s="1"/>
  <c r="T159" i="18"/>
  <c r="T66" i="18"/>
  <c r="P28" i="18"/>
  <c r="Q28" i="18" s="1"/>
  <c r="T98" i="18"/>
  <c r="U98" i="18" s="1"/>
  <c r="P255" i="18"/>
  <c r="O295" i="18"/>
  <c r="Q101" i="19"/>
  <c r="S65" i="19"/>
  <c r="T65" i="19" s="1"/>
  <c r="P97" i="19"/>
  <c r="O237" i="18"/>
  <c r="S410" i="18"/>
  <c r="T410" i="18" s="1"/>
  <c r="T398" i="18"/>
  <c r="U408" i="18"/>
  <c r="U353" i="18"/>
  <c r="S356" i="18"/>
  <c r="T356" i="18" s="1"/>
  <c r="T250" i="18"/>
  <c r="S233" i="18"/>
  <c r="T233" i="18" s="1"/>
  <c r="U268" i="18"/>
  <c r="U249" i="18"/>
  <c r="S133" i="18"/>
  <c r="T133" i="18" s="1"/>
  <c r="S36" i="18"/>
  <c r="T36" i="18" s="1"/>
  <c r="S135" i="18"/>
  <c r="T135" i="18" s="1"/>
  <c r="S65" i="18"/>
  <c r="N201" i="18"/>
  <c r="O199" i="18"/>
  <c r="N502" i="28" s="1"/>
  <c r="P279" i="18"/>
  <c r="Q279" i="18" s="1"/>
  <c r="P22" i="18"/>
  <c r="Q22" i="18" s="1"/>
  <c r="P271" i="18"/>
  <c r="Q271" i="18" s="1"/>
  <c r="P20" i="19"/>
  <c r="Q20" i="19" s="1"/>
  <c r="O53" i="19"/>
  <c r="P131" i="18"/>
  <c r="Q131" i="18" s="1"/>
  <c r="T385" i="18"/>
  <c r="T355" i="18"/>
  <c r="T333" i="18"/>
  <c r="T271" i="18"/>
  <c r="N237" i="18"/>
  <c r="T212" i="18"/>
  <c r="S158" i="18"/>
  <c r="T158" i="18" s="1"/>
  <c r="T369" i="18"/>
  <c r="P20" i="18"/>
  <c r="Q20" i="18" s="1"/>
  <c r="P21" i="18"/>
  <c r="Q21" i="18" s="1"/>
  <c r="R89" i="18"/>
  <c r="R174" i="18"/>
  <c r="P231" i="18"/>
  <c r="Q231" i="18" s="1"/>
  <c r="R50" i="19"/>
  <c r="S50" i="19" s="1"/>
  <c r="T50" i="19" s="1"/>
  <c r="T25" i="18"/>
  <c r="R92" i="18"/>
  <c r="R146" i="18"/>
  <c r="S146" i="18" s="1"/>
  <c r="R148" i="18"/>
  <c r="S148" i="18" s="1"/>
  <c r="S417" i="18"/>
  <c r="T417" i="18" s="1"/>
  <c r="T106" i="18"/>
  <c r="U106" i="18" s="1"/>
  <c r="T62" i="18"/>
  <c r="U62" i="18" s="1"/>
  <c r="U102" i="19"/>
  <c r="T93" i="19"/>
  <c r="U93" i="19" s="1"/>
  <c r="T31" i="19"/>
  <c r="U31" i="19" s="1"/>
  <c r="U29" i="19"/>
  <c r="T131" i="18"/>
  <c r="R68" i="18"/>
  <c r="S68" i="18" s="1"/>
  <c r="T68" i="18" s="1"/>
  <c r="U68" i="18" s="1"/>
  <c r="R69" i="18"/>
  <c r="S69" i="18" s="1"/>
  <c r="T69" i="18" s="1"/>
  <c r="U69" i="18" s="1"/>
  <c r="R79" i="18"/>
  <c r="R80" i="18"/>
  <c r="S80" i="18" s="1"/>
  <c r="R84" i="18"/>
  <c r="S84" i="18" s="1"/>
  <c r="R97" i="18"/>
  <c r="T141" i="18"/>
  <c r="R153" i="18"/>
  <c r="S153" i="18" s="1"/>
  <c r="T153" i="18" s="1"/>
  <c r="R169" i="18"/>
  <c r="R170" i="18"/>
  <c r="R386" i="18"/>
  <c r="S386" i="18" s="1"/>
  <c r="R51" i="19"/>
  <c r="S51" i="19" s="1"/>
  <c r="T51" i="19" s="1"/>
  <c r="U51" i="19" s="1"/>
  <c r="S79" i="18"/>
  <c r="T79" i="18" s="1"/>
  <c r="S97" i="18"/>
  <c r="T105" i="18"/>
  <c r="U105" i="18" s="1"/>
  <c r="T85" i="19"/>
  <c r="U85" i="19" s="1"/>
  <c r="S151" i="18"/>
  <c r="T151" i="18" s="1"/>
  <c r="T48" i="19"/>
  <c r="U48" i="19" s="1"/>
  <c r="S30" i="18"/>
  <c r="T30" i="18" s="1"/>
  <c r="S33" i="18"/>
  <c r="T33" i="18" s="1"/>
  <c r="U33" i="18"/>
  <c r="U35" i="18"/>
  <c r="P46" i="18"/>
  <c r="Q46" i="18" s="1"/>
  <c r="U48" i="18"/>
  <c r="S48" i="18"/>
  <c r="T48" i="18" s="1"/>
  <c r="S54" i="18"/>
  <c r="U54" i="18"/>
  <c r="P229" i="18"/>
  <c r="T168" i="18"/>
  <c r="U168" i="18" s="1"/>
  <c r="P291" i="18"/>
  <c r="Q291" i="18" s="1"/>
  <c r="T21" i="19"/>
  <c r="U21" i="19" s="1"/>
  <c r="U107" i="19"/>
  <c r="U103" i="18"/>
  <c r="S124" i="19"/>
  <c r="T26" i="19"/>
  <c r="U26" i="19" s="1"/>
  <c r="S82" i="18"/>
  <c r="T77" i="18"/>
  <c r="T180" i="18"/>
  <c r="S181" i="18"/>
  <c r="T181" i="18" s="1"/>
  <c r="S187" i="18"/>
  <c r="T187" i="18" s="1"/>
  <c r="T114" i="18"/>
  <c r="U114" i="18" s="1"/>
  <c r="S267" i="18"/>
  <c r="T267" i="18" s="1"/>
  <c r="T179" i="18"/>
  <c r="T46" i="18"/>
  <c r="S35" i="18"/>
  <c r="T35" i="18" s="1"/>
  <c r="S52" i="18"/>
  <c r="T52" i="18" s="1"/>
  <c r="U18" i="18"/>
  <c r="S18" i="18"/>
  <c r="T18" i="18" s="1"/>
  <c r="S24" i="18"/>
  <c r="T24" i="18" s="1"/>
  <c r="U24" i="18"/>
  <c r="P27" i="18"/>
  <c r="Q27" i="18" s="1"/>
  <c r="U29" i="18"/>
  <c r="S29" i="18"/>
  <c r="T29" i="18" s="1"/>
  <c r="P31" i="18"/>
  <c r="Q31" i="18" s="1"/>
  <c r="P136" i="18"/>
  <c r="Q136" i="18" s="1"/>
  <c r="P248" i="18"/>
  <c r="S256" i="18"/>
  <c r="T256" i="18" s="1"/>
  <c r="U256" i="18"/>
  <c r="P280" i="18"/>
  <c r="Q280" i="18" s="1"/>
  <c r="T115" i="18"/>
  <c r="U115" i="18" s="1"/>
  <c r="Q217" i="18"/>
  <c r="Q220" i="18"/>
  <c r="Q225" i="18" s="1"/>
  <c r="T291" i="18"/>
  <c r="P23" i="18"/>
  <c r="Q23" i="18" s="1"/>
  <c r="O117" i="19"/>
  <c r="T49" i="19"/>
  <c r="U49" i="19" s="1"/>
  <c r="T386" i="18"/>
  <c r="U386" i="18" s="1"/>
  <c r="S325" i="18"/>
  <c r="T325" i="18" s="1"/>
  <c r="S189" i="18"/>
  <c r="U141" i="18"/>
  <c r="S144" i="18"/>
  <c r="T144" i="18" s="1"/>
  <c r="U179" i="18"/>
  <c r="T23" i="18"/>
  <c r="S17" i="18"/>
  <c r="T17" i="18" s="1"/>
  <c r="U17" i="18"/>
  <c r="S38" i="18"/>
  <c r="T38" i="18" s="1"/>
  <c r="T59" i="18"/>
  <c r="P138" i="18"/>
  <c r="Q138" i="18" s="1"/>
  <c r="U77" i="18"/>
  <c r="U139" i="19"/>
  <c r="T71" i="19"/>
  <c r="U71" i="19" s="1"/>
  <c r="U50" i="19"/>
  <c r="U104" i="18"/>
  <c r="T409" i="18"/>
  <c r="U409" i="18" s="1"/>
  <c r="O196" i="18"/>
  <c r="T257" i="18"/>
  <c r="N176" i="18"/>
  <c r="T189" i="18"/>
  <c r="N196" i="18"/>
  <c r="U30" i="18"/>
  <c r="T54" i="18"/>
  <c r="S40" i="18"/>
  <c r="T40" i="18" s="1"/>
  <c r="U19" i="18"/>
  <c r="S22" i="18"/>
  <c r="T22" i="18" s="1"/>
  <c r="P34" i="18"/>
  <c r="Q34" i="18" s="1"/>
  <c r="S37" i="18"/>
  <c r="T37" i="18" s="1"/>
  <c r="U37" i="18"/>
  <c r="P38" i="18"/>
  <c r="Q38" i="18" s="1"/>
  <c r="U41" i="18"/>
  <c r="S41" i="18"/>
  <c r="T41" i="18" s="1"/>
  <c r="S49" i="18"/>
  <c r="T49" i="18" s="1"/>
  <c r="U55" i="18"/>
  <c r="S55" i="18"/>
  <c r="T55" i="18" s="1"/>
  <c r="P182" i="18"/>
  <c r="R63" i="18"/>
  <c r="P275" i="18"/>
  <c r="Q275" i="18" s="1"/>
  <c r="T86" i="18"/>
  <c r="U86" i="18" s="1"/>
  <c r="T27" i="18"/>
  <c r="T65" i="18"/>
  <c r="N120" i="18"/>
  <c r="P17" i="18"/>
  <c r="Q17" i="18" s="1"/>
  <c r="P37" i="18"/>
  <c r="Q37" i="18" s="1"/>
  <c r="R72" i="18"/>
  <c r="R95" i="18"/>
  <c r="S95" i="18" s="1"/>
  <c r="T95" i="18" s="1"/>
  <c r="U95" i="18" s="1"/>
  <c r="R99" i="18"/>
  <c r="S99" i="18" s="1"/>
  <c r="T99" i="18" s="1"/>
  <c r="P142" i="18"/>
  <c r="Q142" i="18" s="1"/>
  <c r="R191" i="18"/>
  <c r="S205" i="18"/>
  <c r="P230" i="18"/>
  <c r="Q230" i="18" s="1"/>
  <c r="T31" i="18"/>
  <c r="R78" i="18"/>
  <c r="R101" i="18"/>
  <c r="S101" i="18" s="1"/>
  <c r="T101" i="18" s="1"/>
  <c r="U101" i="18" s="1"/>
  <c r="R81" i="18"/>
  <c r="S81" i="18" s="1"/>
  <c r="T81" i="18" s="1"/>
  <c r="U81" i="18" s="1"/>
  <c r="R90" i="18"/>
  <c r="S90" i="18" s="1"/>
  <c r="T90" i="18" s="1"/>
  <c r="U90" i="18" s="1"/>
  <c r="R102" i="18"/>
  <c r="S102" i="18" s="1"/>
  <c r="T102" i="18" s="1"/>
  <c r="R112" i="18"/>
  <c r="R149" i="18"/>
  <c r="R192" i="18"/>
  <c r="R384" i="18"/>
  <c r="R84" i="19"/>
  <c r="R89" i="19"/>
  <c r="S89" i="19" s="1"/>
  <c r="T89" i="19" s="1"/>
  <c r="R47" i="19"/>
  <c r="S47" i="19" s="1"/>
  <c r="T47" i="19" s="1"/>
  <c r="R91" i="19"/>
  <c r="R404" i="18"/>
  <c r="S404" i="18" s="1"/>
  <c r="R425" i="18"/>
  <c r="R30" i="19"/>
  <c r="S30" i="19" s="1"/>
  <c r="T30" i="19" s="1"/>
  <c r="U30" i="19" s="1"/>
  <c r="R87" i="19"/>
  <c r="R105" i="19"/>
  <c r="S105" i="19" s="1"/>
  <c r="T105" i="19" s="1"/>
  <c r="U105" i="19" s="1"/>
  <c r="R114" i="19"/>
  <c r="S114" i="19" s="1"/>
  <c r="S164" i="18"/>
  <c r="T164" i="18" s="1"/>
  <c r="T150" i="18"/>
  <c r="U150" i="18" s="1"/>
  <c r="T111" i="18"/>
  <c r="U111" i="18" s="1"/>
  <c r="T107" i="18"/>
  <c r="U107" i="18" s="1"/>
  <c r="T415" i="18"/>
  <c r="U415" i="18" s="1"/>
  <c r="U173" i="18"/>
  <c r="Q112" i="19"/>
  <c r="P117" i="19"/>
  <c r="S124" i="18"/>
  <c r="T124" i="18" s="1"/>
  <c r="T83" i="18"/>
  <c r="U83" i="18" s="1"/>
  <c r="S235" i="18"/>
  <c r="U113" i="19"/>
  <c r="S93" i="18"/>
  <c r="T93" i="18" s="1"/>
  <c r="T172" i="18"/>
  <c r="U172" i="18" s="1"/>
  <c r="T146" i="18"/>
  <c r="U146" i="18" s="1"/>
  <c r="T235" i="18"/>
  <c r="R237" i="18"/>
  <c r="U32" i="19"/>
  <c r="P217" i="18"/>
  <c r="T407" i="18"/>
  <c r="U407" i="18" s="1"/>
  <c r="T303" i="18"/>
  <c r="U303" i="18" s="1"/>
  <c r="U91" i="18"/>
  <c r="U45" i="19"/>
  <c r="T349" i="18"/>
  <c r="U349" i="18" s="1"/>
  <c r="T28" i="19"/>
  <c r="U28" i="19" s="1"/>
  <c r="T122" i="19"/>
  <c r="U103" i="19"/>
  <c r="U47" i="19"/>
  <c r="S62" i="19"/>
  <c r="T62" i="19" s="1"/>
  <c r="O176" i="18"/>
  <c r="S406" i="18"/>
  <c r="S416" i="18"/>
  <c r="S293" i="18"/>
  <c r="T293" i="18" s="1"/>
  <c r="T90" i="19"/>
  <c r="U90" i="19" s="1"/>
  <c r="T194" i="18"/>
  <c r="R64" i="18"/>
  <c r="R100" i="18"/>
  <c r="P58" i="18"/>
  <c r="R75" i="18"/>
  <c r="R87" i="18"/>
  <c r="R147" i="18"/>
  <c r="P139" i="18"/>
  <c r="R171" i="18"/>
  <c r="R116" i="18"/>
  <c r="R165" i="18"/>
  <c r="R113" i="18"/>
  <c r="O123" i="18"/>
  <c r="N127" i="18"/>
  <c r="S285" i="18"/>
  <c r="O305" i="18"/>
  <c r="P302" i="18"/>
  <c r="R346" i="18"/>
  <c r="P281" i="18"/>
  <c r="Q281" i="18" s="1"/>
  <c r="P274" i="18"/>
  <c r="Q274" i="18" s="1"/>
  <c r="N295" i="18"/>
  <c r="R382" i="18"/>
  <c r="R46" i="19"/>
  <c r="P40" i="19"/>
  <c r="R73" i="19"/>
  <c r="R80" i="19"/>
  <c r="R86" i="19"/>
  <c r="R106" i="19"/>
  <c r="R115" i="19"/>
  <c r="R83" i="19"/>
  <c r="R88" i="19"/>
  <c r="R92" i="19"/>
  <c r="O124" i="19"/>
  <c r="O128" i="19" s="1"/>
  <c r="P121" i="19"/>
  <c r="U89" i="19" l="1"/>
  <c r="U99" i="18"/>
  <c r="T114" i="19"/>
  <c r="U114" i="19" s="1"/>
  <c r="N160" i="30"/>
  <c r="B77" i="27" s="1"/>
  <c r="E82" i="27"/>
  <c r="BL82" i="27"/>
  <c r="T152" i="18"/>
  <c r="U152" i="18" s="1"/>
  <c r="T252" i="18"/>
  <c r="U217" i="18"/>
  <c r="Q37" i="19"/>
  <c r="U225" i="18"/>
  <c r="U88" i="18"/>
  <c r="T33" i="19"/>
  <c r="U33" i="19" s="1"/>
  <c r="U37" i="19" s="1"/>
  <c r="T60" i="18"/>
  <c r="U60" i="18" s="1"/>
  <c r="O201" i="18"/>
  <c r="U262" i="18"/>
  <c r="T225" i="18"/>
  <c r="N266" i="28"/>
  <c r="B21" i="27" s="1"/>
  <c r="BI21" i="27" s="1"/>
  <c r="N308" i="28"/>
  <c r="B27" i="27" s="1"/>
  <c r="BI27" i="27" s="1"/>
  <c r="AD47" i="30"/>
  <c r="AA47" i="30"/>
  <c r="U44" i="30"/>
  <c r="P286" i="28"/>
  <c r="T270" i="28"/>
  <c r="U270" i="28" s="1"/>
  <c r="W270" i="28" s="1"/>
  <c r="S281" i="28"/>
  <c r="E23" i="27" s="1"/>
  <c r="BL23" i="27" s="1"/>
  <c r="N16" i="30"/>
  <c r="O16" i="30" s="1"/>
  <c r="P16" i="30" s="1"/>
  <c r="Q16" i="30" s="1"/>
  <c r="S16" i="30" s="1"/>
  <c r="S41" i="30" s="1"/>
  <c r="E63" i="27" s="1"/>
  <c r="BL63" i="27" s="1"/>
  <c r="O15" i="30"/>
  <c r="P15" i="30" s="1"/>
  <c r="Q15" i="30" s="1"/>
  <c r="T15" i="30"/>
  <c r="U15" i="30" s="1"/>
  <c r="W15" i="30" s="1"/>
  <c r="Y15" i="30" s="1"/>
  <c r="T14" i="30"/>
  <c r="U14" i="30" s="1"/>
  <c r="W14" i="30" s="1"/>
  <c r="Y14" i="30" s="1"/>
  <c r="X14" i="30"/>
  <c r="O345" i="28"/>
  <c r="P345" i="28" s="1"/>
  <c r="Q345" i="28" s="1"/>
  <c r="S345" i="28" s="1"/>
  <c r="U535" i="28"/>
  <c r="T325" i="28"/>
  <c r="U325" i="28" s="1"/>
  <c r="W325" i="28" s="1"/>
  <c r="T203" i="28"/>
  <c r="U203" i="28" s="1"/>
  <c r="W203" i="28" s="1"/>
  <c r="N196" i="28"/>
  <c r="O196" i="28" s="1"/>
  <c r="P196" i="28" s="1"/>
  <c r="Q196" i="28" s="1"/>
  <c r="S196" i="28" s="1"/>
  <c r="O195" i="28"/>
  <c r="T195" i="28"/>
  <c r="T94" i="18"/>
  <c r="U94" i="18" s="1"/>
  <c r="U193" i="18"/>
  <c r="O45" i="30"/>
  <c r="P45" i="30" s="1"/>
  <c r="Q45" i="30" s="1"/>
  <c r="S45" i="30" s="1"/>
  <c r="T335" i="28"/>
  <c r="U335" i="28" s="1"/>
  <c r="W335" i="28" s="1"/>
  <c r="O287" i="28"/>
  <c r="P287" i="28" s="1"/>
  <c r="Q287" i="28" s="1"/>
  <c r="S287" i="28" s="1"/>
  <c r="T519" i="28"/>
  <c r="U519" i="28" s="1"/>
  <c r="W519" i="28" s="1"/>
  <c r="T530" i="28"/>
  <c r="U530" i="28" s="1"/>
  <c r="W530" i="28" s="1"/>
  <c r="U269" i="28"/>
  <c r="T219" i="28"/>
  <c r="U219" i="28" s="1"/>
  <c r="W219" i="28" s="1"/>
  <c r="U13" i="30"/>
  <c r="T349" i="28"/>
  <c r="U349" i="28" s="1"/>
  <c r="W349" i="28" s="1"/>
  <c r="P535" i="28"/>
  <c r="N192" i="28"/>
  <c r="B15" i="27" s="1"/>
  <c r="BI15" i="27" s="1"/>
  <c r="T509" i="28"/>
  <c r="U509" i="28" s="1"/>
  <c r="W509" i="28" s="1"/>
  <c r="S176" i="28"/>
  <c r="P155" i="30"/>
  <c r="O160" i="30"/>
  <c r="D77" i="27" s="1"/>
  <c r="BK77" i="27" s="1"/>
  <c r="N50" i="30"/>
  <c r="O50" i="30" s="1"/>
  <c r="P50" i="30" s="1"/>
  <c r="Q50" i="30" s="1"/>
  <c r="S50" i="30" s="1"/>
  <c r="O49" i="30"/>
  <c r="P49" i="30" s="1"/>
  <c r="Q49" i="30" s="1"/>
  <c r="T49" i="30"/>
  <c r="U49" i="30" s="1"/>
  <c r="W49" i="30" s="1"/>
  <c r="Y49" i="30" s="1"/>
  <c r="T333" i="28"/>
  <c r="U333" i="28" s="1"/>
  <c r="W333" i="28" s="1"/>
  <c r="T300" i="28"/>
  <c r="U300" i="28" s="1"/>
  <c r="W300" i="28" s="1"/>
  <c r="P297" i="28"/>
  <c r="O308" i="28"/>
  <c r="D27" i="27" s="1"/>
  <c r="BK27" i="27" s="1"/>
  <c r="N211" i="28"/>
  <c r="O211" i="28" s="1"/>
  <c r="P211" i="28" s="1"/>
  <c r="Q211" i="28" s="1"/>
  <c r="S211" i="28" s="1"/>
  <c r="O210" i="28"/>
  <c r="P210" i="28" s="1"/>
  <c r="Q210" i="28" s="1"/>
  <c r="T210" i="28"/>
  <c r="U210" i="28" s="1"/>
  <c r="W210" i="28" s="1"/>
  <c r="T207" i="28"/>
  <c r="U207" i="28" s="1"/>
  <c r="W207" i="28" s="1"/>
  <c r="T25" i="28"/>
  <c r="U25" i="28" s="1"/>
  <c r="W25" i="28" s="1"/>
  <c r="T327" i="28"/>
  <c r="U327" i="28" s="1"/>
  <c r="W327" i="28" s="1"/>
  <c r="T166" i="18"/>
  <c r="U166" i="18" s="1"/>
  <c r="U252" i="18"/>
  <c r="T48" i="30"/>
  <c r="U48" i="30" s="1"/>
  <c r="W48" i="30" s="1"/>
  <c r="Y48" i="30" s="1"/>
  <c r="X48" i="30"/>
  <c r="T331" i="28"/>
  <c r="U331" i="28" s="1"/>
  <c r="W331" i="28" s="1"/>
  <c r="N213" i="28"/>
  <c r="O213" i="28" s="1"/>
  <c r="P213" i="28" s="1"/>
  <c r="Q213" i="28" s="1"/>
  <c r="S213" i="28" s="1"/>
  <c r="O212" i="28"/>
  <c r="P212" i="28" s="1"/>
  <c r="Q212" i="28" s="1"/>
  <c r="T212" i="28"/>
  <c r="U212" i="28" s="1"/>
  <c r="W212" i="28" s="1"/>
  <c r="N205" i="28"/>
  <c r="O205" i="28" s="1"/>
  <c r="P205" i="28" s="1"/>
  <c r="Q205" i="28" s="1"/>
  <c r="S205" i="28" s="1"/>
  <c r="O204" i="28"/>
  <c r="P204" i="28" s="1"/>
  <c r="Q204" i="28" s="1"/>
  <c r="T204" i="28"/>
  <c r="U204" i="28" s="1"/>
  <c r="W204" i="28" s="1"/>
  <c r="N27" i="28"/>
  <c r="O27" i="28" s="1"/>
  <c r="P27" i="28" s="1"/>
  <c r="Q27" i="28" s="1"/>
  <c r="S27" i="28" s="1"/>
  <c r="O26" i="28"/>
  <c r="P26" i="28" s="1"/>
  <c r="Q26" i="28" s="1"/>
  <c r="T26" i="28"/>
  <c r="U26" i="28" s="1"/>
  <c r="W26" i="28" s="1"/>
  <c r="T220" i="28"/>
  <c r="U220" i="28" s="1"/>
  <c r="W220" i="28" s="1"/>
  <c r="N425" i="28"/>
  <c r="O425" i="28" s="1"/>
  <c r="P425" i="28" s="1"/>
  <c r="Q425" i="28" s="1"/>
  <c r="S425" i="28" s="1"/>
  <c r="T425" i="28" s="1"/>
  <c r="U425" i="28" s="1"/>
  <c r="W425" i="28" s="1"/>
  <c r="O424" i="28"/>
  <c r="P424" i="28" s="1"/>
  <c r="Q424" i="28" s="1"/>
  <c r="T424" i="28"/>
  <c r="U424" i="28" s="1"/>
  <c r="W424" i="28" s="1"/>
  <c r="T151" i="28"/>
  <c r="U151" i="28" s="1"/>
  <c r="W151" i="28" s="1"/>
  <c r="N376" i="28"/>
  <c r="O375" i="28"/>
  <c r="P375" i="28" s="1"/>
  <c r="Q375" i="28" s="1"/>
  <c r="T375" i="28"/>
  <c r="U375" i="28" s="1"/>
  <c r="W375" i="28" s="1"/>
  <c r="P369" i="28"/>
  <c r="P147" i="28"/>
  <c r="O192" i="28"/>
  <c r="D15" i="27" s="1"/>
  <c r="BK15" i="27" s="1"/>
  <c r="O16" i="28"/>
  <c r="P16" i="28" s="1"/>
  <c r="Q16" i="28" s="1"/>
  <c r="S16" i="28" s="1"/>
  <c r="T354" i="28"/>
  <c r="U354" i="28" s="1"/>
  <c r="W354" i="28" s="1"/>
  <c r="T156" i="30"/>
  <c r="U156" i="30" s="1"/>
  <c r="W156" i="30" s="1"/>
  <c r="Y156" i="30" s="1"/>
  <c r="X156" i="30"/>
  <c r="U324" i="28"/>
  <c r="T301" i="28"/>
  <c r="U301" i="28" s="1"/>
  <c r="W301" i="28" s="1"/>
  <c r="T534" i="28"/>
  <c r="U534" i="28" s="1"/>
  <c r="W534" i="28" s="1"/>
  <c r="S308" i="28"/>
  <c r="E27" i="27" s="1"/>
  <c r="BL27" i="27" s="1"/>
  <c r="T298" i="28"/>
  <c r="U298" i="28" s="1"/>
  <c r="W298" i="28" s="1"/>
  <c r="T29" i="28"/>
  <c r="U29" i="28" s="1"/>
  <c r="W29" i="28" s="1"/>
  <c r="N23" i="28"/>
  <c r="O23" i="28" s="1"/>
  <c r="P23" i="28" s="1"/>
  <c r="Q23" i="28" s="1"/>
  <c r="S23" i="28" s="1"/>
  <c r="O22" i="28"/>
  <c r="P22" i="28" s="1"/>
  <c r="Q22" i="28" s="1"/>
  <c r="T22" i="28"/>
  <c r="U22" i="28" s="1"/>
  <c r="W22" i="28" s="1"/>
  <c r="T553" i="28"/>
  <c r="U553" i="28" s="1"/>
  <c r="W553" i="28" s="1"/>
  <c r="N218" i="28"/>
  <c r="O218" i="28" s="1"/>
  <c r="P218" i="28" s="1"/>
  <c r="Q218" i="28" s="1"/>
  <c r="S218" i="28" s="1"/>
  <c r="O217" i="28"/>
  <c r="P217" i="28" s="1"/>
  <c r="Q217" i="28" s="1"/>
  <c r="T217" i="28"/>
  <c r="U217" i="28" s="1"/>
  <c r="W217" i="28" s="1"/>
  <c r="N503" i="28"/>
  <c r="O503" i="28" s="1"/>
  <c r="P503" i="28" s="1"/>
  <c r="Q503" i="28" s="1"/>
  <c r="S503" i="28" s="1"/>
  <c r="O502" i="28"/>
  <c r="P502" i="28" s="1"/>
  <c r="Q502" i="28" s="1"/>
  <c r="T502" i="28"/>
  <c r="U502" i="28" s="1"/>
  <c r="W502" i="28" s="1"/>
  <c r="T289" i="28"/>
  <c r="U289" i="28" s="1"/>
  <c r="W289" i="28" s="1"/>
  <c r="N209" i="28"/>
  <c r="O209" i="28" s="1"/>
  <c r="P209" i="28" s="1"/>
  <c r="Q209" i="28" s="1"/>
  <c r="S209" i="28" s="1"/>
  <c r="O208" i="28"/>
  <c r="P208" i="28" s="1"/>
  <c r="Q208" i="28" s="1"/>
  <c r="T208" i="28"/>
  <c r="U208" i="28" s="1"/>
  <c r="W208" i="28" s="1"/>
  <c r="T347" i="28"/>
  <c r="U347" i="28" s="1"/>
  <c r="W347" i="28" s="1"/>
  <c r="W256" i="28"/>
  <c r="T505" i="28"/>
  <c r="U505" i="28" s="1"/>
  <c r="W505" i="28" s="1"/>
  <c r="S383" i="28"/>
  <c r="N447" i="28"/>
  <c r="O447" i="28" s="1"/>
  <c r="P447" i="28" s="1"/>
  <c r="Q447" i="28" s="1"/>
  <c r="S447" i="28" s="1"/>
  <c r="T447" i="28" s="1"/>
  <c r="U447" i="28" s="1"/>
  <c r="W447" i="28" s="1"/>
  <c r="O446" i="28"/>
  <c r="P446" i="28" s="1"/>
  <c r="Q446" i="28" s="1"/>
  <c r="T446" i="28"/>
  <c r="U446" i="28" s="1"/>
  <c r="W446" i="28" s="1"/>
  <c r="U369" i="28"/>
  <c r="N438" i="28"/>
  <c r="O438" i="28" s="1"/>
  <c r="P438" i="28" s="1"/>
  <c r="Q438" i="28" s="1"/>
  <c r="S438" i="28" s="1"/>
  <c r="T438" i="28" s="1"/>
  <c r="U438" i="28" s="1"/>
  <c r="W438" i="28" s="1"/>
  <c r="O437" i="28"/>
  <c r="P437" i="28" s="1"/>
  <c r="Q437" i="28" s="1"/>
  <c r="T437" i="28"/>
  <c r="U437" i="28" s="1"/>
  <c r="W437" i="28" s="1"/>
  <c r="U147" i="28"/>
  <c r="T404" i="18"/>
  <c r="U404" i="18" s="1"/>
  <c r="S237" i="18"/>
  <c r="T262" i="18"/>
  <c r="P44" i="30"/>
  <c r="T339" i="28"/>
  <c r="U339" i="28" s="1"/>
  <c r="W339" i="28" s="1"/>
  <c r="W286" i="28"/>
  <c r="T201" i="28"/>
  <c r="U201" i="28" s="1"/>
  <c r="W201" i="28" s="1"/>
  <c r="N281" i="28"/>
  <c r="B23" i="27" s="1"/>
  <c r="BI23" i="27" s="1"/>
  <c r="T495" i="28"/>
  <c r="U495" i="28" s="1"/>
  <c r="W495" i="28" s="1"/>
  <c r="S264" i="28"/>
  <c r="P256" i="28"/>
  <c r="T374" i="28"/>
  <c r="U374" i="28" s="1"/>
  <c r="W374" i="28" s="1"/>
  <c r="T356" i="28"/>
  <c r="U356" i="28" s="1"/>
  <c r="W356" i="28" s="1"/>
  <c r="U102" i="18"/>
  <c r="T148" i="18"/>
  <c r="U148" i="18" s="1"/>
  <c r="T70" i="18"/>
  <c r="U70" i="18" s="1"/>
  <c r="P37" i="19"/>
  <c r="S252" i="18"/>
  <c r="T84" i="18"/>
  <c r="U84" i="18" s="1"/>
  <c r="S225" i="18"/>
  <c r="T343" i="28"/>
  <c r="U343" i="28" s="1"/>
  <c r="W343" i="28" s="1"/>
  <c r="N291" i="28"/>
  <c r="B25" i="27" s="1"/>
  <c r="BI25" i="27" s="1"/>
  <c r="P269" i="28"/>
  <c r="O281" i="28"/>
  <c r="D23" i="27" s="1"/>
  <c r="BK23" i="27" s="1"/>
  <c r="T21" i="28"/>
  <c r="U21" i="28" s="1"/>
  <c r="W21" i="28" s="1"/>
  <c r="N18" i="28"/>
  <c r="O17" i="28"/>
  <c r="P17" i="28" s="1"/>
  <c r="Q17" i="28" s="1"/>
  <c r="T17" i="28"/>
  <c r="U17" i="28" s="1"/>
  <c r="W17" i="28" s="1"/>
  <c r="T527" i="28"/>
  <c r="U527" i="28" s="1"/>
  <c r="W527" i="28" s="1"/>
  <c r="N429" i="28"/>
  <c r="O429" i="28" s="1"/>
  <c r="P429" i="28" s="1"/>
  <c r="Q429" i="28" s="1"/>
  <c r="S429" i="28" s="1"/>
  <c r="T429" i="28" s="1"/>
  <c r="U429" i="28" s="1"/>
  <c r="W429" i="28" s="1"/>
  <c r="O428" i="28"/>
  <c r="P428" i="28" s="1"/>
  <c r="Q428" i="28" s="1"/>
  <c r="T428" i="28"/>
  <c r="U428" i="28" s="1"/>
  <c r="W428" i="28" s="1"/>
  <c r="O257" i="28"/>
  <c r="P257" i="28" s="1"/>
  <c r="Q257" i="28" s="1"/>
  <c r="S257" i="28" s="1"/>
  <c r="P13" i="30"/>
  <c r="T359" i="28"/>
  <c r="U359" i="28" s="1"/>
  <c r="W359" i="28" s="1"/>
  <c r="O370" i="28"/>
  <c r="P370" i="28" s="1"/>
  <c r="Q370" i="28" s="1"/>
  <c r="S370" i="28" s="1"/>
  <c r="T536" i="28"/>
  <c r="U536" i="28" s="1"/>
  <c r="W536" i="28" s="1"/>
  <c r="T148" i="28"/>
  <c r="U148" i="28" s="1"/>
  <c r="W148" i="28" s="1"/>
  <c r="T372" i="28"/>
  <c r="U372" i="28" s="1"/>
  <c r="W372" i="28" s="1"/>
  <c r="U155" i="30"/>
  <c r="N341" i="28"/>
  <c r="O341" i="28" s="1"/>
  <c r="P341" i="28" s="1"/>
  <c r="Q341" i="28" s="1"/>
  <c r="S341" i="28" s="1"/>
  <c r="O340" i="28"/>
  <c r="P340" i="28" s="1"/>
  <c r="Q340" i="28" s="1"/>
  <c r="T340" i="28"/>
  <c r="U340" i="28" s="1"/>
  <c r="W340" i="28" s="1"/>
  <c r="T337" i="28"/>
  <c r="U337" i="28" s="1"/>
  <c r="W337" i="28" s="1"/>
  <c r="T329" i="28"/>
  <c r="U329" i="28" s="1"/>
  <c r="W329" i="28" s="1"/>
  <c r="P324" i="28"/>
  <c r="U297" i="28"/>
  <c r="O532" i="28"/>
  <c r="P532" i="28" s="1"/>
  <c r="Q532" i="28" s="1"/>
  <c r="S532" i="28" s="1"/>
  <c r="N450" i="28"/>
  <c r="O450" i="28" s="1"/>
  <c r="P450" i="28" s="1"/>
  <c r="Q450" i="28" s="1"/>
  <c r="S450" i="28" s="1"/>
  <c r="T450" i="28" s="1"/>
  <c r="U450" i="28" s="1"/>
  <c r="W450" i="28" s="1"/>
  <c r="O449" i="28"/>
  <c r="P449" i="28" s="1"/>
  <c r="Q449" i="28" s="1"/>
  <c r="T449" i="28"/>
  <c r="U449" i="28" s="1"/>
  <c r="W449" i="28" s="1"/>
  <c r="S93" i="28"/>
  <c r="T501" i="28"/>
  <c r="U501" i="28" s="1"/>
  <c r="W501" i="28" s="1"/>
  <c r="N442" i="28"/>
  <c r="O442" i="28" s="1"/>
  <c r="P442" i="28" s="1"/>
  <c r="Q442" i="28" s="1"/>
  <c r="S442" i="28" s="1"/>
  <c r="T442" i="28" s="1"/>
  <c r="U442" i="28" s="1"/>
  <c r="W442" i="28" s="1"/>
  <c r="O441" i="28"/>
  <c r="P441" i="28" s="1"/>
  <c r="Q441" i="28" s="1"/>
  <c r="T441" i="28"/>
  <c r="U441" i="28" s="1"/>
  <c r="W441" i="28" s="1"/>
  <c r="S154" i="18"/>
  <c r="T154" i="18" s="1"/>
  <c r="U154" i="18" s="1"/>
  <c r="S109" i="18"/>
  <c r="T109" i="18" s="1"/>
  <c r="U109" i="18" s="1"/>
  <c r="S174" i="18"/>
  <c r="T174" i="18" s="1"/>
  <c r="T74" i="19"/>
  <c r="U74" i="19" s="1"/>
  <c r="S89" i="18"/>
  <c r="T89" i="18" s="1"/>
  <c r="U89" i="18" s="1"/>
  <c r="S262" i="18"/>
  <c r="T237" i="18"/>
  <c r="S92" i="18"/>
  <c r="P199" i="18"/>
  <c r="Q109" i="19"/>
  <c r="R101" i="19"/>
  <c r="S101" i="19" s="1"/>
  <c r="P262" i="18"/>
  <c r="Q255" i="18"/>
  <c r="Q262" i="18" s="1"/>
  <c r="Q139" i="18"/>
  <c r="Q176" i="18" s="1"/>
  <c r="P176" i="18"/>
  <c r="U79" i="18"/>
  <c r="S170" i="18"/>
  <c r="T170" i="18" s="1"/>
  <c r="S169" i="18"/>
  <c r="T169" i="18" s="1"/>
  <c r="U169" i="18" s="1"/>
  <c r="U62" i="19"/>
  <c r="S91" i="19"/>
  <c r="T91" i="19" s="1"/>
  <c r="U91" i="19" s="1"/>
  <c r="S84" i="19"/>
  <c r="T84" i="19" s="1"/>
  <c r="S149" i="18"/>
  <c r="T149" i="18" s="1"/>
  <c r="U149" i="18" s="1"/>
  <c r="T205" i="18"/>
  <c r="T217" i="18" s="1"/>
  <c r="S217" i="18"/>
  <c r="S63" i="18"/>
  <c r="T37" i="19"/>
  <c r="S112" i="18"/>
  <c r="T112" i="18" s="1"/>
  <c r="U112" i="18" s="1"/>
  <c r="R196" i="18"/>
  <c r="S191" i="18"/>
  <c r="S72" i="18"/>
  <c r="T72" i="18" s="1"/>
  <c r="U72" i="18" s="1"/>
  <c r="Q229" i="18"/>
  <c r="Q237" i="18" s="1"/>
  <c r="P237" i="18"/>
  <c r="U151" i="18"/>
  <c r="U153" i="18"/>
  <c r="T97" i="18"/>
  <c r="U97" i="18" s="1"/>
  <c r="Q295" i="18"/>
  <c r="U93" i="18"/>
  <c r="S425" i="18"/>
  <c r="T425" i="18" s="1"/>
  <c r="S384" i="18"/>
  <c r="T384" i="18" s="1"/>
  <c r="U384" i="18" s="1"/>
  <c r="S78" i="18"/>
  <c r="T78" i="18" s="1"/>
  <c r="U78" i="18" s="1"/>
  <c r="Q182" i="18"/>
  <c r="Q196" i="18" s="1"/>
  <c r="P196" i="18"/>
  <c r="S87" i="19"/>
  <c r="S192" i="18"/>
  <c r="Q248" i="18"/>
  <c r="Q252" i="18" s="1"/>
  <c r="P252" i="18"/>
  <c r="S37" i="19"/>
  <c r="T82" i="18"/>
  <c r="U82" i="18" s="1"/>
  <c r="T80" i="18"/>
  <c r="U80" i="18" s="1"/>
  <c r="S86" i="19"/>
  <c r="T86" i="19" s="1"/>
  <c r="S80" i="19"/>
  <c r="T80" i="19" s="1"/>
  <c r="U80" i="19" s="1"/>
  <c r="S346" i="18"/>
  <c r="T346" i="18" s="1"/>
  <c r="S147" i="18"/>
  <c r="R176" i="18"/>
  <c r="S92" i="19"/>
  <c r="T92" i="19" s="1"/>
  <c r="S106" i="19"/>
  <c r="T106" i="19" s="1"/>
  <c r="N307" i="18"/>
  <c r="S113" i="18"/>
  <c r="T113" i="18" s="1"/>
  <c r="U113" i="18" s="1"/>
  <c r="Q58" i="18"/>
  <c r="P120" i="18"/>
  <c r="U194" i="18"/>
  <c r="R112" i="19"/>
  <c r="Q117" i="19"/>
  <c r="U164" i="18"/>
  <c r="T285" i="18"/>
  <c r="T295" i="18" s="1"/>
  <c r="S295" i="18"/>
  <c r="S165" i="18"/>
  <c r="T165" i="18" s="1"/>
  <c r="P295" i="18"/>
  <c r="U124" i="18"/>
  <c r="S88" i="19"/>
  <c r="T88" i="19" s="1"/>
  <c r="Q121" i="19"/>
  <c r="Q124" i="19" s="1"/>
  <c r="P124" i="19"/>
  <c r="S87" i="18"/>
  <c r="S100" i="18"/>
  <c r="T100" i="18" s="1"/>
  <c r="U100" i="18" s="1"/>
  <c r="U293" i="18"/>
  <c r="U295" i="18" s="1"/>
  <c r="T124" i="19"/>
  <c r="U122" i="19"/>
  <c r="U124" i="19" s="1"/>
  <c r="T406" i="18"/>
  <c r="U406" i="18" s="1"/>
  <c r="Q40" i="19"/>
  <c r="Q53" i="19" s="1"/>
  <c r="P53" i="19"/>
  <c r="S83" i="19"/>
  <c r="S116" i="18"/>
  <c r="T116" i="18" s="1"/>
  <c r="T101" i="19"/>
  <c r="S115" i="19"/>
  <c r="T115" i="19" s="1"/>
  <c r="U115" i="19" s="1"/>
  <c r="R97" i="19"/>
  <c r="S73" i="19"/>
  <c r="S46" i="19"/>
  <c r="S53" i="19" s="1"/>
  <c r="R53" i="19"/>
  <c r="S382" i="18"/>
  <c r="T382" i="18" s="1"/>
  <c r="U382" i="18" s="1"/>
  <c r="P305" i="18"/>
  <c r="Q302" i="18"/>
  <c r="P123" i="18"/>
  <c r="O127" i="18"/>
  <c r="O307" i="18" s="1"/>
  <c r="S171" i="18"/>
  <c r="T171" i="18" s="1"/>
  <c r="S75" i="18"/>
  <c r="T75" i="18" s="1"/>
  <c r="S64" i="18"/>
  <c r="T64" i="18" s="1"/>
  <c r="U64" i="18" s="1"/>
  <c r="T416" i="18"/>
  <c r="U416" i="18" s="1"/>
  <c r="U235" i="18"/>
  <c r="U237" i="18" s="1"/>
  <c r="R109" i="19" l="1"/>
  <c r="BI77" i="27"/>
  <c r="BI82" i="27" s="1"/>
  <c r="D82" i="27"/>
  <c r="BK82" i="27"/>
  <c r="C23" i="27"/>
  <c r="BJ23" i="27" s="1"/>
  <c r="C27" i="27"/>
  <c r="BJ27" i="27" s="1"/>
  <c r="C77" i="27"/>
  <c r="BJ77" i="27" s="1"/>
  <c r="B82" i="27"/>
  <c r="C15" i="27"/>
  <c r="BJ15" i="27" s="1"/>
  <c r="T160" i="30"/>
  <c r="F77" i="27" s="1"/>
  <c r="S364" i="28"/>
  <c r="E31" i="27" s="1"/>
  <c r="BL31" i="27" s="1"/>
  <c r="O65" i="30"/>
  <c r="D65" i="27" s="1"/>
  <c r="BK65" i="27" s="1"/>
  <c r="N41" i="30"/>
  <c r="B63" i="27" s="1"/>
  <c r="BI63" i="27" s="1"/>
  <c r="O41" i="30"/>
  <c r="D63" i="27" s="1"/>
  <c r="BK63" i="27" s="1"/>
  <c r="S192" i="28"/>
  <c r="E15" i="27" s="1"/>
  <c r="BL15" i="27" s="1"/>
  <c r="T192" i="28"/>
  <c r="F15" i="27" s="1"/>
  <c r="BM15" i="27" s="1"/>
  <c r="T308" i="28"/>
  <c r="F27" i="27" s="1"/>
  <c r="BM27" i="27" s="1"/>
  <c r="T532" i="28"/>
  <c r="U532" i="28" s="1"/>
  <c r="W532" i="28" s="1"/>
  <c r="W297" i="28"/>
  <c r="U308" i="28"/>
  <c r="G27" i="27" s="1"/>
  <c r="BN27" i="27" s="1"/>
  <c r="Q269" i="28"/>
  <c r="Q281" i="28" s="1"/>
  <c r="P281" i="28"/>
  <c r="Q256" i="28"/>
  <c r="Q266" i="28" s="1"/>
  <c r="P266" i="28"/>
  <c r="T209" i="28"/>
  <c r="U209" i="28" s="1"/>
  <c r="W209" i="28" s="1"/>
  <c r="T218" i="28"/>
  <c r="U218" i="28" s="1"/>
  <c r="W218" i="28" s="1"/>
  <c r="O364" i="28"/>
  <c r="D31" i="27" s="1"/>
  <c r="BK31" i="27" s="1"/>
  <c r="W155" i="30"/>
  <c r="U160" i="30"/>
  <c r="G77" i="27" s="1"/>
  <c r="P41" i="30"/>
  <c r="Q13" i="30"/>
  <c r="Q41" i="30" s="1"/>
  <c r="Q44" i="30"/>
  <c r="Q65" i="30" s="1"/>
  <c r="P65" i="30"/>
  <c r="W147" i="28"/>
  <c r="U192" i="28"/>
  <c r="G15" i="27" s="1"/>
  <c r="BN15" i="27" s="1"/>
  <c r="T503" i="28"/>
  <c r="U503" i="28" s="1"/>
  <c r="W503" i="28" s="1"/>
  <c r="S243" i="28"/>
  <c r="T23" i="28"/>
  <c r="U23" i="28" s="1"/>
  <c r="W23" i="28" s="1"/>
  <c r="T211" i="28"/>
  <c r="U211" i="28" s="1"/>
  <c r="W211" i="28" s="1"/>
  <c r="AD49" i="30"/>
  <c r="AA49" i="30"/>
  <c r="Q155" i="30"/>
  <c r="Q160" i="30" s="1"/>
  <c r="P160" i="30"/>
  <c r="T287" i="28"/>
  <c r="T291" i="28" s="1"/>
  <c r="F25" i="27" s="1"/>
  <c r="BM25" i="27" s="1"/>
  <c r="S291" i="28"/>
  <c r="E25" i="27" s="1"/>
  <c r="BL25" i="27" s="1"/>
  <c r="P195" i="28"/>
  <c r="O246" i="28"/>
  <c r="D17" i="27" s="1"/>
  <c r="BK17" i="27" s="1"/>
  <c r="AA14" i="30"/>
  <c r="AD14" i="30"/>
  <c r="W44" i="30"/>
  <c r="T257" i="28"/>
  <c r="T266" i="28" s="1"/>
  <c r="F21" i="27" s="1"/>
  <c r="BM21" i="27" s="1"/>
  <c r="S266" i="28"/>
  <c r="E21" i="27" s="1"/>
  <c r="BL21" i="27" s="1"/>
  <c r="O18" i="28"/>
  <c r="P18" i="28" s="1"/>
  <c r="Q18" i="28" s="1"/>
  <c r="S18" i="28" s="1"/>
  <c r="N134" i="28"/>
  <c r="B9" i="27" s="1"/>
  <c r="BI9" i="27" s="1"/>
  <c r="AA156" i="30"/>
  <c r="AD156" i="30"/>
  <c r="T16" i="28"/>
  <c r="U16" i="28" s="1"/>
  <c r="W16" i="28" s="1"/>
  <c r="Q369" i="28"/>
  <c r="T27" i="28"/>
  <c r="U27" i="28" s="1"/>
  <c r="W27" i="28" s="1"/>
  <c r="AA48" i="30"/>
  <c r="AD48" i="30"/>
  <c r="Q535" i="28"/>
  <c r="U195" i="28"/>
  <c r="W535" i="28"/>
  <c r="T345" i="28"/>
  <c r="U345" i="28" s="1"/>
  <c r="W345" i="28" s="1"/>
  <c r="Z14" i="30"/>
  <c r="AC14" i="30"/>
  <c r="AA15" i="30"/>
  <c r="AD15" i="30"/>
  <c r="Q324" i="28"/>
  <c r="Q364" i="28" s="1"/>
  <c r="P364" i="28"/>
  <c r="W369" i="28"/>
  <c r="W324" i="28"/>
  <c r="Q147" i="28"/>
  <c r="Q192" i="28" s="1"/>
  <c r="P192" i="28"/>
  <c r="T213" i="28"/>
  <c r="U213" i="28" s="1"/>
  <c r="W213" i="28" s="1"/>
  <c r="N364" i="28"/>
  <c r="B31" i="27" s="1"/>
  <c r="BI31" i="27" s="1"/>
  <c r="W13" i="30"/>
  <c r="U281" i="28"/>
  <c r="G23" i="27" s="1"/>
  <c r="BN23" i="27" s="1"/>
  <c r="W269" i="28"/>
  <c r="T45" i="30"/>
  <c r="X45" i="30"/>
  <c r="S65" i="30"/>
  <c r="T196" i="28"/>
  <c r="U196" i="28" s="1"/>
  <c r="W196" i="28" s="1"/>
  <c r="X16" i="30"/>
  <c r="T16" i="30"/>
  <c r="W16" i="30" s="1"/>
  <c r="Y16" i="30" s="1"/>
  <c r="O291" i="28"/>
  <c r="D25" i="27" s="1"/>
  <c r="BK25" i="27" s="1"/>
  <c r="T341" i="28"/>
  <c r="U341" i="28" s="1"/>
  <c r="W341" i="28" s="1"/>
  <c r="T370" i="28"/>
  <c r="O266" i="28"/>
  <c r="D21" i="27" s="1"/>
  <c r="BK21" i="27" s="1"/>
  <c r="X160" i="30"/>
  <c r="Z156" i="30"/>
  <c r="Z160" i="30" s="1"/>
  <c r="AC156" i="30"/>
  <c r="AC160" i="30" s="1"/>
  <c r="O376" i="28"/>
  <c r="P376" i="28" s="1"/>
  <c r="Q376" i="28" s="1"/>
  <c r="S376" i="28" s="1"/>
  <c r="S385" i="28" s="1"/>
  <c r="E33" i="27" s="1"/>
  <c r="BL33" i="27" s="1"/>
  <c r="N385" i="28"/>
  <c r="B33" i="27" s="1"/>
  <c r="BI33" i="27" s="1"/>
  <c r="T205" i="28"/>
  <c r="U205" i="28" s="1"/>
  <c r="W205" i="28" s="1"/>
  <c r="Z48" i="30"/>
  <c r="AC48" i="30"/>
  <c r="Q297" i="28"/>
  <c r="Q308" i="28" s="1"/>
  <c r="P308" i="28"/>
  <c r="X50" i="30"/>
  <c r="T50" i="30"/>
  <c r="U50" i="30" s="1"/>
  <c r="W50" i="30" s="1"/>
  <c r="Y50" i="30" s="1"/>
  <c r="T281" i="28"/>
  <c r="F23" i="27" s="1"/>
  <c r="BM23" i="27" s="1"/>
  <c r="N65" i="30"/>
  <c r="N246" i="28"/>
  <c r="B17" i="27" s="1"/>
  <c r="BI17" i="27" s="1"/>
  <c r="Q286" i="28"/>
  <c r="Q291" i="28" s="1"/>
  <c r="P291" i="28"/>
  <c r="R117" i="19"/>
  <c r="S109" i="19"/>
  <c r="U170" i="18"/>
  <c r="U174" i="18"/>
  <c r="T92" i="18"/>
  <c r="U92" i="18" s="1"/>
  <c r="T109" i="19"/>
  <c r="P201" i="18"/>
  <c r="Q199" i="18"/>
  <c r="Q201" i="18" s="1"/>
  <c r="T73" i="19"/>
  <c r="U73" i="19" s="1"/>
  <c r="S196" i="18"/>
  <c r="T192" i="18"/>
  <c r="U192" i="18" s="1"/>
  <c r="U425" i="18"/>
  <c r="T191" i="18"/>
  <c r="U191" i="18" s="1"/>
  <c r="T63" i="18"/>
  <c r="U63" i="18" s="1"/>
  <c r="U84" i="19"/>
  <c r="U171" i="18"/>
  <c r="S97" i="19"/>
  <c r="U88" i="19"/>
  <c r="U106" i="19"/>
  <c r="R128" i="19"/>
  <c r="U346" i="18"/>
  <c r="T87" i="19"/>
  <c r="U87" i="19" s="1"/>
  <c r="U101" i="19"/>
  <c r="U109" i="19" s="1"/>
  <c r="U75" i="18"/>
  <c r="R302" i="18"/>
  <c r="Q305" i="18"/>
  <c r="T46" i="19"/>
  <c r="P128" i="19"/>
  <c r="R58" i="18"/>
  <c r="Q120" i="18"/>
  <c r="P127" i="18"/>
  <c r="Q123" i="18"/>
  <c r="U116" i="18"/>
  <c r="T83" i="19"/>
  <c r="U83" i="19" s="1"/>
  <c r="T87" i="18"/>
  <c r="U87" i="18" s="1"/>
  <c r="Q128" i="19"/>
  <c r="U165" i="18"/>
  <c r="U92" i="19"/>
  <c r="S176" i="18"/>
  <c r="U86" i="19"/>
  <c r="S112" i="19"/>
  <c r="S117" i="19" s="1"/>
  <c r="S128" i="19" s="1"/>
  <c r="T147" i="18"/>
  <c r="BM77" i="27" l="1"/>
  <c r="BM82" i="27" s="1"/>
  <c r="BN77" i="27"/>
  <c r="BN82" i="27" s="1"/>
  <c r="C82" i="27"/>
  <c r="BJ82" i="27"/>
  <c r="D69" i="27"/>
  <c r="BK69" i="27"/>
  <c r="C21" i="27"/>
  <c r="BJ21" i="27" s="1"/>
  <c r="BI35" i="27"/>
  <c r="C25" i="27"/>
  <c r="BJ25" i="27" s="1"/>
  <c r="C31" i="27"/>
  <c r="BJ31" i="27" s="1"/>
  <c r="C17" i="27"/>
  <c r="BJ17" i="27" s="1"/>
  <c r="N164" i="30"/>
  <c r="B65" i="27"/>
  <c r="BI65" i="27" s="1"/>
  <c r="C63" i="27"/>
  <c r="BJ63" i="27" s="1"/>
  <c r="B35" i="27"/>
  <c r="G82" i="27"/>
  <c r="F82" i="27"/>
  <c r="S164" i="30"/>
  <c r="E65" i="27"/>
  <c r="O164" i="30"/>
  <c r="N387" i="28"/>
  <c r="P134" i="28"/>
  <c r="Q164" i="30"/>
  <c r="S389" i="28"/>
  <c r="O385" i="28"/>
  <c r="D33" i="27" s="1"/>
  <c r="BK33" i="27" s="1"/>
  <c r="U16" i="30"/>
  <c r="U41" i="30" s="1"/>
  <c r="G63" i="27" s="1"/>
  <c r="BN63" i="27" s="1"/>
  <c r="Q385" i="28"/>
  <c r="P164" i="30"/>
  <c r="U257" i="28"/>
  <c r="U266" i="28" s="1"/>
  <c r="G21" i="27" s="1"/>
  <c r="BN21" i="27" s="1"/>
  <c r="U287" i="28"/>
  <c r="W287" i="28" s="1"/>
  <c r="AD50" i="30"/>
  <c r="AA50" i="30"/>
  <c r="AC16" i="30"/>
  <c r="AC41" i="30" s="1"/>
  <c r="Z16" i="30"/>
  <c r="Z41" i="30" s="1"/>
  <c r="U45" i="30"/>
  <c r="T65" i="30"/>
  <c r="F65" i="27" s="1"/>
  <c r="BM65" i="27" s="1"/>
  <c r="Y13" i="30"/>
  <c r="W41" i="30"/>
  <c r="H63" i="27" s="1"/>
  <c r="BO63" i="27" s="1"/>
  <c r="X41" i="30"/>
  <c r="T18" i="28"/>
  <c r="S134" i="28"/>
  <c r="E9" i="27" s="1"/>
  <c r="BL9" i="27" s="1"/>
  <c r="Y155" i="30"/>
  <c r="W160" i="30"/>
  <c r="H77" i="27" s="1"/>
  <c r="Z50" i="30"/>
  <c r="AC50" i="30"/>
  <c r="AE160" i="30"/>
  <c r="AG160" i="30"/>
  <c r="AF160" i="30"/>
  <c r="U370" i="28"/>
  <c r="W281" i="28"/>
  <c r="H23" i="27" s="1"/>
  <c r="BO23" i="27" s="1"/>
  <c r="W192" i="28"/>
  <c r="H15" i="27" s="1"/>
  <c r="BO15" i="27" s="1"/>
  <c r="W308" i="28"/>
  <c r="H27" i="27" s="1"/>
  <c r="BO27" i="27" s="1"/>
  <c r="Y44" i="30"/>
  <c r="T41" i="30"/>
  <c r="F63" i="27" s="1"/>
  <c r="BM63" i="27" s="1"/>
  <c r="U196" i="18"/>
  <c r="W364" i="28"/>
  <c r="H31" i="27" s="1"/>
  <c r="BO31" i="27" s="1"/>
  <c r="T246" i="28"/>
  <c r="F17" i="27" s="1"/>
  <c r="BM17" i="27" s="1"/>
  <c r="P307" i="18"/>
  <c r="O134" i="28"/>
  <c r="D9" i="27" s="1"/>
  <c r="BK9" i="27" s="1"/>
  <c r="BK35" i="27" s="1"/>
  <c r="T376" i="28"/>
  <c r="U376" i="28" s="1"/>
  <c r="W376" i="28" s="1"/>
  <c r="AA16" i="30"/>
  <c r="AD16" i="30"/>
  <c r="S246" i="28"/>
  <c r="E17" i="27" s="1"/>
  <c r="BL17" i="27" s="1"/>
  <c r="X65" i="30"/>
  <c r="Z45" i="30"/>
  <c r="AC45" i="30"/>
  <c r="U364" i="28"/>
  <c r="G31" i="27" s="1"/>
  <c r="BN31" i="27" s="1"/>
  <c r="U246" i="28"/>
  <c r="G17" i="27" s="1"/>
  <c r="BN17" i="27" s="1"/>
  <c r="W195" i="28"/>
  <c r="Q134" i="28"/>
  <c r="P385" i="28"/>
  <c r="P246" i="28"/>
  <c r="Q195" i="28"/>
  <c r="Q246" i="28" s="1"/>
  <c r="T364" i="28"/>
  <c r="F31" i="27" s="1"/>
  <c r="BM31" i="27" s="1"/>
  <c r="T196" i="18"/>
  <c r="T112" i="19"/>
  <c r="T117" i="19" s="1"/>
  <c r="U97" i="19"/>
  <c r="Q127" i="18"/>
  <c r="Q307" i="18" s="1"/>
  <c r="R123" i="18"/>
  <c r="S302" i="18"/>
  <c r="S305" i="18" s="1"/>
  <c r="R305" i="18"/>
  <c r="T176" i="18"/>
  <c r="U147" i="18"/>
  <c r="U176" i="18" s="1"/>
  <c r="T97" i="19"/>
  <c r="T53" i="19"/>
  <c r="U46" i="19"/>
  <c r="U53" i="19" s="1"/>
  <c r="S58" i="18"/>
  <c r="S120" i="18" s="1"/>
  <c r="R120" i="18"/>
  <c r="D83" i="27" l="1"/>
  <c r="BL65" i="27"/>
  <c r="BL69" i="27" s="1"/>
  <c r="BL35" i="27"/>
  <c r="BO77" i="27"/>
  <c r="BO82" i="27" s="1"/>
  <c r="C65" i="27"/>
  <c r="C69" i="27" s="1"/>
  <c r="BI69" i="27"/>
  <c r="BI84" i="27" s="1"/>
  <c r="D35" i="27"/>
  <c r="C33" i="27"/>
  <c r="BJ33" i="27" s="1"/>
  <c r="BM69" i="27"/>
  <c r="E35" i="27"/>
  <c r="B36" i="27"/>
  <c r="C9" i="27"/>
  <c r="BJ9" i="27" s="1"/>
  <c r="B69" i="27"/>
  <c r="D84" i="27"/>
  <c r="D85" i="27" s="1"/>
  <c r="F69" i="27"/>
  <c r="H82" i="27"/>
  <c r="E69" i="27"/>
  <c r="U291" i="28"/>
  <c r="G25" i="27" s="1"/>
  <c r="BN25" i="27" s="1"/>
  <c r="S387" i="28"/>
  <c r="AC65" i="30"/>
  <c r="AE65" i="30" s="1"/>
  <c r="O387" i="28"/>
  <c r="Z65" i="30"/>
  <c r="Z164" i="30" s="1"/>
  <c r="T164" i="30"/>
  <c r="P387" i="28"/>
  <c r="W257" i="28"/>
  <c r="X164" i="30"/>
  <c r="Q387" i="28"/>
  <c r="AE41" i="30"/>
  <c r="AF41" i="30"/>
  <c r="AG41" i="30"/>
  <c r="T385" i="28"/>
  <c r="F33" i="27" s="1"/>
  <c r="BM33" i="27" s="1"/>
  <c r="W246" i="28"/>
  <c r="H17" i="27" s="1"/>
  <c r="BO17" i="27" s="1"/>
  <c r="W370" i="28"/>
  <c r="U385" i="28"/>
  <c r="G33" i="27" s="1"/>
  <c r="BN33" i="27" s="1"/>
  <c r="AA155" i="30"/>
  <c r="AA160" i="30" s="1"/>
  <c r="AD155" i="30"/>
  <c r="AD160" i="30" s="1"/>
  <c r="Y160" i="30"/>
  <c r="W291" i="28"/>
  <c r="H25" i="27" s="1"/>
  <c r="BO25" i="27" s="1"/>
  <c r="W45" i="30"/>
  <c r="U65" i="30"/>
  <c r="U112" i="19"/>
  <c r="U117" i="19" s="1"/>
  <c r="AA44" i="30"/>
  <c r="AD44" i="30"/>
  <c r="U18" i="28"/>
  <c r="T134" i="28"/>
  <c r="F9" i="27" s="1"/>
  <c r="BM9" i="27" s="1"/>
  <c r="AA13" i="30"/>
  <c r="AA41" i="30" s="1"/>
  <c r="Y41" i="30"/>
  <c r="AD13" i="30"/>
  <c r="AD41" i="30" s="1"/>
  <c r="T128" i="19"/>
  <c r="R127" i="18"/>
  <c r="R307" i="18" s="1"/>
  <c r="S123" i="18"/>
  <c r="S127" i="18" s="1"/>
  <c r="S307" i="18" s="1"/>
  <c r="T302" i="18"/>
  <c r="T305" i="18" s="1"/>
  <c r="T58" i="18"/>
  <c r="T120" i="18" s="1"/>
  <c r="U128" i="19"/>
  <c r="BL84" i="27" l="1"/>
  <c r="BM35" i="27"/>
  <c r="D36" i="27"/>
  <c r="BJ65" i="27"/>
  <c r="BJ69" i="27" s="1"/>
  <c r="BJ84" i="27" s="1"/>
  <c r="BJ35" i="27"/>
  <c r="C35" i="27"/>
  <c r="C84" i="27" s="1"/>
  <c r="BK84" i="27"/>
  <c r="BK85" i="27" s="1"/>
  <c r="BM84" i="27"/>
  <c r="E36" i="27"/>
  <c r="B83" i="27"/>
  <c r="B84" i="27"/>
  <c r="U58" i="18"/>
  <c r="U120" i="18" s="1"/>
  <c r="U164" i="30"/>
  <c r="G65" i="27"/>
  <c r="F35" i="27"/>
  <c r="E83" i="27"/>
  <c r="E84" i="27"/>
  <c r="F83" i="27"/>
  <c r="AF65" i="30"/>
  <c r="AF164" i="30" s="1"/>
  <c r="T387" i="28"/>
  <c r="AC164" i="30"/>
  <c r="AG65" i="30"/>
  <c r="AG164" i="30" s="1"/>
  <c r="AE164" i="30"/>
  <c r="W266" i="28"/>
  <c r="H21" i="27" s="1"/>
  <c r="BO21" i="27" s="1"/>
  <c r="AH41" i="30"/>
  <c r="AI41" i="30"/>
  <c r="AJ41" i="30"/>
  <c r="W18" i="28"/>
  <c r="U134" i="28"/>
  <c r="Y45" i="30"/>
  <c r="W65" i="30"/>
  <c r="W385" i="28"/>
  <c r="H33" i="27" s="1"/>
  <c r="BO33" i="27" s="1"/>
  <c r="AH160" i="30"/>
  <c r="AI160" i="30"/>
  <c r="AJ160" i="30"/>
  <c r="T123" i="18"/>
  <c r="T127" i="18" s="1"/>
  <c r="T307" i="18" s="1"/>
  <c r="U302" i="18"/>
  <c r="U305" i="18" s="1"/>
  <c r="BI85" i="27" l="1"/>
  <c r="B85" i="27"/>
  <c r="BL85" i="27"/>
  <c r="E85" i="27"/>
  <c r="BN65" i="27"/>
  <c r="BN69" i="27" s="1"/>
  <c r="BJ85" i="27"/>
  <c r="F36" i="27"/>
  <c r="F84" i="27"/>
  <c r="G69" i="27"/>
  <c r="W164" i="30"/>
  <c r="H65" i="27"/>
  <c r="U387" i="28"/>
  <c r="G9" i="27"/>
  <c r="BN9" i="27" s="1"/>
  <c r="BN35" i="27" s="1"/>
  <c r="W134" i="28"/>
  <c r="AA45" i="30"/>
  <c r="AA65" i="30" s="1"/>
  <c r="AA164" i="30" s="1"/>
  <c r="AD45" i="30"/>
  <c r="AD65" i="30" s="1"/>
  <c r="Y65" i="30"/>
  <c r="Y164" i="30" s="1"/>
  <c r="U123" i="18"/>
  <c r="U127" i="18" s="1"/>
  <c r="U307" i="18" s="1"/>
  <c r="BM85" i="27" l="1"/>
  <c r="F85" i="27"/>
  <c r="BO65" i="27"/>
  <c r="BO69" i="27" s="1"/>
  <c r="G35" i="27"/>
  <c r="G36" i="27" s="1"/>
  <c r="BN84" i="27"/>
  <c r="W387" i="28"/>
  <c r="H9" i="27"/>
  <c r="BO9" i="27" s="1"/>
  <c r="BO35" i="27" s="1"/>
  <c r="G83" i="27"/>
  <c r="H69" i="27"/>
  <c r="AI65" i="30"/>
  <c r="AI164" i="30" s="1"/>
  <c r="AJ65" i="30"/>
  <c r="AJ164" i="30" s="1"/>
  <c r="AH65" i="30"/>
  <c r="AH164" i="30" s="1"/>
  <c r="AD164" i="30"/>
  <c r="G84" i="27" l="1"/>
  <c r="G85" i="27" s="1"/>
  <c r="H35" i="27"/>
  <c r="H36" i="27" s="1"/>
  <c r="BO84" i="27"/>
  <c r="H84" i="27"/>
  <c r="H85" i="27" s="1"/>
  <c r="BN85" i="27" l="1"/>
  <c r="BO85" i="27"/>
  <c r="AH779" i="29"/>
  <c r="AD779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Puryear</author>
  </authors>
  <commentList>
    <comment ref="R10" authorId="0" shapeId="0" xr:uid="{00000000-0006-0000-0000-000001000000}">
      <text>
        <r>
          <rPr>
            <sz val="9"/>
            <color indexed="81"/>
            <rFont val="Tahoma"/>
            <family val="2"/>
          </rPr>
          <t>Multiple accounts are allowed
Example: 14110,15110 
or a range of accounts 
Example:
14110..15110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Brittany Mani</author>
    <author>Heather Garland</author>
  </authors>
  <commentList>
    <comment ref="C1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Brittany Mani:</t>
        </r>
        <r>
          <rPr>
            <sz val="9"/>
            <color indexed="81"/>
            <rFont val="Tahoma"/>
            <family val="2"/>
          </rPr>
          <t xml:space="preserve">
Unit counts</t>
        </r>
      </text>
    </comment>
    <comment ref="D13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Unit Counts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Puryear</author>
  </authors>
  <commentList>
    <comment ref="R10" authorId="0" shapeId="0" xr:uid="{00000000-0006-0000-0100-000001000000}">
      <text>
        <r>
          <rPr>
            <sz val="9"/>
            <color indexed="81"/>
            <rFont val="Tahoma"/>
            <family val="2"/>
          </rPr>
          <t>Multiple accounts are allowed
Example: 14110,15110 
or a range of accounts 
Example:
14110..15110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Adam Rodriguez</author>
    <author>Akasha Leffler</author>
  </authors>
  <commentList>
    <comment ref="O2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Add / Replace</t>
        </r>
      </text>
    </comment>
    <comment ref="P2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New / Used</t>
        </r>
      </text>
    </comment>
    <comment ref="AG28" authorId="0" shapeId="0" xr:uid="{00000000-0006-0000-0300-000003000000}">
      <text>
        <r>
          <rPr>
            <sz val="9"/>
            <color indexed="81"/>
            <rFont val="Tahoma"/>
            <family val="2"/>
          </rPr>
          <t>Required if PO Item is marked as 'R' and if Heavy Equipment or Truck</t>
        </r>
      </text>
    </comment>
    <comment ref="AI28" authorId="0" shapeId="0" xr:uid="{00000000-0006-0000-0300-000004000000}">
      <text>
        <r>
          <rPr>
            <sz val="9"/>
            <color indexed="81"/>
            <rFont val="Tahoma"/>
            <family val="2"/>
          </rPr>
          <t>Required if PO Item is marked as 'R' and if Heavy Equipment or Truck</t>
        </r>
      </text>
    </comment>
    <comment ref="AK28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This field will not be uploaded to DMS</t>
        </r>
      </text>
    </comment>
    <comment ref="AM28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This field will not be uploaded to DMS
</t>
        </r>
        <r>
          <rPr>
            <sz val="9"/>
            <color indexed="81"/>
            <rFont val="Tahoma"/>
            <family val="2"/>
          </rPr>
          <t>Text will become a hyperlink when you pull again</t>
        </r>
      </text>
    </comment>
    <comment ref="AE30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Akasha Leffler:</t>
        </r>
        <r>
          <rPr>
            <sz val="9"/>
            <color indexed="81"/>
            <rFont val="Tahoma"/>
            <family val="2"/>
          </rPr>
          <t xml:space="preserve">
Entire budgeted amount for 2022 was $1,330,688 but some have already been received. Per DC, $694,467 left.</t>
        </r>
      </text>
    </comment>
    <comment ref="AR80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Akasha Leffler:</t>
        </r>
        <r>
          <rPr>
            <sz val="9"/>
            <color indexed="81"/>
            <rFont val="Tahoma"/>
            <family val="2"/>
          </rPr>
          <t xml:space="preserve">
The life of the lease of the weld shop. The dollars were orignially for shop equip with 5 year life but they're using the funds for building improvements instead.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Garland</author>
  </authors>
  <commentList>
    <comment ref="J6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Includes regular UTC, JBLM Housing and JBLM Non-Fed Contract (Ft. Lewis bill area).</t>
        </r>
      </text>
    </comment>
    <comment ref="S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Includes regular UTC, JBLM Housing and JBLM Non-Fed Contract (Ft. Lewis bill area).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Chelsea Paschke</author>
    <author>HeatherL</author>
    <author>Lindsay Waldram</author>
    <author>tc={4EA49F9C-2BFC-4A7E-837F-06654ABCAE34}</author>
    <author>tc={60BD7FE5-F617-4032-ABD2-09F01B98583D}</author>
    <author>jenniferb</author>
    <author>tc={A11EA3C4-64B5-45F4-8179-A001CBD1E394}</author>
    <author>WCNX</author>
    <author>tc={C99C10F7-FA6B-4504-8053-A1DFB9F41416}</author>
    <author>Heather Garland</author>
  </authors>
  <commentList>
    <comment ref="K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changed back to FAR life</t>
        </r>
      </text>
    </comment>
    <comment ref="D15" authorId="1" shapeId="0" xr:uid="{00000000-0006-0000-0500-000002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19" authorId="1" shapeId="0" xr:uid="{00000000-0006-0000-0500-000003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31" authorId="1" shapeId="0" xr:uid="{00000000-0006-0000-0500-000004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32" authorId="1" shapeId="0" xr:uid="{00000000-0006-0000-0500-000005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33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D43" authorId="2" shapeId="0" xr:uid="{00000000-0006-0000-0500-000007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Actually a mini truck used for garbage pickup</t>
        </r>
      </text>
    </comment>
    <comment ref="D51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Should this be REL</t>
        </r>
      </text>
    </comment>
    <comment ref="K92" authorId="3" shapeId="0" xr:uid="{00000000-0006-0000-0500-000009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Going back to prior cases, we had agreed on a two year life for these.</t>
      </text>
    </comment>
    <comment ref="D147" authorId="1" shapeId="0" xr:uid="{00000000-0006-0000-0500-00000A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149" authorId="1" shapeId="0" xr:uid="{00000000-0006-0000-0500-00000B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52" authorId="1" shapeId="0" xr:uid="{00000000-0006-0000-0500-00000C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153" authorId="1" shapeId="0" xr:uid="{00000000-0006-0000-0500-00000D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54" authorId="1" shapeId="0" xr:uid="{00000000-0006-0000-0500-00000E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S155" authorId="4" shapeId="0" xr:uid="{00000000-0006-0000-0500-00000F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Removed - fully depreciated</t>
      </text>
    </comment>
    <comment ref="D195" authorId="1" shapeId="0" xr:uid="{00000000-0006-0000-0500-000010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197" authorId="1" shapeId="0" xr:uid="{00000000-0006-0000-0500-000011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F199" authorId="5" shapeId="0" xr:uid="{00000000-0006-0000-0500-000012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where is this parent?</t>
        </r>
      </text>
    </comment>
    <comment ref="D214" authorId="1" shapeId="0" xr:uid="{00000000-0006-0000-0500-000013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215" authorId="1" shapeId="0" xr:uid="{00000000-0006-0000-0500-000014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216" authorId="1" shapeId="0" xr:uid="{00000000-0006-0000-0500-000015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K222" authorId="6" shapeId="0" xr:uid="{00000000-0006-0000-0500-000016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Changed lived to 10 years to match other trucks added since last GRC</t>
      </text>
    </comment>
    <comment ref="D227" authorId="5" shapeId="0" xr:uid="{00000000-0006-0000-0500-000017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replacing truck #3307 asset 90543</t>
        </r>
      </text>
    </comment>
    <comment ref="K228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disposed</t>
        </r>
      </text>
    </comment>
    <comment ref="D256" authorId="1" shapeId="0" xr:uid="{00000000-0006-0000-0500-000019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258" authorId="1" shapeId="0" xr:uid="{00000000-0006-0000-0500-00001A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259" authorId="1" shapeId="0" xr:uid="{00000000-0006-0000-0500-00001B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260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261" authorId="1" shapeId="0" xr:uid="{00000000-0006-0000-0500-00001D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D275" authorId="7" shapeId="0" xr:uid="{00000000-0006-0000-0500-00001E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275" authorId="8" shapeId="0" xr:uid="{00000000-0006-0000-0500-00001F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Remove - fully depreciated</t>
      </text>
    </comment>
    <comment ref="A276" authorId="2" shapeId="0" xr:uid="{00000000-0006-0000-0500-000020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Roll off?</t>
        </r>
      </text>
    </comment>
    <comment ref="C300" authorId="9" shapeId="0" xr:uid="{00000000-0006-0000-0500-000021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Transferred from American in 2017.</t>
        </r>
      </text>
    </comment>
    <comment ref="B323" authorId="9" shapeId="0" xr:uid="{00000000-0006-0000-0500-000022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These transfer trucks are sued for used for Lakewood TS hauls  Per Brittany, there are only 3 LRI transfer trucks (non-reg activity), and they can be specifically identified so they have been removed from this schedule.</t>
        </r>
      </text>
    </comment>
    <comment ref="A358" authorId="1" shapeId="0" xr:uid="{00000000-0006-0000-0500-000023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Not licensed during 2010 due to decrease in long haul business.</t>
        </r>
      </text>
    </comment>
    <comment ref="D371" authorId="7" shapeId="0" xr:uid="{00000000-0006-0000-0500-000024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from 2182 10/2011.</t>
        </r>
      </text>
    </comment>
    <comment ref="D382" authorId="2" shapeId="0" xr:uid="{00000000-0006-0000-0500-000025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Container Delivery</t>
        </r>
      </text>
    </comment>
    <comment ref="C407" authorId="5" shapeId="0" xr:uid="{00000000-0006-0000-0500-000026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asset 113248- 7 cameras</t>
        </r>
      </text>
    </comment>
    <comment ref="D458" authorId="1" shapeId="0" xr:uid="{00000000-0006-0000-0500-000027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C463" authorId="5" shapeId="0" xr:uid="{00000000-0006-0000-0500-000028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same trk # as asset 86843.  Asset 86843 transferred to 2182 12/1/14</t>
        </r>
      </text>
    </comment>
    <comment ref="D485" authorId="9" shapeId="0" xr:uid="{00000000-0006-0000-0500-000029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Move to tractor/trailer section.</t>
        </r>
      </text>
    </comment>
    <comment ref="C520" authorId="5" shapeId="0" xr:uid="{00000000-0006-0000-0500-00002A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asset 113896- 2 cameras</t>
        </r>
      </text>
    </comment>
    <comment ref="F523" authorId="5" shapeId="0" xr:uid="{00000000-0006-0000-0500-00002B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2009 RO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tc={9B8E169B-4A1E-4A2E-AB57-6F28791E19A8}</author>
    <author>Lindsay Waldram</author>
    <author>tc={2A5A5F87-2249-48CD-9F57-D3748BDDD999}</author>
    <author>Chelsea Paschke</author>
  </authors>
  <commentList>
    <comment ref="AA11" authorId="0" shapeId="0" xr:uid="{00000000-0006-0000-06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variances are the result of changing the calculation of average investment to book value as of the year 2020.</t>
      </text>
    </comment>
    <comment ref="B77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Moved from YW</t>
        </r>
      </text>
    </comment>
    <comment ref="Z77" authorId="2" shapeId="0" xr:uid="{00000000-0006-0000-06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Removed because fully depreciating in rate year</t>
      </text>
    </comment>
    <comment ref="M78" authorId="3" shapeId="0" xr:uid="{00000000-0006-0000-0600-000004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should only get rid of assets before 2020.25</t>
        </r>
      </text>
    </comment>
    <comment ref="B356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Moved from YW</t>
        </r>
      </text>
    </comment>
    <comment ref="B790" authorId="3" shapeId="0" xr:uid="{00000000-0006-0000-0600-000006000000}">
      <text>
        <r>
          <rPr>
            <b/>
            <sz val="9"/>
            <color indexed="81"/>
            <rFont val="Tahoma"/>
            <family val="2"/>
          </rPr>
          <t>Chelsea Paschke:</t>
        </r>
        <r>
          <rPr>
            <sz val="9"/>
            <color indexed="81"/>
            <rFont val="Tahoma"/>
            <family val="2"/>
          </rPr>
          <t xml:space="preserve">
partial disposal - see asset above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tc={365F1050-2059-49CB-829B-13A1841656A8}</author>
    <author>jenniferb</author>
    <author>WCNX</author>
  </authors>
  <commentList>
    <comment ref="AA11" authorId="0" shapeId="0" xr:uid="{00000000-0006-0000-07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variances are the result of changing the calculation of average investment to book value as of the year 2020.</t>
      </text>
    </comment>
    <comment ref="C2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transfer from 2170</t>
        </r>
      </text>
    </comment>
    <comment ref="C86" authorId="2" shapeId="0" xr:uid="{00000000-0006-0000-0700-000003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JBLM??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WCI Information Systems Department</author>
    <author>WCNX</author>
    <author>HeatherL</author>
    <author>jenniferb</author>
    <author>Lindsay Waldram</author>
    <author>Heather Garland</author>
    <author>heatherg</author>
    <author>Ben Thompson</author>
  </authors>
  <commentList>
    <comment ref="X12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WCI Information Systems Department:</t>
        </r>
        <r>
          <rPr>
            <sz val="8"/>
            <color indexed="81"/>
            <rFont val="Tahoma"/>
            <family val="2"/>
          </rPr>
          <t xml:space="preserve">
Checked on 7/25/2011.</t>
        </r>
      </text>
    </comment>
    <comment ref="D21" authorId="1" shapeId="0" xr:uid="{00000000-0006-0000-08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from 2182 10/2011.</t>
        </r>
      </text>
    </comment>
    <comment ref="D22" authorId="2" shapeId="0" xr:uid="{00000000-0006-0000-0800-000003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33" authorId="2" shapeId="0" xr:uid="{00000000-0006-0000-0800-000004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51" authorId="2" shapeId="0" xr:uid="{00000000-0006-0000-0800-000005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52" authorId="2" shapeId="0" xr:uid="{00000000-0006-0000-0800-000006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54" authorId="2" shapeId="0" xr:uid="{00000000-0006-0000-0800-000007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D76" authorId="1" shapeId="0" xr:uid="{00000000-0006-0000-0800-000008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8" authorId="3" shapeId="0" xr:uid="{00000000-0006-0000-0800-000009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replacing truck #3307 asset 90543</t>
        </r>
      </text>
    </comment>
    <comment ref="A100" authorId="4" shapeId="0" xr:uid="{00000000-0006-0000-0800-00000A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Roll off?</t>
        </r>
      </text>
    </comment>
    <comment ref="D105" authorId="4" shapeId="0" xr:uid="{00000000-0006-0000-0800-00000B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Actually a mini truck used for garbage pickup</t>
        </r>
      </text>
    </comment>
    <comment ref="D107" authorId="4" shapeId="0" xr:uid="{00000000-0006-0000-0800-00000C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Container Delivery</t>
        </r>
      </text>
    </comment>
    <comment ref="D116" authorId="4" shapeId="0" xr:uid="{00000000-0006-0000-0800-00000D000000}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Should this be REL</t>
        </r>
      </text>
    </comment>
    <comment ref="D131" authorId="2" shapeId="0" xr:uid="{00000000-0006-0000-0800-00000E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135" authorId="2" shapeId="0" xr:uid="{00000000-0006-0000-0800-00000F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43" authorId="2" shapeId="0" xr:uid="{00000000-0006-0000-0800-000010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144" authorId="2" shapeId="0" xr:uid="{00000000-0006-0000-0800-000011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45" authorId="2" shapeId="0" xr:uid="{00000000-0006-0000-0800-000012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C146" authorId="3" shapeId="0" xr:uid="{00000000-0006-0000-0800-000013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asset 113248- 7 cameras</t>
        </r>
      </text>
    </comment>
    <comment ref="C153" authorId="3" shapeId="0" xr:uid="{00000000-0006-0000-0800-000014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asset 113896- 2 cameras</t>
        </r>
      </text>
    </comment>
    <comment ref="F154" authorId="3" shapeId="0" xr:uid="{00000000-0006-0000-0800-000015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2009 RO</t>
        </r>
      </text>
    </comment>
    <comment ref="D180" authorId="2" shapeId="0" xr:uid="{00000000-0006-0000-0800-000016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187" authorId="2" shapeId="0" xr:uid="{00000000-0006-0000-0800-000017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88" authorId="2" shapeId="0" xr:uid="{00000000-0006-0000-0800-000018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189" authorId="2" shapeId="0" xr:uid="{00000000-0006-0000-0800-000019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190" authorId="2" shapeId="0" xr:uid="{00000000-0006-0000-0800-00001A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D205" authorId="2" shapeId="0" xr:uid="{00000000-0006-0000-0800-00001B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#of trucks.</t>
        </r>
      </text>
    </comment>
    <comment ref="D210" authorId="2" shapeId="0" xr:uid="{00000000-0006-0000-0800-00001C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212" authorId="2" shapeId="0" xr:uid="{00000000-0006-0000-0800-00001D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Summed 5 lines and allocated to each LOB based on # of trucks.</t>
        </r>
      </text>
    </comment>
    <comment ref="D213" authorId="2" shapeId="0" xr:uid="{00000000-0006-0000-0800-00001E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D214" authorId="2" shapeId="0" xr:uid="{00000000-0006-0000-0800-00001F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One line allocated between LOB's based on number of trucks.</t>
        </r>
      </text>
    </comment>
    <comment ref="C235" authorId="5" shapeId="0" xr:uid="{00000000-0006-0000-0800-000020000000}">
      <text>
        <r>
          <rPr>
            <b/>
            <sz val="9"/>
            <color indexed="81"/>
            <rFont val="Tahoma"/>
            <family val="2"/>
          </rPr>
          <t>Heather Garland:</t>
        </r>
        <r>
          <rPr>
            <sz val="9"/>
            <color indexed="81"/>
            <rFont val="Tahoma"/>
            <family val="2"/>
          </rPr>
          <t xml:space="preserve">
Transferred from American in 2017.</t>
        </r>
      </text>
    </comment>
    <comment ref="F248" authorId="3" shapeId="0" xr:uid="{00000000-0006-0000-0800-000021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where is this parent?</t>
        </r>
      </text>
    </comment>
    <comment ref="F250" authorId="3" shapeId="0" xr:uid="{00000000-0006-0000-0800-000022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where is this parent asset?</t>
        </r>
      </text>
    </comment>
    <comment ref="C282" authorId="3" shapeId="0" xr:uid="{00000000-0006-0000-0800-000023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same trk # as asset 86843.  Asset 86843 transferred to 2182 12/1/14</t>
        </r>
      </text>
    </comment>
    <comment ref="A289" authorId="2" shapeId="0" xr:uid="{00000000-0006-0000-0800-000024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Not licensed during 2010 due to decrease in long haul business.</t>
        </r>
      </text>
    </comment>
    <comment ref="D291" authorId="2" shapeId="0" xr:uid="{00000000-0006-0000-0800-000025000000}">
      <text>
        <r>
          <rPr>
            <b/>
            <sz val="8"/>
            <color indexed="81"/>
            <rFont val="Tahoma"/>
            <family val="2"/>
          </rPr>
          <t>HeatherL:</t>
        </r>
        <r>
          <rPr>
            <sz val="8"/>
            <color indexed="81"/>
            <rFont val="Tahoma"/>
            <family val="2"/>
          </rPr>
          <t xml:space="preserve">
3 lines combined and allocated between LOB's based on # of trucks.</t>
        </r>
      </text>
    </comment>
    <comment ref="C313" authorId="0" shapeId="0" xr:uid="{00000000-0006-0000-0800-000026000000}">
      <text>
        <r>
          <rPr>
            <b/>
            <sz val="8"/>
            <color indexed="81"/>
            <rFont val="Tahoma"/>
            <family val="2"/>
          </rPr>
          <t>WCI Information Systems Department:</t>
        </r>
        <r>
          <rPr>
            <sz val="8"/>
            <color indexed="81"/>
            <rFont val="Tahoma"/>
            <family val="2"/>
          </rPr>
          <t xml:space="preserve">
Parked, not used or licensed.</t>
        </r>
      </text>
    </comment>
    <comment ref="C316" authorId="1" shapeId="0" xr:uid="{00000000-0006-0000-0800-000027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Retired 6/2011.</t>
        </r>
      </text>
    </comment>
    <comment ref="C317" authorId="1" shapeId="0" xr:uid="{00000000-0006-0000-0800-000028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2211 11/2011.</t>
        </r>
      </text>
    </comment>
    <comment ref="C318" authorId="1" shapeId="0" xr:uid="{00000000-0006-0000-0800-000029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2012 11/2011.</t>
        </r>
      </text>
    </comment>
    <comment ref="C319" authorId="1" shapeId="0" xr:uid="{00000000-0006-0000-0800-00002A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2184 - 11/2011.</t>
        </r>
      </text>
    </comment>
    <comment ref="C323" authorId="1" shapeId="0" xr:uid="{00000000-0006-0000-0800-00002B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5013.</t>
        </r>
      </text>
    </comment>
    <comment ref="C333" authorId="1" shapeId="0" xr:uid="{00000000-0006-0000-0800-00002C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2160 3/2014.</t>
        </r>
      </text>
    </comment>
    <comment ref="C334" authorId="1" shapeId="0" xr:uid="{00000000-0006-0000-0800-00002D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2160 3/2014.</t>
        </r>
      </text>
    </comment>
    <comment ref="C336" authorId="1" shapeId="0" xr:uid="{00000000-0006-0000-0800-00002E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2111.</t>
        </r>
      </text>
    </comment>
    <comment ref="C337" authorId="1" shapeId="0" xr:uid="{00000000-0006-0000-0800-00002F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2140.</t>
        </r>
      </text>
    </comment>
    <comment ref="C342" authorId="1" shapeId="0" xr:uid="{00000000-0006-0000-0800-000030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2186.</t>
        </r>
      </text>
    </comment>
    <comment ref="D343" authorId="1" shapeId="0" xr:uid="{00000000-0006-0000-0800-00003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2182.
</t>
        </r>
      </text>
    </comment>
    <comment ref="C346" authorId="1" shapeId="0" xr:uid="{00000000-0006-0000-0800-00003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2111 2/2015.</t>
        </r>
      </text>
    </comment>
    <comment ref="C347" authorId="1" shapeId="0" xr:uid="{00000000-0006-0000-0800-000033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Retired 6/2015.</t>
        </r>
      </text>
    </comment>
    <comment ref="C348" authorId="1" shapeId="0" xr:uid="{00000000-0006-0000-0800-000034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Transferred to 4074 3/2015.</t>
        </r>
      </text>
    </comment>
    <comment ref="C351" authorId="1" shapeId="0" xr:uid="{00000000-0006-0000-0800-000035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Out of service per Jessie Bailey's truck audit 8/2015.</t>
        </r>
      </text>
    </comment>
    <comment ref="C352" authorId="1" shapeId="0" xr:uid="{00000000-0006-0000-0800-000036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Out of service per Jessie Bailey's truck audit 8/2015.</t>
        </r>
      </text>
    </comment>
    <comment ref="C353" authorId="1" shapeId="0" xr:uid="{00000000-0006-0000-0800-000037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Out of service per Jessie Bailey's truck audit 8/2015.</t>
        </r>
      </text>
    </comment>
    <comment ref="C355" authorId="1" shapeId="0" xr:uid="{00000000-0006-0000-0800-000038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Truck was transferred per Jessie Bailey's audit 8/2015.</t>
        </r>
      </text>
    </comment>
    <comment ref="C356" authorId="1" shapeId="0" xr:uid="{00000000-0006-0000-0800-000039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Scrapped per Jessie Bailey's truck audit 8/2015.</t>
        </r>
      </text>
    </comment>
    <comment ref="C357" authorId="1" shapeId="0" xr:uid="{00000000-0006-0000-0800-00003A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Scrapped per Jessie Bailey 8/2015.</t>
        </r>
      </text>
    </comment>
    <comment ref="C368" authorId="6" shapeId="0" xr:uid="{00000000-0006-0000-0800-00003B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Transferred to 2182.</t>
        </r>
      </text>
    </comment>
    <comment ref="C369" authorId="6" shapeId="0" xr:uid="{00000000-0006-0000-0800-00003C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Transferred to 2182.</t>
        </r>
      </text>
    </comment>
    <comment ref="C375" authorId="6" shapeId="0" xr:uid="{00000000-0006-0000-0800-00003D000000}">
      <text>
        <r>
          <rPr>
            <b/>
            <sz val="9"/>
            <color indexed="81"/>
            <rFont val="Tahoma"/>
            <family val="2"/>
          </rPr>
          <t>heatherg:</t>
        </r>
        <r>
          <rPr>
            <sz val="9"/>
            <color indexed="81"/>
            <rFont val="Tahoma"/>
            <family val="2"/>
          </rPr>
          <t xml:space="preserve">
Transferred from 2182 in 2015.</t>
        </r>
      </text>
    </comment>
    <comment ref="C381" authorId="7" shapeId="0" xr:uid="{00000000-0006-0000-0800-00003E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C382" authorId="7" shapeId="0" xr:uid="{00000000-0006-0000-0800-00003F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C383" authorId="7" shapeId="0" xr:uid="{00000000-0006-0000-0800-000040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C384" authorId="7" shapeId="0" xr:uid="{00000000-0006-0000-0800-000041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C385" authorId="7" shapeId="0" xr:uid="{00000000-0006-0000-0800-000042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C386" authorId="7" shapeId="0" xr:uid="{00000000-0006-0000-0800-000043000000}">
      <text>
        <r>
          <rPr>
            <b/>
            <sz val="9"/>
            <color indexed="81"/>
            <rFont val="Tahoma"/>
            <family val="2"/>
          </rPr>
          <t>Ben Thompson:</t>
        </r>
        <r>
          <rPr>
            <sz val="9"/>
            <color indexed="81"/>
            <rFont val="Tahoma"/>
            <family val="2"/>
          </rPr>
          <t xml:space="preserve">
4/20/2017 3:25:12 PM
Transferred to 2182 on 11/01/16.
</t>
        </r>
      </text>
    </comment>
    <comment ref="D397" authorId="3" shapeId="0" xr:uid="{00000000-0006-0000-0800-000044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transfer from district 2012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jenniferb</author>
    <author>WCNX</author>
  </authors>
  <commentList>
    <comment ref="C2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jenniferb:</t>
        </r>
        <r>
          <rPr>
            <sz val="9"/>
            <color indexed="81"/>
            <rFont val="Tahoma"/>
            <family val="2"/>
          </rPr>
          <t xml:space="preserve">
transfer from 2170</t>
        </r>
      </text>
    </comment>
    <comment ref="C74" authorId="1" shapeId="0" xr:uid="{00000000-0006-0000-09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JBLM??</t>
        </r>
      </text>
    </comment>
  </commentList>
</comments>
</file>

<file path=xl/sharedStrings.xml><?xml version="1.0" encoding="utf-8"?>
<sst xmlns="http://schemas.openxmlformats.org/spreadsheetml/2006/main" count="28626" uniqueCount="3454">
  <si>
    <t>Pierce County Refuse</t>
  </si>
  <si>
    <t>Depreciation &amp; Average Investment Summary</t>
  </si>
  <si>
    <t>Beginning</t>
  </si>
  <si>
    <t>Ending</t>
  </si>
  <si>
    <t>Average</t>
  </si>
  <si>
    <t>Equipment</t>
  </si>
  <si>
    <t>Cost</t>
  </si>
  <si>
    <t>Salvage</t>
  </si>
  <si>
    <t>Depr</t>
  </si>
  <si>
    <t>Test Year</t>
  </si>
  <si>
    <t>Accum Depr</t>
  </si>
  <si>
    <t>Investment</t>
  </si>
  <si>
    <t>Trucks</t>
  </si>
  <si>
    <t>CONTAINER DELIVERY</t>
  </si>
  <si>
    <t>Total Trucks</t>
  </si>
  <si>
    <t>Containers, Carts, Drop Boxes</t>
  </si>
  <si>
    <t>Garbage Containers</t>
  </si>
  <si>
    <t>JBLM Containers</t>
  </si>
  <si>
    <t>Drop Boxes</t>
  </si>
  <si>
    <t>Garbage Carts</t>
  </si>
  <si>
    <t>Garbage Carts - Municipal</t>
  </si>
  <si>
    <t>Recycling Carts</t>
  </si>
  <si>
    <t>Yard Waste</t>
  </si>
  <si>
    <t>Recycle Containers</t>
  </si>
  <si>
    <t>Recycle Drop Boxes</t>
  </si>
  <si>
    <t>Total Containers, Carts, Drop Boxes</t>
  </si>
  <si>
    <t>Shop Equipment</t>
  </si>
  <si>
    <t>Service Equipment</t>
  </si>
  <si>
    <t>Office Equipment</t>
  </si>
  <si>
    <t>Total Equipment</t>
  </si>
  <si>
    <t>Land &amp; LH</t>
  </si>
  <si>
    <t>Buildings - Shop</t>
  </si>
  <si>
    <t>Buildings - Office</t>
  </si>
  <si>
    <t>Transfer Station Equipment</t>
  </si>
  <si>
    <t>Land</t>
  </si>
  <si>
    <t>Total Land &amp; LH</t>
  </si>
  <si>
    <t>Total</t>
  </si>
  <si>
    <t>Difference</t>
  </si>
  <si>
    <t>Schnitzer</t>
  </si>
  <si>
    <t>Last filing 2011-09</t>
  </si>
  <si>
    <t>Amortization</t>
  </si>
  <si>
    <t>Beg of Test Period</t>
  </si>
  <si>
    <t>Truck Listing</t>
  </si>
  <si>
    <t>New Salvage Value Rules Implemented</t>
  </si>
  <si>
    <t>Moves</t>
  </si>
  <si>
    <t>Effective Rate Month</t>
  </si>
  <si>
    <t>End of Test Period</t>
  </si>
  <si>
    <t>Proforma assets</t>
  </si>
  <si>
    <t>First Year</t>
  </si>
  <si>
    <t>Second Year</t>
  </si>
  <si>
    <t>Rate Effective Year</t>
  </si>
  <si>
    <t>Date in</t>
  </si>
  <si>
    <t>%</t>
  </si>
  <si>
    <t>Year</t>
  </si>
  <si>
    <t>Yr&amp;Mnth</t>
  </si>
  <si>
    <t>Accum</t>
  </si>
  <si>
    <t xml:space="preserve">Service </t>
  </si>
  <si>
    <t>Years</t>
  </si>
  <si>
    <t xml:space="preserve">Fully </t>
  </si>
  <si>
    <t>Asset</t>
  </si>
  <si>
    <t xml:space="preserve">Monthly </t>
  </si>
  <si>
    <t xml:space="preserve">Annual </t>
  </si>
  <si>
    <t>LOB</t>
  </si>
  <si>
    <t>Codes</t>
  </si>
  <si>
    <t>Truck #</t>
  </si>
  <si>
    <t>Asset Classification</t>
  </si>
  <si>
    <t>FAS #</t>
  </si>
  <si>
    <t>Parent #</t>
  </si>
  <si>
    <t>Mo</t>
  </si>
  <si>
    <t>Value</t>
  </si>
  <si>
    <t>Method</t>
  </si>
  <si>
    <t xml:space="preserve">Life </t>
  </si>
  <si>
    <t>Deprec</t>
  </si>
  <si>
    <t>Depre.</t>
  </si>
  <si>
    <t>RESI/COMM GARBAGE</t>
  </si>
  <si>
    <t>Garbage</t>
  </si>
  <si>
    <t>RL</t>
  </si>
  <si>
    <t>CART DUMPER ASSEMBLY</t>
  </si>
  <si>
    <t>S/L</t>
  </si>
  <si>
    <t>'02 INT'L 4900 4X2 W/20 YD METROPAK</t>
  </si>
  <si>
    <t>02 INT'L 4900 4X2 W/20 YD METROPAK Amort of Salvage</t>
  </si>
  <si>
    <t>DMS3000 ROUTEWARE UNITS</t>
  </si>
  <si>
    <t>DMS3000 ROUTEWARE UNITS Amort of Salvage</t>
  </si>
  <si>
    <t>07 INT'L W/20 YD METROPAK</t>
  </si>
  <si>
    <t>07 INT'L W/20 YD METROPAK Amort of Salvage</t>
  </si>
  <si>
    <t>'07 INT'L W/METROKPAK R/L BODY</t>
  </si>
  <si>
    <t>07 INT'L W/METROKPAK R/L BODY Amort of Salvage</t>
  </si>
  <si>
    <t>Routeware Units/Installation</t>
  </si>
  <si>
    <t>11086, 11087, 11090</t>
  </si>
  <si>
    <t>GREASER UNIT FOR 1052</t>
  </si>
  <si>
    <t>GREASER UNIT FOR 1052 Amort of Salvage</t>
  </si>
  <si>
    <t>'07 INT'L W/METROPAK R/L BODY</t>
  </si>
  <si>
    <t>07 INT'L W/METROPAK R/L BODY Amort of Salvage</t>
  </si>
  <si>
    <t>DEL</t>
  </si>
  <si>
    <t>Capital Repair Truck 9578</t>
  </si>
  <si>
    <t>Drive Cams - Install, Recorders, Subscription</t>
  </si>
  <si>
    <t>67195, 67196, 67202, 67203, 68609</t>
  </si>
  <si>
    <t>P</t>
  </si>
  <si>
    <t>Drive Cams-Recorders, Install, Subsrcipt.</t>
  </si>
  <si>
    <t>67197, 67204, 68610</t>
  </si>
  <si>
    <t xml:space="preserve">ROUTWARE INSTALLATIONS </t>
  </si>
  <si>
    <t>REL</t>
  </si>
  <si>
    <t>New 2012 Peterbilt 320 Packer REL</t>
  </si>
  <si>
    <t>3308, 3635</t>
  </si>
  <si>
    <t>(2) Drive Cam Units</t>
  </si>
  <si>
    <t>2016 Peterbilt ASL (N)</t>
  </si>
  <si>
    <t>125550/125751</t>
  </si>
  <si>
    <t>2016 ASL</t>
  </si>
  <si>
    <t>Truck Decals</t>
  </si>
  <si>
    <t>Drive Cam</t>
  </si>
  <si>
    <t>Mobile Radio for Peterbilt ASL</t>
  </si>
  <si>
    <t>ASL</t>
  </si>
  <si>
    <t>Fees for Heavy Duty Tablet</t>
  </si>
  <si>
    <t>2017 Flatbed Truck</t>
  </si>
  <si>
    <t>Truck Decals for Retriever Truck Isuzu/NPR 8yd</t>
  </si>
  <si>
    <t>2018 ASL Truck</t>
  </si>
  <si>
    <t>2018 REL Truck</t>
  </si>
  <si>
    <t>FEL</t>
  </si>
  <si>
    <t>2018 FEL Truck</t>
  </si>
  <si>
    <t>187603/189264/188504/188503</t>
  </si>
  <si>
    <t>Drive Cam for New REL Truck</t>
  </si>
  <si>
    <t>Radio for FEL Freightliner Heil 20 Yd</t>
  </si>
  <si>
    <t>Truck Decals on ASL Pete 520 RHD/Labrie Automizer 29YD</t>
  </si>
  <si>
    <t>Truck Decals on a New ASL Pete 520 RHD/Labrie Automizer 29YD</t>
  </si>
  <si>
    <t>Lettering on New FEL Peterbilt</t>
  </si>
  <si>
    <t>2019 FEL Truck</t>
  </si>
  <si>
    <t>2019 ASL Truck</t>
  </si>
  <si>
    <t>Lettering on the new ASL Peterbilt</t>
  </si>
  <si>
    <t>Lettering on New ASL Peterbilt</t>
  </si>
  <si>
    <t>Lettering for the New ASL Peterbilt</t>
  </si>
  <si>
    <t>Lettering for New ASL Peterbilt</t>
  </si>
  <si>
    <t>Decals for Truck</t>
  </si>
  <si>
    <t>218213/220523</t>
  </si>
  <si>
    <t>2019 Peterbilt ASL</t>
  </si>
  <si>
    <t>219754/220407/221750</t>
  </si>
  <si>
    <t>2020 Peterbilt ASL</t>
  </si>
  <si>
    <t>2020 Peterbilt REL</t>
  </si>
  <si>
    <t>New ASL Peterbilt / Labrie 28yd</t>
  </si>
  <si>
    <t>Q1 2020</t>
  </si>
  <si>
    <t>New FEL Peterbilt / Labrie 40yd</t>
  </si>
  <si>
    <t>New REL Peterbilt / Mcneilus 25yd</t>
  </si>
  <si>
    <t>Q3 2020</t>
  </si>
  <si>
    <t>Amortization of Salvage - Retired Assets</t>
  </si>
  <si>
    <t>TOTAL GARBAGE TRUCKS</t>
  </si>
  <si>
    <t>JBLM CONTRACT AND HOUSING GARBAGE SHARED</t>
  </si>
  <si>
    <t>2019 FEL Peterbilt/ Labrie 40yd</t>
  </si>
  <si>
    <t>218236/220526/221855</t>
  </si>
  <si>
    <t>TOTAL EQR GARBAGE TRUCKS</t>
  </si>
  <si>
    <t>JBLM HOUSING GARBAGE EXCLUSIVE USE</t>
  </si>
  <si>
    <t>TOTAL HOUSING CONTRACT GARBAGE</t>
  </si>
  <si>
    <t xml:space="preserve">ROLL OFF </t>
  </si>
  <si>
    <t>Roll Off</t>
  </si>
  <si>
    <t>RO</t>
  </si>
  <si>
    <t>'08 Volvo W/HELM Rolloff</t>
  </si>
  <si>
    <t>08 Volvo W/HELM Rolloff Amort of Salvage</t>
  </si>
  <si>
    <t>2009 Type H Drop R/O</t>
  </si>
  <si>
    <t>2009 Type H Drop R/O Amort of Salvage</t>
  </si>
  <si>
    <t>Autogreaser for Truck 4070</t>
  </si>
  <si>
    <t>Routewate Cameras</t>
  </si>
  <si>
    <t>Routeware Cameras</t>
  </si>
  <si>
    <t>Routeware Camera</t>
  </si>
  <si>
    <t xml:space="preserve">Auto Tarper </t>
  </si>
  <si>
    <t>2016 R/O Truck (N)</t>
  </si>
  <si>
    <t>2018 RO Truck</t>
  </si>
  <si>
    <t>Camera Kit for Roll Off Trk Peterbilt 567 Endless Chain</t>
  </si>
  <si>
    <t>Decals on a New Roll Off Truck Peterbilt 567 Endless Chain</t>
  </si>
  <si>
    <t>2019 RO Truck</t>
  </si>
  <si>
    <t>New Roll Off Truck- Decall</t>
  </si>
  <si>
    <t>New Roll Off Trk- Decals</t>
  </si>
  <si>
    <t>New Roll Off Trk- Decal</t>
  </si>
  <si>
    <t>2020 RO Truck</t>
  </si>
  <si>
    <t xml:space="preserve">New Roll Off Truck Peterbilt 567 Endless Chain </t>
  </si>
  <si>
    <t>TOTAL ROLL OFF TRUCKS</t>
  </si>
  <si>
    <t>CURBSIDE RECYCLE</t>
  </si>
  <si>
    <t>Recycle</t>
  </si>
  <si>
    <t>'07 INT'L  W/METROPAK R/L BODY</t>
  </si>
  <si>
    <t>Curbside Weighing System</t>
  </si>
  <si>
    <t>Resi Recycle</t>
  </si>
  <si>
    <t>'07 Peterbilt 320 w/27 CY Curbtender</t>
  </si>
  <si>
    <t>07 Peterbilt 320 w/27 CY Curbtender Amort of Salvage</t>
  </si>
  <si>
    <t>'07 Pete w/27 cy Wayne Curbtender</t>
  </si>
  <si>
    <t>07 Pete w/27 cy Wayne Curbtender Amort of Salvage</t>
  </si>
  <si>
    <t>2009 Type H TSide ASL</t>
  </si>
  <si>
    <t>2009 Type H TSide ASL Amort of Salvage</t>
  </si>
  <si>
    <t>2009 Peterbilt 320 Body</t>
  </si>
  <si>
    <t>2009 Peterbilt 320 Body Amort of Salvage</t>
  </si>
  <si>
    <t>2010 AUTOCAR ACX ASL</t>
  </si>
  <si>
    <t>76651, 76780</t>
  </si>
  <si>
    <t>2010 AUTOCAR ACX ASL Amort of Salvage</t>
  </si>
  <si>
    <t>2012 Peterbuilt 320 ASL (N)</t>
  </si>
  <si>
    <t>85917, 86147, 86148</t>
  </si>
  <si>
    <t>2012 Peterbuilt 320 ASL (N) Amort of Salvage</t>
  </si>
  <si>
    <t>Routware GPS Unit Trk #3631</t>
  </si>
  <si>
    <t>MINI ASL</t>
  </si>
  <si>
    <t>ISUZU NRR ASL (N)</t>
  </si>
  <si>
    <t>87724, 87757</t>
  </si>
  <si>
    <t>2013 Peterbilt w/Wayne  (N)</t>
  </si>
  <si>
    <t>96423, 97423</t>
  </si>
  <si>
    <t>DriveCam for #3634</t>
  </si>
  <si>
    <t>2015 ASL Truck (N)</t>
  </si>
  <si>
    <t>Repair Engine on unit 3610</t>
  </si>
  <si>
    <t>2014 Peterbilt/McNeilus ASL (N)</t>
  </si>
  <si>
    <t>108801, 108949</t>
  </si>
  <si>
    <t>2014 Isuzu Retriever Truck (N)</t>
  </si>
  <si>
    <t>2009 Peterbilt ASL (U) Licensing</t>
  </si>
  <si>
    <t>2016 ASL Truck (N) - EQR</t>
  </si>
  <si>
    <t>122561/124224</t>
  </si>
  <si>
    <t>FL</t>
  </si>
  <si>
    <t>2016 FL</t>
  </si>
  <si>
    <t>Routeware Unit and Installation</t>
  </si>
  <si>
    <t>Engine Rebuild</t>
  </si>
  <si>
    <t>TT&amp;L</t>
  </si>
  <si>
    <t>2017 ASL Truck</t>
  </si>
  <si>
    <t>188922/189844</t>
  </si>
  <si>
    <t>TOTAL CURBSIDE RECYCLE TRUCKS</t>
  </si>
  <si>
    <t>CURBSIDE RECYCLE - JBLM HOUSING</t>
  </si>
  <si>
    <t>185372/186538</t>
  </si>
  <si>
    <t>ASL/ Peterbilt / Labrie 28 yd Decals</t>
  </si>
  <si>
    <t>2014 Peterbilt/McNeilus FEL (N)</t>
  </si>
  <si>
    <t>109515, 110073, 110074</t>
  </si>
  <si>
    <t>YARD WASTE</t>
  </si>
  <si>
    <t>YW</t>
  </si>
  <si>
    <t>'06 PETE W/27 CY WAYNE CURBTENDER</t>
  </si>
  <si>
    <t>06 PETE W/27 CY WAYNE CURBTENDER Amort of Salvage</t>
  </si>
  <si>
    <t>2013 Peterbilt w/Wayne  (N) - EQR</t>
  </si>
  <si>
    <t>96422, 97422</t>
  </si>
  <si>
    <t>TOTAL YARD WASTE TRUCKS</t>
  </si>
  <si>
    <t>COMMERCIAL RECYCLING</t>
  </si>
  <si>
    <t>Head Rebuild</t>
  </si>
  <si>
    <t>Inframe Overhaul on Trk #1065</t>
  </si>
  <si>
    <t>'07 Autocar w/FL Packer Body</t>
  </si>
  <si>
    <t>07 Autocar w/FL Packer Body Amort of Salvage</t>
  </si>
  <si>
    <t>2011 Autocar w/McNeilus (U)</t>
  </si>
  <si>
    <t>91737, 93235</t>
  </si>
  <si>
    <t>Recycling</t>
  </si>
  <si>
    <t>2011 Autocar ACX64 (U)</t>
  </si>
  <si>
    <t>94430, 94768, 95320</t>
  </si>
  <si>
    <t>2013 FEL Truck (U)</t>
  </si>
  <si>
    <t>2012 FEL Truck (U), decals and licensing</t>
  </si>
  <si>
    <t>116569, 116854, 116855</t>
  </si>
  <si>
    <t>184365/186539</t>
  </si>
  <si>
    <t>Radio for FEL Peterbild/ Labrie 40 yd</t>
  </si>
  <si>
    <t>Heavy Duty Tablet</t>
  </si>
  <si>
    <t>Drive Cam on New FEL Peterbilt</t>
  </si>
  <si>
    <t>TOTAL COMMERCIAL RECYCLING TRUCKS</t>
  </si>
  <si>
    <t>JBLM CONTRACT GARBAGE</t>
  </si>
  <si>
    <t>Delivery</t>
  </si>
  <si>
    <t>2017 CD Truck</t>
  </si>
  <si>
    <t>1995 Ford Truck L8000 (Cont. Delivery Ft. Lewis)</t>
  </si>
  <si>
    <t>1995 Ford Truck L8000 (Cont. Delivery Ft. Lewis) Amort of Salvage</t>
  </si>
  <si>
    <t>97 GMC C6500 w/Container Carrier - Ft. Lewis</t>
  </si>
  <si>
    <t>97 GMC C6500 w/Container Carrier - Ft. Lewis Amort of Salvage</t>
  </si>
  <si>
    <t>TOTAL FT. LEWIS GARBAGE</t>
  </si>
  <si>
    <t>JBLM CONTRACT RECYCLING</t>
  </si>
  <si>
    <t>2000 INT'L 4900 RL - FT. LEWIS FOOD WASTE</t>
  </si>
  <si>
    <t>TS</t>
  </si>
  <si>
    <t>JLG 40 H FORKLIFT (Now # 7968)</t>
  </si>
  <si>
    <t>HYSTER FORKLIFT - FORT LEWIS RECYCLING CTR.</t>
  </si>
  <si>
    <t>HYSTER FORKLIFT - FORT LEWIS RECYCLING CTR. Amort of Salvage</t>
  </si>
  <si>
    <t>2012 Peterbuilt 320 REL (N)</t>
  </si>
  <si>
    <t>2012 Peterbuilt 320 REL (N) Amort of Salvage</t>
  </si>
  <si>
    <t>Fork Lift</t>
  </si>
  <si>
    <t>HYSTER FORKLIFT - MCCHORD RECYCLE CTR. (U)</t>
  </si>
  <si>
    <t>(3) BinMaxx FEL Fork Scale Systems - JBLM</t>
  </si>
  <si>
    <t>REL Scal Software</t>
  </si>
  <si>
    <t>Garbage - EQR</t>
  </si>
  <si>
    <t>186155/186537</t>
  </si>
  <si>
    <t>TOTAL FT. LEWIS RECYCLING</t>
  </si>
  <si>
    <t>TRANSFER STATION EQUIPMENT</t>
  </si>
  <si>
    <t>Yard</t>
  </si>
  <si>
    <t>1993 IHC 9400 TRACTOR</t>
  </si>
  <si>
    <t>HITACHI EX50URG MINI EXCAVATOR</t>
  </si>
  <si>
    <t>Goat</t>
  </si>
  <si>
    <t>'91 OTTAWA YARD GOAT</t>
  </si>
  <si>
    <t>FLUP-Truck 7407</t>
  </si>
  <si>
    <t>NEW John Deere 135D RTS Excavator</t>
  </si>
  <si>
    <t>79751, 79750, 79749, 79748, 79747</t>
  </si>
  <si>
    <t>2004 Bobcat 5220 Skid Steer Loader (U)</t>
  </si>
  <si>
    <t>TOTAL TRANSFER STATION EQUIPMENT</t>
  </si>
  <si>
    <t>TRANSFER STATION HAULING</t>
  </si>
  <si>
    <t>Trailer</t>
  </si>
  <si>
    <t>Transfer Hauls</t>
  </si>
  <si>
    <t>1997 CHINOOK CHASSIS</t>
  </si>
  <si>
    <t>1997 CHINOOK CHASSIS Amort of Salvage</t>
  </si>
  <si>
    <t>DELTA TRAILER</t>
  </si>
  <si>
    <t>DELTA TRAILER Amort of Salvage</t>
  </si>
  <si>
    <t>1999 53' 4-AXLE CONTAINER</t>
  </si>
  <si>
    <t>1999 53' 4-AXLE CONTAINER Amort of Salvage</t>
  </si>
  <si>
    <t>HELM 46'-53' CONTAINER CHASSIS</t>
  </si>
  <si>
    <t>HELM 46'-53' CONTAINER CHASSIS Amort of Salvage</t>
  </si>
  <si>
    <t>'03 HELM CHASSIS TRAILER</t>
  </si>
  <si>
    <t>03 HELM CHASSIS TRAILER Amort of Salvage</t>
  </si>
  <si>
    <t>'03 HELM 53' CHASSIS</t>
  </si>
  <si>
    <t>03 HELM 53' CHASSIS Amort of Salvage</t>
  </si>
  <si>
    <t>'04 HELM 53' CHASSIS TRAILER</t>
  </si>
  <si>
    <t>04 HELM 53' CHASSIS TRAILER Amort of Salvage</t>
  </si>
  <si>
    <t>'04 HELM 53' CHASSIS</t>
  </si>
  <si>
    <t>04 HELM 53' CHASSIS Amort of Salvage</t>
  </si>
  <si>
    <t>Tractor</t>
  </si>
  <si>
    <t>'06 STERLING TRACTOR</t>
  </si>
  <si>
    <t>Y</t>
  </si>
  <si>
    <t>06 STERLING TRACTOR Amort of Salvage</t>
  </si>
  <si>
    <t>'07 VOLVO TRACTOR</t>
  </si>
  <si>
    <t>07 VOLVO TRACTOR Amort of Salvage</t>
  </si>
  <si>
    <t>FET PAID AT AUDIT</t>
  </si>
  <si>
    <t>Lift Axle for 5617</t>
  </si>
  <si>
    <t>Lift Axle for 5617 Amort of Salvage</t>
  </si>
  <si>
    <t>Drop Axle on 5614</t>
  </si>
  <si>
    <t>Tractor - not licensed</t>
  </si>
  <si>
    <t>Transfer Haul</t>
  </si>
  <si>
    <t>'07 Volvo Tractor</t>
  </si>
  <si>
    <t>07 Volvo Tractor Amort of Salvage</t>
  </si>
  <si>
    <t>Cap Reapir- Transmission</t>
  </si>
  <si>
    <t>Engine Repair #5594</t>
  </si>
  <si>
    <t>TOTAL TRANSFER STATION HAULING</t>
  </si>
  <si>
    <t>'01 ISUZU NPR VAN TRUCK</t>
  </si>
  <si>
    <t>01 ISUZU NPR VAN TRUCK Amort of Salvage</t>
  </si>
  <si>
    <t>04 Type M Hook HL - DELIVERY</t>
  </si>
  <si>
    <t>04 Type M Hook HL - DELIVERY Amort of Salvage</t>
  </si>
  <si>
    <t>'06 GMC VAN TRUCK</t>
  </si>
  <si>
    <t>06 GMC VAN TRUCK Amort of Salvage</t>
  </si>
  <si>
    <t>2002 Used Ryder Van Truck - Cont Delivery</t>
  </si>
  <si>
    <t>2002 Used Ryder Van Truck - Cont Delivery Amort of Salvage</t>
  </si>
  <si>
    <t>2014 Isuzu NPR Box Van Cont. Del (N)</t>
  </si>
  <si>
    <t>2014 Isuzu Retriever Cont. Del (N)</t>
  </si>
  <si>
    <t>DriveCam for #2041</t>
  </si>
  <si>
    <t>2015 Container Delivery Truck (N)</t>
  </si>
  <si>
    <t>2017 Container Delivery Truck</t>
  </si>
  <si>
    <t>2016 Box Van Izuzu/ NPR</t>
  </si>
  <si>
    <t>TOTAL CONTAINER DELIVERY</t>
  </si>
  <si>
    <t>GRAND TOTAL TRUCKS</t>
  </si>
  <si>
    <t>Retired Salvage Check</t>
  </si>
  <si>
    <t>Trucks Retired/Transferred During 2018</t>
  </si>
  <si>
    <t>'05 AUTOCAR W/27 CY CURBTENDER</t>
  </si>
  <si>
    <t>Comm Recycle</t>
  </si>
  <si>
    <t>03 AUTOCAR WX64 - FT. LEWIS GARBAGE</t>
  </si>
  <si>
    <t>New 2012 Peterbilt REL w/ Packer Body</t>
  </si>
  <si>
    <t>TRANSMISSION REPAIR - TRUCK 2021</t>
  </si>
  <si>
    <t>71935, 72374, 71934</t>
  </si>
  <si>
    <t>2011 FEL Truck (U)</t>
  </si>
  <si>
    <t>118077, 119656</t>
  </si>
  <si>
    <t>Trucks Retired/Transferred During 2019</t>
  </si>
  <si>
    <t>'06 VOLVO W/HELM ROLLOFF</t>
  </si>
  <si>
    <t>06 VOLVO W/HELM ROLLOFF Amort of Salvage</t>
  </si>
  <si>
    <t>'05 VOLVO W/DROP MECHANISM</t>
  </si>
  <si>
    <t>05 VOLVO W/DROP MECHANISM Amort of Salvage</t>
  </si>
  <si>
    <t>'06 PETE W/27 CY CURBTENDER</t>
  </si>
  <si>
    <t>05 AUTOCAR W/27 CY CURBTENDER Amort of Salvage</t>
  </si>
  <si>
    <t>GREASER UNIT FOR 3583</t>
  </si>
  <si>
    <t>GREASER UNIT FOR 3583 Amort of Salvage</t>
  </si>
  <si>
    <t>'05 AUTOCAR W/27 CY WAYNE CURBTENDER</t>
  </si>
  <si>
    <t>05 AUTOCAR W/27 CY WAYNE CURBTENDER Amort of Salvage</t>
  </si>
  <si>
    <t>'05 PETE 320 W/27 CY CURBTENDER</t>
  </si>
  <si>
    <t>05 PETE 320 W/27 CY CURBTENDER Amort of Salvage</t>
  </si>
  <si>
    <t>FLUP - Truck 3581</t>
  </si>
  <si>
    <t>'05 PETE 320 W/27 YD WAYNE CURBTENDER</t>
  </si>
  <si>
    <t>05 PETE 320 W/27 YD WAYNE CURBTENDER Amort of Salvage</t>
  </si>
  <si>
    <t>Cap Repair- Engine</t>
  </si>
  <si>
    <t>'03 PETE 320</t>
  </si>
  <si>
    <t>03 PETE 320  Amort of Salvage</t>
  </si>
  <si>
    <t>'03 PETERBILT 320 W/ 27 CY CURBTENDER</t>
  </si>
  <si>
    <t>03 PETERBILT 320 W/ 27 CY CURBTENDER Amort of Salvage</t>
  </si>
  <si>
    <t xml:space="preserve">05 AUTOCAR W/MCNEILUS </t>
  </si>
  <si>
    <t>05 AUTOCAR W/MCNEILUS Amort of Salvage</t>
  </si>
  <si>
    <t xml:space="preserve">Garbage  </t>
  </si>
  <si>
    <t>'05 AUTOCAR W/LEACH BODY</t>
  </si>
  <si>
    <t>05 AUTOCAR W/LEACH BODY Amort of Salvage</t>
  </si>
  <si>
    <t>'02 INT'L 4900 4XS W/20 YD METRO-PAK</t>
  </si>
  <si>
    <t>02 INT'L 4900 4XS W/20 YD METRO-PAK Amort of Salvage</t>
  </si>
  <si>
    <t>CAPITAL REPAIR - TRUCK 1033</t>
  </si>
  <si>
    <t>60738</t>
  </si>
  <si>
    <t>Garbage SP</t>
  </si>
  <si>
    <t>'02 INT'L 4900 4X2 2/20YD METRO-PAK</t>
  </si>
  <si>
    <t>02 INT'L 4900 4X2 2/20YD METRO-PAK Amort of Salvage</t>
  </si>
  <si>
    <t>00 INT'L 4900 4X2 W/20 YD</t>
  </si>
  <si>
    <t>00 INT'L 4900 4X2 W/20 YD Amort of Salvage</t>
  </si>
  <si>
    <t>REBUILT CYLINDER HD UNIT #1027</t>
  </si>
  <si>
    <t>Engine Rebuild #1027</t>
  </si>
  <si>
    <t>RL-OCC</t>
  </si>
  <si>
    <t>20 YD METRO-PAK REAR LOADER</t>
  </si>
  <si>
    <t>20 YD METRO-PAK REAR LOADER Amort of Salvage</t>
  </si>
  <si>
    <t>GREASE SYSTEM ON 1023</t>
  </si>
  <si>
    <t>GREASE SYSTEM ON 1023 Amort of Salvage</t>
  </si>
  <si>
    <t>ENGINE REPAIR - TRUCK 1023</t>
  </si>
  <si>
    <t>66887</t>
  </si>
  <si>
    <t>Recycle SP</t>
  </si>
  <si>
    <t>'05 AUTOCAR W/27CY CURBTENDER</t>
  </si>
  <si>
    <t>05 AUTOCAR W/27CY CURBTENDER Amort of Salvage</t>
  </si>
  <si>
    <t>Transmission Replacement #3578</t>
  </si>
  <si>
    <t>06 PETE 320 W/40YD</t>
  </si>
  <si>
    <t>06 PETE 320 W/40YD Amort of Salvage</t>
  </si>
  <si>
    <t>Transmission Replacement</t>
  </si>
  <si>
    <t>2000 INTERNATIONAL 9100I TRACTOR</t>
  </si>
  <si>
    <t>2000 INTERNATIONAL 9100I TRACTOR Amort of Salvage</t>
  </si>
  <si>
    <t>2000 INT'L 9100I TRACTOR</t>
  </si>
  <si>
    <t>2000 INT'L 9100I TRACTOR Amort of Salvage</t>
  </si>
  <si>
    <t>2004 Type HT D-V Trailer</t>
  </si>
  <si>
    <t>2004 Type HT D-V Trailer Amort of Salvage</t>
  </si>
  <si>
    <t>87 COMET 28' S/A VAN TRAILER</t>
  </si>
  <si>
    <t>87 COMET 28' S/A VAN TRAILER Amort of Salvage</t>
  </si>
  <si>
    <t>'87 COMET 28' S/A VAN TRAILER</t>
  </si>
  <si>
    <t>REFURBISH STAR TRAILER</t>
  </si>
  <si>
    <t>REFURBISH STAR TRAILER Amort of Salvage</t>
  </si>
  <si>
    <t>2016 Road Tractor</t>
  </si>
  <si>
    <t>Wet Kit for Tractor</t>
  </si>
  <si>
    <t>Wet Kit for Used Tractor/ Peterbilt</t>
  </si>
  <si>
    <t>Wet Kit for Used Tractor/ Peterbilt 378</t>
  </si>
  <si>
    <t>Drive Cam for Tractor</t>
  </si>
  <si>
    <t>2016 Tractor</t>
  </si>
  <si>
    <t>2019 Trailer</t>
  </si>
  <si>
    <t>New Walking Floor Trailer</t>
  </si>
  <si>
    <t>Used Shop Truck / F-150</t>
  </si>
  <si>
    <t>2019 Peterbilt Tractor</t>
  </si>
  <si>
    <t>West Kit for Tractor</t>
  </si>
  <si>
    <t>2016 Travis Trailer</t>
  </si>
  <si>
    <t>Fort Lewis</t>
  </si>
  <si>
    <t>1996 FRUEHAUF - FT. LEWIS</t>
  </si>
  <si>
    <t>1996 FRUEHAUF - FT. LEWIS Amort of Salvage</t>
  </si>
  <si>
    <t>Cap Repair- Engine and Labor</t>
  </si>
  <si>
    <t>116080, 116081</t>
  </si>
  <si>
    <t>'06 PETE W/27 CY CURBTENDER BODY</t>
  </si>
  <si>
    <t>06 PETE W/27 CY CURBTENDER BODY Amort of Salvage</t>
  </si>
  <si>
    <t>'05 PETE 320 W/27CY WAYNE CURBTENDER</t>
  </si>
  <si>
    <t>05 PETE 320 W/27CY WAYNE CURBTENDER Amort of Salvage</t>
  </si>
  <si>
    <t>'06 INT'L W/20YD METRO-PAK REAR LOADER</t>
  </si>
  <si>
    <t>06 INT'L W/20YD METRO-PAK REAR LOADER Amort of Salvage</t>
  </si>
  <si>
    <t>'06 METRO-PAK REAR LOADER</t>
  </si>
  <si>
    <t>06 METRO-PAK REAR LOADER Amort of Salvage</t>
  </si>
  <si>
    <t>06 PETE W/27 CY CURBTNDR</t>
  </si>
  <si>
    <t>06 PETE W/27 CY CURBTNDR Amort of Salvage</t>
  </si>
  <si>
    <t>06 PETE W/27 CY CURBTENDER Amort of Salvage</t>
  </si>
  <si>
    <t>'05 AUTOCAR W/40 YD F/L BODY</t>
  </si>
  <si>
    <t>05 AUTOCAR W/40 YD F/L BODY Amort of Salvage</t>
  </si>
  <si>
    <t>'07 VOLVO W/HELM BOOM</t>
  </si>
  <si>
    <t>07 VOLVO W/HELM BOOM Amort of Salvage</t>
  </si>
  <si>
    <t>'07 VOLVO W/HELM ROLL OFF</t>
  </si>
  <si>
    <t>07 VOLVO W/HELM ROLL OFF Amort of Salvage</t>
  </si>
  <si>
    <t>MOVE TO 2182</t>
  </si>
  <si>
    <t>'08 Volvo w/HELM Drop</t>
  </si>
  <si>
    <t>08 Volvo w/HELM Drop Amort of Salvage</t>
  </si>
  <si>
    <t>Autogreaser for Truck 4067</t>
  </si>
  <si>
    <t>Autogreaser for Truck 4067 Amort of Salvage</t>
  </si>
  <si>
    <t>Cart/Container/Drop Box Listing</t>
  </si>
  <si>
    <t>M</t>
  </si>
  <si>
    <t>Test Yr</t>
  </si>
  <si>
    <t>Qty</t>
  </si>
  <si>
    <t>Dist #</t>
  </si>
  <si>
    <t>GARBAGE CONTAINERS</t>
  </si>
  <si>
    <t>1 YARD F/L CONTAINERS</t>
  </si>
  <si>
    <t>10</t>
  </si>
  <si>
    <t>1 YARD F/L PLASTIC CONTAINERS</t>
  </si>
  <si>
    <t>1 YARD R/L CONTAINERS</t>
  </si>
  <si>
    <t>1 Yard REL Commercial Containers</t>
  </si>
  <si>
    <t>1 YD CONTAINERS</t>
  </si>
  <si>
    <t>1 YD F/L CONTAINERS</t>
  </si>
  <si>
    <t>1 YD R/L ARMY CONTAINERS</t>
  </si>
  <si>
    <t>1 YD R/L CONTAINER</t>
  </si>
  <si>
    <t>1 YD R/L CONTAINERS</t>
  </si>
  <si>
    <t>1 Yd REL Commercial Containers</t>
  </si>
  <si>
    <t>222642/222646</t>
  </si>
  <si>
    <t>1 YD REL Containers</t>
  </si>
  <si>
    <t>1 YD REL Steel Commercial Container</t>
  </si>
  <si>
    <t>1.5 YD &amp; 2 &amp; 6 YD CONTAINERS</t>
  </si>
  <si>
    <t>1.5 YD CONTAINERS</t>
  </si>
  <si>
    <t>1.5 yd Containers</t>
  </si>
  <si>
    <t>1.5 YD Containers</t>
  </si>
  <si>
    <t>1.5 YD F/L CONTAINERS</t>
  </si>
  <si>
    <t>1.5 YD F/L F/T W/ LIDS</t>
  </si>
  <si>
    <t>1.5 YD F/L W/ LIDS</t>
  </si>
  <si>
    <t>1.5 YD FEL Containers</t>
  </si>
  <si>
    <t>1.5 YD R/L BINS</t>
  </si>
  <si>
    <t>1.5 Yd REL Commercial Containers</t>
  </si>
  <si>
    <t>1.5 YD REL Containers</t>
  </si>
  <si>
    <t>2  YD FEL Slant Containers - LeMay Blue</t>
  </si>
  <si>
    <t>2 YARD R/L CONTAINER</t>
  </si>
  <si>
    <t>2 Yard REL  Commercial Containers</t>
  </si>
  <si>
    <t>2 Yard REL Commercial Containers</t>
  </si>
  <si>
    <t>2 YD CONTAINER</t>
  </si>
  <si>
    <t>2 YD Containers</t>
  </si>
  <si>
    <t>2 YD F/L CONTAINERS</t>
  </si>
  <si>
    <t>2 YD F/L W/LIDS</t>
  </si>
  <si>
    <t>2 Yd FEL Commercial Containers</t>
  </si>
  <si>
    <t>2 YD FEL Containers</t>
  </si>
  <si>
    <t>106806, 106807, 107127, 107128</t>
  </si>
  <si>
    <t>2 YD FEL Plastic Containers</t>
  </si>
  <si>
    <t>2 yd Plastic Containers</t>
  </si>
  <si>
    <t>2 YD R/L CONTAINERS</t>
  </si>
  <si>
    <t>2 YD R/L W/PLASTIC LIDS</t>
  </si>
  <si>
    <t>2 Yd REL Commercial Containers</t>
  </si>
  <si>
    <t>222643/222648</t>
  </si>
  <si>
    <t>2 YD REL Containers</t>
  </si>
  <si>
    <t>2 YD Slant Top - LeMay Blue</t>
  </si>
  <si>
    <t>2yd Container</t>
  </si>
  <si>
    <t>3 YARD F/L CONTAINER (PLASTIC)</t>
  </si>
  <si>
    <t>3 Yard Plastic Containers</t>
  </si>
  <si>
    <t>114101, 114986</t>
  </si>
  <si>
    <t>3 YD CONTAINERS</t>
  </si>
  <si>
    <t>84571, 84572</t>
  </si>
  <si>
    <t>3 YD F/L CONTAINERS</t>
  </si>
  <si>
    <t>3 Yd FEL Commercial Containers</t>
  </si>
  <si>
    <t>3 YD NUWAVE CONTAINERS</t>
  </si>
  <si>
    <t>3 YD PLASTIC CONTAINER</t>
  </si>
  <si>
    <t>84564, 84565, 84566</t>
  </si>
  <si>
    <t>3 yd Plastic Containers</t>
  </si>
  <si>
    <t>4 Yard FEL Commercial Containers</t>
  </si>
  <si>
    <t>4 Yard Plastic Containers</t>
  </si>
  <si>
    <t>115032, 115100</t>
  </si>
  <si>
    <t>98391, 98392</t>
  </si>
  <si>
    <t>4 YD / 3YD TIPPLER BINS</t>
  </si>
  <si>
    <t>4 YD CONTAINERS</t>
  </si>
  <si>
    <t>4 YD F/L CONTAINERS</t>
  </si>
  <si>
    <t>4 Yd FEL (Plastic) &amp; (40) Drain Plugs</t>
  </si>
  <si>
    <t>4 YD FEL Plastic Containers</t>
  </si>
  <si>
    <t>4 yd FEL Plastic Containers</t>
  </si>
  <si>
    <t>4 YD PLASTIC CONTAINER</t>
  </si>
  <si>
    <t>84569, 84567</t>
  </si>
  <si>
    <t>4 yd Plastic Containers</t>
  </si>
  <si>
    <t>6 YARD F/L CONTAINERS</t>
  </si>
  <si>
    <t>6 Yard FEL  Commercial Containers</t>
  </si>
  <si>
    <t>6 Yard FEL Commercial Containers</t>
  </si>
  <si>
    <t>6 Yard FEL Containers</t>
  </si>
  <si>
    <t>6 YARD SLANT TOP LIDS</t>
  </si>
  <si>
    <t>6 YD CONTAINERS</t>
  </si>
  <si>
    <t>6 YD Containers</t>
  </si>
  <si>
    <t>6 YD F/L CONTAINERS</t>
  </si>
  <si>
    <t>6 YD Steel Commercial Containers</t>
  </si>
  <si>
    <t>6 YD Steel Containers</t>
  </si>
  <si>
    <t>6yd Containers</t>
  </si>
  <si>
    <t>6yd FEL Commercial Containers</t>
  </si>
  <si>
    <t>6yd FEL Green Commercial Containers</t>
  </si>
  <si>
    <t>8 YD CONTAINERS</t>
  </si>
  <si>
    <t>84451, 84460</t>
  </si>
  <si>
    <t>Commercial Containers in Yard (New Prices)</t>
  </si>
  <si>
    <t>4 yd REL Steel Container</t>
  </si>
  <si>
    <t>1.5 yd REL Steel Containers</t>
  </si>
  <si>
    <t>1 yd REL Steel Containers</t>
  </si>
  <si>
    <t>2 yd REL Steel Containers</t>
  </si>
  <si>
    <t>TOTAL GARBAGE CONTAINERS</t>
  </si>
  <si>
    <t>JBLM CONTAINERS</t>
  </si>
  <si>
    <t>2 YD Plastic Containers</t>
  </si>
  <si>
    <t>2 YARD F/L CONTAINER</t>
  </si>
  <si>
    <t>3 YD Plastic Containers</t>
  </si>
  <si>
    <t>84574, 84573</t>
  </si>
  <si>
    <t>4 Yd FEL Commercial Containers</t>
  </si>
  <si>
    <t>222644/222649</t>
  </si>
  <si>
    <t>6 YD Plastic Commercial Containers</t>
  </si>
  <si>
    <t>6 Yd FEL Commercial Containers</t>
  </si>
  <si>
    <t>222650/222645</t>
  </si>
  <si>
    <t xml:space="preserve">6 YD FEL Containers </t>
  </si>
  <si>
    <t>112458, 112459, 112460</t>
  </si>
  <si>
    <t>6 YD FEL Containers (JBLM)</t>
  </si>
  <si>
    <t>105073, 105074, 105075, 105076</t>
  </si>
  <si>
    <t>6 YD FEL Plastic Containers</t>
  </si>
  <si>
    <t>6 yd Plastic Containers</t>
  </si>
  <si>
    <t>2 YD Plastic Commercial Containers</t>
  </si>
  <si>
    <t>3 yd FEL Plastic Containers</t>
  </si>
  <si>
    <t>2 yd FEL Plastic Containers</t>
  </si>
  <si>
    <t>TOTAL JBLM CONTAINERS</t>
  </si>
  <si>
    <t>DROP BOXES</t>
  </si>
  <si>
    <t>50 YD DROP BOX</t>
  </si>
  <si>
    <t>20 YD DROP BOX</t>
  </si>
  <si>
    <t>15 YD DB</t>
  </si>
  <si>
    <t>30 YD DROP BOX</t>
  </si>
  <si>
    <t xml:space="preserve">20 YD CONTAINER </t>
  </si>
  <si>
    <t>20 YD LOW STRUC DB</t>
  </si>
  <si>
    <t>40 YD DROP BOX</t>
  </si>
  <si>
    <t>16' DROP BOX LIDS</t>
  </si>
  <si>
    <t>40 CY DROP BOXES</t>
  </si>
  <si>
    <t>20 YD DROP BOXES W/LIDS</t>
  </si>
  <si>
    <t>40 YD CONTAINERS</t>
  </si>
  <si>
    <t xml:space="preserve">40 YD PACKER </t>
  </si>
  <si>
    <t>16.7 YD DROP BOXES</t>
  </si>
  <si>
    <t>USE TAX ON 20 YD BOXES</t>
  </si>
  <si>
    <t>20 YD DROP BOXES FOR CDL</t>
  </si>
  <si>
    <t>30 YD SHOW CONTAINERS</t>
  </si>
  <si>
    <t>40 YD DEMO BOXES</t>
  </si>
  <si>
    <t>30 YD DEMO DROP BOXES</t>
  </si>
  <si>
    <t>30 YD R/O Containers</t>
  </si>
  <si>
    <t>97731, 97732, 97733, 97734, 97735, 97736</t>
  </si>
  <si>
    <t>99959, 99960, 99961, 99962</t>
  </si>
  <si>
    <t>30 Yard Roll Off Boxes</t>
  </si>
  <si>
    <t>30 Yard R/O Boxes</t>
  </si>
  <si>
    <t>40 YD DROP BOX W/LID</t>
  </si>
  <si>
    <t>30 YD DROP BOX W/LID</t>
  </si>
  <si>
    <t>20 YD DROP BOX W/LID</t>
  </si>
  <si>
    <t>30 YD ROLL OFF BOXES W/ LID</t>
  </si>
  <si>
    <t>40 YD ROLL OFF BOXES W/ LID</t>
  </si>
  <si>
    <t>30yd Roll Off Boxes w/Lib</t>
  </si>
  <si>
    <t>20yd Rolloff Boxes</t>
  </si>
  <si>
    <t>20 Yard Rolloff Box warranty/repaint</t>
  </si>
  <si>
    <t>30yd Rolloff Boxes</t>
  </si>
  <si>
    <t>20 YD Roll off box</t>
  </si>
  <si>
    <t>30Yd Rolloff Boxes</t>
  </si>
  <si>
    <t>20 YD Rolloff Boxes</t>
  </si>
  <si>
    <t>30 YD Rolloff Boxes</t>
  </si>
  <si>
    <t>20 yd Rolloff Box</t>
  </si>
  <si>
    <t>30yd Rolloff Box</t>
  </si>
  <si>
    <t>20 YD Rolloff Boxes- Glass</t>
  </si>
  <si>
    <t>40yd Rolloff Boxes</t>
  </si>
  <si>
    <t>40 Yard Rolloff Boxes</t>
  </si>
  <si>
    <t>10 Yard Rolloff Boxes</t>
  </si>
  <si>
    <t>20 Yard Rolloff Boxes</t>
  </si>
  <si>
    <t>30Yard Rolloff Boxes</t>
  </si>
  <si>
    <t>30 Yard Rolloff Boxes</t>
  </si>
  <si>
    <t>40 Yd Rolloff Boxes</t>
  </si>
  <si>
    <t>20yd ROL Boxes</t>
  </si>
  <si>
    <t>30yd ROL Boxes</t>
  </si>
  <si>
    <t>40yd ROL Boxes</t>
  </si>
  <si>
    <t>TOTAL DROP BOXES</t>
  </si>
  <si>
    <t>GARBAGE CARTS</t>
  </si>
  <si>
    <t>65 GALLON GREEN CARTS</t>
  </si>
  <si>
    <t>65 GALLON CART ASSY</t>
  </si>
  <si>
    <t>65 GALLON CART ASSEMBLY</t>
  </si>
  <si>
    <t>68 GALLON GREEN CARTS</t>
  </si>
  <si>
    <t>68 GALLON CARTS</t>
  </si>
  <si>
    <t>68 GALLON REFUSE CARTS</t>
  </si>
  <si>
    <t>32 GALLON ROUND CANS</t>
  </si>
  <si>
    <t>95 GALLON GREEN CARTS</t>
  </si>
  <si>
    <t>65 GALLON CARTS</t>
  </si>
  <si>
    <t>65 GAL REFUSE CARTS - FOREST GREEN</t>
  </si>
  <si>
    <t>95 GAL REFUSE CARTS - FOREST GREEN</t>
  </si>
  <si>
    <t>82071, 82072</t>
  </si>
  <si>
    <t>97271, 97272</t>
  </si>
  <si>
    <t>103581, 103582</t>
  </si>
  <si>
    <t>104085, 104086</t>
  </si>
  <si>
    <t>102965, 102966, 102967</t>
  </si>
  <si>
    <t>35 GAL REFUSE CARTS - FOREST GREEN</t>
  </si>
  <si>
    <t>65 GAL REFUSE CARTS</t>
  </si>
  <si>
    <t>95 GAL REFUSE CARTS</t>
  </si>
  <si>
    <t>114403, 114402</t>
  </si>
  <si>
    <t>96 GAL REFUSE CARTS</t>
  </si>
  <si>
    <t>123708/123931</t>
  </si>
  <si>
    <t>96 GAL REFUSE CARTS- GREEN</t>
  </si>
  <si>
    <t>64 GAL REFUSE CARTS</t>
  </si>
  <si>
    <t>129323/129383</t>
  </si>
  <si>
    <t>35 GAL REFUSE CARTS</t>
  </si>
  <si>
    <t>132589/132590</t>
  </si>
  <si>
    <t>65 Gallon Green MSW Carts</t>
  </si>
  <si>
    <t>95 Gallon MSW Carts</t>
  </si>
  <si>
    <t>65 Gallon MSW Carts</t>
  </si>
  <si>
    <t>64 Gallon MSW Carts</t>
  </si>
  <si>
    <t>96 Gallon MSW Carts</t>
  </si>
  <si>
    <t>96 Gallon Gray MSW Carts</t>
  </si>
  <si>
    <t>64 Gallon Green MSW Carts</t>
  </si>
  <si>
    <t>211014/ 211013</t>
  </si>
  <si>
    <t>96 Gallon Green MSW Carts</t>
  </si>
  <si>
    <t>96 Gallon MSW Totes</t>
  </si>
  <si>
    <t>35 Gallon MSW Carts</t>
  </si>
  <si>
    <t>TOTAL GARBAGE CARTS</t>
  </si>
  <si>
    <t>Garbage Carts - City of Dupont/Municipal</t>
  </si>
  <si>
    <t>45 GAL REFUSE CARTS - DUPONT</t>
  </si>
  <si>
    <t>123336, 123335, 123334, 123333</t>
  </si>
  <si>
    <t>60 GAL REFUSE CARTS -Eatonville</t>
  </si>
  <si>
    <t>s</t>
  </si>
  <si>
    <t>SF/MF/COMM RECYCLE CARTS</t>
  </si>
  <si>
    <t>95 GALLON GRAY RECYCLE CARTS</t>
  </si>
  <si>
    <t xml:space="preserve">65 GALLON GREY CARTS </t>
  </si>
  <si>
    <t>95 GALLON  GREY RECYCLE CARTS</t>
  </si>
  <si>
    <t>95 GALLON GREY RECYCLE CARTS</t>
  </si>
  <si>
    <t>95 GALLON RECYCLE CARTS</t>
  </si>
  <si>
    <t>95 GAL RECYCLE CARTS - GRAY</t>
  </si>
  <si>
    <t>81515, 81514</t>
  </si>
  <si>
    <t>93826, 93827</t>
  </si>
  <si>
    <t>96313, 96314</t>
  </si>
  <si>
    <t>102680, 102681</t>
  </si>
  <si>
    <t>95 GAL RECYCLE CARTS</t>
  </si>
  <si>
    <t>114405, 114404</t>
  </si>
  <si>
    <t>124722/125423</t>
  </si>
  <si>
    <t>96 GAL RECYCLE CARTS- GRAY</t>
  </si>
  <si>
    <t>95 Gals Recycle Carts</t>
  </si>
  <si>
    <t>95 Gal Recycle Carts</t>
  </si>
  <si>
    <t>95gal Recycle Cart</t>
  </si>
  <si>
    <t>95 Gallon Recycle Carts</t>
  </si>
  <si>
    <t>96 Gallon Recycle Carts</t>
  </si>
  <si>
    <t>95 Gal Recy Carts</t>
  </si>
  <si>
    <t>64 Gallon Recycle Totes</t>
  </si>
  <si>
    <t>96 Gallon Recycle Totes</t>
  </si>
  <si>
    <t>TOTAL RECYCLE CARTS</t>
  </si>
  <si>
    <t>YARD WASTE CARTS</t>
  </si>
  <si>
    <t>95 GALLON BLUE CARTS</t>
  </si>
  <si>
    <t>95 GALLON  BLUE CARTS</t>
  </si>
  <si>
    <t>95 GALLON BLUE CARTS - YW</t>
  </si>
  <si>
    <t>95 GALLON CARTS - DARK BLUE</t>
  </si>
  <si>
    <t>95 GALLON DARK BLUE NB CARTS</t>
  </si>
  <si>
    <t>95 GAL YARD DEBRIS CARTS &amp; LIDS</t>
  </si>
  <si>
    <t>95 GAL YW -  BLUE CARTS</t>
  </si>
  <si>
    <t>88130, 88132</t>
  </si>
  <si>
    <t>88131, 86801, 86800</t>
  </si>
  <si>
    <t>95 GALLON CARTS</t>
  </si>
  <si>
    <t>115199, 115198</t>
  </si>
  <si>
    <t>96 GALLON CARTS</t>
  </si>
  <si>
    <t>96 GALLON YW CARTS</t>
  </si>
  <si>
    <t>126470/126471</t>
  </si>
  <si>
    <t>95 GALLON YW CARTS</t>
  </si>
  <si>
    <t>95 GAL YARD WASTE CARTS</t>
  </si>
  <si>
    <t>YW Carts 95gal</t>
  </si>
  <si>
    <t>96 Gallon YW Totes</t>
  </si>
  <si>
    <t>96 Gal YW Totes</t>
  </si>
  <si>
    <t>96 Gallon YW</t>
  </si>
  <si>
    <t>216382/ 217052</t>
  </si>
  <si>
    <t>TOTAL YARD WASTE CARTS</t>
  </si>
  <si>
    <t>RECYCLE CONTAINERS</t>
  </si>
  <si>
    <t>5 YD FL CARDBOARD CONTAINERS</t>
  </si>
  <si>
    <t>5 YD CARDBOARD BINS</t>
  </si>
  <si>
    <t>5 YD F/L CARDBOARD</t>
  </si>
  <si>
    <t>6 YD F/L CARDBOARD CONTAINERS</t>
  </si>
  <si>
    <t>RUBBERMAID SNAP-LIDS</t>
  </si>
  <si>
    <t>5 YD F/L CARDBOARD BINS</t>
  </si>
  <si>
    <t>5 YD CARDBOARD CONTAINERS</t>
  </si>
  <si>
    <t>2 YD RECYCLE CONTAINERS</t>
  </si>
  <si>
    <t>4 YD F/L RECYCLE CONTAINERS</t>
  </si>
  <si>
    <t>6 YD F/L RECYCLE CONTAINERS</t>
  </si>
  <si>
    <t>5 YD F/L CB CONTAINERS</t>
  </si>
  <si>
    <t>5 YD C/B CONTAINERS</t>
  </si>
  <si>
    <t>5 YD F/L CARDBOARD CONTAINERS</t>
  </si>
  <si>
    <t>2 YD R/L RECYCLE CONTAINERS</t>
  </si>
  <si>
    <t>5 YD F/L CONTAINERS</t>
  </si>
  <si>
    <t>5 YD CONTAINERS</t>
  </si>
  <si>
    <t>107872, 107873</t>
  </si>
  <si>
    <t>TOTAL RECYCLE CONTAINERS</t>
  </si>
  <si>
    <t>RECYCLE DROP BOXES</t>
  </si>
  <si>
    <t>30 YD CARBOARD RECYCLE</t>
  </si>
  <si>
    <t>20 YD CORRUGATED OPEN-TOP DROP BOX</t>
  </si>
  <si>
    <t>20 YD CURROGATED DROP BOX</t>
  </si>
  <si>
    <t>30 YD CORR. D.B.</t>
  </si>
  <si>
    <t>28 YD GLASS RECYCLE BOXES</t>
  </si>
  <si>
    <t>RECYCLE COMPACTOR</t>
  </si>
  <si>
    <t>28 YD RECYCLE STATIONS</t>
  </si>
  <si>
    <t>20 YD RECYCLE DROP BOXES</t>
  </si>
  <si>
    <t>SIGNS FOR RECYCLE BOXES</t>
  </si>
  <si>
    <t>TOTAL RECYCLE DROP BOXES</t>
  </si>
  <si>
    <t>GRAND TOTAL CARTS/CONT/DB</t>
  </si>
  <si>
    <t>RETIREMENTS/TRANSFERS IN 2011</t>
  </si>
  <si>
    <t>15 YD DROPBOX</t>
  </si>
  <si>
    <t>Containers Retired/Transferred During 2018</t>
  </si>
  <si>
    <t>Retired/Removed Containers:</t>
  </si>
  <si>
    <t>1 YD</t>
  </si>
  <si>
    <t>1 YD &amp; 1.5 YARD CONTAINER</t>
  </si>
  <si>
    <t>1 YD / 2 YD / 4YD CONTAINERS</t>
  </si>
  <si>
    <t>1 YD COMBO W/LIDS</t>
  </si>
  <si>
    <t>1 YD COMBO W/PLASTIC LIDS</t>
  </si>
  <si>
    <t>1 YD CONTAINER</t>
  </si>
  <si>
    <t>1 YD F/L FLAT TOP</t>
  </si>
  <si>
    <t>1 YD F/L FLAT TOPS</t>
  </si>
  <si>
    <t>1 YD F/L W/LIDS</t>
  </si>
  <si>
    <t>1 YD PLASTIC LID</t>
  </si>
  <si>
    <t>1 YD R/L</t>
  </si>
  <si>
    <t>1 YD R/L W/ LIDS</t>
  </si>
  <si>
    <t>1 YD R/L W/LID</t>
  </si>
  <si>
    <t>1 YD R/L W/LIDS</t>
  </si>
  <si>
    <t>1 YD R/L W/LIDS &amp; CASTERS</t>
  </si>
  <si>
    <t>1 YD R/L W/LIDS &amp; CASTORS</t>
  </si>
  <si>
    <t>1 YD R/L W/PLASTIC LIDS</t>
  </si>
  <si>
    <t>1 YD R/L W/PLASTIC LIDS &amp; 4/0 CASTERS</t>
  </si>
  <si>
    <t>1 YD R/L W/PLASTIC LIDS &amp; CASTORS</t>
  </si>
  <si>
    <t>1 YD W/LIDS</t>
  </si>
  <si>
    <t>Removed 1 Yard</t>
  </si>
  <si>
    <t>1.5 R/L</t>
  </si>
  <si>
    <t>1.5 YD</t>
  </si>
  <si>
    <t>1.5 YD R/L</t>
  </si>
  <si>
    <t>1.5 YD R/L W/ LIDS</t>
  </si>
  <si>
    <t>1.5 YD R/L W/STEEL LIDS</t>
  </si>
  <si>
    <t>1.5 YD REAR LOAD</t>
  </si>
  <si>
    <t>1.5 YD RL</t>
  </si>
  <si>
    <t>1.5 YD TIPPLER BINS</t>
  </si>
  <si>
    <t>1.5 YD W/PLASTIC LIDS</t>
  </si>
  <si>
    <t>Removed 1.5 Yard</t>
  </si>
  <si>
    <t>2 YD R/L W/ LIDS</t>
  </si>
  <si>
    <t>Removed 2Yard</t>
  </si>
  <si>
    <t>3 YD F/L W/ LIDS</t>
  </si>
  <si>
    <t>3 YD F/L W/LIDS</t>
  </si>
  <si>
    <t>3 YD F/L W/LIDS &amp; SKIDS</t>
  </si>
  <si>
    <t>3 YD F/L W/PLASTIC LIDS</t>
  </si>
  <si>
    <t>Removed 3 Yard</t>
  </si>
  <si>
    <t>4 YD F/L BINS</t>
  </si>
  <si>
    <t>4 YD F/L W/ LIDS</t>
  </si>
  <si>
    <t>4 YD F/L W/LIDS &amp; SKIDS</t>
  </si>
  <si>
    <t>4 YD F/L W/PLASTIC LIDS</t>
  </si>
  <si>
    <t>4 YD TIPPLER</t>
  </si>
  <si>
    <t>4 YD TIPPLERS</t>
  </si>
  <si>
    <t>Removed 4 yards</t>
  </si>
  <si>
    <t>6 CY F/L CONTAINERS</t>
  </si>
  <si>
    <t>6 YD F/L CATEHDRAL</t>
  </si>
  <si>
    <t>6 YD F/L CATHEDRAL</t>
  </si>
  <si>
    <t>Removed 6 Yard</t>
  </si>
  <si>
    <t>8 YD F/L CATHEDRAL</t>
  </si>
  <si>
    <t>8 YD F/L CONTAINERS</t>
  </si>
  <si>
    <t>Removed 8 Yard</t>
  </si>
  <si>
    <t>VARIOUS USED CONTAINERS</t>
  </si>
  <si>
    <t>10 YD DROP BOX</t>
  </si>
  <si>
    <t>84461, 84452</t>
  </si>
  <si>
    <t>20 YD W/ SOLID LIDS</t>
  </si>
  <si>
    <t>20 YD W/LID</t>
  </si>
  <si>
    <t>20 YD W/LIDS</t>
  </si>
  <si>
    <t>20 YD W/SOLID LIDS</t>
  </si>
  <si>
    <t>20 YD OPEN TOP</t>
  </si>
  <si>
    <t>20 YD SOLID LID</t>
  </si>
  <si>
    <t>20 YD OPEN</t>
  </si>
  <si>
    <t>Removed 20 yard boxes</t>
  </si>
  <si>
    <t>25 YD DROP BOX</t>
  </si>
  <si>
    <t>84453, 84462</t>
  </si>
  <si>
    <t>25 YD SOLID LIDS</t>
  </si>
  <si>
    <t>25 YD W/ LIDS</t>
  </si>
  <si>
    <t>25 YD W/SOLID LID</t>
  </si>
  <si>
    <t>25 YD W/LID</t>
  </si>
  <si>
    <t>25 YD W/SOLID LIDS</t>
  </si>
  <si>
    <t>Removed 25 yard boxes</t>
  </si>
  <si>
    <t>30 YD DB &amp; LID</t>
  </si>
  <si>
    <t>30 YD SOLID LID</t>
  </si>
  <si>
    <t>30 YD SOLID LIDS</t>
  </si>
  <si>
    <t>30 YD W/ SOLID LIDS</t>
  </si>
  <si>
    <t>30 YD W/SOLID LID</t>
  </si>
  <si>
    <t>30 YD W/SOLID LIDS</t>
  </si>
  <si>
    <t>30 YD W/LIDS</t>
  </si>
  <si>
    <t>30 YD W/ LID</t>
  </si>
  <si>
    <t>30 YD</t>
  </si>
  <si>
    <t>30 YD STRUCTURAL DROPBOX</t>
  </si>
  <si>
    <t>30 YD CONTAINERS</t>
  </si>
  <si>
    <t>30 YD BOXES</t>
  </si>
  <si>
    <t>30 YD DROP BOX OPEN TOP</t>
  </si>
  <si>
    <t>30 YD CONTAINER</t>
  </si>
  <si>
    <t>30 YD &amp; 25 YARD CONTAINERS</t>
  </si>
  <si>
    <t>30 YD DROPBOX</t>
  </si>
  <si>
    <t>30 YD BATH TUB CONT.</t>
  </si>
  <si>
    <t>30 YD DB W/EZ REVERSE</t>
  </si>
  <si>
    <t>30 YD LOW STRUCTURAL DROPBOX</t>
  </si>
  <si>
    <t>30 YD STRUCTURE DROP BOX</t>
  </si>
  <si>
    <t>30 YD STRUCT. DROPBOX</t>
  </si>
  <si>
    <t>30 YD LONG LOW DROP BOX</t>
  </si>
  <si>
    <t>Removed 30 yard boxes</t>
  </si>
  <si>
    <t>Removed 35 Gal Carts</t>
  </si>
  <si>
    <t>40 YD DB</t>
  </si>
  <si>
    <t>40 YD STRUCT. DB</t>
  </si>
  <si>
    <t>40 YD DROP Box</t>
  </si>
  <si>
    <t>Removed 40 yard containers</t>
  </si>
  <si>
    <t>48 GALLON CARTS</t>
  </si>
  <si>
    <t>48 GALLON RECYCLE CARTS</t>
  </si>
  <si>
    <t>Removed 48 Gal Roll Carts</t>
  </si>
  <si>
    <t>68 GALLON GREEN</t>
  </si>
  <si>
    <t xml:space="preserve">68 GALLON GREEN </t>
  </si>
  <si>
    <t>65 GALLON GREEN</t>
  </si>
  <si>
    <t>68 GALLON GREEN CONT</t>
  </si>
  <si>
    <t>68 GALLON GREEN CONT.</t>
  </si>
  <si>
    <t xml:space="preserve">68 GALLON FRST GRN </t>
  </si>
  <si>
    <t>65 GALLON CART ASSY 20</t>
  </si>
  <si>
    <t>65 GALLON CART</t>
  </si>
  <si>
    <t>Removed 65 Gallon carts</t>
  </si>
  <si>
    <t>65 GALLON RECYCLE CARTS</t>
  </si>
  <si>
    <t>64 GALLON GRAY RECYCLE CARTS</t>
  </si>
  <si>
    <t>65 GALLONG GREY CARTS</t>
  </si>
  <si>
    <t>Removed 65 Gallon Recycle carts</t>
  </si>
  <si>
    <t>65 GALLON BLUE CARTS</t>
  </si>
  <si>
    <t>Removed 65 Gallon YD Carts</t>
  </si>
  <si>
    <t>Removed 65 Gallon Carts</t>
  </si>
  <si>
    <t>95 GALLON  W/ LIDS</t>
  </si>
  <si>
    <t xml:space="preserve">95 GALLON FORST GREEN </t>
  </si>
  <si>
    <t>95 GALLON  GREEN CARTS</t>
  </si>
  <si>
    <t>96 GALLON  GREEN CARTS</t>
  </si>
  <si>
    <t>Removed 95 Gal Garbage Carts</t>
  </si>
  <si>
    <t>95 GALLON-BLUE</t>
  </si>
  <si>
    <t>95 GALLON  DK BLUE</t>
  </si>
  <si>
    <t>95 GALLON  ROC DARK BLUE</t>
  </si>
  <si>
    <t>95 GALLON  ROC DRK BLUE</t>
  </si>
  <si>
    <t>95 GALLON  CARTS-BLUE</t>
  </si>
  <si>
    <t>95 GALLON  CARTS - BLUE</t>
  </si>
  <si>
    <t>95 GALLON BLUE</t>
  </si>
  <si>
    <t>95 GALLON  BLUE</t>
  </si>
  <si>
    <t>95 GALLON  YARD WASTE</t>
  </si>
  <si>
    <t>95 GALLON YW</t>
  </si>
  <si>
    <t>95 GALLON  BLUE YD WST</t>
  </si>
  <si>
    <t>95 GALLON BLUE YD WASTE</t>
  </si>
  <si>
    <t>95 GALLON  BLUE YD WASTE</t>
  </si>
  <si>
    <t>95 GALLON  BLUE YDWASTE</t>
  </si>
  <si>
    <t>95 GALLON  BLUE YW WASTE</t>
  </si>
  <si>
    <t>95 GALLON  YD WASTE</t>
  </si>
  <si>
    <t>95 GALLON  BLUE YARD WASTE</t>
  </si>
  <si>
    <t>95 GALLON  BLUE YW BINS</t>
  </si>
  <si>
    <t>95 GALLON YARD WASTE</t>
  </si>
  <si>
    <t>95 GALLON BLUE CART</t>
  </si>
  <si>
    <t>Removed 95 Gal YD Carts</t>
  </si>
  <si>
    <t>95 GALLON W/LIDS</t>
  </si>
  <si>
    <t>95 GALLON GREY CARTS</t>
  </si>
  <si>
    <t>95 GALLON  CARTS</t>
  </si>
  <si>
    <t>95 GALLON  PC RECYCLE CARTS</t>
  </si>
  <si>
    <t>Removed 95 Gal Recycle Carts</t>
  </si>
  <si>
    <t>Total Removed 95 Gallon Carts</t>
  </si>
  <si>
    <t>6 GALLON APT. RECYCLE</t>
  </si>
  <si>
    <t>6 GALLON APT. RECYCLE BINS</t>
  </si>
  <si>
    <t>6 GALLON RECYCLE BINS</t>
  </si>
  <si>
    <t>FAB/DELIV RECYCLE CARTS</t>
  </si>
  <si>
    <t>ASSEM/DELIV RECYCLE CARTS</t>
  </si>
  <si>
    <t>ASSEMBLE/DELIVER RECYCLE TOTERS</t>
  </si>
  <si>
    <t>750 NESTABLE RECYCLE BIN SETS</t>
  </si>
  <si>
    <t>RECYCLE CART LIDS</t>
  </si>
  <si>
    <t>Remove 6 gallon apartment and nestable bins</t>
  </si>
  <si>
    <t>Other Assets Listing</t>
  </si>
  <si>
    <t xml:space="preserve">Test Yr. </t>
  </si>
  <si>
    <t>Trk No</t>
  </si>
  <si>
    <t>Depre</t>
  </si>
  <si>
    <t xml:space="preserve">Depre. </t>
  </si>
  <si>
    <t>SHOP EQUIPMENT</t>
  </si>
  <si>
    <t>Shop</t>
  </si>
  <si>
    <t>00 CHEV 3500 SHOP TRUCK</t>
  </si>
  <si>
    <t>00 CHEV 3500 SHOP TRUCK Amort of Salvage</t>
  </si>
  <si>
    <t>'05 GMC Shop Service Veh.</t>
  </si>
  <si>
    <t>05 GMC Shop Service Veh. Amort of Salvage</t>
  </si>
  <si>
    <t>Welder</t>
  </si>
  <si>
    <t>10 Ton Porta Power</t>
  </si>
  <si>
    <t xml:space="preserve">20 Ton Norco Jack 72230a </t>
  </si>
  <si>
    <t>SPANCO 1 TON FREESTANDING JIB</t>
  </si>
  <si>
    <t>SHOP EQUIPMENT - FREDERICKSON</t>
  </si>
  <si>
    <t>80460, 80692</t>
  </si>
  <si>
    <t>LUBRICATION SYSTEM -FREDERICKSON</t>
  </si>
  <si>
    <t>FORKLIFT FOR SHOP</t>
  </si>
  <si>
    <t>2011 Hyster Forklift</t>
  </si>
  <si>
    <t>Winterms, Monitors, Scanner for Shop</t>
  </si>
  <si>
    <t>RTA Equipment</t>
  </si>
  <si>
    <t>95092, 95093</t>
  </si>
  <si>
    <t>Tricoder</t>
  </si>
  <si>
    <t>Diesel Pressure Washers (N)</t>
  </si>
  <si>
    <t>Torque Tire Gun</t>
  </si>
  <si>
    <t>(2) Pressure Washers</t>
  </si>
  <si>
    <t>Air Compressor</t>
  </si>
  <si>
    <t>Engine Repair #9214</t>
  </si>
  <si>
    <t>Hyster H60ft Forklift (U) - Cont Repair</t>
  </si>
  <si>
    <t>2012 Ford F-150 Maintenance (U)</t>
  </si>
  <si>
    <t xml:space="preserve"> 2007 Tennant Sweeper (Zamboni)</t>
  </si>
  <si>
    <t>TOTAL SHOP EQUIPMENT</t>
  </si>
  <si>
    <t>SERVICE EQUIPMENT</t>
  </si>
  <si>
    <t>Supervisor</t>
  </si>
  <si>
    <t>'05 DODGE DAKOTA</t>
  </si>
  <si>
    <t>05 DODGE DAKOTA Amort of Salvage</t>
  </si>
  <si>
    <t>2006 Type M Pick UP Car</t>
  </si>
  <si>
    <t>2007 2WD F150 SUPERVISOR TRK</t>
  </si>
  <si>
    <t>2007 2WD F150 SUPERVISOR TRK Amort of Salvage</t>
  </si>
  <si>
    <t>2007 F-150 SUPERVISOR TRUCK</t>
  </si>
  <si>
    <t>2007 F-150 SUPERVISOR TRUCK Amort of Salvage</t>
  </si>
  <si>
    <t>2008 Ford F150</t>
  </si>
  <si>
    <t>2013 Ford CMAX</t>
  </si>
  <si>
    <t>2010 F-150 Supervisor (U)</t>
  </si>
  <si>
    <t>2012 F-150 SuperCrew Supervisor (U)</t>
  </si>
  <si>
    <t>2015 Ford F550</t>
  </si>
  <si>
    <t>New Service Truck/ Ford Transit Van</t>
  </si>
  <si>
    <t>Licensing Overchange refund</t>
  </si>
  <si>
    <t>Radio/Drive Cam</t>
  </si>
  <si>
    <t>Decal for New Service Truck / Ford Transit Van</t>
  </si>
  <si>
    <t>TOTAL SERVICE EQUIPMENT</t>
  </si>
  <si>
    <t>OFFICE EQUIPMENT</t>
  </si>
  <si>
    <t>HP NOTEBOOK/DOCKING STN/MONITOR</t>
  </si>
  <si>
    <t>ROUTE MGR LICENSES &amp; 21 USERS</t>
  </si>
  <si>
    <t>ROUTE MANAGER LICENSES</t>
  </si>
  <si>
    <t>CISCO POE SWITCHES</t>
  </si>
  <si>
    <t>SHELVING FOR FREDRICKSON ARCHIVE</t>
  </si>
  <si>
    <t>05</t>
  </si>
  <si>
    <t>OFFICE FURNITURE - FREDERICKSON</t>
  </si>
  <si>
    <t>80468, 80754, 80755, 84734</t>
  </si>
  <si>
    <t>PHONE SYSTEM - FREDERICKSON</t>
  </si>
  <si>
    <t>80467, 84732</t>
  </si>
  <si>
    <t xml:space="preserve">HP NOTEBOOK 6460B/DOCKING STN </t>
  </si>
  <si>
    <t>PANASONIC TOUGHBOOK 53</t>
  </si>
  <si>
    <t>Sony Internet TV</t>
  </si>
  <si>
    <t>HP Compaq Pro PC</t>
  </si>
  <si>
    <t>HP Probook 6470b (SN = CNU31295LQ) and Docking Station (SN = CNU229X2ZP)</t>
  </si>
  <si>
    <t>Panasonic Toughbook 53 (SN = %3FTSA83610)</t>
  </si>
  <si>
    <t>Routeware Implementation</t>
  </si>
  <si>
    <t>108617, 108618, 108969</t>
  </si>
  <si>
    <t>Routeware - Airweigh Scales</t>
  </si>
  <si>
    <t>HP Compaq 6300 Desktop Computer</t>
  </si>
  <si>
    <t xml:space="preserve">HP Probook 6470b </t>
  </si>
  <si>
    <t>Wyse Winterms D10D</t>
  </si>
  <si>
    <t>Winterms</t>
  </si>
  <si>
    <t>HP ProDesk 600G1</t>
  </si>
  <si>
    <t>HP Probook 650G1</t>
  </si>
  <si>
    <t>HP Probook 640G1</t>
  </si>
  <si>
    <t>HP Probook Laptop</t>
  </si>
  <si>
    <t>HP SB Probook 640 14 5CG5522MGF</t>
  </si>
  <si>
    <t>HP SB 90 W Docking Station</t>
  </si>
  <si>
    <t>Panasonic Toughbook 53 Lite</t>
  </si>
  <si>
    <t>Panasonic - DDR3L - 4GB</t>
  </si>
  <si>
    <t>HP Probook 650 G2</t>
  </si>
  <si>
    <t>New Laptop for Operations Manager</t>
  </si>
  <si>
    <t>HP Probook 640 G2</t>
  </si>
  <si>
    <t>Laptop for LTS MM</t>
  </si>
  <si>
    <t>5 replacement tablets</t>
  </si>
  <si>
    <t>HP Probook 640G4</t>
  </si>
  <si>
    <t>New Laptop for DC</t>
  </si>
  <si>
    <t>Laptop for District Manager</t>
  </si>
  <si>
    <t>New Camera System</t>
  </si>
  <si>
    <t>219049, 219637, 219755</t>
  </si>
  <si>
    <t>TOTAL OFFICE EQUIPMENT</t>
  </si>
  <si>
    <t>BUILDING - SHOP</t>
  </si>
  <si>
    <t>4109 192ND ST E - SHOP</t>
  </si>
  <si>
    <t>METAL CARPORTS - FREDERICKSON</t>
  </si>
  <si>
    <t>80746, 80747</t>
  </si>
  <si>
    <t>MAINT. RADIO SYSTEN - FREDERICKSON</t>
  </si>
  <si>
    <t>80706, 80705</t>
  </si>
  <si>
    <t>LOCKERS FOR SHOP - FREDERICKSON</t>
  </si>
  <si>
    <t>FUEL/CARDLOCK SYSTEM - FREDERICKSON</t>
  </si>
  <si>
    <t>84031, 84029, 84030, 84036, 84033, 84035, 84032, 84034</t>
  </si>
  <si>
    <t>SIGNS, DECALS, LETTERING FREDERICKSON</t>
  </si>
  <si>
    <t>80702, 80701, 80700, 81106, 80699, 80704, 80703, 80697, 80698</t>
  </si>
  <si>
    <t>Shop Lighting Project</t>
  </si>
  <si>
    <t>210086/ 211431</t>
  </si>
  <si>
    <t>TOTAL BUILDING - SHOP</t>
  </si>
  <si>
    <t>BUILDING - OFFICE</t>
  </si>
  <si>
    <t>Office</t>
  </si>
  <si>
    <t xml:space="preserve">FREDERICKSON BUILDING </t>
  </si>
  <si>
    <t>Many</t>
  </si>
  <si>
    <t>SECURITY SYSTEM - FREDERICKSON</t>
  </si>
  <si>
    <t>81529, 80808, 84590</t>
  </si>
  <si>
    <t>LOBBY DISPLAY CASE - FREDERICKSON</t>
  </si>
  <si>
    <t>82336, 81108</t>
  </si>
  <si>
    <t>CABELING FOR FREDERICKSON</t>
  </si>
  <si>
    <t>TOTAL BUILDING - OFFICE</t>
  </si>
  <si>
    <t>TRANSFER STATION EQUIPMETN</t>
  </si>
  <si>
    <t>LAKEWOOD SCALE SYSTEM</t>
  </si>
  <si>
    <t>1990 Type S Forklift</t>
  </si>
  <si>
    <t>1990 Type S Forklift Amort of Salvage</t>
  </si>
  <si>
    <t>Transfer Station Leachate System</t>
  </si>
  <si>
    <t>2001 JLG 120 SXJ Man Lift</t>
  </si>
  <si>
    <t>LAND</t>
  </si>
  <si>
    <t>FREDERICKSON LAND</t>
  </si>
  <si>
    <t>GRAND TOTAL</t>
  </si>
  <si>
    <t>Disposed/Transferred 2013</t>
  </si>
  <si>
    <t>'02 DODGE DAKOTA</t>
  </si>
  <si>
    <t>Retired/Transferred 2015</t>
  </si>
  <si>
    <t>'90 CHEV 2500 PU</t>
  </si>
  <si>
    <t>Retired/Transferred 2016</t>
  </si>
  <si>
    <t>New 2013 Ford C-Max</t>
  </si>
  <si>
    <t>Retired/Transferred 2017</t>
  </si>
  <si>
    <t>FLUP - 6034</t>
  </si>
  <si>
    <t>Retired/Transferred 2018</t>
  </si>
  <si>
    <t xml:space="preserve">Pierce County Regulated </t>
  </si>
  <si>
    <t>2180 Trucks</t>
  </si>
  <si>
    <t>Months in first year</t>
  </si>
  <si>
    <t>Months in second year</t>
  </si>
  <si>
    <t>First year</t>
  </si>
  <si>
    <t>Second year</t>
  </si>
  <si>
    <t>Licensed?</t>
  </si>
  <si>
    <t>GARBAGE TRUCKS</t>
  </si>
  <si>
    <t>GARBAGE TRUCKS - EQR</t>
  </si>
  <si>
    <t>ROLL OFF TRUCKS</t>
  </si>
  <si>
    <t>N/A</t>
  </si>
  <si>
    <t>CURBSIDE RECYCLE TRUCKS</t>
  </si>
  <si>
    <t>CURBSIDE RECYCLE TRUCKS - EQR</t>
  </si>
  <si>
    <t>Recycle - EQR</t>
  </si>
  <si>
    <t>YARD WASTE TRUCKS</t>
  </si>
  <si>
    <t>COMMERCIAL RECYCLING TRUCKS</t>
  </si>
  <si>
    <t>FT. LEWIS GARBAGE</t>
  </si>
  <si>
    <t>FT. LEWIS RECYCLING</t>
  </si>
  <si>
    <t>TRANSFER STATION</t>
  </si>
  <si>
    <t>TOTAL TRANSFER STATION TRUCKS</t>
  </si>
  <si>
    <t>SCHNITZER "FLUFF" DUMP TRUCKS</t>
  </si>
  <si>
    <t>Moved to 2182 During 2017</t>
  </si>
  <si>
    <t>TOTAL SCHNITZER TRUCKS</t>
  </si>
  <si>
    <t>TRUCKS NOT LICENSED</t>
  </si>
  <si>
    <t>Scrapped</t>
  </si>
  <si>
    <t>'99 PETE W/CASCADE R/O AND TARPER</t>
  </si>
  <si>
    <t>N</t>
  </si>
  <si>
    <t>Trucks Retired/Transferred During 2011</t>
  </si>
  <si>
    <t>96 MACK 40YD F/L BODY</t>
  </si>
  <si>
    <t>'00 PETE 320 W/LEACH 24YD BODY</t>
  </si>
  <si>
    <t>1996 VOLVO FE42 - VA HOSPITAL</t>
  </si>
  <si>
    <t>1997 VOLVO FE42 - VA HOSPITAL</t>
  </si>
  <si>
    <t>20 YD METRO-PAK REL BED - VA HOSPITAL</t>
  </si>
  <si>
    <t>Trucks Retired/Transferred During 2012</t>
  </si>
  <si>
    <t>2009 Type H Front FEL (CNG)</t>
  </si>
  <si>
    <t>1996 MACK 40YD FL</t>
  </si>
  <si>
    <t>Transmission Capital Repair on 1996 FEL</t>
  </si>
  <si>
    <t>Trucks Retired/Transferred During 2013</t>
  </si>
  <si>
    <t>1996 PETE F/L</t>
  </si>
  <si>
    <t>Rear Load Truck</t>
  </si>
  <si>
    <t>40YD F/L BODY</t>
  </si>
  <si>
    <t>VIDEO CAMERA</t>
  </si>
  <si>
    <t>Trucks Retired/Transferred During 2014</t>
  </si>
  <si>
    <t>'04 INT'L 7400 W/20YD REAR LOADER</t>
  </si>
  <si>
    <t>FL-OCC</t>
  </si>
  <si>
    <t>'99 VOLVO WX64 W/LABRIE OPTIMIZER</t>
  </si>
  <si>
    <t>CAPITAL REPAIR #2016</t>
  </si>
  <si>
    <t>1994 CHINOOK TRAILER</t>
  </si>
  <si>
    <t>32 x 102 CHASSIS</t>
  </si>
  <si>
    <t>REFURBISH TRAILER</t>
  </si>
  <si>
    <t>RETIRED</t>
  </si>
  <si>
    <t>1995 PETERBILT 40YD PACKER</t>
  </si>
  <si>
    <t>FLUP-Truck 2003</t>
  </si>
  <si>
    <t>'03 PETE 320 W/USED F/L PACKER UNIT</t>
  </si>
  <si>
    <t>2000 STAR 56' OPEN TOP TRAILER</t>
  </si>
  <si>
    <t>Trucks Retired/Transferred During 2015</t>
  </si>
  <si>
    <t>2013 Peterbilt w/Wittke (N)</t>
  </si>
  <si>
    <t>98932, 99005</t>
  </si>
  <si>
    <t>Truck</t>
  </si>
  <si>
    <t>UTIL</t>
  </si>
  <si>
    <t>94 DODGE RAM PU - FT. LEWIS</t>
  </si>
  <si>
    <t>2015 RO Truck (N)</t>
  </si>
  <si>
    <t>Scrapped/Transferred per Jessie Bailey's 8/2015 Truck Audit:</t>
  </si>
  <si>
    <t>1992 MITSUBISHI - FOR LAKEWOOD</t>
  </si>
  <si>
    <t>99 ISUZU NQR CAB &amp; CHASSIS - FOR LAKEWOOD</t>
  </si>
  <si>
    <t>2000 PETERBILT CURBTENDER</t>
  </si>
  <si>
    <t>FLUP - Truck 3554</t>
  </si>
  <si>
    <t>'06 PETE W/30 YD PENDPAC</t>
  </si>
  <si>
    <t>03 PETERBILT 320 W/LABRIE - FT. LEWIS OCC</t>
  </si>
  <si>
    <t>1991 FREIGHTLINER</t>
  </si>
  <si>
    <t>1993 IH 9400 T/A TRACTOR</t>
  </si>
  <si>
    <t>FLUP-Truck 5554</t>
  </si>
  <si>
    <t>1994 KENWORTH</t>
  </si>
  <si>
    <t>93 FREIGHTLINER (Spare)  Still used?</t>
  </si>
  <si>
    <t>1992 VOLVO FE42 REL - FT. LEWIS RECYCLE</t>
  </si>
  <si>
    <t>'03 PETERBILT W/27 YD CURBTENDER</t>
  </si>
  <si>
    <t>Transmission Replacement #3571</t>
  </si>
  <si>
    <t>Trucks Retired/Transferred During 2016</t>
  </si>
  <si>
    <t>2000 TITAN ALUM WALKING FLOOR TRAILER</t>
  </si>
  <si>
    <t>FORD 1 TON</t>
  </si>
  <si>
    <t>FLUP-Truck 8836</t>
  </si>
  <si>
    <t>1994 CHINOOK CONT TRLR</t>
  </si>
  <si>
    <t>2007 Type M Hook HL (U)</t>
  </si>
  <si>
    <t>1998 53' 4-AXLE CONTAINER</t>
  </si>
  <si>
    <t>53 x 102 CHASSIS</t>
  </si>
  <si>
    <t>'06 VOLVO TRACTOR</t>
  </si>
  <si>
    <t>1998 Type HT W-F Trailer</t>
  </si>
  <si>
    <t>Trailer -walking floor repair</t>
  </si>
  <si>
    <t>1998 STAR 53' TFR TRAILER</t>
  </si>
  <si>
    <t>1998  53'X100' TRANSFER TRAILER</t>
  </si>
  <si>
    <t>'02 PETE 320 W/27CY CURBTENDER</t>
  </si>
  <si>
    <t>FLUP- Truck 3568</t>
  </si>
  <si>
    <t>'06 PETE W/PENDPAC</t>
  </si>
  <si>
    <t xml:space="preserve">00 INT'L 4900 4X2 W/20YD </t>
  </si>
  <si>
    <t>1990 BOBCAT 843 SKID STEER LOADER</t>
  </si>
  <si>
    <t>Trucks Retired/Transferred During 2017</t>
  </si>
  <si>
    <t>Retriever</t>
  </si>
  <si>
    <t>2017 14 Yd Retriever Truck</t>
  </si>
  <si>
    <t xml:space="preserve">2009 Peterbilt ASL (U) </t>
  </si>
  <si>
    <t>Fluff</t>
  </si>
  <si>
    <t>CAT LOADER - FOR SCHNITZER</t>
  </si>
  <si>
    <t>FLUP - Truck 7375</t>
  </si>
  <si>
    <t>CAT WHEEL LOADER - for Schnitzer</t>
  </si>
  <si>
    <t>FLUP - Truck 7389 - NC Machinery</t>
  </si>
  <si>
    <t>Modify Pup Trailer</t>
  </si>
  <si>
    <t>'02 Pioneer Dump Pup Trailer</t>
  </si>
  <si>
    <t xml:space="preserve">Unit Rebuild for Trailer </t>
  </si>
  <si>
    <t>Body Repair Trailer #8497</t>
  </si>
  <si>
    <t>'02 Kenworth T800B Dump Truck</t>
  </si>
  <si>
    <t>Transmission Replacement #9184</t>
  </si>
  <si>
    <t>Modify Dump Pup Trailer</t>
  </si>
  <si>
    <t>Body Repair Truck #9182</t>
  </si>
  <si>
    <t>'05 STERLING DUMP TRUCK &amp; PUP</t>
  </si>
  <si>
    <t>Modify Dump Body</t>
  </si>
  <si>
    <t>'05 STERLING DUMP&amp;PUP</t>
  </si>
  <si>
    <t>94-3283464</t>
  </si>
  <si>
    <t>WESTERN PETERBILT INC</t>
  </si>
  <si>
    <t>Road Tractor</t>
  </si>
  <si>
    <t>2182-18-0008-1</t>
  </si>
  <si>
    <t>915-2663</t>
  </si>
  <si>
    <t>Internal</t>
  </si>
  <si>
    <t>A</t>
  </si>
  <si>
    <t>SL</t>
  </si>
  <si>
    <t>WCNX</t>
  </si>
  <si>
    <t>Long Haul</t>
  </si>
  <si>
    <t xml:space="preserve">J&amp;D's Hydraulic &amp; Repair </t>
  </si>
  <si>
    <t>Non Rolling Stock</t>
  </si>
  <si>
    <t>2182-18-0009-1</t>
  </si>
  <si>
    <t>915-2664</t>
  </si>
  <si>
    <t>2180 Other Assets</t>
  </si>
  <si>
    <t>Average Investment</t>
  </si>
  <si>
    <t>Ratios</t>
  </si>
  <si>
    <t>By Line of Business:</t>
  </si>
  <si>
    <t>Customer Count</t>
  </si>
  <si>
    <t>Reg/ Ft Lewis</t>
  </si>
  <si>
    <t>JBLM Housing</t>
  </si>
  <si>
    <t>JBLM Contract- Garb</t>
  </si>
  <si>
    <t>JBLM Contract-Recycl</t>
  </si>
  <si>
    <t>Non-Reg</t>
  </si>
  <si>
    <t>MSW</t>
  </si>
  <si>
    <t>Residential Garbage</t>
  </si>
  <si>
    <t>Comm Cans Garbage</t>
  </si>
  <si>
    <t>Cust Count Exclude YW</t>
  </si>
  <si>
    <t>Comm Cont Garbage</t>
  </si>
  <si>
    <t>Roll-Off</t>
  </si>
  <si>
    <t>Res-Recycling</t>
  </si>
  <si>
    <t>MF - Recycling Carts</t>
  </si>
  <si>
    <t>MF - Recycling Containers</t>
  </si>
  <si>
    <t>Comm Recy Cans</t>
  </si>
  <si>
    <t>Comm Recy Containers</t>
  </si>
  <si>
    <t>Total Customers</t>
  </si>
  <si>
    <t>Total Cust Count</t>
  </si>
  <si>
    <t>Resi Reg Recycl</t>
  </si>
  <si>
    <t>Recycl Cust</t>
  </si>
  <si>
    <t>Yard Waste Cust</t>
  </si>
  <si>
    <t>Recycl Cust 2</t>
  </si>
  <si>
    <t>MSW Carts</t>
  </si>
  <si>
    <t>MSW Container - No JBLM</t>
  </si>
  <si>
    <t>RO MSW</t>
  </si>
  <si>
    <t>Resi/MF Recycling</t>
  </si>
  <si>
    <t>Comm Recycling</t>
  </si>
  <si>
    <t>Cust Cnt (Excluding JBLM)</t>
  </si>
  <si>
    <t>Delivery/Container Shop Allocation</t>
  </si>
  <si>
    <t>Container Repair Allocation</t>
  </si>
  <si>
    <t>By Line of Business fo Fixed Assest:</t>
  </si>
  <si>
    <t>Route Hours:</t>
  </si>
  <si>
    <t>Regulated County</t>
  </si>
  <si>
    <t>Packer Routes</t>
  </si>
  <si>
    <t>Roll-off Routes</t>
  </si>
  <si>
    <t>Resi-Recycl Rts</t>
  </si>
  <si>
    <t>MF Recycl Rts</t>
  </si>
  <si>
    <t>Comm Recycl Rts</t>
  </si>
  <si>
    <t>Recycling Center</t>
  </si>
  <si>
    <t>YW Routes</t>
  </si>
  <si>
    <t>TFS-Lakewood</t>
  </si>
  <si>
    <t>Total Rt Hrs</t>
  </si>
  <si>
    <t>Rt Hrs Percent</t>
  </si>
  <si>
    <t>Route Garbage</t>
  </si>
  <si>
    <t>Rt Hrs (Excluding JBLM Contract)</t>
  </si>
  <si>
    <t>Rt Hrs (Excluding JBLM Contract &amp; Transfer Drivers)</t>
  </si>
  <si>
    <t>TRANSFER STATION TONS</t>
  </si>
  <si>
    <t>JBLM</t>
  </si>
  <si>
    <t>Equity/JBLM Housing</t>
  </si>
  <si>
    <t>Regulated</t>
  </si>
  <si>
    <t>Non-Regulated</t>
  </si>
  <si>
    <t>Commingle</t>
  </si>
  <si>
    <t>Lease</t>
  </si>
  <si>
    <t>Garbage/Recycling/YW</t>
  </si>
  <si>
    <t>YW/Recycle</t>
  </si>
  <si>
    <t>Depreciation Expense Allocation</t>
  </si>
  <si>
    <t>LOB Depreciation Expense Allocation</t>
  </si>
  <si>
    <t>LOB Average Investment</t>
  </si>
  <si>
    <t>JBLM Contract</t>
  </si>
  <si>
    <t>Cities/Non-Reg</t>
  </si>
  <si>
    <t>County</t>
  </si>
  <si>
    <t>JBLM Contract/Housing Packer Hours</t>
  </si>
  <si>
    <t>Staff</t>
  </si>
  <si>
    <t>Calculation</t>
  </si>
  <si>
    <t>Difference to</t>
  </si>
  <si>
    <t>Company Depr</t>
  </si>
  <si>
    <t>Avg. Inv.</t>
  </si>
  <si>
    <t>Depreciation Exp.</t>
  </si>
  <si>
    <t>Depr. Exp.</t>
  </si>
  <si>
    <t>Staff Calcs</t>
  </si>
  <si>
    <t>Average Inv.</t>
  </si>
  <si>
    <t>Depr. Exp</t>
  </si>
  <si>
    <t>Allocation</t>
  </si>
  <si>
    <t>Allocated</t>
  </si>
  <si>
    <t xml:space="preserve">Allocated </t>
  </si>
  <si>
    <t>Percentage</t>
  </si>
  <si>
    <t>LOB Allocation</t>
  </si>
  <si>
    <t>Avg. Invest.</t>
  </si>
  <si>
    <t>Recyc.</t>
  </si>
  <si>
    <t>Recy</t>
  </si>
  <si>
    <t xml:space="preserve">As Filed </t>
  </si>
  <si>
    <t>As Filed</t>
  </si>
  <si>
    <t>Regulated Depr. Exp.</t>
  </si>
  <si>
    <t>Regulated Invest.</t>
  </si>
  <si>
    <t>Company</t>
  </si>
  <si>
    <t>Capitalized Drivecams, Tablets, and Accessories</t>
  </si>
  <si>
    <t>CP Reviewed/Changed to FAR</t>
  </si>
  <si>
    <t>AS THEY SENT US:</t>
  </si>
  <si>
    <t>Containers</t>
  </si>
  <si>
    <t>Other</t>
  </si>
  <si>
    <t>Decals for New ASL Peterbilt</t>
  </si>
  <si>
    <t>Decals for New REL Peterbilt</t>
  </si>
  <si>
    <t>Decal for New Roll Off Truck</t>
  </si>
  <si>
    <t>ASL Licensing Truck #3698</t>
  </si>
  <si>
    <t>Licensing #3700</t>
  </si>
  <si>
    <t>License for Truck #1086</t>
  </si>
  <si>
    <t>95 Gallon YW Carts</t>
  </si>
  <si>
    <t>2020 Peterbilt FEL Truck</t>
  </si>
  <si>
    <t xml:space="preserve">FEL </t>
  </si>
  <si>
    <t>Truck #2060 Licensing</t>
  </si>
  <si>
    <t>HP SB ProDesk 600 Serial: MXL9511WPD</t>
  </si>
  <si>
    <t>HP SB ProBook 650 Serial: 5CG9519HRZ</t>
  </si>
  <si>
    <t>New AC Laptop UPS Next Day Air</t>
  </si>
  <si>
    <t>HP SB ProDesk 600 SN-MXL93625FK</t>
  </si>
  <si>
    <t>Panasonic TOUGHBOOK 55 14" Core FZ-55A0601VM</t>
  </si>
  <si>
    <t>2021 Peterbilt ROL Truck</t>
  </si>
  <si>
    <t>Routeware - Tablet</t>
  </si>
  <si>
    <t>95 Gallon Yard Waste Carts</t>
  </si>
  <si>
    <t>2020 Peterbilt ASL Truck</t>
  </si>
  <si>
    <t>Decals for a New Roll Off Truck #4090</t>
  </si>
  <si>
    <t>5 Yard FEL OCC Cages</t>
  </si>
  <si>
    <t>Decals for New ASL</t>
  </si>
  <si>
    <t>Letterting for New Roll Off Truck</t>
  </si>
  <si>
    <t>Trk # 3706 Licensing Fees</t>
  </si>
  <si>
    <t>Trk #3707 Licesning Fees</t>
  </si>
  <si>
    <t>Trk #3708 Licensing Fees</t>
  </si>
  <si>
    <t>Trk #4090 Licensing Fees</t>
  </si>
  <si>
    <t>65 G MSW Forest Green Carts</t>
  </si>
  <si>
    <t>95 G Yard Waste Aqua Blue Carts</t>
  </si>
  <si>
    <t>4091 Licensing</t>
  </si>
  <si>
    <t xml:space="preserve">3709 Licensing </t>
  </si>
  <si>
    <t xml:space="preserve">3710 Licensing </t>
  </si>
  <si>
    <t>95G G Aqua Blue Yard Waste Carts</t>
  </si>
  <si>
    <t>95 Gallon Forest Green MSW Carts</t>
  </si>
  <si>
    <t>95 Gallon Recycling Carts Grey</t>
  </si>
  <si>
    <t>65 Gallon MSW Carts Forest Green</t>
  </si>
  <si>
    <t>95 Gallon MSW Forest Green</t>
  </si>
  <si>
    <t>95 Gallon MSW Carts Forest Green</t>
  </si>
  <si>
    <t>95 Gallon Recycle Grey Carts</t>
  </si>
  <si>
    <t>95 Gallon Yard Waste Carts Aqua Blue</t>
  </si>
  <si>
    <t>115 Tablet mounts with charging</t>
  </si>
  <si>
    <t>2020 Peterbilt REL Truck</t>
  </si>
  <si>
    <t>Winterm Serial #9K2YR33</t>
  </si>
  <si>
    <t>Winterm Serial #9KNXR33</t>
  </si>
  <si>
    <t>Winterm Serial #9FZWR33</t>
  </si>
  <si>
    <t>Geo Tab Roll Out (130 Units)</t>
  </si>
  <si>
    <t>(94) New DriveCams</t>
  </si>
  <si>
    <t>2020 Peterbilt REL Truck - Body</t>
  </si>
  <si>
    <t>Truck #1090 Licensing</t>
  </si>
  <si>
    <t>Truck #4094 Licensing</t>
  </si>
  <si>
    <t>2yd REL Metal Containers</t>
  </si>
  <si>
    <t>1yd REL</t>
  </si>
  <si>
    <t>6yd FEL Metal Containers</t>
  </si>
  <si>
    <t>Decals for New REL</t>
  </si>
  <si>
    <t>116 - Samsung Tab Active Pro Tablets</t>
  </si>
  <si>
    <t>UTC Group Tracking</t>
  </si>
  <si>
    <t>Updated Through</t>
  </si>
  <si>
    <t>Updated By</t>
  </si>
  <si>
    <t>FAR Adds</t>
  </si>
  <si>
    <t>UTC Sched Adds</t>
  </si>
  <si>
    <t>HL</t>
  </si>
  <si>
    <t>1/1/2011 - 6/30/2011</t>
  </si>
  <si>
    <t>7/1/2011 - 12/31/2011</t>
  </si>
  <si>
    <t>Disposals/Transfers also updated through 12/31/2011.</t>
  </si>
  <si>
    <t>12/31/2011 CAPEX</t>
  </si>
  <si>
    <t>1/1/2012 - 3/31/2012</t>
  </si>
  <si>
    <t>4/1/2012 - 12/31/2012</t>
  </si>
  <si>
    <t>HL, PS</t>
  </si>
  <si>
    <t>1/1/2013-6/30/2013</t>
  </si>
  <si>
    <t>PS</t>
  </si>
  <si>
    <t>7/1/2013-12/31/2013</t>
  </si>
  <si>
    <t>HG</t>
  </si>
  <si>
    <t>1/1/2014 - 12/31/2014</t>
  </si>
  <si>
    <t>JB</t>
  </si>
  <si>
    <t>1/1/2015-6/30/2015</t>
  </si>
  <si>
    <t>7/1/2015-10/31/2015</t>
  </si>
  <si>
    <t>11/1/2015-12/31/2015</t>
  </si>
  <si>
    <t>1/1/2016-7/31/2016</t>
  </si>
  <si>
    <t>08/31/16 - 12/31/16</t>
  </si>
  <si>
    <t>BJT</t>
  </si>
  <si>
    <t>1/1/16 - 8/31/17</t>
  </si>
  <si>
    <t>LAW</t>
  </si>
  <si>
    <t>9/1/17-12/31/17</t>
  </si>
  <si>
    <t>12/31/17-7/31/18</t>
  </si>
  <si>
    <t>CRP</t>
  </si>
  <si>
    <t>7/31/18-12/31/18</t>
  </si>
  <si>
    <t>1/1/2019-8/31/2019</t>
  </si>
  <si>
    <t>1/1/2020-12/31/2020</t>
  </si>
  <si>
    <t>JTH</t>
  </si>
  <si>
    <t>95 Gallon Rec Carts</t>
  </si>
  <si>
    <t>Trucks Retired/Transfer2020</t>
  </si>
  <si>
    <t>1/1/2021 - 8/31/21</t>
  </si>
  <si>
    <t>AML</t>
  </si>
  <si>
    <t>Decals for New Roll Off Truck</t>
  </si>
  <si>
    <t>Licensing for Truck #1091</t>
  </si>
  <si>
    <t>Licensing for Truck #3713</t>
  </si>
  <si>
    <t>Licensing for Truck #4095</t>
  </si>
  <si>
    <t>2021 Ford Pickup Truck</t>
  </si>
  <si>
    <t>Docking Station - Kensington triple Display</t>
  </si>
  <si>
    <t>HP ProBook 430 GB - 13.3" - 5CD115JTX2</t>
  </si>
  <si>
    <t>HP ProBook 430 GB - 13.3" - 5CD115JTHG</t>
  </si>
  <si>
    <t>Kensington SD4820P USB-C Docking Station</t>
  </si>
  <si>
    <t>HP Workstation Z2 G5 - MXL1164KL6</t>
  </si>
  <si>
    <t>Fire Suppression System- Unit 7388</t>
  </si>
  <si>
    <t>FLUP - Truck 7388</t>
  </si>
  <si>
    <t>1995 TYPE H BUCKET</t>
  </si>
  <si>
    <t>This Tab</t>
  </si>
  <si>
    <t>Check</t>
  </si>
  <si>
    <t>40yd Roll Off Lid System w Steel Frame</t>
  </si>
  <si>
    <t>30yd Roll Off Lid System w/Steel Frame</t>
  </si>
  <si>
    <t>20yd Roll Off Lid System w/Steel Frame</t>
  </si>
  <si>
    <t>40yd Roll Off Boxes</t>
  </si>
  <si>
    <t>20yd Roll Off Boxes</t>
  </si>
  <si>
    <t>20yd RO Container</t>
  </si>
  <si>
    <t>95 Gallon Blue Yard Waste Carts</t>
  </si>
  <si>
    <t>95 Gallon Dark Aqua Yard Waste Carts</t>
  </si>
  <si>
    <t>95 Gallon Grey Recycle Carts</t>
  </si>
  <si>
    <t>95 Gallon Green MSW Carts</t>
  </si>
  <si>
    <t>6y FEL Commercial Containers</t>
  </si>
  <si>
    <t>6yd FEL Containers</t>
  </si>
  <si>
    <t>4yd FEL Containers</t>
  </si>
  <si>
    <t>3yd FEL Containers</t>
  </si>
  <si>
    <t>2yd REL Containers</t>
  </si>
  <si>
    <t>1yd REL Containers</t>
  </si>
  <si>
    <t>1/1 -8/31/21 Adds</t>
  </si>
  <si>
    <t>TOTAL CURBSIDE RECYCLE TRUCKS - JBLM</t>
  </si>
  <si>
    <t>NO</t>
  </si>
  <si>
    <t>LeMay Enterprises</t>
  </si>
  <si>
    <t>Fredrickson Land</t>
  </si>
  <si>
    <t>Pick Up Truck</t>
  </si>
  <si>
    <t>1GBKC34F5YF482431</t>
  </si>
  <si>
    <t>2000 Type M Service</t>
  </si>
  <si>
    <t>dodge</t>
  </si>
  <si>
    <t>1D7HW48N65S262194</t>
  </si>
  <si>
    <t>2005 Type S Pick Up Car</t>
  </si>
  <si>
    <t>Service Truck</t>
  </si>
  <si>
    <t>J8DC4B16157016219</t>
  </si>
  <si>
    <t>2005 Type M Service</t>
  </si>
  <si>
    <t>REL Truck</t>
  </si>
  <si>
    <t>McNeilus</t>
  </si>
  <si>
    <t>International</t>
  </si>
  <si>
    <t>1HTWCAAN67J408432</t>
  </si>
  <si>
    <t>2007 Type H Rear REL</t>
  </si>
  <si>
    <t>1HTWCAAN57J411757</t>
  </si>
  <si>
    <t>1HTWCAAN97J471895</t>
  </si>
  <si>
    <t>1HTWCAAN87J411770</t>
  </si>
  <si>
    <t>1HTWCAAN77J411761</t>
  </si>
  <si>
    <t>1HTWCAANX7J411768</t>
  </si>
  <si>
    <t>Automated Sideload</t>
  </si>
  <si>
    <t>Curbtender</t>
  </si>
  <si>
    <t>Peterbilt</t>
  </si>
  <si>
    <t>3BPZLD9XX7F717684</t>
  </si>
  <si>
    <t>2007 Type H TSide ASL</t>
  </si>
  <si>
    <t>3BPZLD9X17F717685</t>
  </si>
  <si>
    <t>3BPZLD9X57F717687</t>
  </si>
  <si>
    <t>3BPZLD9X77F717688</t>
  </si>
  <si>
    <t>Forklift</t>
  </si>
  <si>
    <t>1990 Type M Lift Other</t>
  </si>
  <si>
    <t>Pump (Shop Equipment)</t>
  </si>
  <si>
    <t>Goodwil - LeMay Enterprises</t>
  </si>
  <si>
    <t>Frederickson Building Improvements</t>
  </si>
  <si>
    <t>40 YD RO Box</t>
  </si>
  <si>
    <t>40 Yard R/O Containers</t>
  </si>
  <si>
    <t>(100,486) Residential Customers ($10 each)</t>
  </si>
  <si>
    <t>Residential Containers in Yard (New Prices)</t>
  </si>
  <si>
    <t>2 YD FEL/REL/SL Metal</t>
  </si>
  <si>
    <t>2 Yard</t>
  </si>
  <si>
    <t>Frederickson Buildings</t>
  </si>
  <si>
    <t>Pierce County G Certificate</t>
  </si>
  <si>
    <t>2180-8-0001-1</t>
  </si>
  <si>
    <t>QUEST</t>
  </si>
  <si>
    <t>(150) Citrix Server Licenses</t>
  </si>
  <si>
    <t>MPR6035</t>
  </si>
  <si>
    <t>CDW</t>
  </si>
  <si>
    <t>MS Licenses (175 Office Standard 2007) (175 Windows Server Cals 2008) (175 Excha</t>
  </si>
  <si>
    <t>MGG2666</t>
  </si>
  <si>
    <t>2180-8-0002-1</t>
  </si>
  <si>
    <t>HP LTO4 Tape Drive SN SHU18393DW3</t>
  </si>
  <si>
    <t>INV75936</t>
  </si>
  <si>
    <t>Network Liquidators</t>
  </si>
  <si>
    <t>(3) PIX501 Firewall Routers</t>
  </si>
  <si>
    <t>INV76045</t>
  </si>
  <si>
    <t>4 PIX501 Firewall Routers</t>
  </si>
  <si>
    <t>LeMay</t>
  </si>
  <si>
    <t>Goodwill Entries</t>
  </si>
  <si>
    <t>Goodwill Adjustment - LeMay</t>
  </si>
  <si>
    <t>0030881-IN</t>
  </si>
  <si>
    <t>2180-8-0014-1</t>
  </si>
  <si>
    <t>ARI HETRA</t>
  </si>
  <si>
    <t>Shop Jacks</t>
  </si>
  <si>
    <t>2180-8-0005-1</t>
  </si>
  <si>
    <t>Non-Rolling Stock</t>
  </si>
  <si>
    <t>FLUP - 6034 - P-CARD (Joes to Lemay's)</t>
  </si>
  <si>
    <t>Inventory Pysical count Write Down</t>
  </si>
  <si>
    <t>LeMay Opening Entry Adjustment</t>
  </si>
  <si>
    <t>Adjust Int Payable &amp; Health</t>
  </si>
  <si>
    <t>35 YD RO Box</t>
  </si>
  <si>
    <t>35 Yard R/O Containers</t>
  </si>
  <si>
    <t>30 YD RO Box</t>
  </si>
  <si>
    <t>30 Yard R/O Containers</t>
  </si>
  <si>
    <t>6 YD FEL/REL/SL Metal</t>
  </si>
  <si>
    <t>6 Yard Commercial Containers</t>
  </si>
  <si>
    <t>20 YD RO Box</t>
  </si>
  <si>
    <t>20 Yard R/O Containers</t>
  </si>
  <si>
    <t>50 YD RO Box</t>
  </si>
  <si>
    <t>50 Yard R/O Containers</t>
  </si>
  <si>
    <t>1.5 YD FEL/REL/SL Metal</t>
  </si>
  <si>
    <t>1.5 Yard Commercial Containers</t>
  </si>
  <si>
    <t>4 YD FEL/REL/SL Metal</t>
  </si>
  <si>
    <t>4 Yard Commercial Containers</t>
  </si>
  <si>
    <t>2180-8-0012-1</t>
  </si>
  <si>
    <t>FLUP - Truck 1569</t>
  </si>
  <si>
    <t>B&amp; O tax audit resolution</t>
  </si>
  <si>
    <t>Nancy Legal Exp reimbursement</t>
  </si>
  <si>
    <t>Water Truck</t>
  </si>
  <si>
    <t>1XPZL50X3HD702888</t>
  </si>
  <si>
    <t>1987 Pete Tanker Water Truck - Non Op</t>
  </si>
  <si>
    <t>1HTWCAAN36J265115</t>
  </si>
  <si>
    <t>2006 Type H Rear REL</t>
  </si>
  <si>
    <t>1G9CH5343V1109058</t>
  </si>
  <si>
    <t>1997 Type HT C-C Trailer</t>
  </si>
  <si>
    <t>1G9CH5345V1109059</t>
  </si>
  <si>
    <t>1D9CS5341WT360028</t>
  </si>
  <si>
    <t>1998 Type HT C-C Trailer</t>
  </si>
  <si>
    <t>1H9CC5343XT347002</t>
  </si>
  <si>
    <t>1999 Type HT C-C Trailer</t>
  </si>
  <si>
    <t>1H9CS5646YT347026</t>
  </si>
  <si>
    <t>2000 Type HT C-C Trailer</t>
  </si>
  <si>
    <t>1H9CC53423T347051</t>
  </si>
  <si>
    <t>2003 Type HT C-C Trailer</t>
  </si>
  <si>
    <t>1H9CC53443T347052</t>
  </si>
  <si>
    <t>1H9CC53463T347053</t>
  </si>
  <si>
    <t>1H9CC53434T347061</t>
  </si>
  <si>
    <t>2004 Type HT C-C Trailer</t>
  </si>
  <si>
    <t>4071239-IN</t>
  </si>
  <si>
    <t>2180-9-0029-1</t>
  </si>
  <si>
    <t>Distribute Drive Cams Invoice (55 - Drive Cams &amp; Subscription)</t>
  </si>
  <si>
    <t>4071795-IN</t>
  </si>
  <si>
    <t>Distribute Drive Cams Invoice (Installation)</t>
  </si>
  <si>
    <t>4072338-IN</t>
  </si>
  <si>
    <t>Distribute Drive Cams Invoice (132 - Event Recorders)</t>
  </si>
  <si>
    <t>4072680-IN</t>
  </si>
  <si>
    <t>Distribute Drive Cams Invoice (Subscription &amp; Installation)</t>
  </si>
  <si>
    <t>Inventory GW adjustment</t>
  </si>
  <si>
    <t>Accruals Goodwill Adjustment</t>
  </si>
  <si>
    <t>Accrued Payables GW Adjustment</t>
  </si>
  <si>
    <t>AR GW Adjustment</t>
  </si>
  <si>
    <t>Container Delivery Truck</t>
  </si>
  <si>
    <t xml:space="preserve"> JALC4B14317008342</t>
  </si>
  <si>
    <t>2001 Type M Van Box</t>
  </si>
  <si>
    <t>JALB4B14927009668</t>
  </si>
  <si>
    <t>2002 Type M Van Box</t>
  </si>
  <si>
    <t>J8DB4B16467007852</t>
  </si>
  <si>
    <t>2006 Type M Van Box</t>
  </si>
  <si>
    <t>1H9CC53454T347062</t>
  </si>
  <si>
    <t>4073803-IN</t>
  </si>
  <si>
    <t>Distribute Drive Cams Invoices (Onsite Technicians)</t>
  </si>
  <si>
    <t>2180-9-0024-1</t>
  </si>
  <si>
    <t>A.M.B. TOOLS &amp; EQUIPMENT</t>
  </si>
  <si>
    <t>(1) 20 Ton Norco Jack 72230a ($2,778/each)</t>
  </si>
  <si>
    <t>2180-9-0026-1</t>
  </si>
  <si>
    <t>(1) Robinair Machine ($2,700/each)</t>
  </si>
  <si>
    <t>QRG1797</t>
  </si>
  <si>
    <t>2180-9-0033-1</t>
  </si>
  <si>
    <t>37 Microsoft MapPoint Licenses for LeMay</t>
  </si>
  <si>
    <t>Lemay</t>
  </si>
  <si>
    <t>Severance as Acqusition RIF</t>
  </si>
  <si>
    <t>Fire damage from Thurston MRF</t>
  </si>
  <si>
    <t>2180-10-0009-1</t>
  </si>
  <si>
    <t>DESERT MICRO</t>
  </si>
  <si>
    <t>Route Manager Site License and 21 Users</t>
  </si>
  <si>
    <t>RWM7009</t>
  </si>
  <si>
    <t>2180-10-0010-1</t>
  </si>
  <si>
    <t>HP Notebook 6730b (SN=SCNU0060KGQ) and Docking Station (SN=CNU002XTZ9) plus moni</t>
  </si>
  <si>
    <t>2180-10-0016-1</t>
  </si>
  <si>
    <t>Capital Repair for Truck 1033</t>
  </si>
  <si>
    <t>3 RouteManager Licenses for 2180 LeMay Pierce County</t>
  </si>
  <si>
    <t>2180-10-0007-1</t>
  </si>
  <si>
    <t>Pickup</t>
  </si>
  <si>
    <t>FORD F-150</t>
  </si>
  <si>
    <t>1FTVX125X7NA48537</t>
  </si>
  <si>
    <t>Used 2007 Ford F150 Pickup  (unit 6043)</t>
  </si>
  <si>
    <t>LA155970</t>
  </si>
  <si>
    <t>2180-10-0019-1</t>
  </si>
  <si>
    <t>REHRIG PACIFIC COMPANY-LA</t>
  </si>
  <si>
    <t>(291) 65 Gallon Carts - Forest Green</t>
  </si>
  <si>
    <t>LA155969</t>
  </si>
  <si>
    <t>65 Gallon Carts - Forest Green</t>
  </si>
  <si>
    <t>SMP7523</t>
  </si>
  <si>
    <t>2180-10-0017-1</t>
  </si>
  <si>
    <t>2 Cisco SRW248G4P Switchs SN=WPY0WJC00745 SN=WPY0WJC00948</t>
  </si>
  <si>
    <t>0003852IN</t>
  </si>
  <si>
    <t>2180-10-0018-1</t>
  </si>
  <si>
    <t>RULE STEEL TANKS INC</t>
  </si>
  <si>
    <t>2 Yard REL Containers</t>
  </si>
  <si>
    <t>2180-10-0006-1</t>
  </si>
  <si>
    <t>Route Ware 5000</t>
  </si>
  <si>
    <t>AT126950</t>
  </si>
  <si>
    <t>2180-10-0015-1</t>
  </si>
  <si>
    <t>2 YD FEL/REL/SL Plastic</t>
  </si>
  <si>
    <t>2 Yard Commercial  Containers (plastic)</t>
  </si>
  <si>
    <t>LA126953</t>
  </si>
  <si>
    <t>3 YD FEL/REL/SL Plastic</t>
  </si>
  <si>
    <t>3 Yard Commercial Containers (plastic)</t>
  </si>
  <si>
    <t>LA156804</t>
  </si>
  <si>
    <t>2180-10-0021-1</t>
  </si>
  <si>
    <t>A9616466 - A9616902</t>
  </si>
  <si>
    <t>95 Gallon Cart &amp; Lid Roc Grey</t>
  </si>
  <si>
    <t>2180-10-0013</t>
  </si>
  <si>
    <t>2180-10-0023-1</t>
  </si>
  <si>
    <t>Grainger</t>
  </si>
  <si>
    <t>Shelving for Frederickson File Archive</t>
  </si>
  <si>
    <t>LA158870</t>
  </si>
  <si>
    <t>2180-10-0022-1</t>
  </si>
  <si>
    <t>#984747 T0 #985232</t>
  </si>
  <si>
    <t>95 Gallon Carts &amp; Lids Forest Green</t>
  </si>
  <si>
    <t>2180-10-0025-1</t>
  </si>
  <si>
    <t>1 YD FEL/REL/SL Metal</t>
  </si>
  <si>
    <t>CAPITAL INDUSTRIES, INC.</t>
  </si>
  <si>
    <t>1 Yard FEL Containers</t>
  </si>
  <si>
    <t>ROUTEWARE INC</t>
  </si>
  <si>
    <t>Reimbursable Travel Expenses (Routeware)</t>
  </si>
  <si>
    <t>Freight (Routeware 5000)</t>
  </si>
  <si>
    <t>Installation ( Routware 5000)</t>
  </si>
  <si>
    <t>AT128507</t>
  </si>
  <si>
    <t>2180-10-0024-1</t>
  </si>
  <si>
    <t>4 YD FEL/REL/SL Plastic</t>
  </si>
  <si>
    <t>4 Yard FEL (Plastic) &amp; (40) Drain Plugs</t>
  </si>
  <si>
    <t>2180-10-0027-1</t>
  </si>
  <si>
    <t>Tennant</t>
  </si>
  <si>
    <t>Shop Equipment for Frederickson</t>
  </si>
  <si>
    <t>U35563</t>
  </si>
  <si>
    <t>2180-9-0001-1</t>
  </si>
  <si>
    <t>Frederickson Shop/ Office</t>
  </si>
  <si>
    <t>2180-9-0032-1</t>
  </si>
  <si>
    <t>Remaining 2009 Funds for Frederickson Shop</t>
  </si>
  <si>
    <t>2180-10-0003-1</t>
  </si>
  <si>
    <t>2010 Funds for Frederickson Shop/Office Completion</t>
  </si>
  <si>
    <t>2180-10-0014-1</t>
  </si>
  <si>
    <t>Gaynor Telesystems</t>
  </si>
  <si>
    <t>Phone system for Pierce County</t>
  </si>
  <si>
    <t>2180-10-0026-1</t>
  </si>
  <si>
    <t>Office Furniture for Frederickson Shop</t>
  </si>
  <si>
    <t>667761-17315</t>
  </si>
  <si>
    <t>KRAZAN &amp; ASSOCIATES</t>
  </si>
  <si>
    <t>Construction Testing (Sample Pick Up)</t>
  </si>
  <si>
    <t>926417-17315</t>
  </si>
  <si>
    <t>Geotechnical Services</t>
  </si>
  <si>
    <t>2180-11-0014-1</t>
  </si>
  <si>
    <t xml:space="preserve"> 1FTPZ14V07FB70808</t>
  </si>
  <si>
    <t>Used 2007 Ford F-150 Pickup</t>
  </si>
  <si>
    <t>CRANE TECHNOLOGY</t>
  </si>
  <si>
    <t>Balance Remaining on Chain Hoist Installation</t>
  </si>
  <si>
    <t>ROAD RUNNER STRIPING</t>
  </si>
  <si>
    <t>Paint 6 Concrete Columns</t>
  </si>
  <si>
    <t>CITY OF TACOMA</t>
  </si>
  <si>
    <t>Refund for Waterline Work</t>
  </si>
  <si>
    <t>SIGNS BY TOMORROW</t>
  </si>
  <si>
    <t>Signs for Frederickson Building</t>
  </si>
  <si>
    <t>Building Numbers</t>
  </si>
  <si>
    <t>Parking Signs</t>
  </si>
  <si>
    <t>Yard Traffic Signs</t>
  </si>
  <si>
    <t>Decals for existing signs at Recycle Site</t>
  </si>
  <si>
    <t>Caution CORO Signs</t>
  </si>
  <si>
    <t>Signs for New Frederickson Site</t>
  </si>
  <si>
    <t>704426, 704427</t>
  </si>
  <si>
    <t>PIERCE COUNTY PLANNING AN</t>
  </si>
  <si>
    <t>10-4013677</t>
  </si>
  <si>
    <t>OLYMPIC RADIO</t>
  </si>
  <si>
    <t>Installation of Radio System into Maintenance Building</t>
  </si>
  <si>
    <t>10-4013640</t>
  </si>
  <si>
    <t>ABC SUN CONTROL</t>
  </si>
  <si>
    <t>Sun Screen Office Windows</t>
  </si>
  <si>
    <t>WEST COAST METAL BUILDING</t>
  </si>
  <si>
    <t>Metal Carports For Parking Lot</t>
  </si>
  <si>
    <t>BUSINESS INTERIORS</t>
  </si>
  <si>
    <t>Re-Install Cubicles in Main Office</t>
  </si>
  <si>
    <t>BUSINESS INTERIORS NW</t>
  </si>
  <si>
    <t>BOONE ELECTRIC CONSTRUCTI</t>
  </si>
  <si>
    <t>Installation of Security System</t>
  </si>
  <si>
    <t>KMB DESIGN GROUPS INC</t>
  </si>
  <si>
    <t>Architectural &amp; Engineering Services</t>
  </si>
  <si>
    <t>AR119662</t>
  </si>
  <si>
    <t>PIERCE COUNTY BUDGET &amp; FI</t>
  </si>
  <si>
    <t>Sewer Line Inspection</t>
  </si>
  <si>
    <t>RUSH COMMERCIAL CONSTRUCT</t>
  </si>
  <si>
    <t>Construction  Cost for Frederickson Site</t>
  </si>
  <si>
    <t>Construction of Frederickson Site</t>
  </si>
  <si>
    <t>2180-11-0007-1</t>
  </si>
  <si>
    <t>ENVIRONMENTAL INFORMATION</t>
  </si>
  <si>
    <t>Professional Services</t>
  </si>
  <si>
    <t>M7436</t>
  </si>
  <si>
    <t>INTRACOMMUNICATION NETWOR</t>
  </si>
  <si>
    <t>Installed New Cabling for Frederickson Site</t>
  </si>
  <si>
    <t>Shop Signs</t>
  </si>
  <si>
    <t>ROAD RUNNER</t>
  </si>
  <si>
    <t>Paint Curbs Yellow in Customer Parking Lot</t>
  </si>
  <si>
    <t>0572 041811</t>
  </si>
  <si>
    <t>GOODELL WOOD FURNISHINGS</t>
  </si>
  <si>
    <t>Display Case for Lobby</t>
  </si>
  <si>
    <t>LA162724</t>
  </si>
  <si>
    <t>2180-11-0015-1</t>
  </si>
  <si>
    <t>REHRIG PACIFIC COMPANY</t>
  </si>
  <si>
    <t>A96017924-A96018360</t>
  </si>
  <si>
    <t>95 Gallon Carts - Grey</t>
  </si>
  <si>
    <t>Security System Additions</t>
  </si>
  <si>
    <t>0667849-17315</t>
  </si>
  <si>
    <t>Construction Testing &amp; Inspection Services</t>
  </si>
  <si>
    <t>LA162838</t>
  </si>
  <si>
    <t>035042051-035042410</t>
  </si>
  <si>
    <t>35 Gallon Carts - Green</t>
  </si>
  <si>
    <t>LA162957</t>
  </si>
  <si>
    <t>2180-11-0016-1</t>
  </si>
  <si>
    <t>986322 T0 986758</t>
  </si>
  <si>
    <t>95 Gallon Carts - Green</t>
  </si>
  <si>
    <t>SPANCO 1 Tone Freestanding JIB</t>
  </si>
  <si>
    <t>01E4697020</t>
  </si>
  <si>
    <t>NW HANDLING</t>
  </si>
  <si>
    <t>SHELVING FOR NEW OFFICE</t>
  </si>
  <si>
    <t>01E4538660</t>
  </si>
  <si>
    <t>REPUBLIC LOCKERS FOR SHOP</t>
  </si>
  <si>
    <t>0574 050411</t>
  </si>
  <si>
    <t>GOODELL WOOD FURNISHING</t>
  </si>
  <si>
    <t>Display Case &amp; Cubby Holes in Lobby</t>
  </si>
  <si>
    <t>PIERCE COUNTY PUBLIC WORK</t>
  </si>
  <si>
    <t>Refund for traffic Impact Fee Permit 689407</t>
  </si>
  <si>
    <t>LA163017</t>
  </si>
  <si>
    <t>066098 T0 066534</t>
  </si>
  <si>
    <t>DON SMALL &amp; SONS OIL DIST</t>
  </si>
  <si>
    <t>New Lubrucation System - Remaining Payment</t>
  </si>
  <si>
    <t>Diesel Cardlock System</t>
  </si>
  <si>
    <t>Diesel Cardlock System - Additional Payment</t>
  </si>
  <si>
    <t>Diesel Cardlock System - Final Payment</t>
  </si>
  <si>
    <t>ESE CORPORATION</t>
  </si>
  <si>
    <t>New Fueling Facility</t>
  </si>
  <si>
    <t>Permit procurement services for Fueling System</t>
  </si>
  <si>
    <t>Installation of underground fueling canopy drain system</t>
  </si>
  <si>
    <t>New Fueling Facility - Remaining Payments</t>
  </si>
  <si>
    <t>Install  Above Ground Fuel Storage Tanks</t>
  </si>
  <si>
    <t>MB ELECTRIC LLC</t>
  </si>
  <si>
    <t>Buckboost Transformer for Tire Machine</t>
  </si>
  <si>
    <t>Welder Outlet &amp; Circuit for Hose Machine</t>
  </si>
  <si>
    <t>PACLAND</t>
  </si>
  <si>
    <t>AT130979</t>
  </si>
  <si>
    <t>2180-11-0017-1</t>
  </si>
  <si>
    <t>3 YD FEL/REL/SL Metal</t>
  </si>
  <si>
    <t>3 Yard Commercial Containers</t>
  </si>
  <si>
    <t>AT130965</t>
  </si>
  <si>
    <t>AT130963R</t>
  </si>
  <si>
    <t>AT130966</t>
  </si>
  <si>
    <t>LA163450</t>
  </si>
  <si>
    <t>2180-11-0018-1</t>
  </si>
  <si>
    <t>T054625-T055272</t>
  </si>
  <si>
    <t>AT130964</t>
  </si>
  <si>
    <t>LA163451</t>
  </si>
  <si>
    <t>T055273-T055363</t>
  </si>
  <si>
    <t>Sercurity System - Last 10% Down</t>
  </si>
  <si>
    <t>CORNELL PLUMBING AND HEAT</t>
  </si>
  <si>
    <t>Change Sink</t>
  </si>
  <si>
    <t>AR122019</t>
  </si>
  <si>
    <t>Striping Services</t>
  </si>
  <si>
    <t>180705S</t>
  </si>
  <si>
    <t>2180-11-0009-1</t>
  </si>
  <si>
    <t>hyster</t>
  </si>
  <si>
    <t>Hyster</t>
  </si>
  <si>
    <t>L177B10511D</t>
  </si>
  <si>
    <t>Used 2006 Model H60FT Forklift</t>
  </si>
  <si>
    <t>ABOVE THE REST</t>
  </si>
  <si>
    <t>Gutter Installation</t>
  </si>
  <si>
    <t>Phone system install Charges</t>
  </si>
  <si>
    <t>Furniture for Frederickson Office</t>
  </si>
  <si>
    <t>LEMAY Industrial Project</t>
  </si>
  <si>
    <t>2180-11-0022-1</t>
  </si>
  <si>
    <t>New RCore Unit, GPS Modem &amp; Software for Truck# 3631</t>
  </si>
  <si>
    <t>P142090</t>
  </si>
  <si>
    <t>2180-11-0012-1</t>
  </si>
  <si>
    <t>Wayne</t>
  </si>
  <si>
    <t>Peterbilt 320</t>
  </si>
  <si>
    <t>3BPZL70X8CF142090</t>
  </si>
  <si>
    <t>New 2012 Peterbilt 320 ASL</t>
  </si>
  <si>
    <t>0050503-IN</t>
  </si>
  <si>
    <t>New Wayne Curbtender 27 Yard - Body</t>
  </si>
  <si>
    <t>0051411-IN</t>
  </si>
  <si>
    <t>Truck Painted WCI Blue - Waste Expo</t>
  </si>
  <si>
    <t>2180-11-0020-1</t>
  </si>
  <si>
    <t>CAPITAL INDUSTRIES</t>
  </si>
  <si>
    <t>1 Yard REL Containers</t>
  </si>
  <si>
    <t>ZLN1956</t>
  </si>
  <si>
    <t>2180-11-0024-1</t>
  </si>
  <si>
    <t>HP ProBook 6460B (SN = CNU1294J4V)  and Docking Station (SN = CNU125ZV5K)</t>
  </si>
  <si>
    <t>LA165652</t>
  </si>
  <si>
    <t>2180-11-0021-1</t>
  </si>
  <si>
    <t>0684946-069013</t>
  </si>
  <si>
    <t>95 Gallon Carts NB &amp; Lids Aqua Blue</t>
  </si>
  <si>
    <t>KA92176</t>
  </si>
  <si>
    <t>068042-068109</t>
  </si>
  <si>
    <t xml:space="preserve"> 2HSFHDZR4PCC066072</t>
  </si>
  <si>
    <t>1993 Type H Ttrac Tr</t>
  </si>
  <si>
    <t>01-75611</t>
  </si>
  <si>
    <t>2182-9-0001-1</t>
  </si>
  <si>
    <t>2HSFHDZR3PC066077</t>
  </si>
  <si>
    <t>Excavator</t>
  </si>
  <si>
    <t>10E-01193</t>
  </si>
  <si>
    <t>1992 Type H Trac H Other</t>
  </si>
  <si>
    <t>2182-9-0005-1</t>
  </si>
  <si>
    <t>Welder (Shop Equipment)</t>
  </si>
  <si>
    <t>Pressure Washer (Shop Equipment)</t>
  </si>
  <si>
    <t>Hook Lift Truck</t>
  </si>
  <si>
    <t>Multilift</t>
  </si>
  <si>
    <t>1HTMMAAL64H664897</t>
  </si>
  <si>
    <t>2004 Type M Hook HL</t>
  </si>
  <si>
    <t>131958S</t>
  </si>
  <si>
    <t>2182-10-0018-1</t>
  </si>
  <si>
    <t xml:space="preserve"> John Deere </t>
  </si>
  <si>
    <t>1FF135DXLA0302412</t>
  </si>
  <si>
    <t>2010 John Deere 135D Wxcavator</t>
  </si>
  <si>
    <t>Pape Machinery</t>
  </si>
  <si>
    <t>New 2010 Excavator 135D - Engine</t>
  </si>
  <si>
    <t>New 2010 Excavator 135D - Transmission</t>
  </si>
  <si>
    <t>New 2010 Excavator 135D - Undercarriage</t>
  </si>
  <si>
    <t>New 2010 Excavator 135D - Final Drives</t>
  </si>
  <si>
    <t>LA165932</t>
  </si>
  <si>
    <t>2180-11-0025-1</t>
  </si>
  <si>
    <t>#A96018361-A96018846</t>
  </si>
  <si>
    <t>95 Gallon Carts - ROC Grey SERIAL</t>
  </si>
  <si>
    <t>LA165933</t>
  </si>
  <si>
    <t>#A96018847-A96018909</t>
  </si>
  <si>
    <t>183338S</t>
  </si>
  <si>
    <t>2180-11-0027-1</t>
  </si>
  <si>
    <t xml:space="preserve"> Hyster </t>
  </si>
  <si>
    <t>H177B9269B</t>
  </si>
  <si>
    <t>USED HYSTER FORKLIFT</t>
  </si>
  <si>
    <t>ZWR2611</t>
  </si>
  <si>
    <t>2180-11-0028-1</t>
  </si>
  <si>
    <t>Panasonic Toughbook 53 (SN = %1ITSA30845)</t>
  </si>
  <si>
    <t>2180-11-0019-1</t>
  </si>
  <si>
    <t>2180-11-0023-1</t>
  </si>
  <si>
    <t>1 YD FEL/REL/SL Plastic</t>
  </si>
  <si>
    <t>1 Yard FEL Caster Plast Containers</t>
  </si>
  <si>
    <t>LA165651</t>
  </si>
  <si>
    <t>2180-11-0030-1</t>
  </si>
  <si>
    <t>95 Gallon Carts - Dark Blue</t>
  </si>
  <si>
    <t>KA92170</t>
  </si>
  <si>
    <t>2180-11-0031-1</t>
  </si>
  <si>
    <t>WESTERN MICROSYSTEMS</t>
  </si>
  <si>
    <t>2 Route Manager Users Licenses</t>
  </si>
  <si>
    <t>LA167634</t>
  </si>
  <si>
    <t>2180-11-0029-1</t>
  </si>
  <si>
    <t>65 Gallon Carts &amp; Lids - Forrest Green</t>
  </si>
  <si>
    <t>D506612</t>
  </si>
  <si>
    <t>1010-12-0018-1</t>
  </si>
  <si>
    <t>cdw</t>
  </si>
  <si>
    <t>Sony Internet TV (SN = P18264700A)</t>
  </si>
  <si>
    <t>H177B17035X</t>
  </si>
  <si>
    <t>1990 Type M Forklift</t>
  </si>
  <si>
    <t>1HTWCAAN27J411764</t>
  </si>
  <si>
    <t>1HTWCAAN47J411765</t>
  </si>
  <si>
    <t xml:space="preserve"> 3626C</t>
  </si>
  <si>
    <t>0036468-IN</t>
  </si>
  <si>
    <t>2180-8-0004-1</t>
  </si>
  <si>
    <t xml:space="preserve"> Peterbilt</t>
  </si>
  <si>
    <t>0072225-IN</t>
  </si>
  <si>
    <t>2181-10-0007-1</t>
  </si>
  <si>
    <t>FORD L8000</t>
  </si>
  <si>
    <t>1FDXR82E2SVA63307</t>
  </si>
  <si>
    <t>Used 1995 Ford Truck L8000 w/ New Container Carrier</t>
  </si>
  <si>
    <t xml:space="preserve"> Peterbilt </t>
  </si>
  <si>
    <t>3BPZL50X89F719195</t>
  </si>
  <si>
    <t>R/O Truck</t>
  </si>
  <si>
    <t>Helm</t>
  </si>
  <si>
    <t>Volvo</t>
  </si>
  <si>
    <t>4V5M99GH38N487359</t>
  </si>
  <si>
    <t>2008 Type H Drop R/O</t>
  </si>
  <si>
    <t>2181-10-0008-1</t>
  </si>
  <si>
    <t>other</t>
  </si>
  <si>
    <t>ISUZ NPR/NF3</t>
  </si>
  <si>
    <t>JALC4B14327001053</t>
  </si>
  <si>
    <t>2002 Used Ryder Aluminum Van Truck</t>
  </si>
  <si>
    <t>0045374IN</t>
  </si>
  <si>
    <t>2181-10-0009-1</t>
  </si>
  <si>
    <t>Autocar ACX</t>
  </si>
  <si>
    <t xml:space="preserve"> 5VCACRJF5AH210389</t>
  </si>
  <si>
    <t>New 2010 Autocar ACX ASL</t>
  </si>
  <si>
    <t>T5491a</t>
  </si>
  <si>
    <t>Solid Waste System</t>
  </si>
  <si>
    <t>5VCACRKF5AH210389</t>
  </si>
  <si>
    <t>Freight to Move Autocar Chassis</t>
  </si>
  <si>
    <t>4V5M99EH28N487372</t>
  </si>
  <si>
    <t>volvo</t>
  </si>
  <si>
    <t>4VM99GHX7N481934</t>
  </si>
  <si>
    <t>2007 Type H Ttrac Tr</t>
  </si>
  <si>
    <t>3BPZL50X19F719300</t>
  </si>
  <si>
    <t>4V4M99EJ78N487455</t>
  </si>
  <si>
    <t>2008 Type H Ttrac Tr</t>
  </si>
  <si>
    <t>3BPZLD9X37F717686</t>
  </si>
  <si>
    <t>4VM99GH67N481932</t>
  </si>
  <si>
    <t>1HTWCAAN47J408428</t>
  </si>
  <si>
    <t>0052977-IN</t>
  </si>
  <si>
    <t>2181-11-0013-1</t>
  </si>
  <si>
    <t>Isuzu NRR</t>
  </si>
  <si>
    <t>JALE5W167C7300335</t>
  </si>
  <si>
    <t>2012 Type M Side SL</t>
  </si>
  <si>
    <t xml:space="preserve"> Sterling </t>
  </si>
  <si>
    <t>2FWNA3CK16AV83368</t>
  </si>
  <si>
    <t>2006 Type H Ttrac Tr</t>
  </si>
  <si>
    <t>4V5M99EH59N277267</t>
  </si>
  <si>
    <t xml:space="preserve"> GMC </t>
  </si>
  <si>
    <t>1GBJ8W103148</t>
  </si>
  <si>
    <t>1997 Type M Fork Other</t>
  </si>
  <si>
    <t>2FWNA3CKX6AV83367</t>
  </si>
  <si>
    <t>Commercial Customers ($100 each)</t>
  </si>
  <si>
    <t>1 YD Containers</t>
  </si>
  <si>
    <t>LA149039</t>
  </si>
  <si>
    <t>2181-9-0003-1</t>
  </si>
  <si>
    <t>95 Gallon Yard Waste Carts - Dark Blue</t>
  </si>
  <si>
    <t>LA149850</t>
  </si>
  <si>
    <t>2181-9-0004-1</t>
  </si>
  <si>
    <t>95 Gallon Dark Aqua Blue NB Carts</t>
  </si>
  <si>
    <t>LA149559</t>
  </si>
  <si>
    <t>95 Gallon Carts - Forest Green</t>
  </si>
  <si>
    <t>LA149849</t>
  </si>
  <si>
    <t>LA149476</t>
  </si>
  <si>
    <t>65 Gallon Green Carts</t>
  </si>
  <si>
    <t>LA148230</t>
  </si>
  <si>
    <t>2181-9-0001-1</t>
  </si>
  <si>
    <t>Residential Customers ($10 each)</t>
  </si>
  <si>
    <t>LA163016</t>
  </si>
  <si>
    <t>2181-11-0018-1</t>
  </si>
  <si>
    <t>067021 T0 067069</t>
  </si>
  <si>
    <t>95 Gallon Carts - Dark Aqua Blue</t>
  </si>
  <si>
    <t>2182-10-0016-1</t>
  </si>
  <si>
    <t>2181-11-0024-1</t>
  </si>
  <si>
    <t>2181-11-0021-1</t>
  </si>
  <si>
    <t>6 Yard FEL Containers - LeMay Blue</t>
  </si>
  <si>
    <t>LA148175</t>
  </si>
  <si>
    <t>2181-11-0022-1</t>
  </si>
  <si>
    <t>1 Yard REL Containers - LeMay Blue</t>
  </si>
  <si>
    <t>AT130982</t>
  </si>
  <si>
    <t>2181-11-0019-1</t>
  </si>
  <si>
    <t>AT130980</t>
  </si>
  <si>
    <t>3 Yard Containers</t>
  </si>
  <si>
    <t>AT130981</t>
  </si>
  <si>
    <t>LA162726</t>
  </si>
  <si>
    <t>2181-11-0017-1</t>
  </si>
  <si>
    <t>A96017389-A96017874</t>
  </si>
  <si>
    <t>LA163452</t>
  </si>
  <si>
    <t>2181-11-0020-1</t>
  </si>
  <si>
    <t>T055364-T055920</t>
  </si>
  <si>
    <t>AT130967</t>
  </si>
  <si>
    <t>LA162725</t>
  </si>
  <si>
    <t>A96017875-A96017923</t>
  </si>
  <si>
    <t>2181-11-0025-1</t>
  </si>
  <si>
    <t>12 YD RO Box</t>
  </si>
  <si>
    <t>12 Yard R/O Containers</t>
  </si>
  <si>
    <t>LA165934</t>
  </si>
  <si>
    <t>2181-11-0026-1</t>
  </si>
  <si>
    <t>A96018991-A96019413</t>
  </si>
  <si>
    <t>LA165650</t>
  </si>
  <si>
    <t>2181-11-0023-1</t>
  </si>
  <si>
    <t>068528-068945</t>
  </si>
  <si>
    <t>KA92177</t>
  </si>
  <si>
    <t>2181-11-0031-1</t>
  </si>
  <si>
    <t>LA156806</t>
  </si>
  <si>
    <t>2181-10-0013-1</t>
  </si>
  <si>
    <t>#9516417 - A9516465</t>
  </si>
  <si>
    <t>95 Gallon Carts &amp; Lids Roc Grey</t>
  </si>
  <si>
    <t>1 Yard FEL Caster Plast Container</t>
  </si>
  <si>
    <t>LA149563</t>
  </si>
  <si>
    <t>LA152223</t>
  </si>
  <si>
    <t>2181-9-0008-1</t>
  </si>
  <si>
    <t>LA152222</t>
  </si>
  <si>
    <t>LA152283</t>
  </si>
  <si>
    <t>95 Gal Grey Recycle Carts</t>
  </si>
  <si>
    <t>LA150806</t>
  </si>
  <si>
    <t>2181-9-0005-1</t>
  </si>
  <si>
    <t>LA150807</t>
  </si>
  <si>
    <t>2181-10-0012-1</t>
  </si>
  <si>
    <t>2181-10-0011-1</t>
  </si>
  <si>
    <t>LA158696</t>
  </si>
  <si>
    <t>2181-10-0014-1</t>
  </si>
  <si>
    <t>65 Gallon Carts - Green T53329 TO T53976</t>
  </si>
  <si>
    <t>LA158955</t>
  </si>
  <si>
    <t>A9515931 T0 A9516416</t>
  </si>
  <si>
    <t>LA162837</t>
  </si>
  <si>
    <t>035041611 T0 035042050</t>
  </si>
  <si>
    <t>LA162955</t>
  </si>
  <si>
    <t>986759 T0 987244</t>
  </si>
  <si>
    <t>LA162956</t>
  </si>
  <si>
    <t>LA163015</t>
  </si>
  <si>
    <t>066535-067020</t>
  </si>
  <si>
    <t>95 Gallon Carts - Blue</t>
  </si>
  <si>
    <t>LA156805</t>
  </si>
  <si>
    <t>2181-9-0006-1</t>
  </si>
  <si>
    <t>(57) Drive Cam Units</t>
  </si>
  <si>
    <t>2181-11-0028-1</t>
  </si>
  <si>
    <t>(1) Recore System</t>
  </si>
  <si>
    <t>QXZ5632</t>
  </si>
  <si>
    <t>2181-9-0009-1</t>
  </si>
  <si>
    <t>6 Wyse Winterms S10</t>
  </si>
  <si>
    <t>ZPH8827</t>
  </si>
  <si>
    <t>2181-11-0027-1</t>
  </si>
  <si>
    <t>HP ProBook 6460B (SN = CNU1294KL8)  and Docking Station (SN = CNU125ZVBC)</t>
  </si>
  <si>
    <t>2181-9-0009-2</t>
  </si>
  <si>
    <t>6 Acer 17" Monitors</t>
  </si>
  <si>
    <t>Town of Steilacoom</t>
  </si>
  <si>
    <t>Mount Rainer National Park</t>
  </si>
  <si>
    <t>City of University Place</t>
  </si>
  <si>
    <t>City of Dupont</t>
  </si>
  <si>
    <t>City of Lakewood</t>
  </si>
  <si>
    <t>McChord Airforce Base</t>
  </si>
  <si>
    <t>Town of Eatonville</t>
  </si>
  <si>
    <t>General Metals of Tacoma</t>
  </si>
  <si>
    <t>Street Sweeper</t>
  </si>
  <si>
    <t>1990 Rosco RB38 - Non Op</t>
  </si>
  <si>
    <t>10 YD RO Box</t>
  </si>
  <si>
    <t>10 Yard R/O Containers</t>
  </si>
  <si>
    <t>1 Yard Commercial Containers</t>
  </si>
  <si>
    <t>8 YD FEL/REL/SL Metal</t>
  </si>
  <si>
    <t>8 Yard Commercial Containers</t>
  </si>
  <si>
    <t>5 YD FEL/REL/SL Metal</t>
  </si>
  <si>
    <t>5 Yard Commercial Containers</t>
  </si>
  <si>
    <t>VA Hospital</t>
  </si>
  <si>
    <t>F374575</t>
  </si>
  <si>
    <t>1010-12-0021-1</t>
  </si>
  <si>
    <t>Winterms, Monitors and scanner for Shop</t>
  </si>
  <si>
    <t>H566993</t>
  </si>
  <si>
    <t>2180-12-0026-1</t>
  </si>
  <si>
    <t>HP Compaq Pro PC (SN = MXL2090LKB)</t>
  </si>
  <si>
    <t>LA170009</t>
  </si>
  <si>
    <t>2180-12-0015-1</t>
  </si>
  <si>
    <t>T057441 T0 T058088</t>
  </si>
  <si>
    <t>65 Gallon Forest Gree Carts</t>
  </si>
  <si>
    <t>LA170303</t>
  </si>
  <si>
    <t>2180-12-0016-1</t>
  </si>
  <si>
    <t>#A96019819 T0 A96020304</t>
  </si>
  <si>
    <t>95 Gallon Carts - Gray</t>
  </si>
  <si>
    <t>LA170304</t>
  </si>
  <si>
    <t>#A96019333 T0 A96019818</t>
  </si>
  <si>
    <t>LA170806</t>
  </si>
  <si>
    <t>2180-12-0014-1</t>
  </si>
  <si>
    <t>989821-990306</t>
  </si>
  <si>
    <t>RENT09979</t>
  </si>
  <si>
    <t>2180-12-0025-1</t>
  </si>
  <si>
    <t>FEL Truck</t>
  </si>
  <si>
    <t>Autocar ACX64</t>
  </si>
  <si>
    <t>5VCACLKFXBH211728</t>
  </si>
  <si>
    <t>Used 2011 Autocar ACX64 FEL</t>
  </si>
  <si>
    <t>Big Truck REntal</t>
  </si>
  <si>
    <t>5VCACLKF6BH211726</t>
  </si>
  <si>
    <t>Tax and Licensing for new McNeilus front loader</t>
  </si>
  <si>
    <t>J454933</t>
  </si>
  <si>
    <t>VO02989593; DB00097303; V</t>
  </si>
  <si>
    <t>Vehicle Registration fees adjustment</t>
  </si>
  <si>
    <t>2180-12-0012-1</t>
  </si>
  <si>
    <t>WASTEQUIP</t>
  </si>
  <si>
    <t>1010-12-0022-1</t>
  </si>
  <si>
    <t>RON TURLEY ASSOCIATES INC</t>
  </si>
  <si>
    <t>(1) Tricoder</t>
  </si>
  <si>
    <t>2180-12-0009-1</t>
  </si>
  <si>
    <t>2 Yard Slant Top - LeMay Blue</t>
  </si>
  <si>
    <t>2  Yard FEL Slant Containers - LeMay Blue</t>
  </si>
  <si>
    <t>LA172226</t>
  </si>
  <si>
    <t>95 Gallon Recycle Carts - ROC Grey</t>
  </si>
  <si>
    <t>LA172225</t>
  </si>
  <si>
    <t>2180-12-0002-1</t>
  </si>
  <si>
    <t>3BPZL70X8DF187404</t>
  </si>
  <si>
    <t>New 2013 Peterbilt 320 w/ Wayne Curtender body - ASL</t>
  </si>
  <si>
    <t>2180-12-0021-1</t>
  </si>
  <si>
    <t>3BPZL70XXDF187405</t>
  </si>
  <si>
    <t>LA171000</t>
  </si>
  <si>
    <t>65 Gallon Refuse Carts - Forest Green</t>
  </si>
  <si>
    <t>LA171001</t>
  </si>
  <si>
    <t>REHRIG PACIFIC CO</t>
  </si>
  <si>
    <t>F2701XS02</t>
  </si>
  <si>
    <t>Overpayment of Truck Licensing</t>
  </si>
  <si>
    <t>F2701XS01</t>
  </si>
  <si>
    <t>Overpayment of Truck LIcensing</t>
  </si>
  <si>
    <t>C44256</t>
  </si>
  <si>
    <t>2182-9-0007-1</t>
  </si>
  <si>
    <t>AT137273</t>
  </si>
  <si>
    <t>2180-12-0010-1</t>
  </si>
  <si>
    <t>AT137274</t>
  </si>
  <si>
    <t>AT137275</t>
  </si>
  <si>
    <t>2180-12-0011-1</t>
  </si>
  <si>
    <t>2180-12-0004-1</t>
  </si>
  <si>
    <t>CAPITAL INDUSTRIES INC</t>
  </si>
  <si>
    <t>30 Yard Roll Off Box</t>
  </si>
  <si>
    <t>AT137391</t>
  </si>
  <si>
    <t>4 Yard FEL Plastic Containers</t>
  </si>
  <si>
    <t>AT137390</t>
  </si>
  <si>
    <t>4 Yard FEL Plastic Contaienrs</t>
  </si>
  <si>
    <t>T294817</t>
  </si>
  <si>
    <t>2180-12-0028-1</t>
  </si>
  <si>
    <t>(2) New Diesel Pressure Washers</t>
  </si>
  <si>
    <t>DriveCam Unit for New ASL</t>
  </si>
  <si>
    <t>2180-12-0003-1</t>
  </si>
  <si>
    <t>40 Cubic Yard Roll-Off Metal Containers</t>
  </si>
  <si>
    <t>2180-12-0029-1</t>
  </si>
  <si>
    <t>SOLID WASTE SYSTEMS INC</t>
  </si>
  <si>
    <t>(3) BinMaxx FEL fork scale systems</t>
  </si>
  <si>
    <t>Ron Turley Associates</t>
  </si>
  <si>
    <t>LA176568</t>
  </si>
  <si>
    <t>2180-13-0007-1</t>
  </si>
  <si>
    <t>LA176567</t>
  </si>
  <si>
    <t>LA177091</t>
  </si>
  <si>
    <t>2180-13-0005-1</t>
  </si>
  <si>
    <t>65 Gallon Refuse Carts</t>
  </si>
  <si>
    <t>LA177092</t>
  </si>
  <si>
    <t>HAR130322</t>
  </si>
  <si>
    <t>2180-13-0001-1</t>
  </si>
  <si>
    <t>Ford</t>
  </si>
  <si>
    <t>FORD F150</t>
  </si>
  <si>
    <t>1FTPX14V18FA49481</t>
  </si>
  <si>
    <t>3 Yard Commercial Container-64716</t>
  </si>
  <si>
    <t>LA174255</t>
  </si>
  <si>
    <t>2180-13-0006-1</t>
  </si>
  <si>
    <t>LA174193</t>
  </si>
  <si>
    <t>2180-13-0008-1</t>
  </si>
  <si>
    <t>BN96571</t>
  </si>
  <si>
    <t>2180-13-0018-1</t>
  </si>
  <si>
    <t>KE74500</t>
  </si>
  <si>
    <t>2180-13-0031-1</t>
  </si>
  <si>
    <t>65 Gallon Green Refuse Carts</t>
  </si>
  <si>
    <t>KE74512</t>
  </si>
  <si>
    <t>KB 318482</t>
  </si>
  <si>
    <t>TOTER INCORPORATED</t>
  </si>
  <si>
    <t>96 Gal Carts</t>
  </si>
  <si>
    <t>2180-13-0017-1</t>
  </si>
  <si>
    <t>6YD FEL Containers</t>
  </si>
  <si>
    <t>CT45956</t>
  </si>
  <si>
    <t>2180-13-0030-1</t>
  </si>
  <si>
    <t>LA179286</t>
  </si>
  <si>
    <t>95 Gal Carts</t>
  </si>
  <si>
    <t>252594T</t>
  </si>
  <si>
    <t>2180-13-0004-1</t>
  </si>
  <si>
    <t>ISUZU NPR</t>
  </si>
  <si>
    <t>JALC4W166E7001898</t>
  </si>
  <si>
    <t>2014 Isuzu NPR Box Van</t>
  </si>
  <si>
    <t>LA180047</t>
  </si>
  <si>
    <t>65 Gal Carts</t>
  </si>
  <si>
    <t>LA180046</t>
  </si>
  <si>
    <t>2180-13-0028-1</t>
  </si>
  <si>
    <t>Stock No. 130571ED</t>
  </si>
  <si>
    <t>2180-13-0002-1</t>
  </si>
  <si>
    <t>1FTMF1EW1AKC08722</t>
  </si>
  <si>
    <t>2010 Used F150 Supervisor Pickup Truck</t>
  </si>
  <si>
    <t>LA180680</t>
  </si>
  <si>
    <t>95 Gallon Carts</t>
  </si>
  <si>
    <t>LA180492</t>
  </si>
  <si>
    <t>2180-13-0014-1</t>
  </si>
  <si>
    <t>2YD FEL Containers</t>
  </si>
  <si>
    <t>2180-13-0013-1</t>
  </si>
  <si>
    <t>1.5YD FEL Containers</t>
  </si>
  <si>
    <t>LA181190</t>
  </si>
  <si>
    <t>95 Gallon Refuse Carts</t>
  </si>
  <si>
    <t>2180-13-0027-1</t>
  </si>
  <si>
    <t>Retriever Truck</t>
  </si>
  <si>
    <t>WAYNE</t>
  </si>
  <si>
    <t>ISUZU</t>
  </si>
  <si>
    <t>1JALE5W164E7300540</t>
  </si>
  <si>
    <t>2013 8YD ISUZU RETIEVER TRUCK</t>
  </si>
  <si>
    <t>LA181260</t>
  </si>
  <si>
    <t>LA181294</t>
  </si>
  <si>
    <t>2180-13-0009-1</t>
  </si>
  <si>
    <t>35 Gal Refuse Carts</t>
  </si>
  <si>
    <t>LA181261</t>
  </si>
  <si>
    <t>DriveCam, Inc</t>
  </si>
  <si>
    <t>Drive Cam - 2013 Isuzu Retriever Truck</t>
  </si>
  <si>
    <t>WC9805-LIC-0003</t>
  </si>
  <si>
    <t>2180-13-0029-1</t>
  </si>
  <si>
    <t>(2) RouteManger Licenses</t>
  </si>
  <si>
    <t>2180-13-0010-1</t>
  </si>
  <si>
    <t>5YD FEL OCC Containers</t>
  </si>
  <si>
    <t>Routeware- (5) Airweigh Scales Integration</t>
  </si>
  <si>
    <t>LA182611</t>
  </si>
  <si>
    <t>2180-13-0025-1</t>
  </si>
  <si>
    <t>Automated SideLoad</t>
  </si>
  <si>
    <t>PETERBILT</t>
  </si>
  <si>
    <t>3BPZL70X1EF223337</t>
  </si>
  <si>
    <t>2013 ASL</t>
  </si>
  <si>
    <t>Sign Connections</t>
  </si>
  <si>
    <t>Decals for truck - 2014 ASL Truck</t>
  </si>
  <si>
    <t>Routeware</t>
  </si>
  <si>
    <t>Camera - Routeware Implementation</t>
  </si>
  <si>
    <t>1BDKNRM</t>
  </si>
  <si>
    <t>2180-13-0034-1</t>
  </si>
  <si>
    <t>(2) HP Compaq 6300 Desktop Computers</t>
  </si>
  <si>
    <t>2180-13-0023-1</t>
  </si>
  <si>
    <t>WITTKE LABRIE</t>
  </si>
  <si>
    <t>3BPZL70X7EF234889</t>
  </si>
  <si>
    <t>2014 FEL Truck</t>
  </si>
  <si>
    <t>DriveCam</t>
  </si>
  <si>
    <t>DriveCam - Pete/McNeilus FEL Truck</t>
  </si>
  <si>
    <t>Department of Licensing</t>
  </si>
  <si>
    <t>License - Pete/McNeilus FEL Truck #2041</t>
  </si>
  <si>
    <t>2182-13-0003-1</t>
  </si>
  <si>
    <t>2180-14-0023-1</t>
  </si>
  <si>
    <t>Lytx</t>
  </si>
  <si>
    <t>JW18721</t>
  </si>
  <si>
    <t>2180-14-0024-1</t>
  </si>
  <si>
    <t>HP ProBook 6470b 14"</t>
  </si>
  <si>
    <t>LA184680</t>
  </si>
  <si>
    <t>2180-14-0014-1</t>
  </si>
  <si>
    <t>65 Gal Refuse Carts</t>
  </si>
  <si>
    <t>LA185294</t>
  </si>
  <si>
    <t>2180-14-0017-1</t>
  </si>
  <si>
    <t>2180-14-0022-1</t>
  </si>
  <si>
    <t>WSLA128236</t>
  </si>
  <si>
    <t>2180-14-0015-1</t>
  </si>
  <si>
    <t>SCHAEFER SYSTEMS INTERNAT</t>
  </si>
  <si>
    <t>2180-14-0007-1</t>
  </si>
  <si>
    <t>TEC Equipment</t>
  </si>
  <si>
    <t>Cap Repair - Transmission</t>
  </si>
  <si>
    <t>KT73613</t>
  </si>
  <si>
    <t>2180-14-0026-1</t>
  </si>
  <si>
    <t>HP ProBook 647b - 14"</t>
  </si>
  <si>
    <t>LA184631</t>
  </si>
  <si>
    <t>65 Gal Plastic Carts</t>
  </si>
  <si>
    <t>2180-14-0019-1</t>
  </si>
  <si>
    <t>2 Yard Containers</t>
  </si>
  <si>
    <t>2180-14-0028-1</t>
  </si>
  <si>
    <t>(7) Routeware Cameras</t>
  </si>
  <si>
    <t>Multiple beginning with K</t>
  </si>
  <si>
    <t>2000-14-0006-1</t>
  </si>
  <si>
    <t>AT144837R</t>
  </si>
  <si>
    <t>2 Yard Commercial Container</t>
  </si>
  <si>
    <t>(2) Routeware Cameras</t>
  </si>
  <si>
    <t>LA187551</t>
  </si>
  <si>
    <t>AT144956</t>
  </si>
  <si>
    <t>2180-14-0020-1</t>
  </si>
  <si>
    <t>3 Yd Plastic Containers</t>
  </si>
  <si>
    <t>LA185479R</t>
  </si>
  <si>
    <t>2180-14-0016-1</t>
  </si>
  <si>
    <t>95 Gallon Garbage Carts</t>
  </si>
  <si>
    <t>LA187968</t>
  </si>
  <si>
    <t>65- Gallon Forest Green Refuse Cart</t>
  </si>
  <si>
    <t>LA187967</t>
  </si>
  <si>
    <t>65-Gal Forest Green Refuse Cart</t>
  </si>
  <si>
    <t>LA188069</t>
  </si>
  <si>
    <t>95 Gallon Recycle Cart</t>
  </si>
  <si>
    <t>LA187888</t>
  </si>
  <si>
    <t>2180-14-0004-1</t>
  </si>
  <si>
    <t xml:space="preserve"> Heil </t>
  </si>
  <si>
    <t xml:space="preserve"> Autocar </t>
  </si>
  <si>
    <t>5VCACL8FXCH214007</t>
  </si>
  <si>
    <t>2013 FEL Truck</t>
  </si>
  <si>
    <t>2170-11-0005-1</t>
  </si>
  <si>
    <t>L177V08942J</t>
  </si>
  <si>
    <t>2011 Hyster H50FT Forklift serial# L177V08942J</t>
  </si>
  <si>
    <t>252765t</t>
  </si>
  <si>
    <t>2180-14-0002-1</t>
  </si>
  <si>
    <t xml:space="preserve"> Isuzu </t>
  </si>
  <si>
    <t>1JALC4W169F7001816</t>
  </si>
  <si>
    <t>2015 Container Delivery Truck</t>
  </si>
  <si>
    <t>AT145090</t>
  </si>
  <si>
    <t>at146128</t>
  </si>
  <si>
    <t>2180-14-0021-1</t>
  </si>
  <si>
    <t>4 Yard Commercial Plastic Container</t>
  </si>
  <si>
    <t>0070895-in</t>
  </si>
  <si>
    <t>2180-14-0001-1</t>
  </si>
  <si>
    <t xml:space="preserve"> Wayne </t>
  </si>
  <si>
    <t>JALE5W165E7302474</t>
  </si>
  <si>
    <t>2014 Isuzu Retriever Truck</t>
  </si>
  <si>
    <t>AT145938</t>
  </si>
  <si>
    <t>4 Yard Plastic Commercial Container</t>
  </si>
  <si>
    <t>LA188381</t>
  </si>
  <si>
    <t>95-Gal Refuse Cart</t>
  </si>
  <si>
    <t>WARA149235</t>
  </si>
  <si>
    <t>WARA149223</t>
  </si>
  <si>
    <t>95 Galllon YW Carts</t>
  </si>
  <si>
    <t>2180-14-0005-1</t>
  </si>
  <si>
    <t>3BPZL70X7FF275444</t>
  </si>
  <si>
    <t>2015 ASL Truck</t>
  </si>
  <si>
    <t>2180-14-0018-1</t>
  </si>
  <si>
    <t>1.5 Yd Container</t>
  </si>
  <si>
    <t>37208763-2</t>
  </si>
  <si>
    <t>2 Yd FEL Container</t>
  </si>
  <si>
    <t>2180-14-0029-1</t>
  </si>
  <si>
    <t>BRIDGESTONE FIRESTONE</t>
  </si>
  <si>
    <t>2180-14-0025-1</t>
  </si>
  <si>
    <t>Decals - 2015 ASL Truck</t>
  </si>
  <si>
    <t>2180-14-0030-1</t>
  </si>
  <si>
    <t>2180-14-0003-1</t>
  </si>
  <si>
    <t>Heil</t>
  </si>
  <si>
    <t>5VCACL8F9CH214001</t>
  </si>
  <si>
    <t>2012 FEL Truck</t>
  </si>
  <si>
    <t>11/0684</t>
  </si>
  <si>
    <t>WA State Department of Li</t>
  </si>
  <si>
    <t>Licensing - 2012 FEL</t>
  </si>
  <si>
    <t>Decals - 2012 FEL Truck</t>
  </si>
  <si>
    <t>LA190139</t>
  </si>
  <si>
    <t>WARA149864</t>
  </si>
  <si>
    <t>2180-14-0006-1</t>
  </si>
  <si>
    <t>3BPZL70X1FF280431</t>
  </si>
  <si>
    <t>KB 65355252</t>
  </si>
  <si>
    <t>2180-14-0047-1</t>
  </si>
  <si>
    <t>65 gal Garbage Carts</t>
  </si>
  <si>
    <t>96 Gal Garbage Carts - Green</t>
  </si>
  <si>
    <t>96 Gal Yardwaste Carts - Blue</t>
  </si>
  <si>
    <t>2180-14-0036-1</t>
  </si>
  <si>
    <t>General Equipment</t>
  </si>
  <si>
    <t>Auto Tarper for Truck #4060</t>
  </si>
  <si>
    <t>2180-14-0038-1</t>
  </si>
  <si>
    <t>General Equipment Company</t>
  </si>
  <si>
    <t>Auto Tarper for Truck #4067</t>
  </si>
  <si>
    <t>2180-14-0037-1</t>
  </si>
  <si>
    <t>Generl Equipment Company</t>
  </si>
  <si>
    <t>Auto Tarper for Truck #4063</t>
  </si>
  <si>
    <t>2180-14-0044-1</t>
  </si>
  <si>
    <t>Northern Tools &amp; Equipmen</t>
  </si>
  <si>
    <t>T302424</t>
  </si>
  <si>
    <t>2180-14-0045-1</t>
  </si>
  <si>
    <t>AMB Tools &amp; Equipment</t>
  </si>
  <si>
    <t>2180-14-0048-1</t>
  </si>
  <si>
    <t>Avery Weigh-Tronix</t>
  </si>
  <si>
    <t>REL Scale Software</t>
  </si>
  <si>
    <t>LA188380</t>
  </si>
  <si>
    <t>95 Gal Garbage Cart</t>
  </si>
  <si>
    <t>2180-15-0010-1</t>
  </si>
  <si>
    <t xml:space="preserve"> Ford </t>
  </si>
  <si>
    <t>1FTFW1EF3CF27194</t>
  </si>
  <si>
    <t>2012 Ford F-150 SuperCrew</t>
  </si>
  <si>
    <t>SR19791</t>
  </si>
  <si>
    <t>2180-15-0030-1</t>
  </si>
  <si>
    <t>(30) Win Terms</t>
  </si>
  <si>
    <t>SR24440</t>
  </si>
  <si>
    <t>2180-15-0029-1</t>
  </si>
  <si>
    <t>(6) HP ProDesk 600G1</t>
  </si>
  <si>
    <t>LA192566</t>
  </si>
  <si>
    <t>2180-15-0018-1</t>
  </si>
  <si>
    <t>LA192565</t>
  </si>
  <si>
    <t>95 Gal Grey Recycle Cart</t>
  </si>
  <si>
    <t>P100461</t>
  </si>
  <si>
    <t>2180-15-0002-1</t>
  </si>
  <si>
    <t>peterbilt</t>
  </si>
  <si>
    <t xml:space="preserve"> 3BPZL70X8GF100461</t>
  </si>
  <si>
    <t>2016 ASL Truck</t>
  </si>
  <si>
    <t>96 Gallon Recycle Cart</t>
  </si>
  <si>
    <t>W 23451</t>
  </si>
  <si>
    <t>2180-15-0033-1</t>
  </si>
  <si>
    <t>Dirks Truck Repair</t>
  </si>
  <si>
    <t>Truck 9214 Engine Repair</t>
  </si>
  <si>
    <t>VL46704</t>
  </si>
  <si>
    <t>2180-15-0034-1</t>
  </si>
  <si>
    <t>HP Probook 650 G1</t>
  </si>
  <si>
    <t>VQ20000</t>
  </si>
  <si>
    <t>2180-15-0035-1</t>
  </si>
  <si>
    <t>HP Probook 640 G1</t>
  </si>
  <si>
    <t>VQ65112</t>
  </si>
  <si>
    <t>2180-15-0036-1</t>
  </si>
  <si>
    <t>HP Prodesk 600 G1</t>
  </si>
  <si>
    <t>2180-15-0017-1</t>
  </si>
  <si>
    <t>95 Gallon Refuse Cart</t>
  </si>
  <si>
    <t>2180-15-0019-1</t>
  </si>
  <si>
    <t>95-Gal Yardwast Cart</t>
  </si>
  <si>
    <t>95 Gal Yardwaste Cart</t>
  </si>
  <si>
    <t>96 Gal Recycle Cart</t>
  </si>
  <si>
    <t>96 Gal Yardwaste Cart</t>
  </si>
  <si>
    <t>2180-15-0020-1</t>
  </si>
  <si>
    <t>OTTO ENVIRONMENTAL SYSTEM</t>
  </si>
  <si>
    <t>65 Gallon Refuse Cart</t>
  </si>
  <si>
    <t>2180-15-0037-1</t>
  </si>
  <si>
    <t>WASTEQUIP LLC</t>
  </si>
  <si>
    <t>45 Gallon Garbage Cart</t>
  </si>
  <si>
    <t>96 Gallon Refuse Cart</t>
  </si>
  <si>
    <t>HM 218531 S</t>
  </si>
  <si>
    <t>2180-15-0012-1</t>
  </si>
  <si>
    <t>L177B20862E</t>
  </si>
  <si>
    <t>Used Forklift - Hyster Model H60ft</t>
  </si>
  <si>
    <t>P328906</t>
  </si>
  <si>
    <t>2182-15-0001-1</t>
  </si>
  <si>
    <t>2NP3XJ0X7GM328906</t>
  </si>
  <si>
    <t>2016 R/O Truck</t>
  </si>
  <si>
    <t>2016 ASL Truck Routeware</t>
  </si>
  <si>
    <t>WR77371</t>
  </si>
  <si>
    <t>2180-15-0040-1</t>
  </si>
  <si>
    <t>HP ProBook 650G1</t>
  </si>
  <si>
    <t>2180-15-0023-1</t>
  </si>
  <si>
    <t>6 yard container</t>
  </si>
  <si>
    <t>2 Yard Container</t>
  </si>
  <si>
    <t>1.5 Yard Container</t>
  </si>
  <si>
    <t>96gal Recycle Carts</t>
  </si>
  <si>
    <t>2180-15-0014-1</t>
  </si>
  <si>
    <t>Backhoe</t>
  </si>
  <si>
    <t>n/a</t>
  </si>
  <si>
    <t>Bobcat</t>
  </si>
  <si>
    <t>Used 2004 Bobcat 5220 Skid Steer Loader</t>
  </si>
  <si>
    <t>96 Gal Recycle Carts</t>
  </si>
  <si>
    <t>1.5 Yd REL Container</t>
  </si>
  <si>
    <t>2180-15-0025-1</t>
  </si>
  <si>
    <t>30 Yd Drop Box</t>
  </si>
  <si>
    <t>P100538</t>
  </si>
  <si>
    <t>2180-15-0003-1</t>
  </si>
  <si>
    <t>3BPZL70X6GF100538</t>
  </si>
  <si>
    <t>Routeware Tablet for Truck #3644</t>
  </si>
  <si>
    <t>LA198147</t>
  </si>
  <si>
    <t>2180-15-0024-1</t>
  </si>
  <si>
    <t>3 Yd Plastic Container</t>
  </si>
  <si>
    <t>LA198148</t>
  </si>
  <si>
    <t>2 Yd Plastic Container</t>
  </si>
  <si>
    <t>40 Yd Drop Boxes</t>
  </si>
  <si>
    <t>2 Yd REL Metal Container</t>
  </si>
  <si>
    <t>2YD Metal Containers</t>
  </si>
  <si>
    <t>95gal Yardwaste Carts</t>
  </si>
  <si>
    <t>W 24367</t>
  </si>
  <si>
    <t>2180-15-0042-1</t>
  </si>
  <si>
    <t>Engine Repair for Truck 3619</t>
  </si>
  <si>
    <t>Various</t>
  </si>
  <si>
    <t>2180-15-0047-1</t>
  </si>
  <si>
    <t>Capital Industries</t>
  </si>
  <si>
    <t>Drop Box Winches</t>
  </si>
  <si>
    <t>P105652</t>
  </si>
  <si>
    <t>2180-15-0006-1</t>
  </si>
  <si>
    <t>3BPZL70X7FG105652</t>
  </si>
  <si>
    <t>P105651</t>
  </si>
  <si>
    <t>2180-15-0004-1</t>
  </si>
  <si>
    <t>3BPZL70X5GF105651</t>
  </si>
  <si>
    <t>P107092</t>
  </si>
  <si>
    <t>2180-15-0038-1</t>
  </si>
  <si>
    <t>Wayne Engineering</t>
  </si>
  <si>
    <t>3BPZL70X5GF107092</t>
  </si>
  <si>
    <t>2015-150757</t>
  </si>
  <si>
    <t>2180-15-0048-1</t>
  </si>
  <si>
    <t>1FTSW3XG6FKA71938</t>
  </si>
  <si>
    <t>2015 Transit van 350</t>
  </si>
  <si>
    <t>LA200055</t>
  </si>
  <si>
    <t>6 YD FEL/REL/SL Plastic</t>
  </si>
  <si>
    <t>6 yd Plastic commercial container (JBLM)</t>
  </si>
  <si>
    <t>LA200525</t>
  </si>
  <si>
    <t>2 yd Plastic commercial container</t>
  </si>
  <si>
    <t>96 Gallon Garbage Carts - Green</t>
  </si>
  <si>
    <t>96 Gallon Recycle Carts - Gray</t>
  </si>
  <si>
    <t>BKD0428</t>
  </si>
  <si>
    <t>2180-15-0050-1</t>
  </si>
  <si>
    <t>HP S8 ProBook Laptop</t>
  </si>
  <si>
    <t>BKD4858</t>
  </si>
  <si>
    <t>HP SB Probook Laptop</t>
  </si>
  <si>
    <t>DriveCam and cable assembly</t>
  </si>
  <si>
    <t>64 Gallon Refuse Cart</t>
  </si>
  <si>
    <t>35gal Refuse Carts</t>
  </si>
  <si>
    <t>2180-16-0003-1</t>
  </si>
  <si>
    <t>96 Gal Recycle Carts with lids</t>
  </si>
  <si>
    <t>2180-16-0006-1</t>
  </si>
  <si>
    <t>65 gal garbage carts</t>
  </si>
  <si>
    <t>LA200057</t>
  </si>
  <si>
    <t>2yd Plastic Container</t>
  </si>
  <si>
    <t>ckz2260</t>
  </si>
  <si>
    <t>2180-16-0021-1</t>
  </si>
  <si>
    <t>HP SB ProBook 640 14 5CG5522MGF</t>
  </si>
  <si>
    <t>ckq9699</t>
  </si>
  <si>
    <t>HP SB 90W Docking Station</t>
  </si>
  <si>
    <t>2180-16-0020-2</t>
  </si>
  <si>
    <t>95 Gal Yard Waste Carts</t>
  </si>
  <si>
    <t>2180-16-0020-1</t>
  </si>
  <si>
    <t>95 Gal Garabage Carts</t>
  </si>
  <si>
    <t>P107183</t>
  </si>
  <si>
    <t>2180-16-0012-1</t>
  </si>
  <si>
    <t>labrie</t>
  </si>
  <si>
    <t>3BPZL70X8GF107183</t>
  </si>
  <si>
    <t>P107182</t>
  </si>
  <si>
    <t>2180-16-0010-1</t>
  </si>
  <si>
    <t>3BPZL70X6GF107182</t>
  </si>
  <si>
    <t>P107181</t>
  </si>
  <si>
    <t>2180-16-0009-1</t>
  </si>
  <si>
    <t>3BPZL70X4GF107181</t>
  </si>
  <si>
    <t>65 Gal Garbage Carts</t>
  </si>
  <si>
    <t>LA203971</t>
  </si>
  <si>
    <t>2180-16-0001-1</t>
  </si>
  <si>
    <t>LA203797</t>
  </si>
  <si>
    <t>4yd Plastic Containers</t>
  </si>
  <si>
    <t>LA203774</t>
  </si>
  <si>
    <t>6yd Plastic Container</t>
  </si>
  <si>
    <t>2180-16-0020-3</t>
  </si>
  <si>
    <t>95gal Recycle Carts</t>
  </si>
  <si>
    <t>2180-16-0013-1</t>
  </si>
  <si>
    <t>Tennant Sweeper (Zamboni)</t>
  </si>
  <si>
    <t>LA204399</t>
  </si>
  <si>
    <t>4Yd Plastic Containers</t>
  </si>
  <si>
    <t>LA204098</t>
  </si>
  <si>
    <t>2 Yard Plastic Container</t>
  </si>
  <si>
    <t>PCINV022047</t>
  </si>
  <si>
    <t>2180-16-0004-1</t>
  </si>
  <si>
    <t>P107176</t>
  </si>
  <si>
    <t>2180-16-0008-1</t>
  </si>
  <si>
    <t>wittke</t>
  </si>
  <si>
    <t>3BPZL70X0GF107176</t>
  </si>
  <si>
    <t>2016 FEL Truck</t>
  </si>
  <si>
    <t>1.5yd Containers</t>
  </si>
  <si>
    <t>LA204764</t>
  </si>
  <si>
    <t>REHRIG PACIFIC COMPANY IN</t>
  </si>
  <si>
    <t>3 Yard Plastic Container</t>
  </si>
  <si>
    <t>LA204188</t>
  </si>
  <si>
    <t>2yd Plastic Cont</t>
  </si>
  <si>
    <t>LA204185</t>
  </si>
  <si>
    <t>6 yd Plastic Cont</t>
  </si>
  <si>
    <t>PCINV023517</t>
  </si>
  <si>
    <t>96 gal yard waste</t>
  </si>
  <si>
    <t>Non Rolling Stoc</t>
  </si>
  <si>
    <t>Routeware for Trk#2045</t>
  </si>
  <si>
    <t>W25998</t>
  </si>
  <si>
    <t>2180-16-0025-1</t>
  </si>
  <si>
    <t>Head rebuild  on unit#1065</t>
  </si>
  <si>
    <t>LA206928</t>
  </si>
  <si>
    <t>2180-16-0027-1</t>
  </si>
  <si>
    <t>6yd FEL Plastic Containers</t>
  </si>
  <si>
    <t>2180-16-0026-1</t>
  </si>
  <si>
    <t>1yd REL Steel Contailers</t>
  </si>
  <si>
    <t>LA207375</t>
  </si>
  <si>
    <t>LA207019R</t>
  </si>
  <si>
    <t>2180-16-0005-1</t>
  </si>
  <si>
    <t>95gal Garbage Carts</t>
  </si>
  <si>
    <t>LA206542R</t>
  </si>
  <si>
    <t>65gal Garbage Carts</t>
  </si>
  <si>
    <t>LA206507R</t>
  </si>
  <si>
    <t>1yd REL Steel Containers</t>
  </si>
  <si>
    <t>LA207829</t>
  </si>
  <si>
    <t>2180-16-0030-1</t>
  </si>
  <si>
    <t>LA207828</t>
  </si>
  <si>
    <t>P414303</t>
  </si>
  <si>
    <t>2180-16-0011-1</t>
  </si>
  <si>
    <t>AA Welding</t>
  </si>
  <si>
    <t>2NP2HJ7X2HM414303</t>
  </si>
  <si>
    <t>FSM4807</t>
  </si>
  <si>
    <t>2180-16-0035-1</t>
  </si>
  <si>
    <t>LA208153</t>
  </si>
  <si>
    <t>2180-16-0029-1</t>
  </si>
  <si>
    <t>LA207978R</t>
  </si>
  <si>
    <t>LA207979R</t>
  </si>
  <si>
    <t>LA208159</t>
  </si>
  <si>
    <t>2180-16-0032-1</t>
  </si>
  <si>
    <t>35gal Garbage Carts</t>
  </si>
  <si>
    <t>LA208087</t>
  </si>
  <si>
    <t>LA208152</t>
  </si>
  <si>
    <t>LA208443</t>
  </si>
  <si>
    <t>LA208233</t>
  </si>
  <si>
    <t>2180-16-0031-1</t>
  </si>
  <si>
    <t>LA208228</t>
  </si>
  <si>
    <t>LA208445</t>
  </si>
  <si>
    <t>FXM2993</t>
  </si>
  <si>
    <t>2180-16-0002-1</t>
  </si>
  <si>
    <t>40 yd RO Boxes w/ plastic lids</t>
  </si>
  <si>
    <t>2180-16-0033-1</t>
  </si>
  <si>
    <t>1.5 REL Containers</t>
  </si>
  <si>
    <t>LA209460</t>
  </si>
  <si>
    <t>2180-16-0038-1</t>
  </si>
  <si>
    <t>2180-16-0034-1</t>
  </si>
  <si>
    <t>TOTER LLC</t>
  </si>
  <si>
    <t>4yd FEL Plastic Contatiners</t>
  </si>
  <si>
    <t>LA209604</t>
  </si>
  <si>
    <t>2180-16-0037-1</t>
  </si>
  <si>
    <t>4 yd Front Load Refuse Containers</t>
  </si>
  <si>
    <t>LA209357R</t>
  </si>
  <si>
    <t>65Gal Garbage Carts</t>
  </si>
  <si>
    <t>30yd RO Boxes</t>
  </si>
  <si>
    <t>LA209461R</t>
  </si>
  <si>
    <t>2yd FEL Plastic Containers</t>
  </si>
  <si>
    <t>RC50750CM, LA189964</t>
  </si>
  <si>
    <t>Rehrig Pacific</t>
  </si>
  <si>
    <t>Apply Credit Memos</t>
  </si>
  <si>
    <t>LA210829R</t>
  </si>
  <si>
    <t>2180-17-0023-1</t>
  </si>
  <si>
    <t>60gal Municipal Refuse Containers</t>
  </si>
  <si>
    <t>LA210710</t>
  </si>
  <si>
    <t>2180-17-0024-1</t>
  </si>
  <si>
    <t>65gal Refuse Carts</t>
  </si>
  <si>
    <t>LA210693</t>
  </si>
  <si>
    <t>LA211033</t>
  </si>
  <si>
    <t>2180-17-0027-1</t>
  </si>
  <si>
    <t>LA211034</t>
  </si>
  <si>
    <t>35 gal Refuse Carts</t>
  </si>
  <si>
    <t>LA211463</t>
  </si>
  <si>
    <t>2180-17-0026-1</t>
  </si>
  <si>
    <t>95gal YW Carts</t>
  </si>
  <si>
    <t>HBS7457</t>
  </si>
  <si>
    <t>2180-17-0029-1</t>
  </si>
  <si>
    <t>HBN5281</t>
  </si>
  <si>
    <t>HBP9196</t>
  </si>
  <si>
    <t>2180-17-0028-1</t>
  </si>
  <si>
    <t>2180-13-0003-1</t>
  </si>
  <si>
    <t>Passenger Car</t>
  </si>
  <si>
    <t>FORD CMAX</t>
  </si>
  <si>
    <t>1FADP5AU6DL523870</t>
  </si>
  <si>
    <t>2013 FORD CMAX</t>
  </si>
  <si>
    <t>2131-11-0001-1</t>
  </si>
  <si>
    <t>3BPZL70X1CF149690</t>
  </si>
  <si>
    <t>New 2012 Peterbilt 320 REL</t>
  </si>
  <si>
    <t>1D7HE48N26S502636</t>
  </si>
  <si>
    <t>2006 Type M Pick Up Car</t>
  </si>
  <si>
    <t>LA212512RR</t>
  </si>
  <si>
    <t>2180-17-0031-1</t>
  </si>
  <si>
    <t>2yd FEL Plastic Container</t>
  </si>
  <si>
    <t>LA212521R</t>
  </si>
  <si>
    <t>2180-17-0032-1</t>
  </si>
  <si>
    <t>4yd FEL Plastic Containers</t>
  </si>
  <si>
    <t>LA212788R</t>
  </si>
  <si>
    <t>2180-17-0034-1</t>
  </si>
  <si>
    <t>95gal Refuse Carts</t>
  </si>
  <si>
    <t>LA212864RR</t>
  </si>
  <si>
    <t>2180-17-0034-2</t>
  </si>
  <si>
    <t>2180-17-0019-1</t>
  </si>
  <si>
    <t>isuzu</t>
  </si>
  <si>
    <t>JALB4W177G7F00235</t>
  </si>
  <si>
    <t>2016 Box Van Izuzu / NPR</t>
  </si>
  <si>
    <t>50 Yard R/O Container</t>
  </si>
  <si>
    <t>2182-12-0010-1</t>
  </si>
  <si>
    <t>2182-12-0011-1</t>
  </si>
  <si>
    <t>40YD Roll-Off Boxes</t>
  </si>
  <si>
    <t>40 YD Roll-Off Boxes</t>
  </si>
  <si>
    <t>40 YD Roll-Off Box</t>
  </si>
  <si>
    <t>2182-15-0015-1</t>
  </si>
  <si>
    <t>40 Yard RO Box</t>
  </si>
  <si>
    <t xml:space="preserve"> </t>
  </si>
  <si>
    <t>2180-17-0035-1</t>
  </si>
  <si>
    <t>40 Yard Roll Off Boxes w/Lids</t>
  </si>
  <si>
    <t>30 Yard Roll Off Boxes w/Lids</t>
  </si>
  <si>
    <t>W 27442</t>
  </si>
  <si>
    <t>2180-17-0036-1</t>
  </si>
  <si>
    <t>Engine Inframe Truck #5594</t>
  </si>
  <si>
    <t>20 Yard Roll Off Boxes w/Lids</t>
  </si>
  <si>
    <t>2180-17-0038-1</t>
  </si>
  <si>
    <t>LA213966</t>
  </si>
  <si>
    <t>2180-17-0037-1</t>
  </si>
  <si>
    <t>LA213992</t>
  </si>
  <si>
    <t>2180-17-0037-2</t>
  </si>
  <si>
    <t>LA213893R</t>
  </si>
  <si>
    <t>2180-17-0033-1</t>
  </si>
  <si>
    <t>6 Yard FEL Plastic Containers</t>
  </si>
  <si>
    <t>2180-17-0021-1</t>
  </si>
  <si>
    <t>wayne</t>
  </si>
  <si>
    <t>JALE5W167J7300865</t>
  </si>
  <si>
    <t>2017 retriver truck</t>
  </si>
  <si>
    <t>P187088</t>
  </si>
  <si>
    <t>2180-17-0011-1</t>
  </si>
  <si>
    <t xml:space="preserve">3BPDLJ0X9JF187088 </t>
  </si>
  <si>
    <t>LYTX</t>
  </si>
  <si>
    <t>2180-17-0014-1</t>
  </si>
  <si>
    <t>2180-17-0040-1</t>
  </si>
  <si>
    <t>2180-17-0037-3</t>
  </si>
  <si>
    <t>WHISLER COMMUNICATIONS</t>
  </si>
  <si>
    <t>Radio for FEL Perterbild / Labrie 40yd</t>
  </si>
  <si>
    <t>IN006170</t>
  </si>
  <si>
    <t>2180-17-0041-1</t>
  </si>
  <si>
    <t>ENVIRONMENTAL METAL WORKS</t>
  </si>
  <si>
    <t>6yd Steel Commercial Containers</t>
  </si>
  <si>
    <t>2180-17-0039-1</t>
  </si>
  <si>
    <t>SIERRA CONTAINER GROUP LL</t>
  </si>
  <si>
    <t>2180-17-0038-2</t>
  </si>
  <si>
    <t>2yd REL Steel Container</t>
  </si>
  <si>
    <t>P186884</t>
  </si>
  <si>
    <t>2180-17-0013-1</t>
  </si>
  <si>
    <t>3BPDLJ0X6JF186884</t>
  </si>
  <si>
    <t>P186885</t>
  </si>
  <si>
    <t>3BPDLJ0X8JF186885</t>
  </si>
  <si>
    <t>P186886</t>
  </si>
  <si>
    <t>2180-17-0017-1</t>
  </si>
  <si>
    <t>3BPDLJ0XXJF186886</t>
  </si>
  <si>
    <t>ASL Peterbilt / Labrie 28yd Decals</t>
  </si>
  <si>
    <t>LA215874</t>
  </si>
  <si>
    <t>2180-17-0042-1</t>
  </si>
  <si>
    <t>2180-17-0047-1</t>
  </si>
  <si>
    <t>IN006170-B</t>
  </si>
  <si>
    <t>IN006280</t>
  </si>
  <si>
    <t>2180-17-0048-1</t>
  </si>
  <si>
    <t>6yd FEL Steel Commercial Containers</t>
  </si>
  <si>
    <t>2180-17-0010-1</t>
  </si>
  <si>
    <t xml:space="preserve">3BPDLJ0X7JF187087 </t>
  </si>
  <si>
    <t>C54977K</t>
  </si>
  <si>
    <t>WA Dept of Licensing</t>
  </si>
  <si>
    <t>License for New FEL Peterbilt</t>
  </si>
  <si>
    <t>WA Dept of Trans</t>
  </si>
  <si>
    <t>Permit for New ASL Peterbilt</t>
  </si>
  <si>
    <t>Permit for New FEL Peterbilt</t>
  </si>
  <si>
    <t>2180-17-0043-1</t>
  </si>
  <si>
    <t>95gal Yard Waste Carts</t>
  </si>
  <si>
    <t>IN006280-B</t>
  </si>
  <si>
    <t>6yd FEL Steel Containers</t>
  </si>
  <si>
    <t>IN006280-A</t>
  </si>
  <si>
    <t>6yf FEL Steel Commercial Containers</t>
  </si>
  <si>
    <t>2111-11-0002-1</t>
  </si>
  <si>
    <t>Neway</t>
  </si>
  <si>
    <t>3BPZL70XXCF154760</t>
  </si>
  <si>
    <t>P472897</t>
  </si>
  <si>
    <t>2180-17-0022-1</t>
  </si>
  <si>
    <t>neway</t>
  </si>
  <si>
    <t>2NP3LJ0X2JM472897</t>
  </si>
  <si>
    <t>Heavy Duty Tablet for REL Freightliner Heil 20yd</t>
  </si>
  <si>
    <t>System  Fees for REL Freightliner Heil 20yd</t>
  </si>
  <si>
    <t>Radio for FEL Freightliner Heil 20yd</t>
  </si>
  <si>
    <t>IN006280-C</t>
  </si>
  <si>
    <t>IN006282-A</t>
  </si>
  <si>
    <t>2180-17-0049-1</t>
  </si>
  <si>
    <t>30yd Roll Off Boxes w/ Lid</t>
  </si>
  <si>
    <t>IN006282-G</t>
  </si>
  <si>
    <t>40yd Roll Off Boxes w/Lid</t>
  </si>
  <si>
    <t>P197520</t>
  </si>
  <si>
    <t>2180-17-0016-1</t>
  </si>
  <si>
    <t>3BPDLJ0X1JF197520</t>
  </si>
  <si>
    <t>2180-17-0020-1</t>
  </si>
  <si>
    <t>JALB4W176G7F00341</t>
  </si>
  <si>
    <t>Large Trk Decals for REL Freightliner Heil 20yd</t>
  </si>
  <si>
    <t>P197515</t>
  </si>
  <si>
    <t>2180-17-0012-1</t>
  </si>
  <si>
    <t>3BPDLJ0X8JF197515</t>
  </si>
  <si>
    <t>P197519</t>
  </si>
  <si>
    <t>2180-17-0015-1</t>
  </si>
  <si>
    <t>3BPDLJ0X5JF197519</t>
  </si>
  <si>
    <t>P472896</t>
  </si>
  <si>
    <t>2180-17-0018-1</t>
  </si>
  <si>
    <t>2NP3LJ0X0JM472896</t>
  </si>
  <si>
    <t>P161171</t>
  </si>
  <si>
    <t>2180-17-0044-1</t>
  </si>
  <si>
    <t>3BPDL70X5JF161171</t>
  </si>
  <si>
    <t>P161170</t>
  </si>
  <si>
    <t>2180-17-0045-1</t>
  </si>
  <si>
    <t>3BPDL70X3JF161170</t>
  </si>
  <si>
    <t>P482491</t>
  </si>
  <si>
    <t>2180-17-0046-1</t>
  </si>
  <si>
    <t>1NPCX4EX7JD482491</t>
  </si>
  <si>
    <t>2180-17-0051-1</t>
  </si>
  <si>
    <t>2180-17-0051-2</t>
  </si>
  <si>
    <t>95gals Recycle Carts</t>
  </si>
  <si>
    <t>IN006314</t>
  </si>
  <si>
    <t>2180-17-0050-1</t>
  </si>
  <si>
    <t>1yd REL Steel Commercial Containers</t>
  </si>
  <si>
    <t>2180-17-0053-1</t>
  </si>
  <si>
    <t>LA219023R</t>
  </si>
  <si>
    <t>2180-17-0052-1</t>
  </si>
  <si>
    <t>4 yd Fel Plastic Containers</t>
  </si>
  <si>
    <t>IN006282-F</t>
  </si>
  <si>
    <t>IN006282-B</t>
  </si>
  <si>
    <t>30 yd Roll Off Boxes w/Lid</t>
  </si>
  <si>
    <t>IN006282</t>
  </si>
  <si>
    <t>2180-18-0027-1</t>
  </si>
  <si>
    <t>2180-18-0028-1</t>
  </si>
  <si>
    <t>2180-18-0029-1</t>
  </si>
  <si>
    <t>2180-18-0037-1</t>
  </si>
  <si>
    <t>2180-18-0040-1</t>
  </si>
  <si>
    <t>REL Steel Containers 2yd</t>
  </si>
  <si>
    <t>2180-18-0039-1</t>
  </si>
  <si>
    <t>REL Steel Containers 1.5yd</t>
  </si>
  <si>
    <t>2180-18-0038-1</t>
  </si>
  <si>
    <t>REL Steel Containers 1yd</t>
  </si>
  <si>
    <t>LA221704</t>
  </si>
  <si>
    <t>2180-18-0036-1</t>
  </si>
  <si>
    <t>FEL Plastic Containers 4yd</t>
  </si>
  <si>
    <t>LA221703</t>
  </si>
  <si>
    <t>2180-18-0035-1</t>
  </si>
  <si>
    <t>WASTEQUIP TOTER</t>
  </si>
  <si>
    <t>FEL PLastic Containers 3yd</t>
  </si>
  <si>
    <t>2180-18-0034-1</t>
  </si>
  <si>
    <t>FEL Plastic Containers 2yd</t>
  </si>
  <si>
    <t>2180-18-0041-1</t>
  </si>
  <si>
    <t>2180-18-0009-1</t>
  </si>
  <si>
    <t>ford</t>
  </si>
  <si>
    <t>1FTBW3XG8JKA79435</t>
  </si>
  <si>
    <t>MPX9502</t>
  </si>
  <si>
    <t>2180-18-0043-1</t>
  </si>
  <si>
    <t>Laptop for OM</t>
  </si>
  <si>
    <t>2180-18-0044-1</t>
  </si>
  <si>
    <t>2180-18-0045-1</t>
  </si>
  <si>
    <t>2180-18-0004-1</t>
  </si>
  <si>
    <t>2NP3XJ0X6KM272756</t>
  </si>
  <si>
    <t>2180-18-0005-1</t>
  </si>
  <si>
    <t>2NP3XJ0X8KM272757</t>
  </si>
  <si>
    <t>2180-18-0046-1</t>
  </si>
  <si>
    <t>GRAINGER</t>
  </si>
  <si>
    <t>SQ  SIGN CONNECTION</t>
  </si>
  <si>
    <t>2180-18-0006-1</t>
  </si>
  <si>
    <t>U02-2149-009, 010</t>
  </si>
  <si>
    <t>Wasteline Containers</t>
  </si>
  <si>
    <t>10 Yd Open Top Containers</t>
  </si>
  <si>
    <t>2NP3XJ0XXKM272758</t>
  </si>
  <si>
    <t>2180-18-0026-1</t>
  </si>
  <si>
    <t>2NP3XJ0X9KM273500</t>
  </si>
  <si>
    <t>Lakewood Ford</t>
  </si>
  <si>
    <t>2180-18-0013-1</t>
  </si>
  <si>
    <t>3BPDL70X9KF103260</t>
  </si>
  <si>
    <t>2180-18-0015-1</t>
  </si>
  <si>
    <t>3BPDL70X2KF103262</t>
  </si>
  <si>
    <t>2180-18-0016-1</t>
  </si>
  <si>
    <t>3BPDL70X4KF103263</t>
  </si>
  <si>
    <t>2180-18-0020-1</t>
  </si>
  <si>
    <t>3BPDL70X6KF103264</t>
  </si>
  <si>
    <t>2180-18-0051-1</t>
  </si>
  <si>
    <t>2180-18-0052-1</t>
  </si>
  <si>
    <t>REL Steel Container 4yd</t>
  </si>
  <si>
    <t>2180-18-0048-1</t>
  </si>
  <si>
    <t>19474CJ</t>
  </si>
  <si>
    <t>ALICIA B JENNINGS</t>
  </si>
  <si>
    <t>2180-18-0052-2</t>
  </si>
  <si>
    <t>2180-18-0048-2</t>
  </si>
  <si>
    <t>2180-18-0047-1</t>
  </si>
  <si>
    <t>2180-18-0012-1</t>
  </si>
  <si>
    <t>3BPDL70X2KF103259</t>
  </si>
  <si>
    <t>Wastequip</t>
  </si>
  <si>
    <t>2180-18-0031-1</t>
  </si>
  <si>
    <t>3BPDL70X8KF104030</t>
  </si>
  <si>
    <t>2180-18-0032-1</t>
  </si>
  <si>
    <t>3BPDL70XXKF104031</t>
  </si>
  <si>
    <t>2180-18-0053-1</t>
  </si>
  <si>
    <t>LA226144</t>
  </si>
  <si>
    <t>2180-18-0055-1</t>
  </si>
  <si>
    <t>2180-18-0024-1</t>
  </si>
  <si>
    <t>3BPDL70X6KF104012</t>
  </si>
  <si>
    <t>2180-18-0030-1</t>
  </si>
  <si>
    <t>3BPDL70X1KF104029</t>
  </si>
  <si>
    <t>2180-18-0023-1</t>
  </si>
  <si>
    <t>3BPDL70X4KF104011</t>
  </si>
  <si>
    <t>2180-18-0057-5</t>
  </si>
  <si>
    <t>2180-18-0048-3</t>
  </si>
  <si>
    <t>2180-18-0057-7</t>
  </si>
  <si>
    <t>2180-18-0059-1</t>
  </si>
  <si>
    <t>W 29945</t>
  </si>
  <si>
    <t>2180-18-0056-1</t>
  </si>
  <si>
    <t>DIRKS TRUCK REPAIR</t>
  </si>
  <si>
    <t>2180-18-0014-1</t>
  </si>
  <si>
    <t>3BPDL70X0KF103261</t>
  </si>
  <si>
    <t>QBX4611</t>
  </si>
  <si>
    <t>2180-18-0058-1</t>
  </si>
  <si>
    <t>Pertbilt</t>
  </si>
  <si>
    <t>2180-18-0057-6</t>
  </si>
  <si>
    <t>2180-18-0060-2</t>
  </si>
  <si>
    <t>2180-18-0060-1</t>
  </si>
  <si>
    <t>2180-18-0057-3</t>
  </si>
  <si>
    <t>2180-18-0057-1</t>
  </si>
  <si>
    <t>2180-18-0057-9</t>
  </si>
  <si>
    <t>2180-18-0057-8</t>
  </si>
  <si>
    <t>2180-18-0057-4</t>
  </si>
  <si>
    <t>2180-18-0033-1</t>
  </si>
  <si>
    <t>Wittke</t>
  </si>
  <si>
    <t>3BPDL70XXKF104028</t>
  </si>
  <si>
    <t>2180-18-0057-2</t>
  </si>
  <si>
    <t>1.5 YD Rel Commercial Containers</t>
  </si>
  <si>
    <t>40 Rolloff Boxes</t>
  </si>
  <si>
    <t>I1800576</t>
  </si>
  <si>
    <t>2180-18-0054-1</t>
  </si>
  <si>
    <t>PLANLED INC</t>
  </si>
  <si>
    <t>Shop Lighting Project-lights</t>
  </si>
  <si>
    <t>LA226824R</t>
  </si>
  <si>
    <t>QTN6098</t>
  </si>
  <si>
    <t>2180-19-0031-1</t>
  </si>
  <si>
    <t>KEITHLY ELECTRIC COMPANY</t>
  </si>
  <si>
    <t>Shop lighting project</t>
  </si>
  <si>
    <t>2180-19-0030-1</t>
  </si>
  <si>
    <t>Toter Llc</t>
  </si>
  <si>
    <t>2180-19-0030-2</t>
  </si>
  <si>
    <t>2180-19-0030-4</t>
  </si>
  <si>
    <t>City of Tacoma</t>
  </si>
  <si>
    <t>2180-19-0030-3</t>
  </si>
  <si>
    <t>0036176-IN</t>
  </si>
  <si>
    <t>2180-19-0033-1</t>
  </si>
  <si>
    <t>2yd REL Commercial Containers</t>
  </si>
  <si>
    <t>2180-19-0033-2</t>
  </si>
  <si>
    <t>2yd FEL Commercial Containers</t>
  </si>
  <si>
    <t>2180-19-0033-3</t>
  </si>
  <si>
    <t>3yd FEL Commercial Containers</t>
  </si>
  <si>
    <t>2180-19-0033-4</t>
  </si>
  <si>
    <t>4yd FEL Commercial Containers</t>
  </si>
  <si>
    <t>2180-19-0033-5</t>
  </si>
  <si>
    <t>2180-19-0036-1</t>
  </si>
  <si>
    <t>64 Gal Recycle Totes with freight order #65603545</t>
  </si>
  <si>
    <t>2180-19-0036-2</t>
  </si>
  <si>
    <t>2180-19-0035-1</t>
  </si>
  <si>
    <t>2180-19-0035-2</t>
  </si>
  <si>
    <t>2180-19-0038-1</t>
  </si>
  <si>
    <t>2180-19-0040-1</t>
  </si>
  <si>
    <t>2180-19-0039-1</t>
  </si>
  <si>
    <t>2180-19-0035-3</t>
  </si>
  <si>
    <t>2180-19-0005-1</t>
  </si>
  <si>
    <t>3BPDL70X7KF104794</t>
  </si>
  <si>
    <t>2180-19-0006-1</t>
  </si>
  <si>
    <t>3BPDL70X9KF104795</t>
  </si>
  <si>
    <t>2019 FEL Peterbilt / Labrie 40yd</t>
  </si>
  <si>
    <t>2180-19-0037-1</t>
  </si>
  <si>
    <t>B&amp;H Photo</t>
  </si>
  <si>
    <t>(6) Edgeswitches and NBeam for Camera system</t>
  </si>
  <si>
    <t>TMT3897</t>
  </si>
  <si>
    <t>2180-19-0043-1</t>
  </si>
  <si>
    <t>NW SECURITY AND CONSTRUCT</t>
  </si>
  <si>
    <t>INSTALL THE NANO AND CAMERA ON THE POLES</t>
  </si>
  <si>
    <t>2180-19-0001</t>
  </si>
  <si>
    <t>3BPDL70X8KF106280</t>
  </si>
  <si>
    <t>2019 Peterbilt ASL Truck</t>
  </si>
  <si>
    <t>2180-19-0037</t>
  </si>
  <si>
    <t>Camera System Upgrade</t>
  </si>
  <si>
    <t>2180-19-0001-1</t>
  </si>
  <si>
    <t>LARSEN SIGN CO</t>
  </si>
  <si>
    <t>Decals for New FEL Peterbilt</t>
  </si>
  <si>
    <t>IN  GOODDESIGN LLC</t>
  </si>
  <si>
    <t>2180-19-0049-1</t>
  </si>
  <si>
    <t>Non-Container Audit</t>
  </si>
  <si>
    <t>2180-19-0049-3</t>
  </si>
  <si>
    <t>2180-19-0049-4</t>
  </si>
  <si>
    <t>95 Gallon Recycle Totes</t>
  </si>
  <si>
    <t>2180-19-0049-5</t>
  </si>
  <si>
    <t>95 Gallon YW Totes</t>
  </si>
  <si>
    <t>2019 Peterbilt ASL Truck- Body</t>
  </si>
  <si>
    <t>2180-19-0006</t>
  </si>
  <si>
    <t>Decals for New FEL Truck</t>
  </si>
  <si>
    <t>1H9CC53474T347063</t>
  </si>
  <si>
    <t>0036766-IN</t>
  </si>
  <si>
    <t>2180-19-0041-1</t>
  </si>
  <si>
    <t>1Yd REL Metal Containers</t>
  </si>
  <si>
    <t>2180-19-0041-2</t>
  </si>
  <si>
    <t>2Yd REL Metal Containers</t>
  </si>
  <si>
    <t>2180-19-0041-3</t>
  </si>
  <si>
    <t>4Yd FEL Metal Containers</t>
  </si>
  <si>
    <t>2180-19-0041-4</t>
  </si>
  <si>
    <t>6Yd FEL Metal Containers</t>
  </si>
  <si>
    <t>0036767-IN</t>
  </si>
  <si>
    <t>2180-19-0050-1</t>
  </si>
  <si>
    <t>2180-19-0050-2</t>
  </si>
  <si>
    <t>1.5Yd REL Metal Containers</t>
  </si>
  <si>
    <t>2180-19-0050-3</t>
  </si>
  <si>
    <t>2180-19-0050-4</t>
  </si>
  <si>
    <t>2180-19-0050-5</t>
  </si>
  <si>
    <t>2180-19-0003</t>
  </si>
  <si>
    <t>3BPDLK0X4LF107320</t>
  </si>
  <si>
    <t>2180-19-0011</t>
  </si>
  <si>
    <t>AA welding</t>
  </si>
  <si>
    <t>1NPCX4EXXKD627976</t>
  </si>
  <si>
    <t>2019 Peterbilt ROL Truck</t>
  </si>
  <si>
    <t>2180-19-0051-1</t>
  </si>
  <si>
    <t>20YD Rolloff Boxes</t>
  </si>
  <si>
    <t>2180-19-0051-2</t>
  </si>
  <si>
    <t>40YD Rolloff Boxes</t>
  </si>
  <si>
    <t>2180-19-0002</t>
  </si>
  <si>
    <t>Labrie</t>
  </si>
  <si>
    <t>3BPDLK0X9LF107426</t>
  </si>
  <si>
    <t>2180-19-0004</t>
  </si>
  <si>
    <t>3BPDLK0X4LF107429</t>
  </si>
  <si>
    <t>2180-19-0008</t>
  </si>
  <si>
    <t>3BPDLK0X9LF107958</t>
  </si>
  <si>
    <t>2180-19-0010</t>
  </si>
  <si>
    <t>1NPCX4EX2LD636446</t>
  </si>
  <si>
    <t>2020 Peterbilt ROL Truck</t>
  </si>
  <si>
    <t>2180-19-0029</t>
  </si>
  <si>
    <t>3BPDLK0X0LF107959</t>
  </si>
  <si>
    <t>2180-19-0049-2</t>
  </si>
  <si>
    <t>2180-19-0003-1</t>
  </si>
  <si>
    <t>2180-19-0004-1</t>
  </si>
  <si>
    <t>2180-19-0008-1</t>
  </si>
  <si>
    <t>2180-19-0011-1</t>
  </si>
  <si>
    <t>2180-19-0029-1</t>
  </si>
  <si>
    <t>L0088385291</t>
  </si>
  <si>
    <t>DOL</t>
  </si>
  <si>
    <t>WA DOL LIC &amp; REG 31150</t>
  </si>
  <si>
    <t>L0089521132</t>
  </si>
  <si>
    <t>2180-20-0042-2</t>
  </si>
  <si>
    <t>2180-20-0042-3</t>
  </si>
  <si>
    <t>2180-20-0042-4</t>
  </si>
  <si>
    <t>95 Gallon RC Carts</t>
  </si>
  <si>
    <t>2180-20-0035</t>
  </si>
  <si>
    <t>3BPDLK0XXLF108424</t>
  </si>
  <si>
    <t>2180-20-0035-1</t>
  </si>
  <si>
    <t>WTM8489</t>
  </si>
  <si>
    <t>2180-20-0044-1</t>
  </si>
  <si>
    <t>WWC5820</t>
  </si>
  <si>
    <t>2180-20-0049-1</t>
  </si>
  <si>
    <t>HP SB ProBook 650 Serial- 5CG9519HRZ</t>
  </si>
  <si>
    <t>New AC Laptop  UPS Next Day Air</t>
  </si>
  <si>
    <t>WTD8195</t>
  </si>
  <si>
    <t>2180-20-0052-1</t>
  </si>
  <si>
    <t>2180-20-0042-1</t>
  </si>
  <si>
    <t>2180-20-0053-1</t>
  </si>
  <si>
    <t>XND0758</t>
  </si>
  <si>
    <t>2180-20-0048-1</t>
  </si>
  <si>
    <t>2180-20-0036</t>
  </si>
  <si>
    <t>2NP3XJ0X5MM737160</t>
  </si>
  <si>
    <t>INV-001072</t>
  </si>
  <si>
    <t>Routeware-Tablet</t>
  </si>
  <si>
    <t>2180-20-0053-2</t>
  </si>
  <si>
    <t>2180-20-0053-3</t>
  </si>
  <si>
    <t>95 Gallon Recylce Carts</t>
  </si>
  <si>
    <t>2180-20-0054-1</t>
  </si>
  <si>
    <t>95 Gallon Yarde Waste Carts</t>
  </si>
  <si>
    <t>95 Gallon Yardwaste Carts</t>
  </si>
  <si>
    <t>2180-20-0029</t>
  </si>
  <si>
    <t>3BPDLK0X6LF107951</t>
  </si>
  <si>
    <t>2180-20-0036-1</t>
  </si>
  <si>
    <t>Decals for a New Roll OffTruck #4090</t>
  </si>
  <si>
    <t>2180-20-0043-1</t>
  </si>
  <si>
    <t>2180-20-0030</t>
  </si>
  <si>
    <t>3BPDLK0X1LF108411</t>
  </si>
  <si>
    <t>2180-20-0031</t>
  </si>
  <si>
    <t>3BPDLK0X5LF108413</t>
  </si>
  <si>
    <t>2180-20-0032</t>
  </si>
  <si>
    <t>3BPDLK0X5LF107956</t>
  </si>
  <si>
    <t>2180-20-0033</t>
  </si>
  <si>
    <t>Automated sideload</t>
  </si>
  <si>
    <t>3BPDLK0X7LF107957</t>
  </si>
  <si>
    <t>2180-20-0037</t>
  </si>
  <si>
    <t>2NP3XJ0X7MM737161</t>
  </si>
  <si>
    <t>2180-20-0029-1</t>
  </si>
  <si>
    <t>2180-20-0030-1</t>
  </si>
  <si>
    <t>2180-20-0031-1</t>
  </si>
  <si>
    <t>2180-20-0032-1</t>
  </si>
  <si>
    <t>2180-20-0033-1</t>
  </si>
  <si>
    <t>2180-20-0037-1</t>
  </si>
  <si>
    <t>Lettering for New Roll Off Truck</t>
  </si>
  <si>
    <t>2180-20-0034</t>
  </si>
  <si>
    <t>3BPDLK0X3LF107955</t>
  </si>
  <si>
    <t>2180-20-0040</t>
  </si>
  <si>
    <t>2NP3XJ0X9MM737162</t>
  </si>
  <si>
    <t>Trk #3706 Licensing Fees</t>
  </si>
  <si>
    <t>Trk #3707 Licensing Fees</t>
  </si>
  <si>
    <t>2180-20-0056-1</t>
  </si>
  <si>
    <t>65 G MSW  Forest Green Carts</t>
  </si>
  <si>
    <t>2180-20-0056-4</t>
  </si>
  <si>
    <t>3709 Licensing</t>
  </si>
  <si>
    <t>3710 Licensing</t>
  </si>
  <si>
    <t>2180-20-0056-2</t>
  </si>
  <si>
    <t>95 Gallon Forest Green  MSW Carts</t>
  </si>
  <si>
    <t>2180-20-0056-3</t>
  </si>
  <si>
    <t>2180-20-0057-1</t>
  </si>
  <si>
    <t>65 Gallon MSW  Carts Forest Green</t>
  </si>
  <si>
    <t>2180-20-0057-2</t>
  </si>
  <si>
    <t>2180-20-0057-3</t>
  </si>
  <si>
    <t>95 Gallon Yard Waste  Carts Aqua Blue</t>
  </si>
  <si>
    <t>2180-20-0057-4</t>
  </si>
  <si>
    <t>SI-1175170</t>
  </si>
  <si>
    <t>2180-20-0059-1</t>
  </si>
  <si>
    <t>PROCLIPUSA</t>
  </si>
  <si>
    <t>2180-20-0038</t>
  </si>
  <si>
    <t>Newway</t>
  </si>
  <si>
    <t>3BPDLK0X5LF109447</t>
  </si>
  <si>
    <t>2180-20-0039</t>
  </si>
  <si>
    <t>3BPDLK0X3LF109446</t>
  </si>
  <si>
    <t>2180-20-0041</t>
  </si>
  <si>
    <t>2NP3XJ0X0MM737163</t>
  </si>
  <si>
    <t>2180-20-0060-1</t>
  </si>
  <si>
    <t>Winterm (Serial # 9KNXR33)</t>
  </si>
  <si>
    <t>Winterm (Serial # 9K2YR33)</t>
  </si>
  <si>
    <t>Winterm (Serial # 9FZWR33)</t>
  </si>
  <si>
    <t>2180-20-0058-1</t>
  </si>
  <si>
    <t>ASSURED TELEMATICS INC</t>
  </si>
  <si>
    <t>2180-20-0062-1</t>
  </si>
  <si>
    <t>Lytx, Inc.</t>
  </si>
  <si>
    <t>2180-20-0047</t>
  </si>
  <si>
    <t>1NPCX4EX3MD730319</t>
  </si>
  <si>
    <t>2020 Peterbilt REL Truck- Body</t>
  </si>
  <si>
    <t>LO118048410</t>
  </si>
  <si>
    <t>2180-20-0039-1</t>
  </si>
  <si>
    <t>Dept of Licensing</t>
  </si>
  <si>
    <t>Truck#1090 Licensing</t>
  </si>
  <si>
    <t>2180-20-0041-1</t>
  </si>
  <si>
    <t>Truck#4094 Licensing</t>
  </si>
  <si>
    <t>2180-20-0055-2</t>
  </si>
  <si>
    <t>2180-20-0045</t>
  </si>
  <si>
    <t>3BPDLK0X2LF108417</t>
  </si>
  <si>
    <t>2180-20-0046</t>
  </si>
  <si>
    <t>3BPDLK0X4LF108418</t>
  </si>
  <si>
    <t>2180-20-0055-1</t>
  </si>
  <si>
    <t>2180-20-0055-3</t>
  </si>
  <si>
    <t>COMPLETE TABLET SOLUTIONS</t>
  </si>
  <si>
    <t>2180-20-0038-1</t>
  </si>
  <si>
    <t>2180-20-0045-1</t>
  </si>
  <si>
    <t>x</t>
  </si>
  <si>
    <t>2180-20-0046-1</t>
  </si>
  <si>
    <t>2180-21-0008-1</t>
  </si>
  <si>
    <t>2180-21-0008-2</t>
  </si>
  <si>
    <t>2180-21-0008-3</t>
  </si>
  <si>
    <t>2180-21-0008-4</t>
  </si>
  <si>
    <t>L0122501878</t>
  </si>
  <si>
    <t>WA DOL</t>
  </si>
  <si>
    <t>2180-20-0047-1</t>
  </si>
  <si>
    <t>0038718-IN</t>
  </si>
  <si>
    <t>2180-21-0007-1</t>
  </si>
  <si>
    <t>2180-21-0007-2</t>
  </si>
  <si>
    <t>2180-21-0007-3</t>
  </si>
  <si>
    <t>2180-21-0007-4</t>
  </si>
  <si>
    <t>2180-21-0007-5</t>
  </si>
  <si>
    <t>Bucket Loader</t>
  </si>
  <si>
    <t>KAMATSU</t>
  </si>
  <si>
    <t>A25128</t>
  </si>
  <si>
    <t>2186-8-0003-1</t>
  </si>
  <si>
    <t>2187-14-0004-1</t>
  </si>
  <si>
    <t>114-9786367-2380222</t>
  </si>
  <si>
    <t>2180-21-0009-1</t>
  </si>
  <si>
    <t>Amazon</t>
  </si>
  <si>
    <t>D181872</t>
  </si>
  <si>
    <t>D272639</t>
  </si>
  <si>
    <t>2180-21-0012-1</t>
  </si>
  <si>
    <t>112-6448229-6136252</t>
  </si>
  <si>
    <t>2180-21-0010-1</t>
  </si>
  <si>
    <t>IMPACTPLAST</t>
  </si>
  <si>
    <t>D414028</t>
  </si>
  <si>
    <t>2180-21-0013-1</t>
  </si>
  <si>
    <t>2180-21-0002</t>
  </si>
  <si>
    <t>1FTMF1CB8MKD87832</t>
  </si>
  <si>
    <t>2180-21-0015-2</t>
  </si>
  <si>
    <t>2180-21-0015-1</t>
  </si>
  <si>
    <t>2180-21-0015-3</t>
  </si>
  <si>
    <t>2180-21-0010-3</t>
  </si>
  <si>
    <t>2180-21-0011-4</t>
  </si>
  <si>
    <t>6 YD FEL Container</t>
  </si>
  <si>
    <t>2180-21-0010-2</t>
  </si>
  <si>
    <t>2180-21-0011-1</t>
  </si>
  <si>
    <t>2 YD REL Container</t>
  </si>
  <si>
    <t>2180-21-0011-2</t>
  </si>
  <si>
    <t>2 YD FEL Container</t>
  </si>
  <si>
    <t>2yd FEL Commerial Container</t>
  </si>
  <si>
    <t>2180-21-0011-3</t>
  </si>
  <si>
    <t>4 YD FEL Container</t>
  </si>
  <si>
    <t>4 yd FEL Commerial Container</t>
  </si>
  <si>
    <t>4yd FEL Commerial Container</t>
  </si>
  <si>
    <t>6yd FEL Commercial Container</t>
  </si>
  <si>
    <t>6yd FEL Commerial Container</t>
  </si>
  <si>
    <t>L262072</t>
  </si>
  <si>
    <t>2180-21-0017-1</t>
  </si>
  <si>
    <t>CDW DIR #PO  2180-21-0</t>
  </si>
  <si>
    <t>HP Probook S/N #5CD1321QPW</t>
  </si>
  <si>
    <t>AMZN MKTP US 278LK3UZ0</t>
  </si>
  <si>
    <t>Docking station for new laptop Serial #AH5KHKDB35401235</t>
  </si>
  <si>
    <t>30 yd Roll Off Boxes</t>
  </si>
  <si>
    <t>1010-21-0038</t>
  </si>
  <si>
    <t>Drive Cam Units</t>
  </si>
  <si>
    <t>N670677</t>
  </si>
  <si>
    <t>2180-21-0018-1</t>
  </si>
  <si>
    <t>HP 250 G8 Serial # : CND137662V</t>
  </si>
  <si>
    <t>2180-21-0016-1</t>
  </si>
  <si>
    <t>1.5 YD REL Container</t>
  </si>
  <si>
    <t>1.5y REL Metal Containers</t>
  </si>
  <si>
    <t>1.5yd REL Metal Containers</t>
  </si>
  <si>
    <t>2180-21-0016-2</t>
  </si>
  <si>
    <t>2y REL Metal Containers</t>
  </si>
  <si>
    <t>1010-21-0039</t>
  </si>
  <si>
    <t>3rd Eye Camera</t>
  </si>
  <si>
    <t>3rd Eye Camera -Cables</t>
  </si>
  <si>
    <t>3rd Eye Camera - installs</t>
  </si>
  <si>
    <t>3rd Eye Camera - Credit</t>
  </si>
  <si>
    <t>Beg Depr</t>
  </si>
  <si>
    <t>Seq</t>
  </si>
  <si>
    <t>Dbase</t>
  </si>
  <si>
    <t>Beg Date</t>
  </si>
  <si>
    <t>Depr Meth</t>
  </si>
  <si>
    <t>Activity Cd</t>
  </si>
  <si>
    <t>Book</t>
  </si>
  <si>
    <t>Company Asset #</t>
  </si>
  <si>
    <t>Invoice #</t>
  </si>
  <si>
    <t>Former Company</t>
  </si>
  <si>
    <t>Acq Type</t>
  </si>
  <si>
    <t>Current Depr</t>
  </si>
  <si>
    <t>Expense Account</t>
  </si>
  <si>
    <t>Accum YTD</t>
  </si>
  <si>
    <t>NBV</t>
  </si>
  <si>
    <t>Accum Life to Date</t>
  </si>
  <si>
    <t>Accum Account</t>
  </si>
  <si>
    <t>Asset Account</t>
  </si>
  <si>
    <t>Useful Life</t>
  </si>
  <si>
    <t>CER #</t>
  </si>
  <si>
    <t>Acq Date</t>
  </si>
  <si>
    <t>In Service Date</t>
  </si>
  <si>
    <t>Ins Category</t>
  </si>
  <si>
    <t>Body Mfg</t>
  </si>
  <si>
    <t>Vendor/Mfg</t>
  </si>
  <si>
    <t>Model Year</t>
  </si>
  <si>
    <t>License Plate</t>
  </si>
  <si>
    <t>MFG Serial#</t>
  </si>
  <si>
    <t>Blank</t>
  </si>
  <si>
    <t>Container Count</t>
  </si>
  <si>
    <t>Descr</t>
  </si>
  <si>
    <t>Parent/ Child</t>
  </si>
  <si>
    <t>Asset #</t>
  </si>
  <si>
    <t>District</t>
  </si>
  <si>
    <t>(Not setup yet)</t>
  </si>
  <si>
    <t>Depreciated %:</t>
  </si>
  <si>
    <t>Ins Category:</t>
  </si>
  <si>
    <t>Asset #:</t>
  </si>
  <si>
    <t>Exp Acct:</t>
  </si>
  <si>
    <t>(Contains the string)</t>
  </si>
  <si>
    <t>PO Number:</t>
  </si>
  <si>
    <t>Service Date From:</t>
  </si>
  <si>
    <t>Asset Acct:</t>
  </si>
  <si>
    <t>Description:</t>
  </si>
  <si>
    <t>(F9 Aware)</t>
  </si>
  <si>
    <t>2180</t>
  </si>
  <si>
    <t>District:</t>
  </si>
  <si>
    <t>Service Date To:</t>
  </si>
  <si>
    <t>(Leave blank for all)</t>
  </si>
  <si>
    <t>Parent/Child:</t>
  </si>
  <si>
    <t>VIN:</t>
  </si>
  <si>
    <t>Ctrl + Shift + J</t>
  </si>
  <si>
    <t>2021-12</t>
  </si>
  <si>
    <t>Period:</t>
  </si>
  <si>
    <t>Jan 18 2022  2:08PM</t>
  </si>
  <si>
    <t>Data Last Updated in this Pull:</t>
  </si>
  <si>
    <t>Asset Count:</t>
  </si>
  <si>
    <t>Fixed Asset Register</t>
  </si>
  <si>
    <t>reportdrill(Invoice!C2,,pairgroup(pair("C:C",Invoice!E8),pair("",Invoice!E7,"N")),"Drill To Invoices by FAS# (Exc CIP)")</t>
  </si>
  <si>
    <t>Default Year :</t>
  </si>
  <si>
    <t>Default Month :</t>
  </si>
  <si>
    <t>BegLifeToDate</t>
  </si>
  <si>
    <t>Sequence</t>
  </si>
  <si>
    <t>LongName</t>
  </si>
  <si>
    <t>BegLsDeprDate</t>
  </si>
  <si>
    <t>DeprMethod</t>
  </si>
  <si>
    <t>ActivityCd</t>
  </si>
  <si>
    <t>CompAsstNo</t>
  </si>
  <si>
    <t>InvoiceNum</t>
  </si>
  <si>
    <t>FormerCompany</t>
  </si>
  <si>
    <t>AcqType</t>
  </si>
  <si>
    <t>CurrentPeriodDepr</t>
  </si>
  <si>
    <t>ExpenseGL</t>
  </si>
  <si>
    <t>CurrentYearToDate</t>
  </si>
  <si>
    <t>CurrentLifeToDate</t>
  </si>
  <si>
    <t>AccumulatedGL</t>
  </si>
  <si>
    <t>AcqValue</t>
  </si>
  <si>
    <t>AssetGL</t>
  </si>
  <si>
    <t>EstimatedLife</t>
  </si>
  <si>
    <t>PONumber</t>
  </si>
  <si>
    <t>AcquisitionDate</t>
  </si>
  <si>
    <t>InServiceDate</t>
  </si>
  <si>
    <t>InsuranceCategory</t>
  </si>
  <si>
    <t>BodyManuf</t>
  </si>
  <si>
    <t>VendorMfg</t>
  </si>
  <si>
    <t>ModelYear</t>
  </si>
  <si>
    <t>LicensePlate</t>
  </si>
  <si>
    <t>MFGSerialNum</t>
  </si>
  <si>
    <t>SystemNo</t>
  </si>
  <si>
    <t>Description</t>
  </si>
  <si>
    <t>ParentChild</t>
  </si>
  <si>
    <t>AssetID</t>
  </si>
  <si>
    <t>Location</t>
  </si>
  <si>
    <t>Prior Adds</t>
  </si>
  <si>
    <t>LOB From Field</t>
  </si>
  <si>
    <t>Equipment Type for Lookup</t>
  </si>
  <si>
    <t>Month</t>
  </si>
  <si>
    <t>YearPIS</t>
  </si>
  <si>
    <t>Year Fully Dep</t>
  </si>
  <si>
    <t>Year/Mo Fully Dep</t>
  </si>
  <si>
    <t>Monthly Dep</t>
  </si>
  <si>
    <t>Annual Dep</t>
  </si>
  <si>
    <t>Test Year Dep</t>
  </si>
  <si>
    <t>BOY Accum</t>
  </si>
  <si>
    <t>EOY Accum</t>
  </si>
  <si>
    <t>EOY Average Investment</t>
  </si>
  <si>
    <t>No</t>
  </si>
  <si>
    <t>Adds since 8.31.21</t>
  </si>
  <si>
    <t>Row Labels</t>
  </si>
  <si>
    <t>Grand Total</t>
  </si>
  <si>
    <t>Pre 8/31/21 Add?</t>
  </si>
  <si>
    <t>Sum of Cost</t>
  </si>
  <si>
    <t>Sum of Test Year Dep</t>
  </si>
  <si>
    <t>Sum of BOY Accum</t>
  </si>
  <si>
    <t>Sum of EOY Accum</t>
  </si>
  <si>
    <t>Sum of EOY Average Investment</t>
  </si>
  <si>
    <t>LIVE PIVOT</t>
  </si>
  <si>
    <t>ASSETS THROUGH 8.31.2021</t>
  </si>
  <si>
    <t>NEW ASSET ADDS FROM FAR (9.1.2021 and Beyond)</t>
  </si>
  <si>
    <t>+</t>
  </si>
  <si>
    <t>PROFORMA ADDS</t>
  </si>
  <si>
    <t>=</t>
  </si>
  <si>
    <t>Combined Summary - This Section to Proforma</t>
  </si>
  <si>
    <t>W285355</t>
  </si>
  <si>
    <t>2180-22-0027-1</t>
  </si>
  <si>
    <t>CDW DIR #2180 WIN 10</t>
  </si>
  <si>
    <t>Dell Wyse 5070 Terminal</t>
  </si>
  <si>
    <t>2180-22-0010-1</t>
  </si>
  <si>
    <t xml:space="preserve">PACIFIC WELDING SUPPLIES </t>
  </si>
  <si>
    <t>Synchrowave 300 Welder</t>
  </si>
  <si>
    <t>2180-22-0024-2</t>
  </si>
  <si>
    <t>2180-22-0024-1</t>
  </si>
  <si>
    <t>2YD REL Containers</t>
  </si>
  <si>
    <t>W016040</t>
  </si>
  <si>
    <t>2180-22-0028-1</t>
  </si>
  <si>
    <t>CDW DIR #PO  2180-22-0</t>
  </si>
  <si>
    <t>HP ProBook 440 SN: 5CD1411JX4 w/ SAMSUNG Evo SSD</t>
  </si>
  <si>
    <t>W150062</t>
  </si>
  <si>
    <t>HP ProDesk 600 G6 (SN=MXL2093WKM)</t>
  </si>
  <si>
    <t>HP ProDesk 600 G6 (SN=MXL2093WJB)</t>
  </si>
  <si>
    <t>2180-22-0026-1</t>
  </si>
  <si>
    <t>ELMHURST UTUAL POWER &amp; LI</t>
  </si>
  <si>
    <t>Weld Shop Improvements</t>
  </si>
  <si>
    <t>4 YD Commercial Customers ($100 each)</t>
  </si>
  <si>
    <t>3 YD Commercial Customers ($100 each)</t>
  </si>
  <si>
    <t>2 YD Commercial Customers ($100 each)</t>
  </si>
  <si>
    <t>1 YD Commercial Customers ($100 each)</t>
  </si>
  <si>
    <t>3299550-00</t>
  </si>
  <si>
    <t>2180-22-0025-1</t>
  </si>
  <si>
    <t>NW PUMP &amp;EQUIPMENT</t>
  </si>
  <si>
    <t>New Fuel Cloud Kiosk/System Install</t>
  </si>
  <si>
    <t>New Electrical Restructuring for Weld Shop</t>
  </si>
  <si>
    <t>2180-22-0023-3</t>
  </si>
  <si>
    <t>95G Recycle Carts</t>
  </si>
  <si>
    <t>2180-22-0023-2</t>
  </si>
  <si>
    <t>95G YW Carts</t>
  </si>
  <si>
    <t>2180-22-0023-1</t>
  </si>
  <si>
    <t>95G MSW Carts</t>
  </si>
  <si>
    <t>95G Rec Carts</t>
  </si>
  <si>
    <t>3294174-00</t>
  </si>
  <si>
    <t>NORTHWEST PUMP</t>
  </si>
  <si>
    <t>4103594 - B</t>
  </si>
  <si>
    <t>2180-22-0022-1</t>
  </si>
  <si>
    <t>SOLID WASTE SYSTEMS</t>
  </si>
  <si>
    <t>JALE5W16XN7304897</t>
  </si>
  <si>
    <t>2022 Isuzu Retriever Truck - Body - Rollover 2180-21-0020</t>
  </si>
  <si>
    <t>Decals for New Isuzu Retriever 8 YD</t>
  </si>
  <si>
    <t>4103594 - A</t>
  </si>
  <si>
    <t>2180-21-0020-1</t>
  </si>
  <si>
    <t>2022 Isuzu NRR Retriever Chassis 8YD</t>
  </si>
  <si>
    <t>6 YD Commercial Customers ($100 each)</t>
  </si>
  <si>
    <t>TOTAL CAPITAL</t>
  </si>
  <si>
    <t>End of List (save and re-pull for at least 5 more rows)</t>
  </si>
  <si>
    <t/>
  </si>
  <si>
    <t>Current Mini trucks are on full routes operating daily, Additional Mini truck is needed to continue operations if a truck is down and needs repair. This was approved in budget 2021 but is estimated to be completed in March of 2022.</t>
  </si>
  <si>
    <t>New Trucks</t>
  </si>
  <si>
    <t xml:space="preserve">New Isuzu Retriever 8 YD </t>
  </si>
  <si>
    <t>0022-1</t>
  </si>
  <si>
    <t xml:space="preserve">Replace 32 year old  Roscoe sweeper to meet strict monitoring of C &amp; D MRF and transfer station requirements. </t>
  </si>
  <si>
    <t>R</t>
  </si>
  <si>
    <t>Heavy Equipment Non-E&amp;P</t>
  </si>
  <si>
    <t>Used Parking Lot Sweeper</t>
  </si>
  <si>
    <t>0020-1</t>
  </si>
  <si>
    <t xml:space="preserve">Weld Shop air compressor/ install/plumbing. </t>
  </si>
  <si>
    <t>Air Compressor (Weld Shop)</t>
  </si>
  <si>
    <t>0019-1</t>
  </si>
  <si>
    <t xml:space="preserve">Replacement of Truck #1052, 2007 Inernational Mcneilus with 223,000 miles.  Body of truck is leaking with the cab rotting around byfold doors. Engine has a blown head and needs a new turbo. </t>
  </si>
  <si>
    <t>Rear Load</t>
  </si>
  <si>
    <t xml:space="preserve">New REL Peterbilt / New Way 25 Yd </t>
  </si>
  <si>
    <t>0018-1</t>
  </si>
  <si>
    <t xml:space="preserve">Replacement of Truck #2039,  Autocar automizer with "50,000" miles, mileage is inaccurate due to electical failings. Body is aging and leaks regularly.  </t>
  </si>
  <si>
    <t>Front Load</t>
  </si>
  <si>
    <t xml:space="preserve">New FEL Peterbilt / Wittke 40 Yd </t>
  </si>
  <si>
    <t>0017-1</t>
  </si>
  <si>
    <t xml:space="preserve">Replacement of Truck #3618, 2007 Peterbilt Curbtender with 186,000 miles. </t>
  </si>
  <si>
    <t>Automated</t>
  </si>
  <si>
    <t xml:space="preserve">New ASL Peterbilt / Labrie 31 Yd </t>
  </si>
  <si>
    <t>0015-1</t>
  </si>
  <si>
    <t xml:space="preserve">Replacement of Truck #3617, 2007 Peterbilt Curbtender with 202,000 miles. </t>
  </si>
  <si>
    <t>0014-1</t>
  </si>
  <si>
    <t xml:space="preserve">Replacement of Truck #3616, 2007 Peterbilt Curbtender with 162,000 miles. </t>
  </si>
  <si>
    <t>0013-1</t>
  </si>
  <si>
    <t xml:space="preserve">New Truck to support continued residential  growth currently at 5% a  year </t>
  </si>
  <si>
    <t>0012-1</t>
  </si>
  <si>
    <t xml:space="preserve">Replace Hitachi EX50URG #7407 with 805 HRS. Grey market machine, parts need to be custom made.  Current spare will not pack a load. Current front line will become spare. </t>
  </si>
  <si>
    <t>New CAT 315  Excavator</t>
  </si>
  <si>
    <t>0011-1</t>
  </si>
  <si>
    <t>Welders &amp; Plasma Cutters (12) for weld shop.</t>
  </si>
  <si>
    <t>Welders &amp; Plasma Cutters (6) (Weld Shop)</t>
  </si>
  <si>
    <t>0010-1</t>
  </si>
  <si>
    <t>For new leased weld shop</t>
  </si>
  <si>
    <t>New Fork Lift</t>
  </si>
  <si>
    <t>0007-1</t>
  </si>
  <si>
    <t>Replace 1989 Bobcat Skid Steer #7379. 3,388 Hrs operated with a  a motor in need of repair. Volumes warrant upgrade to mini loader</t>
  </si>
  <si>
    <t>Used  Mini Loader</t>
  </si>
  <si>
    <t>0006-1</t>
  </si>
  <si>
    <t>Curent parking lot does not include enough stalls for all EE to return back to office as 2182 drivers have moved to 2180.</t>
  </si>
  <si>
    <t>Land Improvements</t>
  </si>
  <si>
    <t xml:space="preserve">PCR Parking Lot Expansion </t>
  </si>
  <si>
    <t>Parking Lot - Employee Lot</t>
  </si>
  <si>
    <t>0003-1</t>
  </si>
  <si>
    <t>Currently  operating on an obsolete 800mhz system that does not provide the necessary  range needed for our route areas. </t>
  </si>
  <si>
    <t xml:space="preserve">New Radios </t>
  </si>
  <si>
    <t>0002-1</t>
  </si>
  <si>
    <t>Average  5 year spend from 2016 to 2020 is $1,174,859.33. Carts increased in cost 30.5 % and Steel increased 26 % in the last 6 months.</t>
  </si>
  <si>
    <t>Toter – Plastic</t>
  </si>
  <si>
    <t xml:space="preserve">Containers  Various </t>
  </si>
  <si>
    <t>0001-1</t>
  </si>
  <si>
    <t>Folder/File Link</t>
  </si>
  <si>
    <t>Site Eq #</t>
  </si>
  <si>
    <t>Replacement Notes</t>
  </si>
  <si>
    <t>FAS Description</t>
  </si>
  <si>
    <t>Truck Ctr. #</t>
  </si>
  <si>
    <t>N / U</t>
  </si>
  <si>
    <t>A / R</t>
  </si>
  <si>
    <t>Life</t>
  </si>
  <si>
    <t>SubType</t>
  </si>
  <si>
    <t>Asset Type</t>
  </si>
  <si>
    <t>PO Explanation</t>
  </si>
  <si>
    <t>PO Item Description</t>
  </si>
  <si>
    <t>PO Description (Required)</t>
  </si>
  <si>
    <t>Item</t>
  </si>
  <si>
    <t>PO #</t>
  </si>
  <si>
    <t>Delete on Save</t>
  </si>
  <si>
    <t>Replacement Info</t>
  </si>
  <si>
    <t>CAPITAL DETAIL</t>
  </si>
  <si>
    <t>IMPORTANT:  Pull for a single district BEFORE inputting.  This will auto create new lines for you and prepare the page for input.</t>
  </si>
  <si>
    <t>Budget Year:</t>
  </si>
  <si>
    <t>(Only one district a time for this input page)</t>
  </si>
  <si>
    <t>Individual District:</t>
  </si>
  <si>
    <t>Report Area Below</t>
  </si>
  <si>
    <t>For Drill</t>
  </si>
  <si>
    <t>Yes</t>
  </si>
  <si>
    <t>Pull Blank Rows:</t>
  </si>
  <si>
    <t>Exclude Items:</t>
  </si>
  <si>
    <t>By Change</t>
  </si>
  <si>
    <t>CC Query Summary Level:</t>
  </si>
  <si>
    <t>A0C72E395837828CFC7B63A252CB86</t>
  </si>
  <si>
    <t>FilterHash:</t>
  </si>
  <si>
    <t>Repull?:</t>
  </si>
  <si>
    <t>Hidden Parameters &amp; Notes</t>
  </si>
  <si>
    <t>Save:</t>
  </si>
  <si>
    <t>Save</t>
  </si>
  <si>
    <t>Pull - FAS:</t>
  </si>
  <si>
    <t>FASDescription</t>
  </si>
  <si>
    <t>FASNum</t>
  </si>
  <si>
    <t>Pull - BudCap:</t>
  </si>
  <si>
    <t>Pull AssetTypeList:</t>
  </si>
  <si>
    <t>CC Query Drill:</t>
  </si>
  <si>
    <t>Clear Hash:</t>
  </si>
  <si>
    <t>Pull</t>
  </si>
  <si>
    <t>Report Formulas</t>
  </si>
  <si>
    <t>Formatting Range</t>
  </si>
  <si>
    <t>PoItemNumber</t>
  </si>
  <si>
    <t>CurrentProjectNumber_FPS</t>
  </si>
  <si>
    <t>FileLink hlink:FileLink</t>
  </si>
  <si>
    <t>EquipmentModelYear</t>
  </si>
  <si>
    <t>EquipmentNum</t>
  </si>
  <si>
    <t>ReplacementNotes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</si>
  <si>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</si>
  <si>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</si>
  <si>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</si>
  <si>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</si>
  <si>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</si>
  <si>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</si>
  <si>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</si>
  <si>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</si>
  <si>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</si>
  <si>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</si>
  <si>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</si>
  <si>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</si>
  <si>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TruckCenterNum ValueList:RequestedTruckList</t>
  </si>
  <si>
    <t>Condition</t>
  </si>
  <si>
    <t>AddReplace</t>
  </si>
  <si>
    <t>AssetSubType</t>
  </si>
  <si>
    <t>AssetType</t>
  </si>
  <si>
    <t>Explanation</t>
  </si>
  <si>
    <t>ItemDescription</t>
  </si>
  <si>
    <t>ProjectName_FPS</t>
  </si>
  <si>
    <t>PoNumber</t>
  </si>
  <si>
    <t>DeleteFlag</t>
  </si>
  <si>
    <t>ProjectNumber_FPS</t>
  </si>
  <si>
    <t>PONum_Modified</t>
  </si>
  <si>
    <t>TruckRequest#</t>
  </si>
  <si>
    <t>Column Definitions</t>
  </si>
  <si>
    <t>Rate Case Category</t>
  </si>
  <si>
    <t>Notes</t>
  </si>
  <si>
    <t>EOY A/D</t>
  </si>
  <si>
    <t>Avg Invest</t>
  </si>
  <si>
    <t>Type</t>
  </si>
  <si>
    <t>AML looked up truck # on old UTC schedule</t>
  </si>
  <si>
    <t>Shop Equipment - 10 year</t>
  </si>
  <si>
    <t>Category per Field</t>
  </si>
  <si>
    <t>Trucks Retired/Transferred During 2022</t>
  </si>
  <si>
    <t>Shared Containers</t>
  </si>
  <si>
    <t>Containers are not allocated to out to JBLM. These are for swap outs or new business</t>
  </si>
  <si>
    <t xml:space="preserve">Not JBLM,  PCR parking lot </t>
  </si>
  <si>
    <t>Lemay transportation pushed garbage (not specifically Jblm garbage)</t>
  </si>
  <si>
    <t xml:space="preserve">(Lemay Transfer station) to top load on trucks, not specifically JBLM </t>
  </si>
  <si>
    <t xml:space="preserve">Not JBLM </t>
  </si>
  <si>
    <t xml:space="preserve">For Lemay Transfer station </t>
  </si>
  <si>
    <t xml:space="preserve">Not for lTS </t>
  </si>
  <si>
    <t xml:space="preserve">We are going to use all fund currently have $694,467 left </t>
  </si>
  <si>
    <t>Began receiving 6/2022, still currently being installed</t>
  </si>
  <si>
    <t>Permit and engineering/design paid for 6/15/22</t>
  </si>
  <si>
    <t>purchased 6/13/22</t>
  </si>
  <si>
    <t>Moved to 2183</t>
  </si>
  <si>
    <t xml:space="preserve">not received </t>
  </si>
  <si>
    <t xml:space="preserve">moved funds to other weld shop improvements </t>
  </si>
  <si>
    <t>completed 4/07/2022, chasis was done  in 2021, body was completed in 2022, Asset 3310, Chassis is asset number 272739, Body is 277406</t>
  </si>
  <si>
    <t>2180-22-0017-1</t>
  </si>
  <si>
    <t>3BPDLK0X4NF113153</t>
  </si>
  <si>
    <t>2022 Peterbilt FEL Truck</t>
  </si>
  <si>
    <t>C000291</t>
  </si>
  <si>
    <t>2180-22-0006-1</t>
  </si>
  <si>
    <t>NA</t>
  </si>
  <si>
    <t>COLUMBIA WESTERN MACHINER</t>
  </si>
  <si>
    <t>ZW505B-005071</t>
  </si>
  <si>
    <t>2021 Hitachi ZW50 Wheel Loader Chassis</t>
  </si>
  <si>
    <t>Used Mini Loader Engine</t>
  </si>
  <si>
    <t>Used Mini Loader Transmission</t>
  </si>
  <si>
    <t>Used Mini Loader Differentials - Front</t>
  </si>
  <si>
    <t>Used Mini Loader Planetaries - Front, Right</t>
  </si>
  <si>
    <t>Used Mini Loader Planetaries - Front, Left</t>
  </si>
  <si>
    <t>Used Mini Loader Planetaries - Rear, Right</t>
  </si>
  <si>
    <t>Used Mini Loader Planetaries - Rear, Left</t>
  </si>
  <si>
    <t>Mini Loader Hydraulic pumps</t>
  </si>
  <si>
    <t>2180-22-0031-1</t>
  </si>
  <si>
    <t>AMZN MKTP US DB6RW0M73 AM</t>
  </si>
  <si>
    <t>New Docking Station for DVP Laptop - No SN on Amazon Purchase</t>
  </si>
  <si>
    <t>AMZN MKTP US 2G6Q34LK3</t>
  </si>
  <si>
    <t>New Docking Station for Computer - No SN on Amazon Purchase</t>
  </si>
  <si>
    <t>Z856749</t>
  </si>
  <si>
    <t>New Laptop for DVP SN: 5CD152BK00</t>
  </si>
  <si>
    <t>2022-06</t>
  </si>
  <si>
    <t>Jul  6 2022  9:20PM</t>
  </si>
  <si>
    <t>Already Received</t>
  </si>
  <si>
    <t>Not for 2180</t>
  </si>
  <si>
    <t>Adds since last dep schedule update</t>
  </si>
  <si>
    <t>Old truck # on old UTC schedule was curbside recycle, but confirmed with Barbara 7.7.22 that field is shifting trucks around</t>
  </si>
  <si>
    <t>Received?</t>
  </si>
  <si>
    <t>PASTED PIVOT</t>
  </si>
  <si>
    <t>Per 7.7.22 call with DC, $41K of original to weld shop, anything leftover is for plasma cutters. Welder has already been received - #281752 $9,199.36</t>
  </si>
  <si>
    <t xml:space="preserve">received 5/31/22, not in commission </t>
  </si>
  <si>
    <t>Yard Waste Carts</t>
  </si>
  <si>
    <t>TRANSFER STATION EQUIPMENT TRUCKS</t>
  </si>
  <si>
    <t>Total Assets to Proforma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</si>
</sst>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\ ;\(&quot;$&quot;#,##0\)"/>
    <numFmt numFmtId="165" formatCode="_-* #,##0.00_-;\-* #,##0.00_-;_-* &quot;-&quot;??_-;_-@_-"/>
    <numFmt numFmtId="166" formatCode="_([$€-2]* #,##0.00_);_([$€-2]* \(#,##0.00\);_([$€-2]* &quot;-&quot;??_)"/>
    <numFmt numFmtId="167" formatCode="_(* #,##0_);_(* \(#,##0\);_(* &quot;-&quot;??_);_(@_)"/>
    <numFmt numFmtId="168" formatCode="0.0"/>
    <numFmt numFmtId="169" formatCode="_(&quot;$&quot;* #,##0_);_(&quot;$&quot;* \(#,##0\);_(&quot;$&quot;* &quot;-&quot;??_);_(@_)"/>
    <numFmt numFmtId="170" formatCode="0.0%"/>
    <numFmt numFmtId="171" formatCode="m/d/yy;@"/>
    <numFmt numFmtId="172" formatCode="_(* #,##0.0_);_(* \(#,##0.0\);_(* &quot;-&quot;??_);_(@_)"/>
    <numFmt numFmtId="173" formatCode="_(* #,##0,_);_(* \(#,##0,\);_(* &quot;-&quot;_);_(@_)"/>
    <numFmt numFmtId="174" formatCode="0000\-00\-0000\-0"/>
    <numFmt numFmtId="175" formatCode="0_);\(0\)"/>
    <numFmt numFmtId="176" formatCode="000#"/>
    <numFmt numFmtId="177" formatCode="mmm"/>
  </numFmts>
  <fonts count="1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1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19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</font>
    <font>
      <b/>
      <sz val="11"/>
      <color indexed="51"/>
      <name val="Calibri"/>
      <family val="2"/>
    </font>
    <font>
      <sz val="12"/>
      <name val="CG Omega"/>
    </font>
    <font>
      <sz val="10"/>
      <name val="MS Sans Serif"/>
      <family val="2"/>
    </font>
    <font>
      <sz val="12"/>
      <name val="Courier"/>
      <family val="3"/>
    </font>
    <font>
      <sz val="9"/>
      <color indexed="8"/>
      <name val="Arial"/>
      <family val="2"/>
    </font>
    <font>
      <b/>
      <sz val="10"/>
      <color indexed="12"/>
      <name val="Arial"/>
      <family val="2"/>
    </font>
    <font>
      <b/>
      <sz val="15"/>
      <color indexed="61"/>
      <name val="Calibri"/>
      <family val="2"/>
    </font>
    <font>
      <b/>
      <sz val="13"/>
      <color indexed="61"/>
      <name val="Calibri"/>
      <family val="2"/>
    </font>
    <font>
      <b/>
      <sz val="11"/>
      <color indexed="61"/>
      <name val="Calibri"/>
      <family val="2"/>
    </font>
    <font>
      <u/>
      <sz val="10"/>
      <color indexed="12"/>
      <name val="Arial"/>
      <family val="2"/>
    </font>
    <font>
      <sz val="11"/>
      <color indexed="61"/>
      <name val="Calibri"/>
      <family val="2"/>
    </font>
    <font>
      <sz val="10"/>
      <color indexed="12"/>
      <name val="Arial"/>
      <family val="2"/>
    </font>
    <font>
      <sz val="11"/>
      <color indexed="51"/>
      <name val="Calibri"/>
      <family val="2"/>
    </font>
    <font>
      <sz val="11"/>
      <color indexed="59"/>
      <name val="Calibri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2"/>
      <color indexed="12"/>
      <name val="Times New Roman"/>
      <family val="1"/>
    </font>
    <font>
      <b/>
      <sz val="10"/>
      <color indexed="10"/>
      <name val="Arial"/>
      <family val="2"/>
    </font>
    <font>
      <b/>
      <sz val="11"/>
      <color indexed="18"/>
      <name val="Britannic Bold"/>
      <family val="2"/>
    </font>
    <font>
      <sz val="11"/>
      <name val="Bookman Old Style"/>
      <family val="1"/>
    </font>
    <font>
      <u/>
      <sz val="10"/>
      <name val="Arial"/>
      <family val="2"/>
    </font>
    <font>
      <u/>
      <sz val="11"/>
      <color indexed="12"/>
      <name val="Arial"/>
      <family val="2"/>
    </font>
    <font>
      <b/>
      <sz val="14"/>
      <name val="Helv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9.35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SWISS"/>
    </font>
    <font>
      <b/>
      <sz val="12"/>
      <color theme="1"/>
      <name val="Calibri"/>
      <family val="2"/>
      <scheme val="minor"/>
    </font>
    <font>
      <b/>
      <i/>
      <u/>
      <sz val="11"/>
      <color rgb="FF2605EB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4" tint="-0.499984740745262"/>
      <name val="Arial"/>
      <family val="2"/>
    </font>
    <font>
      <sz val="11"/>
      <color theme="4" tint="-0.499984740745262"/>
      <name val="Calibri"/>
      <family val="2"/>
      <scheme val="minor"/>
    </font>
    <font>
      <i/>
      <sz val="10"/>
      <name val="Arial"/>
      <family val="2"/>
    </font>
    <font>
      <sz val="9"/>
      <color rgb="FFC00000"/>
      <name val="Arial"/>
      <family val="2"/>
    </font>
    <font>
      <b/>
      <sz val="10"/>
      <color indexed="62"/>
      <name val="Arial"/>
      <family val="2"/>
    </font>
    <font>
      <sz val="10"/>
      <color theme="4" tint="-0.499984740745262"/>
      <name val="Arial"/>
      <family val="2"/>
    </font>
    <font>
      <b/>
      <sz val="9"/>
      <color theme="4" tint="-0.499984740745262"/>
      <name val="Arial"/>
      <family val="2"/>
    </font>
    <font>
      <i/>
      <sz val="10"/>
      <color theme="4" tint="-0.499984740745262"/>
      <name val="Arial"/>
      <family val="2"/>
    </font>
    <font>
      <b/>
      <sz val="12"/>
      <color indexed="62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12"/>
      <name val="Calibri"/>
      <family val="2"/>
      <scheme val="minor"/>
    </font>
    <font>
      <sz val="9"/>
      <color theme="1" tint="0.499984740745262"/>
      <name val="Arial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3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FBB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4" tint="0.79998168889431442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15274">
    <xf numFmtId="0" fontId="0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1" fillId="3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1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56" fillId="37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56" fillId="38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1" fillId="5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1" fillId="10" borderId="0" applyNumberFormat="0" applyBorder="0" applyAlignment="0" applyProtection="0"/>
    <xf numFmtId="0" fontId="56" fillId="40" borderId="0" applyNumberFormat="0" applyBorder="0" applyAlignment="0" applyProtection="0"/>
    <xf numFmtId="0" fontId="1" fillId="11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1" fillId="11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1" fillId="11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0" borderId="0" applyNumberFormat="0" applyBorder="0" applyAlignment="0" applyProtection="0"/>
    <xf numFmtId="0" fontId="56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1" borderId="0" applyNumberFormat="0" applyBorder="0" applyAlignment="0" applyProtection="0"/>
    <xf numFmtId="0" fontId="1" fillId="3" borderId="0" applyNumberFormat="0" applyBorder="0" applyAlignment="0" applyProtection="0"/>
    <xf numFmtId="0" fontId="1" fillId="11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1" fillId="3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1" fillId="7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1" fillId="7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1" fillId="7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56" fillId="44" borderId="0" applyNumberFormat="0" applyBorder="0" applyAlignment="0" applyProtection="0"/>
    <xf numFmtId="0" fontId="56" fillId="9" borderId="0" applyNumberFormat="0" applyBorder="0" applyAlignment="0" applyProtection="0"/>
    <xf numFmtId="0" fontId="56" fillId="9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" fillId="12" borderId="0" applyNumberFormat="0" applyBorder="0" applyAlignment="0" applyProtection="0"/>
    <xf numFmtId="0" fontId="56" fillId="4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1" fillId="10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56" fillId="47" borderId="0" applyNumberFormat="0" applyBorder="0" applyAlignment="0" applyProtection="0"/>
    <xf numFmtId="0" fontId="1" fillId="14" borderId="0" applyNumberFormat="0" applyBorder="0" applyAlignment="0" applyProtection="0"/>
    <xf numFmtId="0" fontId="56" fillId="47" borderId="0" applyNumberFormat="0" applyBorder="0" applyAlignment="0" applyProtection="0"/>
    <xf numFmtId="0" fontId="57" fillId="48" borderId="0" applyNumberFormat="0" applyBorder="0" applyAlignment="0" applyProtection="0"/>
    <xf numFmtId="0" fontId="9" fillId="1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1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9" fillId="18" borderId="0" applyNumberFormat="0" applyBorder="0" applyAlignment="0" applyProtection="0"/>
    <xf numFmtId="0" fontId="9" fillId="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7" borderId="0" applyNumberFormat="0" applyBorder="0" applyAlignment="0" applyProtection="0"/>
    <xf numFmtId="0" fontId="57" fillId="49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57" fillId="50" borderId="0" applyNumberFormat="0" applyBorder="0" applyAlignment="0" applyProtection="0"/>
    <xf numFmtId="0" fontId="9" fillId="14" borderId="0" applyNumberFormat="0" applyBorder="0" applyAlignment="0" applyProtection="0"/>
    <xf numFmtId="0" fontId="57" fillId="50" borderId="0" applyNumberFormat="0" applyBorder="0" applyAlignment="0" applyProtection="0"/>
    <xf numFmtId="0" fontId="9" fillId="6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19" borderId="0" applyNumberFormat="0" applyBorder="0" applyAlignment="0" applyProtection="0"/>
    <xf numFmtId="0" fontId="9" fillId="6" borderId="0" applyNumberFormat="0" applyBorder="0" applyAlignment="0" applyProtection="0"/>
    <xf numFmtId="0" fontId="9" fillId="19" borderId="0" applyNumberFormat="0" applyBorder="0" applyAlignment="0" applyProtection="0"/>
    <xf numFmtId="0" fontId="9" fillId="6" borderId="0" applyNumberFormat="0" applyBorder="0" applyAlignment="0" applyProtection="0"/>
    <xf numFmtId="0" fontId="57" fillId="51" borderId="0" applyNumberFormat="0" applyBorder="0" applyAlignment="0" applyProtection="0"/>
    <xf numFmtId="0" fontId="9" fillId="6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9" fillId="11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6" borderId="0" applyNumberFormat="0" applyBorder="0" applyAlignment="0" applyProtection="0"/>
    <xf numFmtId="0" fontId="57" fillId="52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20" borderId="0" applyNumberFormat="0" applyBorder="0" applyAlignment="0" applyProtection="0"/>
    <xf numFmtId="0" fontId="57" fillId="53" borderId="0" applyNumberFormat="0" applyBorder="0" applyAlignment="0" applyProtection="0"/>
    <xf numFmtId="0" fontId="57" fillId="54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57" fillId="54" borderId="0" applyNumberFormat="0" applyBorder="0" applyAlignment="0" applyProtection="0"/>
    <xf numFmtId="0" fontId="57" fillId="55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57" fillId="55" borderId="0" applyNumberFormat="0" applyBorder="0" applyAlignment="0" applyProtection="0"/>
    <xf numFmtId="0" fontId="57" fillId="56" borderId="0" applyNumberFormat="0" applyBorder="0" applyAlignment="0" applyProtection="0"/>
    <xf numFmtId="0" fontId="9" fillId="14" borderId="0" applyNumberFormat="0" applyBorder="0" applyAlignment="0" applyProtection="0"/>
    <xf numFmtId="0" fontId="9" fillId="24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24" borderId="0" applyNumberFormat="0" applyBorder="0" applyAlignment="0" applyProtection="0"/>
    <xf numFmtId="0" fontId="57" fillId="56" borderId="0" applyNumberFormat="0" applyBorder="0" applyAlignment="0" applyProtection="0"/>
    <xf numFmtId="0" fontId="57" fillId="57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19" borderId="0" applyNumberFormat="0" applyBorder="0" applyAlignment="0" applyProtection="0"/>
    <xf numFmtId="0" fontId="57" fillId="57" borderId="0" applyNumberFormat="0" applyBorder="0" applyAlignment="0" applyProtection="0"/>
    <xf numFmtId="0" fontId="57" fillId="58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57" fillId="58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57" fillId="58" borderId="0" applyNumberFormat="0" applyBorder="0" applyAlignment="0" applyProtection="0"/>
    <xf numFmtId="0" fontId="57" fillId="59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18" borderId="0" applyNumberFormat="0" applyBorder="0" applyAlignment="0" applyProtection="0"/>
    <xf numFmtId="0" fontId="57" fillId="59" borderId="0" applyNumberFormat="0" applyBorder="0" applyAlignment="0" applyProtection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1" fontId="16" fillId="0" borderId="0"/>
    <xf numFmtId="49" fontId="50" fillId="0" borderId="0" applyFill="0" applyBorder="0" applyAlignment="0" applyProtection="0"/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58" fillId="60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58" fillId="60" borderId="0" applyNumberFormat="0" applyBorder="0" applyAlignment="0" applyProtection="0"/>
    <xf numFmtId="3" fontId="16" fillId="0" borderId="0"/>
    <xf numFmtId="3" fontId="16" fillId="0" borderId="0"/>
    <xf numFmtId="3" fontId="16" fillId="0" borderId="0"/>
    <xf numFmtId="3" fontId="16" fillId="0" borderId="0"/>
    <xf numFmtId="0" fontId="59" fillId="61" borderId="20" applyNumberFormat="0" applyAlignment="0" applyProtection="0"/>
    <xf numFmtId="0" fontId="1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33" fillId="26" borderId="2" applyNumberFormat="0" applyAlignment="0" applyProtection="0"/>
    <xf numFmtId="0" fontId="2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25" fillId="26" borderId="2" applyNumberFormat="0" applyAlignment="0" applyProtection="0"/>
    <xf numFmtId="0" fontId="15" fillId="26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25" fillId="4" borderId="2" applyNumberFormat="0" applyAlignment="0" applyProtection="0"/>
    <xf numFmtId="0" fontId="15" fillId="26" borderId="2" applyNumberFormat="0" applyAlignment="0" applyProtection="0"/>
    <xf numFmtId="0" fontId="59" fillId="61" borderId="20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15" fillId="26" borderId="2" applyNumberFormat="0" applyAlignment="0" applyProtection="0"/>
    <xf numFmtId="0" fontId="60" fillId="62" borderId="21" applyNumberFormat="0" applyAlignment="0" applyProtection="0"/>
    <xf numFmtId="0" fontId="11" fillId="27" borderId="3" applyNumberFormat="0" applyAlignment="0" applyProtection="0"/>
    <xf numFmtId="0" fontId="11" fillId="28" borderId="4" applyNumberFormat="0" applyAlignment="0" applyProtection="0"/>
    <xf numFmtId="0" fontId="11" fillId="28" borderId="4" applyNumberFormat="0" applyAlignment="0" applyProtection="0"/>
    <xf numFmtId="0" fontId="11" fillId="27" borderId="3" applyNumberFormat="0" applyAlignment="0" applyProtection="0"/>
    <xf numFmtId="0" fontId="11" fillId="28" borderId="4" applyNumberFormat="0" applyAlignment="0" applyProtection="0"/>
    <xf numFmtId="0" fontId="11" fillId="27" borderId="3" applyNumberFormat="0" applyAlignment="0" applyProtection="0"/>
    <xf numFmtId="0" fontId="60" fillId="62" borderId="21" applyNumberFormat="0" applyAlignment="0" applyProtection="0"/>
    <xf numFmtId="0" fontId="51" fillId="29" borderId="0" applyNumberFormat="0" applyBorder="0" applyAlignment="0" applyProtection="0">
      <alignment horizontal="center"/>
      <protection hidden="1"/>
    </xf>
    <xf numFmtId="0" fontId="16" fillId="30" borderId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8" fillId="31" borderId="0">
      <alignment horizontal="left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7" fillId="0" borderId="0"/>
    <xf numFmtId="3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32" borderId="5" applyAlignment="0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7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6"/>
    <xf numFmtId="0" fontId="2" fillId="0" borderId="6"/>
    <xf numFmtId="0" fontId="2" fillId="0" borderId="6"/>
    <xf numFmtId="0" fontId="2" fillId="0" borderId="6"/>
    <xf numFmtId="0" fontId="2" fillId="0" borderId="6"/>
    <xf numFmtId="0" fontId="38" fillId="33" borderId="0">
      <alignment horizontal="right"/>
      <protection locked="0"/>
    </xf>
    <xf numFmtId="14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6" fillId="0" borderId="0"/>
    <xf numFmtId="2" fontId="38" fillId="33" borderId="0">
      <alignment horizontal="right"/>
      <protection locked="0"/>
    </xf>
    <xf numFmtId="1" fontId="16" fillId="0" borderId="0">
      <alignment horizontal="center"/>
    </xf>
    <xf numFmtId="0" fontId="62" fillId="63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62" fillId="63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2" fillId="63" borderId="0" applyNumberFormat="0" applyBorder="0" applyAlignment="0" applyProtection="0"/>
    <xf numFmtId="0" fontId="63" fillId="0" borderId="22" applyNumberFormat="0" applyFill="0" applyAlignment="0" applyProtection="0"/>
    <xf numFmtId="0" fontId="20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39" fillId="0" borderId="10" applyNumberFormat="0" applyFill="0" applyAlignment="0" applyProtection="0"/>
    <xf numFmtId="0" fontId="20" fillId="0" borderId="9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6" fillId="0" borderId="7" applyNumberFormat="0" applyFill="0" applyAlignment="0" applyProtection="0"/>
    <xf numFmtId="0" fontId="20" fillId="0" borderId="8" applyNumberFormat="0" applyFill="0" applyAlignment="0" applyProtection="0"/>
    <xf numFmtId="0" fontId="26" fillId="0" borderId="7" applyNumberFormat="0" applyFill="0" applyAlignment="0" applyProtection="0"/>
    <xf numFmtId="0" fontId="20" fillId="0" borderId="8" applyNumberFormat="0" applyFill="0" applyAlignment="0" applyProtection="0"/>
    <xf numFmtId="0" fontId="63" fillId="0" borderId="22" applyNumberFormat="0" applyFill="0" applyAlignment="0" applyProtection="0"/>
    <xf numFmtId="0" fontId="64" fillId="0" borderId="23" applyNumberFormat="0" applyFill="0" applyAlignment="0" applyProtection="0"/>
    <xf numFmtId="0" fontId="21" fillId="0" borderId="12" applyNumberFormat="0" applyFill="0" applyAlignment="0" applyProtection="0"/>
    <xf numFmtId="0" fontId="21" fillId="0" borderId="11" applyNumberFormat="0" applyFill="0" applyAlignment="0" applyProtection="0"/>
    <xf numFmtId="0" fontId="40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2" applyNumberFormat="0" applyFill="0" applyAlignment="0" applyProtection="0"/>
    <xf numFmtId="0" fontId="21" fillId="0" borderId="12" applyNumberFormat="0" applyFill="0" applyAlignment="0" applyProtection="0"/>
    <xf numFmtId="0" fontId="27" fillId="0" borderId="11" applyNumberFormat="0" applyFill="0" applyAlignment="0" applyProtection="0"/>
    <xf numFmtId="0" fontId="21" fillId="0" borderId="12" applyNumberFormat="0" applyFill="0" applyAlignment="0" applyProtection="0"/>
    <xf numFmtId="0" fontId="27" fillId="0" borderId="11" applyNumberFormat="0" applyFill="0" applyAlignment="0" applyProtection="0"/>
    <xf numFmtId="0" fontId="21" fillId="0" borderId="12" applyNumberFormat="0" applyFill="0" applyAlignment="0" applyProtection="0"/>
    <xf numFmtId="0" fontId="64" fillId="0" borderId="23" applyNumberFormat="0" applyFill="0" applyAlignment="0" applyProtection="0"/>
    <xf numFmtId="0" fontId="65" fillId="0" borderId="24" applyNumberFormat="0" applyFill="0" applyAlignment="0" applyProtection="0"/>
    <xf numFmtId="0" fontId="22" fillId="0" borderId="14" applyNumberFormat="0" applyFill="0" applyAlignment="0" applyProtection="0"/>
    <xf numFmtId="0" fontId="22" fillId="0" borderId="15" applyNumberFormat="0" applyFill="0" applyAlignment="0" applyProtection="0"/>
    <xf numFmtId="0" fontId="22" fillId="0" borderId="15" applyNumberFormat="0" applyFill="0" applyAlignment="0" applyProtection="0"/>
    <xf numFmtId="0" fontId="41" fillId="0" borderId="16" applyNumberFormat="0" applyFill="0" applyAlignment="0" applyProtection="0"/>
    <xf numFmtId="0" fontId="22" fillId="0" borderId="15" applyNumberFormat="0" applyFill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8" fillId="0" borderId="13" applyNumberFormat="0" applyFill="0" applyAlignment="0" applyProtection="0"/>
    <xf numFmtId="0" fontId="22" fillId="0" borderId="14" applyNumberFormat="0" applyFill="0" applyAlignment="0" applyProtection="0"/>
    <xf numFmtId="0" fontId="28" fillId="0" borderId="13" applyNumberFormat="0" applyFill="0" applyAlignment="0" applyProtection="0"/>
    <xf numFmtId="0" fontId="22" fillId="0" borderId="14" applyNumberFormat="0" applyFill="0" applyAlignment="0" applyProtection="0"/>
    <xf numFmtId="0" fontId="65" fillId="0" borderId="24" applyNumberFormat="0" applyFill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64" borderId="20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43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13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14" fillId="5" borderId="2" applyNumberFormat="0" applyAlignment="0" applyProtection="0"/>
    <xf numFmtId="0" fontId="71" fillId="64" borderId="20" applyNumberFormat="0" applyAlignment="0" applyProtection="0"/>
    <xf numFmtId="3" fontId="44" fillId="34" borderId="0">
      <protection locked="0"/>
    </xf>
    <xf numFmtId="4" fontId="44" fillId="34" borderId="0">
      <protection locked="0"/>
    </xf>
    <xf numFmtId="0" fontId="49" fillId="0" borderId="1" applyBorder="0">
      <alignment horizontal="center" vertical="center" wrapText="1"/>
    </xf>
    <xf numFmtId="0" fontId="55" fillId="35" borderId="6"/>
    <xf numFmtId="0" fontId="55" fillId="35" borderId="6"/>
    <xf numFmtId="0" fontId="55" fillId="35" borderId="6"/>
    <xf numFmtId="0" fontId="55" fillId="35" borderId="6"/>
    <xf numFmtId="0" fontId="55" fillId="35" borderId="6"/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49" fillId="0" borderId="1" applyBorder="0">
      <alignment horizontal="center" vertical="center" wrapText="1"/>
    </xf>
    <xf numFmtId="0" fontId="72" fillId="0" borderId="25" applyNumberFormat="0" applyFill="0" applyAlignment="0" applyProtection="0"/>
    <xf numFmtId="0" fontId="6" fillId="0" borderId="18" applyNumberFormat="0" applyFill="0" applyAlignment="0" applyProtection="0"/>
    <xf numFmtId="0" fontId="30" fillId="0" borderId="17" applyNumberFormat="0" applyFill="0" applyAlignment="0" applyProtection="0"/>
    <xf numFmtId="0" fontId="45" fillId="0" borderId="19" applyNumberFormat="0" applyFill="0" applyAlignment="0" applyProtection="0"/>
    <xf numFmtId="0" fontId="30" fillId="0" borderId="17" applyNumberFormat="0" applyFill="0" applyAlignment="0" applyProtection="0"/>
    <xf numFmtId="0" fontId="6" fillId="0" borderId="18" applyNumberFormat="0" applyFill="0" applyAlignment="0" applyProtection="0"/>
    <xf numFmtId="0" fontId="6" fillId="0" borderId="18" applyNumberFormat="0" applyFill="0" applyAlignment="0" applyProtection="0"/>
    <xf numFmtId="0" fontId="6" fillId="0" borderId="18" applyNumberFormat="0" applyFill="0" applyAlignment="0" applyProtection="0"/>
    <xf numFmtId="0" fontId="30" fillId="0" borderId="17" applyNumberFormat="0" applyFill="0" applyAlignment="0" applyProtection="0"/>
    <xf numFmtId="0" fontId="72" fillId="0" borderId="25" applyNumberFormat="0" applyFill="0" applyAlignment="0" applyProtection="0"/>
    <xf numFmtId="0" fontId="73" fillId="65" borderId="0" applyNumberFormat="0" applyBorder="0" applyAlignment="0" applyProtection="0"/>
    <xf numFmtId="0" fontId="24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46" fillId="13" borderId="0" applyNumberFormat="0" applyBorder="0" applyAlignment="0" applyProtection="0"/>
    <xf numFmtId="0" fontId="31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1" fillId="13" borderId="0" applyNumberFormat="0" applyBorder="0" applyAlignment="0" applyProtection="0"/>
    <xf numFmtId="0" fontId="73" fillId="65" borderId="0" applyNumberFormat="0" applyBorder="0" applyAlignment="0" applyProtection="0"/>
    <xf numFmtId="43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>
      <alignment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>
      <alignment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>
      <alignment wrapText="1"/>
    </xf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7" fillId="0" borderId="0">
      <alignment vertical="top"/>
    </xf>
    <xf numFmtId="0" fontId="56" fillId="0" borderId="0"/>
    <xf numFmtId="0" fontId="56" fillId="0" borderId="0"/>
    <xf numFmtId="0" fontId="1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74" fillId="0" borderId="0"/>
    <xf numFmtId="0" fontId="56" fillId="0" borderId="0"/>
    <xf numFmtId="0" fontId="56" fillId="0" borderId="0"/>
    <xf numFmtId="0" fontId="74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43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47" fillId="0" borderId="0" applyFont="0" applyFill="0" applyBorder="0" applyAlignment="0" applyProtection="0"/>
    <xf numFmtId="37" fontId="47" fillId="0" borderId="0"/>
    <xf numFmtId="0" fontId="83" fillId="0" borderId="0"/>
    <xf numFmtId="9" fontId="47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56" fillId="0" borderId="0"/>
  </cellStyleXfs>
  <cellXfs count="425">
    <xf numFmtId="0" fontId="0" fillId="0" borderId="0" xfId="0"/>
    <xf numFmtId="0" fontId="75" fillId="0" borderId="0" xfId="0" applyFont="1"/>
    <xf numFmtId="0" fontId="76" fillId="0" borderId="0" xfId="0" applyFont="1"/>
    <xf numFmtId="167" fontId="0" fillId="0" borderId="0" xfId="15262" applyNumberFormat="1" applyFont="1"/>
    <xf numFmtId="0" fontId="75" fillId="0" borderId="0" xfId="0" applyFont="1" applyAlignment="1">
      <alignment horizontal="center"/>
    </xf>
    <xf numFmtId="0" fontId="75" fillId="0" borderId="26" xfId="0" applyFont="1" applyBorder="1"/>
    <xf numFmtId="167" fontId="75" fillId="0" borderId="26" xfId="15262" applyNumberFormat="1" applyFont="1" applyBorder="1"/>
    <xf numFmtId="0" fontId="75" fillId="0" borderId="27" xfId="0" applyFont="1" applyBorder="1"/>
    <xf numFmtId="0" fontId="0" fillId="66" borderId="0" xfId="0" applyFill="1"/>
    <xf numFmtId="0" fontId="0" fillId="0" borderId="0" xfId="0" applyFill="1"/>
    <xf numFmtId="168" fontId="0" fillId="0" borderId="0" xfId="0" applyNumberFormat="1"/>
    <xf numFmtId="167" fontId="0" fillId="0" borderId="0" xfId="0" applyNumberFormat="1"/>
    <xf numFmtId="167" fontId="75" fillId="0" borderId="0" xfId="15262" applyNumberFormat="1" applyFont="1" applyBorder="1"/>
    <xf numFmtId="167" fontId="0" fillId="0" borderId="0" xfId="15262" applyNumberFormat="1" applyFont="1" applyFill="1"/>
    <xf numFmtId="0" fontId="0" fillId="0" borderId="0" xfId="0" applyAlignment="1">
      <alignment horizontal="center" vertical="center"/>
    </xf>
    <xf numFmtId="0" fontId="77" fillId="0" borderId="0" xfId="0" applyFont="1" applyFill="1"/>
    <xf numFmtId="167" fontId="77" fillId="0" borderId="0" xfId="15262" applyNumberFormat="1" applyFont="1" applyFill="1"/>
    <xf numFmtId="0" fontId="0" fillId="0" borderId="0" xfId="0"/>
    <xf numFmtId="0" fontId="82" fillId="0" borderId="0" xfId="3490" applyFont="1"/>
    <xf numFmtId="0" fontId="84" fillId="0" borderId="0" xfId="3490" applyFont="1"/>
    <xf numFmtId="0" fontId="56" fillId="0" borderId="0" xfId="3490" applyFont="1"/>
    <xf numFmtId="43" fontId="56" fillId="0" borderId="0" xfId="15262" applyFont="1"/>
    <xf numFmtId="0" fontId="85" fillId="0" borderId="0" xfId="3490" applyFont="1"/>
    <xf numFmtId="43" fontId="56" fillId="0" borderId="0" xfId="15262" applyFont="1" applyFill="1"/>
    <xf numFmtId="0" fontId="75" fillId="67" borderId="5" xfId="3490" applyFont="1" applyFill="1" applyBorder="1"/>
    <xf numFmtId="0" fontId="75" fillId="67" borderId="5" xfId="3490" applyFont="1" applyFill="1" applyBorder="1" applyAlignment="1">
      <alignment horizontal="center" wrapText="1"/>
    </xf>
    <xf numFmtId="0" fontId="75" fillId="67" borderId="5" xfId="3490" applyFont="1" applyFill="1" applyBorder="1" applyAlignment="1">
      <alignment horizontal="center"/>
    </xf>
    <xf numFmtId="167" fontId="75" fillId="67" borderId="0" xfId="15262" applyNumberFormat="1" applyFont="1" applyFill="1" applyAlignment="1">
      <alignment horizontal="center"/>
    </xf>
    <xf numFmtId="167" fontId="75" fillId="0" borderId="0" xfId="15262" applyNumberFormat="1" applyFont="1" applyFill="1" applyAlignment="1">
      <alignment horizontal="center"/>
    </xf>
    <xf numFmtId="0" fontId="56" fillId="67" borderId="0" xfId="3490" applyFont="1" applyFill="1"/>
    <xf numFmtId="0" fontId="56" fillId="67" borderId="36" xfId="3490" applyFont="1" applyFill="1" applyBorder="1"/>
    <xf numFmtId="0" fontId="56" fillId="67" borderId="40" xfId="3490" applyFont="1" applyFill="1" applyBorder="1"/>
    <xf numFmtId="43" fontId="56" fillId="67" borderId="40" xfId="15262" applyFont="1" applyFill="1" applyBorder="1"/>
    <xf numFmtId="167" fontId="56" fillId="67" borderId="0" xfId="15262" applyNumberFormat="1" applyFont="1" applyFill="1"/>
    <xf numFmtId="167" fontId="56" fillId="0" borderId="0" xfId="15262" applyNumberFormat="1" applyFont="1" applyFill="1"/>
    <xf numFmtId="0" fontId="0" fillId="67" borderId="0" xfId="3490" applyFont="1" applyFill="1"/>
    <xf numFmtId="3" fontId="81" fillId="67" borderId="0" xfId="3490" applyNumberFormat="1" applyFont="1" applyFill="1"/>
    <xf numFmtId="3" fontId="56" fillId="67" borderId="0" xfId="3490" applyNumberFormat="1" applyFont="1" applyFill="1"/>
    <xf numFmtId="43" fontId="56" fillId="67" borderId="0" xfId="15262" applyFont="1" applyFill="1"/>
    <xf numFmtId="10" fontId="56" fillId="67" borderId="37" xfId="3490" applyNumberFormat="1" applyFont="1" applyFill="1" applyBorder="1"/>
    <xf numFmtId="10" fontId="56" fillId="67" borderId="0" xfId="3490" applyNumberFormat="1" applyFont="1" applyFill="1"/>
    <xf numFmtId="9" fontId="56" fillId="67" borderId="0" xfId="15264" applyFont="1" applyFill="1"/>
    <xf numFmtId="167" fontId="0" fillId="67" borderId="0" xfId="15262" applyNumberFormat="1" applyFont="1" applyFill="1"/>
    <xf numFmtId="0" fontId="56" fillId="67" borderId="37" xfId="3490" applyFont="1" applyFill="1" applyBorder="1"/>
    <xf numFmtId="3" fontId="0" fillId="67" borderId="0" xfId="3490" applyNumberFormat="1" applyFont="1" applyFill="1"/>
    <xf numFmtId="0" fontId="75" fillId="67" borderId="26" xfId="3490" applyFont="1" applyFill="1" applyBorder="1"/>
    <xf numFmtId="3" fontId="75" fillId="67" borderId="26" xfId="3490" applyNumberFormat="1" applyFont="1" applyFill="1" applyBorder="1"/>
    <xf numFmtId="9" fontId="75" fillId="67" borderId="1" xfId="15264" applyFont="1" applyFill="1" applyBorder="1"/>
    <xf numFmtId="9" fontId="75" fillId="67" borderId="26" xfId="15264" applyFont="1" applyFill="1" applyBorder="1"/>
    <xf numFmtId="9" fontId="75" fillId="67" borderId="35" xfId="15264" applyFont="1" applyFill="1" applyBorder="1"/>
    <xf numFmtId="167" fontId="75" fillId="67" borderId="0" xfId="15262" applyNumberFormat="1" applyFont="1" applyFill="1"/>
    <xf numFmtId="167" fontId="75" fillId="0" borderId="0" xfId="15262" applyNumberFormat="1" applyFont="1" applyFill="1"/>
    <xf numFmtId="0" fontId="56" fillId="67" borderId="0" xfId="3490" applyFont="1" applyFill="1" applyAlignment="1">
      <alignment horizontal="right"/>
    </xf>
    <xf numFmtId="170" fontId="56" fillId="67" borderId="0" xfId="15264" applyNumberFormat="1" applyFont="1" applyFill="1"/>
    <xf numFmtId="170" fontId="56" fillId="0" borderId="0" xfId="15264" applyNumberFormat="1" applyFont="1" applyFill="1"/>
    <xf numFmtId="10" fontId="56" fillId="67" borderId="0" xfId="15264" applyNumberFormat="1" applyFont="1" applyFill="1"/>
    <xf numFmtId="10" fontId="56" fillId="66" borderId="0" xfId="3490" applyNumberFormat="1" applyFont="1" applyFill="1"/>
    <xf numFmtId="43" fontId="56" fillId="66" borderId="0" xfId="3490" applyNumberFormat="1" applyFont="1" applyFill="1"/>
    <xf numFmtId="0" fontId="85" fillId="67" borderId="0" xfId="3490" applyFont="1" applyFill="1"/>
    <xf numFmtId="0" fontId="75" fillId="67" borderId="0" xfId="3490" applyFont="1" applyFill="1" applyAlignment="1">
      <alignment horizontal="center" wrapText="1"/>
    </xf>
    <xf numFmtId="0" fontId="56" fillId="67" borderId="0" xfId="3490" applyFont="1" applyFill="1" applyAlignment="1">
      <alignment wrapText="1"/>
    </xf>
    <xf numFmtId="0" fontId="75" fillId="67" borderId="0" xfId="3490" applyFont="1" applyFill="1" applyAlignment="1">
      <alignment horizontal="center"/>
    </xf>
    <xf numFmtId="43" fontId="56" fillId="67" borderId="0" xfId="3490" applyNumberFormat="1" applyFont="1" applyFill="1" applyAlignment="1">
      <alignment horizontal="right"/>
    </xf>
    <xf numFmtId="4" fontId="56" fillId="67" borderId="0" xfId="3490" applyNumberFormat="1" applyFont="1" applyFill="1" applyAlignment="1">
      <alignment horizontal="right"/>
    </xf>
    <xf numFmtId="10" fontId="0" fillId="66" borderId="0" xfId="3490" applyNumberFormat="1" applyFont="1" applyFill="1"/>
    <xf numFmtId="10" fontId="0" fillId="67" borderId="0" xfId="3490" applyNumberFormat="1" applyFont="1" applyFill="1"/>
    <xf numFmtId="9" fontId="0" fillId="67" borderId="0" xfId="3490" applyNumberFormat="1" applyFont="1" applyFill="1"/>
    <xf numFmtId="9" fontId="56" fillId="67" borderId="0" xfId="3490" applyNumberFormat="1" applyFont="1" applyFill="1"/>
    <xf numFmtId="170" fontId="75" fillId="67" borderId="0" xfId="15264" applyNumberFormat="1" applyFont="1" applyFill="1"/>
    <xf numFmtId="170" fontId="75" fillId="0" borderId="0" xfId="15264" applyNumberFormat="1" applyFont="1" applyFill="1"/>
    <xf numFmtId="0" fontId="75" fillId="67" borderId="0" xfId="3490" applyFont="1" applyFill="1"/>
    <xf numFmtId="0" fontId="86" fillId="67" borderId="37" xfId="3490" applyFont="1" applyFill="1" applyBorder="1" applyAlignment="1">
      <alignment horizontal="center" wrapText="1"/>
    </xf>
    <xf numFmtId="4" fontId="75" fillId="67" borderId="26" xfId="3490" applyNumberFormat="1" applyFont="1" applyFill="1" applyBorder="1"/>
    <xf numFmtId="4" fontId="75" fillId="67" borderId="35" xfId="3490" applyNumberFormat="1" applyFont="1" applyFill="1" applyBorder="1"/>
    <xf numFmtId="9" fontId="75" fillId="67" borderId="0" xfId="15264" applyFont="1" applyFill="1" applyBorder="1"/>
    <xf numFmtId="0" fontId="56" fillId="66" borderId="0" xfId="3490" applyFont="1" applyFill="1"/>
    <xf numFmtId="0" fontId="0" fillId="67" borderId="31" xfId="0" applyFill="1" applyBorder="1" applyAlignment="1">
      <alignment vertical="top"/>
    </xf>
    <xf numFmtId="43" fontId="87" fillId="67" borderId="41" xfId="671" applyFont="1" applyFill="1" applyBorder="1" applyAlignment="1">
      <alignment horizontal="center" vertical="top"/>
    </xf>
    <xf numFmtId="43" fontId="87" fillId="67" borderId="41" xfId="671" applyFont="1" applyFill="1" applyBorder="1" applyAlignment="1">
      <alignment horizontal="center" vertical="top" wrapText="1"/>
    </xf>
    <xf numFmtId="43" fontId="87" fillId="67" borderId="42" xfId="671" applyFont="1" applyFill="1" applyBorder="1" applyAlignment="1">
      <alignment horizontal="center" vertical="top"/>
    </xf>
    <xf numFmtId="43" fontId="87" fillId="67" borderId="43" xfId="671" applyFont="1" applyFill="1" applyBorder="1" applyAlignment="1">
      <alignment horizontal="center" vertical="top" wrapText="1"/>
    </xf>
    <xf numFmtId="0" fontId="0" fillId="67" borderId="32" xfId="0" applyFill="1" applyBorder="1" applyAlignment="1">
      <alignment vertical="top"/>
    </xf>
    <xf numFmtId="9" fontId="0" fillId="67" borderId="0" xfId="15271" applyFont="1" applyFill="1" applyBorder="1" applyAlignment="1">
      <alignment vertical="top"/>
    </xf>
    <xf numFmtId="9" fontId="0" fillId="67" borderId="44" xfId="15271" applyFont="1" applyFill="1" applyBorder="1" applyAlignment="1">
      <alignment vertical="top"/>
    </xf>
    <xf numFmtId="9" fontId="56" fillId="67" borderId="32" xfId="3490" applyNumberFormat="1" applyFont="1" applyFill="1" applyBorder="1"/>
    <xf numFmtId="9" fontId="56" fillId="67" borderId="44" xfId="3490" applyNumberFormat="1" applyFont="1" applyFill="1" applyBorder="1"/>
    <xf numFmtId="0" fontId="56" fillId="67" borderId="32" xfId="3490" applyFont="1" applyFill="1" applyBorder="1"/>
    <xf numFmtId="0" fontId="56" fillId="67" borderId="44" xfId="3490" applyFont="1" applyFill="1" applyBorder="1"/>
    <xf numFmtId="0" fontId="17" fillId="67" borderId="32" xfId="0" applyFont="1" applyFill="1" applyBorder="1" applyAlignment="1">
      <alignment vertical="top"/>
    </xf>
    <xf numFmtId="0" fontId="0" fillId="67" borderId="33" xfId="0" applyFill="1" applyBorder="1" applyAlignment="1">
      <alignment vertical="top"/>
    </xf>
    <xf numFmtId="0" fontId="0" fillId="67" borderId="34" xfId="0" applyFill="1" applyBorder="1" applyAlignment="1">
      <alignment vertical="top"/>
    </xf>
    <xf numFmtId="0" fontId="0" fillId="67" borderId="45" xfId="0" applyFill="1" applyBorder="1" applyAlignment="1">
      <alignment vertical="top"/>
    </xf>
    <xf numFmtId="0" fontId="77" fillId="67" borderId="33" xfId="3490" applyFont="1" applyFill="1" applyBorder="1"/>
    <xf numFmtId="0" fontId="77" fillId="67" borderId="34" xfId="3490" applyFont="1" applyFill="1" applyBorder="1"/>
    <xf numFmtId="0" fontId="77" fillId="67" borderId="45" xfId="3490" applyFont="1" applyFill="1" applyBorder="1"/>
    <xf numFmtId="9" fontId="56" fillId="67" borderId="0" xfId="15262" applyNumberFormat="1" applyFont="1" applyFill="1"/>
    <xf numFmtId="10" fontId="0" fillId="67" borderId="0" xfId="15264" applyNumberFormat="1" applyFont="1" applyFill="1"/>
    <xf numFmtId="10" fontId="56" fillId="67" borderId="0" xfId="15262" applyNumberFormat="1" applyFont="1" applyFill="1"/>
    <xf numFmtId="10" fontId="56" fillId="67" borderId="0" xfId="15264" applyNumberFormat="1" applyFont="1" applyFill="1" applyBorder="1"/>
    <xf numFmtId="0" fontId="0" fillId="0" borderId="0" xfId="0" applyFill="1" applyBorder="1"/>
    <xf numFmtId="167" fontId="0" fillId="0" borderId="0" xfId="15262" applyNumberFormat="1" applyFont="1" applyFill="1" applyBorder="1"/>
    <xf numFmtId="167" fontId="75" fillId="0" borderId="0" xfId="15262" applyNumberFormat="1" applyFont="1" applyFill="1" applyBorder="1"/>
    <xf numFmtId="0" fontId="75" fillId="0" borderId="0" xfId="0" applyFont="1" applyFill="1" applyAlignment="1">
      <alignment horizontal="center" vertical="center"/>
    </xf>
    <xf numFmtId="169" fontId="0" fillId="68" borderId="37" xfId="0" applyNumberFormat="1" applyFill="1" applyBorder="1"/>
    <xf numFmtId="169" fontId="0" fillId="68" borderId="0" xfId="0" applyNumberFormat="1" applyFill="1"/>
    <xf numFmtId="169" fontId="0" fillId="68" borderId="37" xfId="15263" applyNumberFormat="1" applyFont="1" applyFill="1" applyBorder="1"/>
    <xf numFmtId="169" fontId="0" fillId="68" borderId="0" xfId="15263" applyNumberFormat="1" applyFont="1" applyFill="1" applyBorder="1"/>
    <xf numFmtId="169" fontId="0" fillId="68" borderId="52" xfId="15263" applyNumberFormat="1" applyFont="1" applyFill="1" applyBorder="1"/>
    <xf numFmtId="169" fontId="0" fillId="68" borderId="38" xfId="15263" applyNumberFormat="1" applyFont="1" applyFill="1" applyBorder="1"/>
    <xf numFmtId="0" fontId="78" fillId="0" borderId="0" xfId="0" applyFont="1"/>
    <xf numFmtId="167" fontId="0" fillId="0" borderId="0" xfId="0" applyNumberFormat="1" applyFill="1"/>
    <xf numFmtId="9" fontId="0" fillId="68" borderId="0" xfId="15264" applyFont="1" applyFill="1"/>
    <xf numFmtId="2" fontId="0" fillId="0" borderId="0" xfId="0" applyNumberFormat="1"/>
    <xf numFmtId="169" fontId="0" fillId="0" borderId="0" xfId="15263" applyNumberFormat="1" applyFont="1"/>
    <xf numFmtId="168" fontId="0" fillId="0" borderId="0" xfId="0" applyNumberFormat="1" applyFill="1"/>
    <xf numFmtId="169" fontId="0" fillId="0" borderId="37" xfId="0" applyNumberFormat="1" applyFill="1" applyBorder="1"/>
    <xf numFmtId="169" fontId="0" fillId="0" borderId="0" xfId="0" applyNumberFormat="1" applyFill="1"/>
    <xf numFmtId="170" fontId="0" fillId="0" borderId="0" xfId="15264" applyNumberFormat="1" applyFont="1" applyFill="1"/>
    <xf numFmtId="169" fontId="0" fillId="0" borderId="37" xfId="15263" applyNumberFormat="1" applyFont="1" applyFill="1" applyBorder="1"/>
    <xf numFmtId="169" fontId="0" fillId="0" borderId="38" xfId="15263" applyNumberFormat="1" applyFont="1" applyFill="1" applyBorder="1"/>
    <xf numFmtId="169" fontId="0" fillId="0" borderId="0" xfId="15263" applyNumberFormat="1" applyFont="1" applyFill="1" applyBorder="1"/>
    <xf numFmtId="169" fontId="0" fillId="0" borderId="52" xfId="15263" applyNumberFormat="1" applyFont="1" applyFill="1" applyBorder="1"/>
    <xf numFmtId="43" fontId="0" fillId="0" borderId="0" xfId="15262" applyFont="1" applyFill="1"/>
    <xf numFmtId="1" fontId="0" fillId="0" borderId="0" xfId="0" applyNumberFormat="1" applyFill="1"/>
    <xf numFmtId="169" fontId="0" fillId="0" borderId="0" xfId="15263" applyNumberFormat="1" applyFont="1" applyFill="1"/>
    <xf numFmtId="0" fontId="75" fillId="0" borderId="0" xfId="0" applyFont="1" applyFill="1" applyAlignment="1">
      <alignment horizontal="left"/>
    </xf>
    <xf numFmtId="14" fontId="0" fillId="0" borderId="0" xfId="15262" applyNumberFormat="1" applyFont="1" applyFill="1"/>
    <xf numFmtId="2" fontId="0" fillId="0" borderId="0" xfId="15262" applyNumberFormat="1" applyFont="1" applyFill="1"/>
    <xf numFmtId="0" fontId="75" fillId="0" borderId="0" xfId="0" applyFont="1" applyFill="1" applyAlignment="1">
      <alignment horizontal="center" vertical="center" wrapText="1"/>
    </xf>
    <xf numFmtId="168" fontId="75" fillId="0" borderId="0" xfId="0" applyNumberFormat="1" applyFont="1" applyFill="1" applyAlignment="1">
      <alignment horizontal="center" vertical="center" wrapText="1"/>
    </xf>
    <xf numFmtId="167" fontId="75" fillId="0" borderId="0" xfId="15262" applyNumberFormat="1" applyFont="1" applyFill="1" applyBorder="1" applyAlignment="1">
      <alignment horizontal="center" vertical="center" wrapText="1"/>
    </xf>
    <xf numFmtId="0" fontId="75" fillId="0" borderId="36" xfId="0" applyFont="1" applyFill="1" applyBorder="1" applyAlignment="1">
      <alignment horizontal="center" vertical="center"/>
    </xf>
    <xf numFmtId="0" fontId="75" fillId="0" borderId="40" xfId="0" applyFont="1" applyFill="1" applyBorder="1" applyAlignment="1">
      <alignment horizontal="center" vertical="center"/>
    </xf>
    <xf numFmtId="0" fontId="75" fillId="0" borderId="5" xfId="0" applyFont="1" applyFill="1" applyBorder="1" applyAlignment="1">
      <alignment horizontal="center" vertical="center" wrapText="1"/>
    </xf>
    <xf numFmtId="168" fontId="75" fillId="0" borderId="5" xfId="0" applyNumberFormat="1" applyFont="1" applyFill="1" applyBorder="1" applyAlignment="1">
      <alignment horizontal="center" vertical="center" wrapText="1"/>
    </xf>
    <xf numFmtId="167" fontId="75" fillId="0" borderId="5" xfId="15262" applyNumberFormat="1" applyFont="1" applyFill="1" applyBorder="1" applyAlignment="1">
      <alignment horizontal="center" vertical="center" wrapText="1"/>
    </xf>
    <xf numFmtId="14" fontId="75" fillId="0" borderId="5" xfId="15262" applyNumberFormat="1" applyFont="1" applyFill="1" applyBorder="1" applyAlignment="1">
      <alignment horizontal="center" vertical="center" wrapText="1"/>
    </xf>
    <xf numFmtId="0" fontId="75" fillId="0" borderId="53" xfId="0" applyFont="1" applyFill="1" applyBorder="1" applyAlignment="1">
      <alignment horizontal="center" vertical="center"/>
    </xf>
    <xf numFmtId="0" fontId="75" fillId="0" borderId="5" xfId="0" applyFont="1" applyFill="1" applyBorder="1" applyAlignment="1">
      <alignment horizontal="center" vertical="center"/>
    </xf>
    <xf numFmtId="9" fontId="75" fillId="0" borderId="5" xfId="15264" applyFont="1" applyFill="1" applyBorder="1" applyAlignment="1">
      <alignment horizontal="center" vertical="center"/>
    </xf>
    <xf numFmtId="0" fontId="75" fillId="0" borderId="39" xfId="0" applyFont="1" applyFill="1" applyBorder="1" applyAlignment="1">
      <alignment horizontal="center" vertical="center"/>
    </xf>
    <xf numFmtId="0" fontId="75" fillId="0" borderId="54" xfId="0" applyFont="1" applyFill="1" applyBorder="1" applyAlignment="1">
      <alignment horizontal="center" vertical="center"/>
    </xf>
    <xf numFmtId="0" fontId="76" fillId="0" borderId="0" xfId="0" applyFont="1" applyFill="1"/>
    <xf numFmtId="0" fontId="0" fillId="0" borderId="37" xfId="0" applyFill="1" applyBorder="1"/>
    <xf numFmtId="9" fontId="0" fillId="0" borderId="0" xfId="15264" applyFont="1" applyFill="1"/>
    <xf numFmtId="168" fontId="77" fillId="0" borderId="0" xfId="0" applyNumberFormat="1" applyFont="1" applyFill="1"/>
    <xf numFmtId="2" fontId="0" fillId="0" borderId="0" xfId="0" applyNumberFormat="1" applyFill="1"/>
    <xf numFmtId="169" fontId="0" fillId="0" borderId="0" xfId="0" applyNumberFormat="1" applyFill="1" applyBorder="1"/>
    <xf numFmtId="0" fontId="75" fillId="0" borderId="0" xfId="0" applyFont="1" applyFill="1"/>
    <xf numFmtId="168" fontId="75" fillId="0" borderId="0" xfId="15262" applyNumberFormat="1" applyFont="1" applyFill="1" applyBorder="1" applyAlignment="1">
      <alignment horizontal="right"/>
    </xf>
    <xf numFmtId="167" fontId="75" fillId="0" borderId="26" xfId="15262" applyNumberFormat="1" applyFont="1" applyFill="1" applyBorder="1"/>
    <xf numFmtId="0" fontId="0" fillId="0" borderId="0" xfId="0" applyFill="1" applyAlignment="1">
      <alignment horizontal="left"/>
    </xf>
    <xf numFmtId="2" fontId="75" fillId="0" borderId="0" xfId="0" applyNumberFormat="1" applyFont="1" applyFill="1" applyAlignment="1">
      <alignment horizontal="center" vertical="center"/>
    </xf>
    <xf numFmtId="167" fontId="75" fillId="0" borderId="0" xfId="15262" applyNumberFormat="1" applyFont="1" applyFill="1" applyBorder="1" applyAlignment="1">
      <alignment horizontal="center" vertical="center"/>
    </xf>
    <xf numFmtId="0" fontId="76" fillId="0" borderId="5" xfId="0" applyFont="1" applyFill="1" applyBorder="1" applyAlignment="1">
      <alignment horizontal="center" vertical="center"/>
    </xf>
    <xf numFmtId="2" fontId="76" fillId="0" borderId="5" xfId="0" applyNumberFormat="1" applyFont="1" applyFill="1" applyBorder="1" applyAlignment="1">
      <alignment horizontal="center" vertical="center"/>
    </xf>
    <xf numFmtId="167" fontId="76" fillId="0" borderId="5" xfId="15262" applyNumberFormat="1" applyFont="1" applyFill="1" applyBorder="1" applyAlignment="1">
      <alignment horizontal="center" vertical="center"/>
    </xf>
    <xf numFmtId="14" fontId="76" fillId="0" borderId="5" xfId="15262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75" fillId="0" borderId="0" xfId="0" applyFont="1" applyFill="1" applyAlignment="1">
      <alignment horizontal="center"/>
    </xf>
    <xf numFmtId="2" fontId="75" fillId="0" borderId="0" xfId="0" applyNumberFormat="1" applyFont="1" applyFill="1" applyAlignment="1">
      <alignment horizontal="right"/>
    </xf>
    <xf numFmtId="168" fontId="75" fillId="0" borderId="0" xfId="15262" applyNumberFormat="1" applyFont="1" applyFill="1" applyBorder="1" applyAlignment="1">
      <alignment horizontal="center" vertical="center"/>
    </xf>
    <xf numFmtId="2" fontId="75" fillId="0" borderId="0" xfId="0" applyNumberFormat="1" applyFont="1" applyFill="1" applyAlignment="1">
      <alignment horizontal="center"/>
    </xf>
    <xf numFmtId="167" fontId="0" fillId="0" borderId="0" xfId="15262" applyNumberFormat="1" applyFont="1" applyFill="1" applyAlignment="1">
      <alignment horizontal="right"/>
    </xf>
    <xf numFmtId="0" fontId="78" fillId="0" borderId="0" xfId="0" applyFont="1" applyFill="1"/>
    <xf numFmtId="2" fontId="75" fillId="0" borderId="0" xfId="0" applyNumberFormat="1" applyFont="1" applyFill="1"/>
    <xf numFmtId="0" fontId="0" fillId="0" borderId="28" xfId="0" applyFill="1" applyBorder="1"/>
    <xf numFmtId="0" fontId="0" fillId="0" borderId="30" xfId="0" applyFill="1" applyBorder="1"/>
    <xf numFmtId="167" fontId="0" fillId="0" borderId="28" xfId="15262" applyNumberFormat="1" applyFont="1" applyFill="1" applyBorder="1"/>
    <xf numFmtId="0" fontId="0" fillId="0" borderId="29" xfId="0" applyFill="1" applyBorder="1"/>
    <xf numFmtId="0" fontId="80" fillId="0" borderId="0" xfId="0" applyFont="1" applyFill="1"/>
    <xf numFmtId="0" fontId="0" fillId="0" borderId="0" xfId="0" applyFill="1" applyAlignment="1">
      <alignment horizontal="center"/>
    </xf>
    <xf numFmtId="168" fontId="75" fillId="0" borderId="0" xfId="0" applyNumberFormat="1" applyFont="1" applyFill="1" applyAlignment="1">
      <alignment horizontal="center" vertical="center"/>
    </xf>
    <xf numFmtId="168" fontId="75" fillId="0" borderId="5" xfId="0" applyNumberFormat="1" applyFont="1" applyFill="1" applyBorder="1" applyAlignment="1">
      <alignment horizontal="center" vertical="center"/>
    </xf>
    <xf numFmtId="14" fontId="75" fillId="0" borderId="5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" fontId="77" fillId="0" borderId="0" xfId="0" applyNumberFormat="1" applyFont="1" applyFill="1"/>
    <xf numFmtId="0" fontId="81" fillId="0" borderId="0" xfId="0" applyFont="1" applyFill="1"/>
    <xf numFmtId="2" fontId="77" fillId="0" borderId="0" xfId="0" applyNumberFormat="1" applyFont="1" applyFill="1"/>
    <xf numFmtId="167" fontId="79" fillId="0" borderId="0" xfId="15262" applyNumberFormat="1" applyFont="1" applyFill="1" applyAlignment="1">
      <alignment horizontal="right"/>
    </xf>
    <xf numFmtId="0" fontId="81" fillId="69" borderId="0" xfId="0" applyFont="1" applyFill="1"/>
    <xf numFmtId="0" fontId="0" fillId="69" borderId="0" xfId="0" applyFill="1"/>
    <xf numFmtId="169" fontId="0" fillId="69" borderId="37" xfId="0" applyNumberFormat="1" applyFill="1" applyBorder="1"/>
    <xf numFmtId="169" fontId="0" fillId="69" borderId="0" xfId="0" applyNumberFormat="1" applyFill="1"/>
    <xf numFmtId="170" fontId="0" fillId="69" borderId="0" xfId="15264" applyNumberFormat="1" applyFont="1" applyFill="1"/>
    <xf numFmtId="169" fontId="0" fillId="69" borderId="0" xfId="0" applyNumberFormat="1" applyFill="1" applyBorder="1"/>
    <xf numFmtId="9" fontId="0" fillId="69" borderId="0" xfId="15264" applyFont="1" applyFill="1"/>
    <xf numFmtId="169" fontId="0" fillId="69" borderId="0" xfId="15263" applyNumberFormat="1" applyFont="1" applyFill="1" applyBorder="1"/>
    <xf numFmtId="167" fontId="0" fillId="70" borderId="0" xfId="15262" applyNumberFormat="1" applyFont="1" applyFill="1"/>
    <xf numFmtId="0" fontId="88" fillId="0" borderId="46" xfId="0" applyFont="1" applyFill="1" applyBorder="1" applyAlignment="1">
      <alignment horizontal="center"/>
    </xf>
    <xf numFmtId="0" fontId="88" fillId="0" borderId="47" xfId="0" applyFont="1" applyFill="1" applyBorder="1" applyAlignment="1">
      <alignment horizontal="center"/>
    </xf>
    <xf numFmtId="0" fontId="88" fillId="0" borderId="48" xfId="0" applyFont="1" applyFill="1" applyBorder="1" applyAlignment="1">
      <alignment horizontal="center"/>
    </xf>
    <xf numFmtId="0" fontId="89" fillId="0" borderId="47" xfId="0" applyFont="1" applyFill="1" applyBorder="1"/>
    <xf numFmtId="0" fontId="88" fillId="0" borderId="49" xfId="0" applyFont="1" applyFill="1" applyBorder="1" applyAlignment="1">
      <alignment horizontal="center"/>
    </xf>
    <xf numFmtId="0" fontId="88" fillId="0" borderId="50" xfId="0" applyFont="1" applyFill="1" applyBorder="1" applyAlignment="1">
      <alignment horizontal="center"/>
    </xf>
    <xf numFmtId="0" fontId="88" fillId="0" borderId="51" xfId="0" applyFont="1" applyFill="1" applyBorder="1" applyAlignment="1">
      <alignment horizontal="center"/>
    </xf>
    <xf numFmtId="37" fontId="88" fillId="0" borderId="50" xfId="0" applyNumberFormat="1" applyFont="1" applyFill="1" applyBorder="1" applyAlignment="1">
      <alignment horizontal="center" wrapText="1"/>
    </xf>
    <xf numFmtId="44" fontId="0" fillId="0" borderId="0" xfId="0" applyNumberFormat="1" applyFill="1"/>
    <xf numFmtId="167" fontId="75" fillId="0" borderId="27" xfId="15262" applyNumberFormat="1" applyFont="1" applyFill="1" applyBorder="1"/>
    <xf numFmtId="43" fontId="0" fillId="0" borderId="0" xfId="0" applyNumberFormat="1" applyFill="1"/>
    <xf numFmtId="0" fontId="0" fillId="70" borderId="0" xfId="0" applyFill="1"/>
    <xf numFmtId="1" fontId="0" fillId="0" borderId="0" xfId="0" applyNumberFormat="1"/>
    <xf numFmtId="0" fontId="81" fillId="0" borderId="0" xfId="0" applyFont="1"/>
    <xf numFmtId="0" fontId="81" fillId="0" borderId="0" xfId="0" applyFont="1" applyAlignment="1">
      <alignment horizontal="center"/>
    </xf>
    <xf numFmtId="43" fontId="81" fillId="0" borderId="0" xfId="15262" applyFont="1"/>
    <xf numFmtId="1" fontId="81" fillId="0" borderId="0" xfId="15262" applyNumberFormat="1" applyFont="1"/>
    <xf numFmtId="171" fontId="81" fillId="0" borderId="0" xfId="0" applyNumberFormat="1" applyFont="1"/>
    <xf numFmtId="0" fontId="90" fillId="0" borderId="0" xfId="0" applyFont="1" applyAlignment="1">
      <alignment horizontal="left"/>
    </xf>
    <xf numFmtId="14" fontId="81" fillId="0" borderId="0" xfId="0" applyNumberFormat="1" applyFont="1"/>
    <xf numFmtId="11" fontId="81" fillId="0" borderId="0" xfId="0" applyNumberFormat="1" applyFont="1"/>
    <xf numFmtId="17" fontId="81" fillId="0" borderId="0" xfId="0" applyNumberFormat="1" applyFont="1"/>
    <xf numFmtId="22" fontId="81" fillId="0" borderId="0" xfId="0" applyNumberFormat="1" applyFont="1"/>
    <xf numFmtId="0" fontId="0" fillId="71" borderId="0" xfId="0" applyFill="1"/>
    <xf numFmtId="0" fontId="81" fillId="71" borderId="0" xfId="0" applyFont="1" applyFill="1"/>
    <xf numFmtId="0" fontId="81" fillId="71" borderId="0" xfId="0" applyFont="1" applyFill="1" applyAlignment="1">
      <alignment horizontal="center"/>
    </xf>
    <xf numFmtId="43" fontId="81" fillId="71" borderId="0" xfId="15262" applyFont="1" applyFill="1"/>
    <xf numFmtId="1" fontId="81" fillId="71" borderId="0" xfId="15262" applyNumberFormat="1" applyFont="1" applyFill="1"/>
    <xf numFmtId="171" fontId="81" fillId="71" borderId="0" xfId="0" applyNumberFormat="1" applyFont="1" applyFill="1"/>
    <xf numFmtId="0" fontId="90" fillId="71" borderId="0" xfId="0" applyFont="1" applyFill="1" applyAlignment="1">
      <alignment horizontal="left"/>
    </xf>
    <xf numFmtId="14" fontId="81" fillId="71" borderId="0" xfId="0" applyNumberFormat="1" applyFont="1" applyFill="1"/>
    <xf numFmtId="0" fontId="81" fillId="70" borderId="0" xfId="0" applyFont="1" applyFill="1"/>
    <xf numFmtId="0" fontId="81" fillId="70" borderId="0" xfId="0" applyFont="1" applyFill="1" applyAlignment="1">
      <alignment horizontal="center"/>
    </xf>
    <xf numFmtId="43" fontId="81" fillId="70" borderId="0" xfId="15262" applyFont="1" applyFill="1"/>
    <xf numFmtId="1" fontId="81" fillId="70" borderId="0" xfId="15262" applyNumberFormat="1" applyFont="1" applyFill="1"/>
    <xf numFmtId="171" fontId="81" fillId="70" borderId="0" xfId="0" applyNumberFormat="1" applyFont="1" applyFill="1"/>
    <xf numFmtId="0" fontId="90" fillId="70" borderId="0" xfId="0" applyFont="1" applyFill="1" applyAlignment="1">
      <alignment horizontal="left"/>
    </xf>
    <xf numFmtId="0" fontId="57" fillId="72" borderId="0" xfId="0" applyFont="1" applyFill="1"/>
    <xf numFmtId="0" fontId="60" fillId="72" borderId="34" xfId="0" applyFont="1" applyFill="1" applyBorder="1" applyAlignment="1">
      <alignment horizontal="center" wrapText="1"/>
    </xf>
    <xf numFmtId="1" fontId="60" fillId="72" borderId="34" xfId="0" applyNumberFormat="1" applyFont="1" applyFill="1" applyBorder="1" applyAlignment="1">
      <alignment horizontal="center" wrapText="1"/>
    </xf>
    <xf numFmtId="1" fontId="57" fillId="72" borderId="0" xfId="0" applyNumberFormat="1" applyFont="1" applyFill="1"/>
    <xf numFmtId="0" fontId="57" fillId="73" borderId="0" xfId="0" applyFont="1" applyFill="1"/>
    <xf numFmtId="0" fontId="57" fillId="72" borderId="0" xfId="0" applyFont="1" applyFill="1" applyAlignment="1">
      <alignment horizontal="right"/>
    </xf>
    <xf numFmtId="0" fontId="81" fillId="67" borderId="55" xfId="0" applyFont="1" applyFill="1" applyBorder="1" applyAlignment="1">
      <alignment horizontal="left"/>
    </xf>
    <xf numFmtId="0" fontId="91" fillId="72" borderId="0" xfId="0" applyFont="1" applyFill="1"/>
    <xf numFmtId="14" fontId="81" fillId="67" borderId="55" xfId="0" applyNumberFormat="1" applyFont="1" applyFill="1" applyBorder="1"/>
    <xf numFmtId="0" fontId="92" fillId="72" borderId="0" xfId="0" applyFont="1" applyFill="1"/>
    <xf numFmtId="49" fontId="81" fillId="67" borderId="55" xfId="0" applyNumberFormat="1" applyFont="1" applyFill="1" applyBorder="1" applyAlignment="1">
      <alignment horizontal="left"/>
    </xf>
    <xf numFmtId="0" fontId="81" fillId="67" borderId="55" xfId="0" applyFont="1" applyFill="1" applyBorder="1"/>
    <xf numFmtId="0" fontId="0" fillId="74" borderId="0" xfId="0" applyFill="1" applyAlignment="1">
      <alignment horizontal="left"/>
    </xf>
    <xf numFmtId="0" fontId="57" fillId="72" borderId="0" xfId="0" applyFont="1" applyFill="1" applyAlignment="1">
      <alignment horizontal="left"/>
    </xf>
    <xf numFmtId="0" fontId="57" fillId="72" borderId="0" xfId="0" applyFont="1" applyFill="1" applyAlignment="1">
      <alignment horizontal="center"/>
    </xf>
    <xf numFmtId="0" fontId="94" fillId="72" borderId="0" xfId="0" applyFont="1" applyFill="1"/>
    <xf numFmtId="1" fontId="81" fillId="0" borderId="0" xfId="0" applyNumberFormat="1" applyFont="1"/>
    <xf numFmtId="0" fontId="75" fillId="75" borderId="0" xfId="0" applyFont="1" applyFill="1" applyAlignment="1">
      <alignment horizontal="left"/>
    </xf>
    <xf numFmtId="0" fontId="75" fillId="75" borderId="0" xfId="0" applyFont="1" applyFill="1" applyAlignment="1">
      <alignment horizontal="right"/>
    </xf>
    <xf numFmtId="43" fontId="57" fillId="72" borderId="0" xfId="0" applyNumberFormat="1" applyFont="1" applyFill="1"/>
    <xf numFmtId="0" fontId="95" fillId="72" borderId="0" xfId="0" applyFont="1" applyFill="1"/>
    <xf numFmtId="0" fontId="60" fillId="76" borderId="0" xfId="0" applyFont="1" applyFill="1"/>
    <xf numFmtId="0" fontId="60" fillId="76" borderId="0" xfId="0" applyFont="1" applyFill="1" applyAlignment="1">
      <alignment wrapText="1"/>
    </xf>
    <xf numFmtId="172" fontId="0" fillId="70" borderId="0" xfId="15262" applyNumberFormat="1" applyFont="1" applyFill="1"/>
    <xf numFmtId="0" fontId="81" fillId="70" borderId="0" xfId="0" applyFont="1" applyFill="1" applyAlignment="1">
      <alignment horizontal="right"/>
    </xf>
    <xf numFmtId="167" fontId="57" fillId="72" borderId="0" xfId="0" applyNumberFormat="1" applyFont="1" applyFill="1"/>
    <xf numFmtId="0" fontId="0" fillId="70" borderId="0" xfId="0" applyFill="1" applyAlignment="1">
      <alignment horizontal="right"/>
    </xf>
    <xf numFmtId="14" fontId="0" fillId="0" borderId="0" xfId="0" applyNumberFormat="1" applyFill="1"/>
    <xf numFmtId="0" fontId="79" fillId="0" borderId="0" xfId="0" applyFont="1" applyAlignment="1">
      <alignment horizontal="right"/>
    </xf>
    <xf numFmtId="0" fontId="97" fillId="0" borderId="0" xfId="0" quotePrefix="1" applyFont="1" applyAlignment="1">
      <alignment horizontal="center"/>
    </xf>
    <xf numFmtId="14" fontId="81" fillId="70" borderId="0" xfId="0" applyNumberFormat="1" applyFont="1" applyFill="1"/>
    <xf numFmtId="168" fontId="57" fillId="72" borderId="0" xfId="0" applyNumberFormat="1" applyFont="1" applyFill="1"/>
    <xf numFmtId="168" fontId="0" fillId="70" borderId="0" xfId="0" applyNumberFormat="1" applyFill="1"/>
    <xf numFmtId="168" fontId="0" fillId="71" borderId="0" xfId="0" applyNumberFormat="1" applyFill="1"/>
    <xf numFmtId="167" fontId="0" fillId="71" borderId="0" xfId="15262" applyNumberFormat="1" applyFont="1" applyFill="1"/>
    <xf numFmtId="37" fontId="16" fillId="0" borderId="0" xfId="15272" applyNumberFormat="1" applyAlignment="1">
      <alignment horizontal="center"/>
    </xf>
    <xf numFmtId="173" fontId="98" fillId="0" borderId="0" xfId="15272" applyNumberFormat="1" applyFont="1"/>
    <xf numFmtId="173" fontId="16" fillId="0" borderId="0" xfId="15272" applyNumberFormat="1"/>
    <xf numFmtId="37" fontId="16" fillId="0" borderId="0" xfId="15272" applyNumberFormat="1"/>
    <xf numFmtId="167" fontId="99" fillId="67" borderId="59" xfId="15262" applyNumberFormat="1" applyFont="1" applyFill="1" applyBorder="1" applyAlignment="1">
      <alignment horizontal="right" vertical="top"/>
    </xf>
    <xf numFmtId="37" fontId="99" fillId="0" borderId="0" xfId="15272" applyNumberFormat="1" applyFont="1" applyAlignment="1">
      <alignment horizontal="center"/>
    </xf>
    <xf numFmtId="37" fontId="99" fillId="0" borderId="0" xfId="15272" applyNumberFormat="1" applyFont="1" applyAlignment="1">
      <alignment horizontal="right"/>
    </xf>
    <xf numFmtId="0" fontId="100" fillId="0" borderId="0" xfId="0" applyFont="1"/>
    <xf numFmtId="173" fontId="99" fillId="0" borderId="0" xfId="15272" applyNumberFormat="1" applyFont="1"/>
    <xf numFmtId="0" fontId="16" fillId="0" borderId="0" xfId="15272" applyAlignment="1">
      <alignment horizontal="center"/>
    </xf>
    <xf numFmtId="174" fontId="16" fillId="0" borderId="0" xfId="15272" applyNumberFormat="1"/>
    <xf numFmtId="174" fontId="101" fillId="0" borderId="0" xfId="15272" applyNumberFormat="1" applyFont="1"/>
    <xf numFmtId="167" fontId="16" fillId="0" borderId="0" xfId="15262" quotePrefix="1" applyNumberFormat="1" applyFont="1" applyAlignment="1">
      <alignment vertical="top"/>
    </xf>
    <xf numFmtId="0" fontId="16" fillId="78" borderId="60" xfId="15272" applyFill="1" applyBorder="1" applyAlignment="1">
      <alignment horizontal="left" vertical="top"/>
    </xf>
    <xf numFmtId="167" fontId="16" fillId="0" borderId="0" xfId="15262" applyNumberFormat="1" applyFont="1" applyAlignment="1">
      <alignment vertical="top"/>
    </xf>
    <xf numFmtId="0" fontId="16" fillId="78" borderId="60" xfId="15272" applyFill="1" applyBorder="1" applyAlignment="1">
      <alignment horizontal="center" vertical="top"/>
    </xf>
    <xf numFmtId="175" fontId="16" fillId="78" borderId="60" xfId="15272" applyNumberFormat="1" applyFill="1" applyBorder="1" applyAlignment="1">
      <alignment horizontal="center" vertical="top"/>
    </xf>
    <xf numFmtId="49" fontId="16" fillId="78" borderId="60" xfId="15272" applyNumberFormat="1" applyFill="1" applyBorder="1" applyAlignment="1">
      <alignment vertical="top" wrapText="1"/>
    </xf>
    <xf numFmtId="175" fontId="16" fillId="77" borderId="60" xfId="15272" applyNumberFormat="1" applyFill="1" applyBorder="1" applyAlignment="1">
      <alignment vertical="top"/>
    </xf>
    <xf numFmtId="167" fontId="99" fillId="77" borderId="60" xfId="15262" applyNumberFormat="1" applyFont="1" applyFill="1" applyBorder="1" applyAlignment="1">
      <alignment horizontal="right" vertical="top"/>
    </xf>
    <xf numFmtId="167" fontId="16" fillId="78" borderId="61" xfId="15262" applyNumberFormat="1" applyFont="1" applyFill="1" applyBorder="1" applyAlignment="1">
      <alignment vertical="top"/>
    </xf>
    <xf numFmtId="167" fontId="16" fillId="78" borderId="60" xfId="15262" applyNumberFormat="1" applyFont="1" applyFill="1" applyBorder="1" applyAlignment="1">
      <alignment vertical="top"/>
    </xf>
    <xf numFmtId="167" fontId="16" fillId="79" borderId="62" xfId="15262" applyNumberFormat="1" applyFont="1" applyFill="1" applyBorder="1" applyAlignment="1">
      <alignment vertical="top"/>
    </xf>
    <xf numFmtId="0" fontId="16" fillId="79" borderId="60" xfId="15272" applyFill="1" applyBorder="1" applyAlignment="1">
      <alignment horizontal="center" vertical="top"/>
    </xf>
    <xf numFmtId="49" fontId="16" fillId="78" borderId="60" xfId="15272" applyNumberFormat="1" applyFill="1" applyBorder="1" applyAlignment="1">
      <alignment horizontal="center" vertical="top"/>
    </xf>
    <xf numFmtId="49" fontId="16" fillId="78" borderId="60" xfId="15272" applyNumberFormat="1" applyFill="1" applyBorder="1" applyAlignment="1">
      <alignment horizontal="left" vertical="top"/>
    </xf>
    <xf numFmtId="175" fontId="16" fillId="0" borderId="60" xfId="15272" applyNumberFormat="1" applyBorder="1" applyAlignment="1">
      <alignment horizontal="center" vertical="top"/>
    </xf>
    <xf numFmtId="49" fontId="16" fillId="78" borderId="60" xfId="15272" applyNumberFormat="1" applyFill="1" applyBorder="1" applyAlignment="1">
      <alignment horizontal="left" vertical="top" wrapText="1"/>
    </xf>
    <xf numFmtId="176" fontId="16" fillId="78" borderId="60" xfId="15272" quotePrefix="1" applyNumberFormat="1" applyFill="1" applyBorder="1" applyAlignment="1">
      <alignment horizontal="left" vertical="top"/>
    </xf>
    <xf numFmtId="176" fontId="102" fillId="80" borderId="60" xfId="15272" quotePrefix="1" applyNumberFormat="1" applyFont="1" applyFill="1" applyBorder="1" applyAlignment="1">
      <alignment horizontal="left" vertical="top"/>
    </xf>
    <xf numFmtId="0" fontId="57" fillId="0" borderId="0" xfId="0" applyFont="1" applyAlignment="1">
      <alignment vertical="top"/>
    </xf>
    <xf numFmtId="49" fontId="0" fillId="0" borderId="0" xfId="0" applyNumberFormat="1"/>
    <xf numFmtId="0" fontId="69" fillId="78" borderId="60" xfId="2894" applyFill="1" applyBorder="1" applyAlignment="1">
      <alignment horizontal="left" vertical="top"/>
    </xf>
    <xf numFmtId="37" fontId="101" fillId="0" borderId="0" xfId="15272" applyNumberFormat="1" applyFont="1" applyAlignment="1">
      <alignment horizontal="center"/>
    </xf>
    <xf numFmtId="37" fontId="99" fillId="0" borderId="34" xfId="15272" applyNumberFormat="1" applyFont="1" applyBorder="1" applyAlignment="1">
      <alignment horizontal="center" wrapText="1"/>
    </xf>
    <xf numFmtId="1" fontId="103" fillId="0" borderId="0" xfId="15272" applyNumberFormat="1" applyFont="1" applyAlignment="1">
      <alignment horizontal="center"/>
    </xf>
    <xf numFmtId="175" fontId="99" fillId="67" borderId="34" xfId="15272" applyNumberFormat="1" applyFont="1" applyFill="1" applyBorder="1" applyAlignment="1">
      <alignment horizontal="center"/>
    </xf>
    <xf numFmtId="37" fontId="104" fillId="0" borderId="0" xfId="15272" applyNumberFormat="1" applyFont="1" applyAlignment="1">
      <alignment horizontal="center"/>
    </xf>
    <xf numFmtId="177" fontId="99" fillId="0" borderId="63" xfId="15272" applyNumberFormat="1" applyFont="1" applyBorder="1" applyAlignment="1">
      <alignment horizontal="center"/>
    </xf>
    <xf numFmtId="177" fontId="99" fillId="0" borderId="27" xfId="15272" applyNumberFormat="1" applyFont="1" applyBorder="1" applyAlignment="1">
      <alignment horizontal="center"/>
    </xf>
    <xf numFmtId="177" fontId="99" fillId="0" borderId="64" xfId="15272" applyNumberFormat="1" applyFont="1" applyBorder="1" applyAlignment="1">
      <alignment horizontal="center"/>
    </xf>
    <xf numFmtId="37" fontId="99" fillId="0" borderId="34" xfId="15272" applyNumberFormat="1" applyFont="1" applyBorder="1" applyAlignment="1">
      <alignment horizontal="left" wrapText="1"/>
    </xf>
    <xf numFmtId="37" fontId="105" fillId="0" borderId="34" xfId="15272" applyNumberFormat="1" applyFont="1" applyBorder="1" applyAlignment="1">
      <alignment horizontal="center" wrapText="1"/>
    </xf>
    <xf numFmtId="0" fontId="0" fillId="0" borderId="0" xfId="0" applyAlignment="1">
      <alignment horizontal="centerContinuous"/>
    </xf>
    <xf numFmtId="37" fontId="104" fillId="0" borderId="0" xfId="15272" applyNumberFormat="1" applyFont="1" applyAlignment="1">
      <alignment horizontal="centerContinuous"/>
    </xf>
    <xf numFmtId="37" fontId="106" fillId="0" borderId="0" xfId="15272" applyNumberFormat="1" applyFont="1" applyAlignment="1">
      <alignment horizontal="centerContinuous"/>
    </xf>
    <xf numFmtId="37" fontId="104" fillId="0" borderId="0" xfId="15272" applyNumberFormat="1" applyFont="1"/>
    <xf numFmtId="37" fontId="107" fillId="81" borderId="5" xfId="15272" applyNumberFormat="1" applyFont="1" applyFill="1" applyBorder="1" applyAlignment="1">
      <alignment horizontal="center"/>
    </xf>
    <xf numFmtId="37" fontId="108" fillId="81" borderId="5" xfId="15272" applyNumberFormat="1" applyFont="1" applyFill="1" applyBorder="1" applyAlignment="1">
      <alignment horizontal="center"/>
    </xf>
    <xf numFmtId="37" fontId="108" fillId="81" borderId="5" xfId="15272" applyNumberFormat="1" applyFont="1" applyFill="1" applyBorder="1" applyAlignment="1">
      <alignment horizontal="left"/>
    </xf>
    <xf numFmtId="49" fontId="109" fillId="0" borderId="0" xfId="15272" applyNumberFormat="1" applyFont="1" applyAlignment="1">
      <alignment horizontal="center"/>
    </xf>
    <xf numFmtId="37" fontId="16" fillId="0" borderId="0" xfId="15272" applyNumberFormat="1" applyAlignment="1">
      <alignment horizontal="left"/>
    </xf>
    <xf numFmtId="37" fontId="110" fillId="0" borderId="0" xfId="15272" applyNumberFormat="1" applyFont="1"/>
    <xf numFmtId="37" fontId="110" fillId="0" borderId="0" xfId="15272" applyNumberFormat="1" applyFont="1" applyAlignment="1">
      <alignment wrapText="1"/>
    </xf>
    <xf numFmtId="49" fontId="99" fillId="0" borderId="0" xfId="15272" applyNumberFormat="1" applyFont="1" applyAlignment="1">
      <alignment horizontal="left"/>
    </xf>
    <xf numFmtId="0" fontId="99" fillId="78" borderId="0" xfId="15272" applyFont="1" applyFill="1" applyAlignment="1">
      <alignment horizontal="left"/>
    </xf>
    <xf numFmtId="49" fontId="108" fillId="0" borderId="0" xfId="0" applyNumberFormat="1" applyFont="1" applyAlignment="1">
      <alignment horizontal="right"/>
    </xf>
    <xf numFmtId="49" fontId="108" fillId="0" borderId="0" xfId="0" applyNumberFormat="1" applyFont="1"/>
    <xf numFmtId="49" fontId="108" fillId="0" borderId="0" xfId="0" applyNumberFormat="1" applyFont="1" applyAlignment="1">
      <alignment horizontal="left"/>
    </xf>
    <xf numFmtId="0" fontId="111" fillId="0" borderId="0" xfId="0" applyFont="1" applyAlignment="1">
      <alignment horizontal="right"/>
    </xf>
    <xf numFmtId="37" fontId="112" fillId="0" borderId="0" xfId="15272" applyNumberFormat="1" applyFont="1"/>
    <xf numFmtId="49" fontId="99" fillId="79" borderId="0" xfId="15272" applyNumberFormat="1" applyFont="1" applyFill="1" applyAlignment="1">
      <alignment horizontal="left"/>
    </xf>
    <xf numFmtId="0" fontId="108" fillId="0" borderId="0" xfId="0" applyFont="1" applyAlignment="1">
      <alignment horizontal="right"/>
    </xf>
    <xf numFmtId="0" fontId="108" fillId="0" borderId="0" xfId="0" applyFont="1"/>
    <xf numFmtId="0" fontId="108" fillId="0" borderId="0" xfId="0" applyFont="1" applyAlignment="1">
      <alignment horizontal="left"/>
    </xf>
    <xf numFmtId="0" fontId="75" fillId="82" borderId="0" xfId="0" applyFont="1" applyFill="1"/>
    <xf numFmtId="0" fontId="0" fillId="79" borderId="0" xfId="0" applyFill="1"/>
    <xf numFmtId="0" fontId="75" fillId="79" borderId="0" xfId="0" applyFont="1" applyFill="1" applyAlignment="1">
      <alignment horizontal="right"/>
    </xf>
    <xf numFmtId="0" fontId="57" fillId="79" borderId="0" xfId="0" applyFont="1" applyFill="1"/>
    <xf numFmtId="0" fontId="0" fillId="83" borderId="0" xfId="0" applyFill="1"/>
    <xf numFmtId="0" fontId="75" fillId="78" borderId="0" xfId="0" applyFont="1" applyFill="1" applyAlignment="1">
      <alignment horizontal="right"/>
    </xf>
    <xf numFmtId="0" fontId="0" fillId="78" borderId="0" xfId="0" applyFill="1"/>
    <xf numFmtId="0" fontId="0" fillId="83" borderId="0" xfId="0" applyFill="1" applyAlignment="1">
      <alignment horizontal="right"/>
    </xf>
    <xf numFmtId="0" fontId="90" fillId="79" borderId="0" xfId="0" applyFont="1" applyFill="1" applyAlignment="1">
      <alignment horizontal="right"/>
    </xf>
    <xf numFmtId="0" fontId="75" fillId="82" borderId="0" xfId="0" applyFont="1" applyFill="1" applyAlignment="1">
      <alignment horizontal="centerContinuous"/>
    </xf>
    <xf numFmtId="0" fontId="76" fillId="78" borderId="0" xfId="0" applyFont="1" applyFill="1"/>
    <xf numFmtId="0" fontId="0" fillId="78" borderId="0" xfId="0" applyFill="1" applyAlignment="1">
      <alignment horizontal="right"/>
    </xf>
    <xf numFmtId="0" fontId="0" fillId="78" borderId="0" xfId="0" quotePrefix="1" applyFill="1"/>
    <xf numFmtId="0" fontId="0" fillId="79" borderId="0" xfId="0" applyFill="1" applyAlignment="1">
      <alignment horizontal="right"/>
    </xf>
    <xf numFmtId="0" fontId="113" fillId="82" borderId="0" xfId="0" applyFont="1" applyFill="1"/>
    <xf numFmtId="0" fontId="114" fillId="0" borderId="0" xfId="0" applyFont="1"/>
    <xf numFmtId="0" fontId="114" fillId="79" borderId="0" xfId="0" applyFont="1" applyFill="1"/>
    <xf numFmtId="0" fontId="113" fillId="0" borderId="0" xfId="0" applyFont="1"/>
    <xf numFmtId="0" fontId="114" fillId="82" borderId="0" xfId="0" applyFont="1" applyFill="1"/>
    <xf numFmtId="0" fontId="113" fillId="0" borderId="0" xfId="15273" applyFont="1" applyAlignment="1">
      <alignment horizontal="center"/>
    </xf>
    <xf numFmtId="0" fontId="113" fillId="0" borderId="0" xfId="0" applyFont="1" applyAlignment="1">
      <alignment horizontal="center"/>
    </xf>
    <xf numFmtId="0" fontId="114" fillId="0" borderId="0" xfId="0" applyFont="1" applyAlignment="1">
      <alignment horizontal="right"/>
    </xf>
    <xf numFmtId="167" fontId="114" fillId="0" borderId="0" xfId="0" applyNumberFormat="1" applyFont="1"/>
    <xf numFmtId="0" fontId="114" fillId="0" borderId="59" xfId="0" applyFont="1" applyBorder="1"/>
    <xf numFmtId="167" fontId="113" fillId="0" borderId="59" xfId="0" applyNumberFormat="1" applyFont="1" applyBorder="1"/>
    <xf numFmtId="0" fontId="115" fillId="0" borderId="0" xfId="0" applyFont="1" applyAlignment="1">
      <alignment horizontal="right"/>
    </xf>
    <xf numFmtId="37" fontId="117" fillId="81" borderId="0" xfId="15272" applyNumberFormat="1" applyFont="1" applyFill="1" applyBorder="1" applyAlignment="1">
      <alignment horizontal="center"/>
    </xf>
    <xf numFmtId="1" fontId="118" fillId="0" borderId="0" xfId="15272" applyNumberFormat="1" applyFont="1" applyAlignment="1">
      <alignment horizontal="center"/>
    </xf>
    <xf numFmtId="37" fontId="116" fillId="0" borderId="0" xfId="15272" applyNumberFormat="1" applyFont="1" applyAlignment="1">
      <alignment horizontal="center"/>
    </xf>
    <xf numFmtId="0" fontId="113" fillId="82" borderId="0" xfId="0" applyFont="1" applyFill="1" applyAlignment="1"/>
    <xf numFmtId="0" fontId="114" fillId="0" borderId="0" xfId="0" applyFont="1" applyAlignment="1"/>
    <xf numFmtId="167" fontId="116" fillId="0" borderId="0" xfId="15262" quotePrefix="1" applyNumberFormat="1" applyFont="1" applyAlignment="1"/>
    <xf numFmtId="0" fontId="114" fillId="79" borderId="0" xfId="0" applyFont="1" applyFill="1" applyAlignment="1"/>
    <xf numFmtId="167" fontId="116" fillId="0" borderId="5" xfId="15262" quotePrefix="1" applyNumberFormat="1" applyFont="1" applyBorder="1" applyAlignment="1">
      <alignment wrapText="1"/>
    </xf>
    <xf numFmtId="0" fontId="114" fillId="0" borderId="5" xfId="0" applyFont="1" applyFill="1" applyBorder="1"/>
    <xf numFmtId="0" fontId="114" fillId="0" borderId="5" xfId="0" applyFont="1" applyBorder="1"/>
    <xf numFmtId="167" fontId="116" fillId="0" borderId="26" xfId="15262" quotePrefix="1" applyNumberFormat="1" applyFont="1" applyBorder="1" applyAlignment="1">
      <alignment wrapText="1"/>
    </xf>
    <xf numFmtId="0" fontId="114" fillId="0" borderId="26" xfId="0" applyFont="1" applyFill="1" applyBorder="1"/>
    <xf numFmtId="0" fontId="114" fillId="0" borderId="0" xfId="0" applyFont="1" applyAlignment="1">
      <alignment wrapText="1"/>
    </xf>
    <xf numFmtId="0" fontId="114" fillId="0" borderId="5" xfId="0" applyFont="1" applyBorder="1" applyAlignment="1">
      <alignment wrapText="1"/>
    </xf>
    <xf numFmtId="0" fontId="114" fillId="0" borderId="26" xfId="0" applyFont="1" applyBorder="1" applyAlignment="1">
      <alignment wrapText="1"/>
    </xf>
    <xf numFmtId="0" fontId="114" fillId="0" borderId="5" xfId="0" applyFont="1" applyFill="1" applyBorder="1" applyAlignment="1">
      <alignment wrapText="1"/>
    </xf>
    <xf numFmtId="0" fontId="81" fillId="67" borderId="55" xfId="0" applyFont="1" applyFill="1" applyBorder="1" applyAlignment="1">
      <alignment horizontal="left"/>
    </xf>
    <xf numFmtId="0" fontId="75" fillId="0" borderId="58" xfId="0" applyFont="1" applyFill="1" applyBorder="1" applyAlignment="1">
      <alignment horizontal="center"/>
    </xf>
    <xf numFmtId="0" fontId="77" fillId="0" borderId="5" xfId="0" applyFont="1" applyFill="1" applyBorder="1" applyAlignment="1">
      <alignment wrapText="1"/>
    </xf>
    <xf numFmtId="167" fontId="116" fillId="0" borderId="5" xfId="15262" quotePrefix="1" applyNumberFormat="1" applyFont="1" applyFill="1" applyBorder="1" applyAlignment="1">
      <alignment wrapText="1"/>
    </xf>
    <xf numFmtId="0" fontId="81" fillId="71" borderId="0" xfId="0" applyFont="1" applyFill="1" applyAlignment="1">
      <alignment horizontal="right"/>
    </xf>
    <xf numFmtId="167" fontId="109" fillId="77" borderId="60" xfId="15262" applyNumberFormat="1" applyFont="1" applyFill="1" applyBorder="1" applyAlignment="1">
      <alignment horizontal="right" vertical="top"/>
    </xf>
    <xf numFmtId="0" fontId="113" fillId="0" borderId="0" xfId="0" applyFont="1" applyFill="1"/>
    <xf numFmtId="0" fontId="114" fillId="0" borderId="0" xfId="0" applyFont="1" applyFill="1"/>
    <xf numFmtId="0" fontId="81" fillId="72" borderId="0" xfId="0" applyFont="1" applyFill="1"/>
    <xf numFmtId="0" fontId="75" fillId="78" borderId="0" xfId="0" applyFont="1" applyFill="1"/>
    <xf numFmtId="0" fontId="75" fillId="84" borderId="58" xfId="0" applyFont="1" applyFill="1" applyBorder="1"/>
    <xf numFmtId="0" fontId="75" fillId="84" borderId="65" xfId="0" applyFont="1" applyFill="1" applyBorder="1" applyAlignment="1">
      <alignment horizontal="left"/>
    </xf>
    <xf numFmtId="167" fontId="75" fillId="84" borderId="65" xfId="0" applyNumberFormat="1" applyFont="1" applyFill="1" applyBorder="1"/>
    <xf numFmtId="0" fontId="75" fillId="67" borderId="0" xfId="0" applyFont="1" applyFill="1" applyAlignment="1">
      <alignment horizontal="left"/>
    </xf>
    <xf numFmtId="0" fontId="114" fillId="0" borderId="0" xfId="0" applyFont="1" applyFill="1" applyAlignment="1"/>
    <xf numFmtId="0" fontId="114" fillId="0" borderId="0" xfId="0" applyFont="1" applyFill="1" applyAlignment="1">
      <alignment horizontal="right"/>
    </xf>
    <xf numFmtId="167" fontId="114" fillId="0" borderId="0" xfId="0" applyNumberFormat="1" applyFont="1" applyFill="1"/>
    <xf numFmtId="167" fontId="114" fillId="0" borderId="0" xfId="15262" applyNumberFormat="1" applyFont="1" applyFill="1"/>
    <xf numFmtId="167" fontId="99" fillId="67" borderId="60" xfId="15262" applyNumberFormat="1" applyFont="1" applyFill="1" applyBorder="1" applyAlignment="1">
      <alignment horizontal="right" vertical="top"/>
    </xf>
    <xf numFmtId="167" fontId="109" fillId="67" borderId="60" xfId="15262" applyNumberFormat="1" applyFont="1" applyFill="1" applyBorder="1" applyAlignment="1">
      <alignment horizontal="right" vertical="top"/>
    </xf>
    <xf numFmtId="0" fontId="113" fillId="0" borderId="0" xfId="0" applyFont="1" applyAlignment="1">
      <alignment horizontal="right"/>
    </xf>
    <xf numFmtId="167" fontId="113" fillId="0" borderId="0" xfId="0" applyNumberFormat="1" applyFont="1"/>
    <xf numFmtId="167" fontId="0" fillId="71" borderId="0" xfId="0" applyNumberFormat="1" applyFill="1"/>
    <xf numFmtId="14" fontId="75" fillId="0" borderId="0" xfId="0" applyNumberFormat="1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14" fontId="75" fillId="0" borderId="0" xfId="0" applyNumberFormat="1" applyFont="1" applyFill="1" applyAlignment="1">
      <alignment horizontal="left"/>
    </xf>
    <xf numFmtId="0" fontId="75" fillId="0" borderId="0" xfId="0" applyFont="1" applyFill="1" applyAlignment="1">
      <alignment horizontal="center" vertical="center" wrapText="1"/>
    </xf>
    <xf numFmtId="0" fontId="81" fillId="67" borderId="55" xfId="0" applyFont="1" applyFill="1" applyBorder="1" applyAlignment="1">
      <alignment horizontal="left"/>
    </xf>
    <xf numFmtId="49" fontId="81" fillId="67" borderId="57" xfId="0" applyNumberFormat="1" applyFont="1" applyFill="1" applyBorder="1" applyAlignment="1">
      <alignment horizontal="left"/>
    </xf>
    <xf numFmtId="49" fontId="81" fillId="67" borderId="56" xfId="0" applyNumberFormat="1" applyFont="1" applyFill="1" applyBorder="1" applyAlignment="1">
      <alignment horizontal="left"/>
    </xf>
    <xf numFmtId="0" fontId="93" fillId="72" borderId="0" xfId="0" applyFont="1" applyFill="1" applyAlignment="1">
      <alignment horizontal="center"/>
    </xf>
    <xf numFmtId="14" fontId="96" fillId="67" borderId="0" xfId="0" applyNumberFormat="1" applyFont="1" applyFill="1" applyAlignment="1">
      <alignment horizontal="center"/>
    </xf>
    <xf numFmtId="0" fontId="75" fillId="0" borderId="34" xfId="0" applyFont="1" applyFill="1" applyBorder="1" applyAlignment="1">
      <alignment horizontal="center" wrapText="1"/>
    </xf>
    <xf numFmtId="37" fontId="88" fillId="0" borderId="47" xfId="0" applyNumberFormat="1" applyFont="1" applyFill="1" applyBorder="1" applyAlignment="1">
      <alignment horizontal="center" wrapText="1"/>
    </xf>
    <xf numFmtId="37" fontId="88" fillId="0" borderId="50" xfId="0" applyNumberFormat="1" applyFont="1" applyFill="1" applyBorder="1" applyAlignment="1">
      <alignment horizontal="center" wrapText="1"/>
    </xf>
    <xf numFmtId="14" fontId="75" fillId="0" borderId="0" xfId="0" applyNumberFormat="1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5" fillId="0" borderId="52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14" fontId="75" fillId="0" borderId="0" xfId="0" applyNumberFormat="1" applyFont="1" applyFill="1" applyAlignment="1">
      <alignment horizontal="left"/>
    </xf>
    <xf numFmtId="0" fontId="75" fillId="0" borderId="37" xfId="0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75" fillId="0" borderId="0" xfId="0" applyFont="1" applyFill="1" applyAlignment="1">
      <alignment horizontal="center" vertical="center" wrapText="1"/>
    </xf>
    <xf numFmtId="14" fontId="0" fillId="0" borderId="0" xfId="0" applyNumberFormat="1" applyAlignment="1"/>
    <xf numFmtId="0" fontId="0" fillId="0" borderId="0" xfId="0" applyAlignment="1"/>
    <xf numFmtId="0" fontId="0" fillId="0" borderId="0" xfId="0" applyFill="1" applyAlignment="1">
      <alignment horizontal="right"/>
    </xf>
    <xf numFmtId="1" fontId="0" fillId="0" borderId="0" xfId="15262" applyNumberFormat="1" applyFont="1" applyFill="1"/>
    <xf numFmtId="168" fontId="0" fillId="0" borderId="0" xfId="15262" applyNumberFormat="1" applyFont="1" applyFill="1"/>
    <xf numFmtId="0" fontId="75" fillId="0" borderId="26" xfId="0" applyFont="1" applyFill="1" applyBorder="1"/>
    <xf numFmtId="0" fontId="97" fillId="0" borderId="0" xfId="0" quotePrefix="1" applyFont="1" applyFill="1" applyAlignment="1">
      <alignment horizontal="center"/>
    </xf>
    <xf numFmtId="0" fontId="75" fillId="0" borderId="27" xfId="0" applyFont="1" applyFill="1" applyBorder="1"/>
    <xf numFmtId="0" fontId="79" fillId="0" borderId="0" xfId="0" applyFont="1" applyFill="1" applyAlignment="1">
      <alignment horizontal="right"/>
    </xf>
    <xf numFmtId="0" fontId="57" fillId="0" borderId="0" xfId="0" applyFont="1" applyFill="1"/>
    <xf numFmtId="0" fontId="113" fillId="0" borderId="0" xfId="15273" applyFont="1" applyFill="1" applyAlignment="1">
      <alignment horizontal="center"/>
    </xf>
    <xf numFmtId="167" fontId="113" fillId="0" borderId="59" xfId="0" applyNumberFormat="1" applyFont="1" applyFill="1" applyBorder="1"/>
    <xf numFmtId="0" fontId="60" fillId="0" borderId="0" xfId="0" applyFont="1" applyFill="1"/>
  </cellXfs>
  <cellStyles count="15274">
    <cellStyle name="20% - Accent1 2" xfId="1" xr:uid="{00000000-0005-0000-0000-000000000000}"/>
    <cellStyle name="20% - Accent1 2 2" xfId="2" xr:uid="{00000000-0005-0000-0000-000001000000}"/>
    <cellStyle name="20% - Accent1 2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4 2" xfId="6" xr:uid="{00000000-0005-0000-0000-000005000000}"/>
    <cellStyle name="20% - Accent1 2 5" xfId="7" xr:uid="{00000000-0005-0000-0000-000006000000}"/>
    <cellStyle name="20% - Accent1 3" xfId="8" xr:uid="{00000000-0005-0000-0000-000007000000}"/>
    <cellStyle name="20% - Accent1 3 2" xfId="9" xr:uid="{00000000-0005-0000-0000-000008000000}"/>
    <cellStyle name="20% - Accent1 3 2 2" xfId="10" xr:uid="{00000000-0005-0000-0000-000009000000}"/>
    <cellStyle name="20% - Accent1 3 3" xfId="11" xr:uid="{00000000-0005-0000-0000-00000A000000}"/>
    <cellStyle name="20% - Accent1 3 4" xfId="12" xr:uid="{00000000-0005-0000-0000-00000B000000}"/>
    <cellStyle name="20% - Accent1 4" xfId="13" xr:uid="{00000000-0005-0000-0000-00000C000000}"/>
    <cellStyle name="20% - Accent1 4 2" xfId="14" xr:uid="{00000000-0005-0000-0000-00000D000000}"/>
    <cellStyle name="20% - Accent1 4 2 2" xfId="15" xr:uid="{00000000-0005-0000-0000-00000E000000}"/>
    <cellStyle name="20% - Accent1 4 3" xfId="16" xr:uid="{00000000-0005-0000-0000-00000F000000}"/>
    <cellStyle name="20% - Accent1 4 4" xfId="17" xr:uid="{00000000-0005-0000-0000-000010000000}"/>
    <cellStyle name="20% - Accent1 4 5" xfId="18" xr:uid="{00000000-0005-0000-0000-000011000000}"/>
    <cellStyle name="20% - Accent1 5" xfId="19" xr:uid="{00000000-0005-0000-0000-000012000000}"/>
    <cellStyle name="20% - Accent1 5 2" xfId="20" xr:uid="{00000000-0005-0000-0000-000013000000}"/>
    <cellStyle name="20% - Accent1 6" xfId="21" xr:uid="{00000000-0005-0000-0000-000014000000}"/>
    <cellStyle name="20% - Accent2 2" xfId="22" xr:uid="{00000000-0005-0000-0000-000015000000}"/>
    <cellStyle name="20% - Accent2 2 2" xfId="23" xr:uid="{00000000-0005-0000-0000-000016000000}"/>
    <cellStyle name="20% - Accent2 2 3" xfId="24" xr:uid="{00000000-0005-0000-0000-000017000000}"/>
    <cellStyle name="20% - Accent2 3" xfId="25" xr:uid="{00000000-0005-0000-0000-000018000000}"/>
    <cellStyle name="20% - Accent2 3 2" xfId="26" xr:uid="{00000000-0005-0000-0000-000019000000}"/>
    <cellStyle name="20% - Accent2 3 3" xfId="27" xr:uid="{00000000-0005-0000-0000-00001A000000}"/>
    <cellStyle name="20% - Accent2 4" xfId="28" xr:uid="{00000000-0005-0000-0000-00001B000000}"/>
    <cellStyle name="20% - Accent2 4 2" xfId="29" xr:uid="{00000000-0005-0000-0000-00001C000000}"/>
    <cellStyle name="20% - Accent2 4 2 2" xfId="30" xr:uid="{00000000-0005-0000-0000-00001D000000}"/>
    <cellStyle name="20% - Accent2 4 3" xfId="31" xr:uid="{00000000-0005-0000-0000-00001E000000}"/>
    <cellStyle name="20% - Accent2 5" xfId="32" xr:uid="{00000000-0005-0000-0000-00001F000000}"/>
    <cellStyle name="20% - Accent2 5 2" xfId="33" xr:uid="{00000000-0005-0000-0000-000020000000}"/>
    <cellStyle name="20% - Accent2 6" xfId="34" xr:uid="{00000000-0005-0000-0000-000021000000}"/>
    <cellStyle name="20% - Accent3 2" xfId="35" xr:uid="{00000000-0005-0000-0000-000022000000}"/>
    <cellStyle name="20% - Accent3 2 2" xfId="36" xr:uid="{00000000-0005-0000-0000-000023000000}"/>
    <cellStyle name="20% - Accent3 2 2 2" xfId="37" xr:uid="{00000000-0005-0000-0000-000024000000}"/>
    <cellStyle name="20% - Accent3 3" xfId="38" xr:uid="{00000000-0005-0000-0000-000025000000}"/>
    <cellStyle name="20% - Accent3 3 2" xfId="39" xr:uid="{00000000-0005-0000-0000-000026000000}"/>
    <cellStyle name="20% - Accent3 3 3" xfId="40" xr:uid="{00000000-0005-0000-0000-000027000000}"/>
    <cellStyle name="20% - Accent3 4" xfId="41" xr:uid="{00000000-0005-0000-0000-000028000000}"/>
    <cellStyle name="20% - Accent3 4 2" xfId="42" xr:uid="{00000000-0005-0000-0000-000029000000}"/>
    <cellStyle name="20% - Accent3 4 2 2" xfId="43" xr:uid="{00000000-0005-0000-0000-00002A000000}"/>
    <cellStyle name="20% - Accent3 4 3" xfId="44" xr:uid="{00000000-0005-0000-0000-00002B000000}"/>
    <cellStyle name="20% - Accent3 5" xfId="45" xr:uid="{00000000-0005-0000-0000-00002C000000}"/>
    <cellStyle name="20% - Accent3 5 2" xfId="46" xr:uid="{00000000-0005-0000-0000-00002D000000}"/>
    <cellStyle name="20% - Accent3 6" xfId="47" xr:uid="{00000000-0005-0000-0000-00002E000000}"/>
    <cellStyle name="20% - Accent4 2" xfId="48" xr:uid="{00000000-0005-0000-0000-00002F000000}"/>
    <cellStyle name="20% - Accent4 2 2" xfId="49" xr:uid="{00000000-0005-0000-0000-000030000000}"/>
    <cellStyle name="20% - Accent4 2 2 2" xfId="50" xr:uid="{00000000-0005-0000-0000-000031000000}"/>
    <cellStyle name="20% - Accent4 2 3" xfId="51" xr:uid="{00000000-0005-0000-0000-000032000000}"/>
    <cellStyle name="20% - Accent4 2 4" xfId="52" xr:uid="{00000000-0005-0000-0000-000033000000}"/>
    <cellStyle name="20% - Accent4 3" xfId="53" xr:uid="{00000000-0005-0000-0000-000034000000}"/>
    <cellStyle name="20% - Accent4 3 2" xfId="54" xr:uid="{00000000-0005-0000-0000-000035000000}"/>
    <cellStyle name="20% - Accent4 3 2 2" xfId="55" xr:uid="{00000000-0005-0000-0000-000036000000}"/>
    <cellStyle name="20% - Accent4 3 3" xfId="56" xr:uid="{00000000-0005-0000-0000-000037000000}"/>
    <cellStyle name="20% - Accent4 3 4" xfId="57" xr:uid="{00000000-0005-0000-0000-000038000000}"/>
    <cellStyle name="20% - Accent4 4" xfId="58" xr:uid="{00000000-0005-0000-0000-000039000000}"/>
    <cellStyle name="20% - Accent4 4 2" xfId="59" xr:uid="{00000000-0005-0000-0000-00003A000000}"/>
    <cellStyle name="20% - Accent4 4 2 2" xfId="60" xr:uid="{00000000-0005-0000-0000-00003B000000}"/>
    <cellStyle name="20% - Accent4 4 3" xfId="61" xr:uid="{00000000-0005-0000-0000-00003C000000}"/>
    <cellStyle name="20% - Accent4 4 4" xfId="62" xr:uid="{00000000-0005-0000-0000-00003D000000}"/>
    <cellStyle name="20% - Accent4 4 5" xfId="63" xr:uid="{00000000-0005-0000-0000-00003E000000}"/>
    <cellStyle name="20% - Accent4 5" xfId="64" xr:uid="{00000000-0005-0000-0000-00003F000000}"/>
    <cellStyle name="20% - Accent4 5 2" xfId="65" xr:uid="{00000000-0005-0000-0000-000040000000}"/>
    <cellStyle name="20% - Accent4 6" xfId="66" xr:uid="{00000000-0005-0000-0000-000041000000}"/>
    <cellStyle name="20% - Accent5" xfId="67" builtinId="46" customBuiltin="1"/>
    <cellStyle name="20% - Accent5 2" xfId="68" xr:uid="{00000000-0005-0000-0000-000043000000}"/>
    <cellStyle name="20% - Accent5 2 2" xfId="69" xr:uid="{00000000-0005-0000-0000-000044000000}"/>
    <cellStyle name="20% - Accent5 2 2 2" xfId="70" xr:uid="{00000000-0005-0000-0000-000045000000}"/>
    <cellStyle name="20% - Accent5 3" xfId="71" xr:uid="{00000000-0005-0000-0000-000046000000}"/>
    <cellStyle name="20% - Accent5 3 2" xfId="72" xr:uid="{00000000-0005-0000-0000-000047000000}"/>
    <cellStyle name="20% - Accent5 3 2 2" xfId="73" xr:uid="{00000000-0005-0000-0000-000048000000}"/>
    <cellStyle name="20% - Accent5 3 3" xfId="74" xr:uid="{00000000-0005-0000-0000-000049000000}"/>
    <cellStyle name="20% - Accent5 4" xfId="75" xr:uid="{00000000-0005-0000-0000-00004A000000}"/>
    <cellStyle name="20% - Accent5 4 2" xfId="76" xr:uid="{00000000-0005-0000-0000-00004B000000}"/>
    <cellStyle name="20% - Accent5 4 2 2" xfId="77" xr:uid="{00000000-0005-0000-0000-00004C000000}"/>
    <cellStyle name="20% - Accent5 4 3" xfId="78" xr:uid="{00000000-0005-0000-0000-00004D000000}"/>
    <cellStyle name="20% - Accent5 5" xfId="79" xr:uid="{00000000-0005-0000-0000-00004E000000}"/>
    <cellStyle name="20% - Accent5 5 2" xfId="80" xr:uid="{00000000-0005-0000-0000-00004F000000}"/>
    <cellStyle name="20% - Accent5 6" xfId="81" xr:uid="{00000000-0005-0000-0000-000050000000}"/>
    <cellStyle name="20% - Accent6" xfId="82" builtinId="50" customBuiltin="1"/>
    <cellStyle name="20% - Accent6 2" xfId="83" xr:uid="{00000000-0005-0000-0000-000052000000}"/>
    <cellStyle name="20% - Accent6 2 2" xfId="84" xr:uid="{00000000-0005-0000-0000-000053000000}"/>
    <cellStyle name="20% - Accent6 2 3" xfId="85" xr:uid="{00000000-0005-0000-0000-000054000000}"/>
    <cellStyle name="20% - Accent6 3" xfId="86" xr:uid="{00000000-0005-0000-0000-000055000000}"/>
    <cellStyle name="20% - Accent6 3 2" xfId="87" xr:uid="{00000000-0005-0000-0000-000056000000}"/>
    <cellStyle name="20% - Accent6 3 3" xfId="88" xr:uid="{00000000-0005-0000-0000-000057000000}"/>
    <cellStyle name="20% - Accent6 4" xfId="89" xr:uid="{00000000-0005-0000-0000-000058000000}"/>
    <cellStyle name="20% - Accent6 4 2" xfId="90" xr:uid="{00000000-0005-0000-0000-000059000000}"/>
    <cellStyle name="20% - Accent6 4 2 2" xfId="91" xr:uid="{00000000-0005-0000-0000-00005A000000}"/>
    <cellStyle name="20% - Accent6 4 3" xfId="92" xr:uid="{00000000-0005-0000-0000-00005B000000}"/>
    <cellStyle name="20% - Accent6 5" xfId="93" xr:uid="{00000000-0005-0000-0000-00005C000000}"/>
    <cellStyle name="20% - Accent6 5 2" xfId="94" xr:uid="{00000000-0005-0000-0000-00005D000000}"/>
    <cellStyle name="20% - Accent6 6" xfId="95" xr:uid="{00000000-0005-0000-0000-00005E000000}"/>
    <cellStyle name="40% - Accent1" xfId="96" builtinId="31" customBuiltin="1"/>
    <cellStyle name="40% - Accent1 2" xfId="97" xr:uid="{00000000-0005-0000-0000-000060000000}"/>
    <cellStyle name="40% - Accent1 2 2" xfId="98" xr:uid="{00000000-0005-0000-0000-000061000000}"/>
    <cellStyle name="40% - Accent1 2 3" xfId="99" xr:uid="{00000000-0005-0000-0000-000062000000}"/>
    <cellStyle name="40% - Accent1 3" xfId="100" xr:uid="{00000000-0005-0000-0000-000063000000}"/>
    <cellStyle name="40% - Accent1 3 2" xfId="101" xr:uid="{00000000-0005-0000-0000-000064000000}"/>
    <cellStyle name="40% - Accent1 3 2 2" xfId="102" xr:uid="{00000000-0005-0000-0000-000065000000}"/>
    <cellStyle name="40% - Accent1 3 3" xfId="103" xr:uid="{00000000-0005-0000-0000-000066000000}"/>
    <cellStyle name="40% - Accent1 3 4" xfId="104" xr:uid="{00000000-0005-0000-0000-000067000000}"/>
    <cellStyle name="40% - Accent1 4" xfId="105" xr:uid="{00000000-0005-0000-0000-000068000000}"/>
    <cellStyle name="40% - Accent1 4 2" xfId="106" xr:uid="{00000000-0005-0000-0000-000069000000}"/>
    <cellStyle name="40% - Accent1 4 2 2" xfId="107" xr:uid="{00000000-0005-0000-0000-00006A000000}"/>
    <cellStyle name="40% - Accent1 5" xfId="108" xr:uid="{00000000-0005-0000-0000-00006B000000}"/>
    <cellStyle name="40% - Accent1 5 2" xfId="109" xr:uid="{00000000-0005-0000-0000-00006C000000}"/>
    <cellStyle name="40% - Accent1 6" xfId="110" xr:uid="{00000000-0005-0000-0000-00006D000000}"/>
    <cellStyle name="40% - Accent1 7" xfId="111" xr:uid="{00000000-0005-0000-0000-00006E000000}"/>
    <cellStyle name="40% - Accent2" xfId="112" builtinId="35" customBuiltin="1"/>
    <cellStyle name="40% - Accent2 2" xfId="113" xr:uid="{00000000-0005-0000-0000-000070000000}"/>
    <cellStyle name="40% - Accent2 2 2" xfId="114" xr:uid="{00000000-0005-0000-0000-000071000000}"/>
    <cellStyle name="40% - Accent2 2 2 2" xfId="115" xr:uid="{00000000-0005-0000-0000-000072000000}"/>
    <cellStyle name="40% - Accent2 3" xfId="116" xr:uid="{00000000-0005-0000-0000-000073000000}"/>
    <cellStyle name="40% - Accent2 3 2" xfId="117" xr:uid="{00000000-0005-0000-0000-000074000000}"/>
    <cellStyle name="40% - Accent2 3 2 2" xfId="118" xr:uid="{00000000-0005-0000-0000-000075000000}"/>
    <cellStyle name="40% - Accent2 3 3" xfId="119" xr:uid="{00000000-0005-0000-0000-000076000000}"/>
    <cellStyle name="40% - Accent2 4" xfId="120" xr:uid="{00000000-0005-0000-0000-000077000000}"/>
    <cellStyle name="40% - Accent2 4 2" xfId="121" xr:uid="{00000000-0005-0000-0000-000078000000}"/>
    <cellStyle name="40% - Accent2 4 2 2" xfId="122" xr:uid="{00000000-0005-0000-0000-000079000000}"/>
    <cellStyle name="40% - Accent2 4 3" xfId="123" xr:uid="{00000000-0005-0000-0000-00007A000000}"/>
    <cellStyle name="40% - Accent2 5" xfId="124" xr:uid="{00000000-0005-0000-0000-00007B000000}"/>
    <cellStyle name="40% - Accent2 5 2" xfId="125" xr:uid="{00000000-0005-0000-0000-00007C000000}"/>
    <cellStyle name="40% - Accent2 6" xfId="126" xr:uid="{00000000-0005-0000-0000-00007D000000}"/>
    <cellStyle name="40% - Accent3 2" xfId="127" xr:uid="{00000000-0005-0000-0000-00007E000000}"/>
    <cellStyle name="40% - Accent3 2 2" xfId="128" xr:uid="{00000000-0005-0000-0000-00007F000000}"/>
    <cellStyle name="40% - Accent3 2 3" xfId="129" xr:uid="{00000000-0005-0000-0000-000080000000}"/>
    <cellStyle name="40% - Accent3 3" xfId="130" xr:uid="{00000000-0005-0000-0000-000081000000}"/>
    <cellStyle name="40% - Accent3 3 2" xfId="131" xr:uid="{00000000-0005-0000-0000-000082000000}"/>
    <cellStyle name="40% - Accent3 3 3" xfId="132" xr:uid="{00000000-0005-0000-0000-000083000000}"/>
    <cellStyle name="40% - Accent3 4" xfId="133" xr:uid="{00000000-0005-0000-0000-000084000000}"/>
    <cellStyle name="40% - Accent3 4 2" xfId="134" xr:uid="{00000000-0005-0000-0000-000085000000}"/>
    <cellStyle name="40% - Accent3 4 2 2" xfId="135" xr:uid="{00000000-0005-0000-0000-000086000000}"/>
    <cellStyle name="40% - Accent3 4 3" xfId="136" xr:uid="{00000000-0005-0000-0000-000087000000}"/>
    <cellStyle name="40% - Accent3 5" xfId="137" xr:uid="{00000000-0005-0000-0000-000088000000}"/>
    <cellStyle name="40% - Accent3 5 2" xfId="138" xr:uid="{00000000-0005-0000-0000-000089000000}"/>
    <cellStyle name="40% - Accent3 6" xfId="139" xr:uid="{00000000-0005-0000-0000-00008A000000}"/>
    <cellStyle name="40% - Accent4" xfId="140" builtinId="43" customBuiltin="1"/>
    <cellStyle name="40% - Accent4 2" xfId="141" xr:uid="{00000000-0005-0000-0000-00008C000000}"/>
    <cellStyle name="40% - Accent4 2 2" xfId="142" xr:uid="{00000000-0005-0000-0000-00008D000000}"/>
    <cellStyle name="40% - Accent4 2 3" xfId="143" xr:uid="{00000000-0005-0000-0000-00008E000000}"/>
    <cellStyle name="40% - Accent4 3" xfId="144" xr:uid="{00000000-0005-0000-0000-00008F000000}"/>
    <cellStyle name="40% - Accent4 3 2" xfId="145" xr:uid="{00000000-0005-0000-0000-000090000000}"/>
    <cellStyle name="40% - Accent4 3 2 2" xfId="146" xr:uid="{00000000-0005-0000-0000-000091000000}"/>
    <cellStyle name="40% - Accent4 3 3" xfId="147" xr:uid="{00000000-0005-0000-0000-000092000000}"/>
    <cellStyle name="40% - Accent4 3 4" xfId="148" xr:uid="{00000000-0005-0000-0000-000093000000}"/>
    <cellStyle name="40% - Accent4 4" xfId="149" xr:uid="{00000000-0005-0000-0000-000094000000}"/>
    <cellStyle name="40% - Accent4 4 2" xfId="150" xr:uid="{00000000-0005-0000-0000-000095000000}"/>
    <cellStyle name="40% - Accent4 4 2 2" xfId="151" xr:uid="{00000000-0005-0000-0000-000096000000}"/>
    <cellStyle name="40% - Accent4 5" xfId="152" xr:uid="{00000000-0005-0000-0000-000097000000}"/>
    <cellStyle name="40% - Accent4 5 2" xfId="153" xr:uid="{00000000-0005-0000-0000-000098000000}"/>
    <cellStyle name="40% - Accent4 6" xfId="154" xr:uid="{00000000-0005-0000-0000-000099000000}"/>
    <cellStyle name="40% - Accent4 7" xfId="155" xr:uid="{00000000-0005-0000-0000-00009A000000}"/>
    <cellStyle name="40% - Accent5" xfId="156" builtinId="47" customBuiltin="1"/>
    <cellStyle name="40% - Accent5 2" xfId="157" xr:uid="{00000000-0005-0000-0000-00009C000000}"/>
    <cellStyle name="40% - Accent5 2 2" xfId="158" xr:uid="{00000000-0005-0000-0000-00009D000000}"/>
    <cellStyle name="40% - Accent5 2 3" xfId="159" xr:uid="{00000000-0005-0000-0000-00009E000000}"/>
    <cellStyle name="40% - Accent5 3" xfId="160" xr:uid="{00000000-0005-0000-0000-00009F000000}"/>
    <cellStyle name="40% - Accent5 3 2" xfId="161" xr:uid="{00000000-0005-0000-0000-0000A0000000}"/>
    <cellStyle name="40% - Accent5 3 3" xfId="162" xr:uid="{00000000-0005-0000-0000-0000A1000000}"/>
    <cellStyle name="40% - Accent5 4" xfId="163" xr:uid="{00000000-0005-0000-0000-0000A2000000}"/>
    <cellStyle name="40% - Accent5 4 2" xfId="164" xr:uid="{00000000-0005-0000-0000-0000A3000000}"/>
    <cellStyle name="40% - Accent5 4 2 2" xfId="165" xr:uid="{00000000-0005-0000-0000-0000A4000000}"/>
    <cellStyle name="40% - Accent5 4 3" xfId="166" xr:uid="{00000000-0005-0000-0000-0000A5000000}"/>
    <cellStyle name="40% - Accent5 5" xfId="167" xr:uid="{00000000-0005-0000-0000-0000A6000000}"/>
    <cellStyle name="40% - Accent5 5 2" xfId="168" xr:uid="{00000000-0005-0000-0000-0000A7000000}"/>
    <cellStyle name="40% - Accent5 6" xfId="169" xr:uid="{00000000-0005-0000-0000-0000A8000000}"/>
    <cellStyle name="40% - Accent6" xfId="170" builtinId="51" customBuiltin="1"/>
    <cellStyle name="40% - Accent6 2" xfId="171" xr:uid="{00000000-0005-0000-0000-0000AA000000}"/>
    <cellStyle name="40% - Accent6 2 2" xfId="172" xr:uid="{00000000-0005-0000-0000-0000AB000000}"/>
    <cellStyle name="40% - Accent6 2 2 2" xfId="173" xr:uid="{00000000-0005-0000-0000-0000AC000000}"/>
    <cellStyle name="40% - Accent6 2 3" xfId="174" xr:uid="{00000000-0005-0000-0000-0000AD000000}"/>
    <cellStyle name="40% - Accent6 3" xfId="175" xr:uid="{00000000-0005-0000-0000-0000AE000000}"/>
    <cellStyle name="40% - Accent6 3 2" xfId="176" xr:uid="{00000000-0005-0000-0000-0000AF000000}"/>
    <cellStyle name="40% - Accent6 3 2 2" xfId="177" xr:uid="{00000000-0005-0000-0000-0000B0000000}"/>
    <cellStyle name="40% - Accent6 3 3" xfId="178" xr:uid="{00000000-0005-0000-0000-0000B1000000}"/>
    <cellStyle name="40% - Accent6 3 4" xfId="179" xr:uid="{00000000-0005-0000-0000-0000B2000000}"/>
    <cellStyle name="40% - Accent6 4" xfId="180" xr:uid="{00000000-0005-0000-0000-0000B3000000}"/>
    <cellStyle name="40% - Accent6 4 2" xfId="181" xr:uid="{00000000-0005-0000-0000-0000B4000000}"/>
    <cellStyle name="40% - Accent6 4 2 2" xfId="182" xr:uid="{00000000-0005-0000-0000-0000B5000000}"/>
    <cellStyle name="40% - Accent6 5" xfId="183" xr:uid="{00000000-0005-0000-0000-0000B6000000}"/>
    <cellStyle name="40% - Accent6 5 2" xfId="184" xr:uid="{00000000-0005-0000-0000-0000B7000000}"/>
    <cellStyle name="40% - Accent6 6" xfId="185" xr:uid="{00000000-0005-0000-0000-0000B8000000}"/>
    <cellStyle name="40% - Accent6 7" xfId="186" xr:uid="{00000000-0005-0000-0000-0000B9000000}"/>
    <cellStyle name="60% - Accent1" xfId="187" builtinId="32" customBuiltin="1"/>
    <cellStyle name="60% - Accent1 2" xfId="188" xr:uid="{00000000-0005-0000-0000-0000BB000000}"/>
    <cellStyle name="60% - Accent1 2 2" xfId="189" xr:uid="{00000000-0005-0000-0000-0000BC000000}"/>
    <cellStyle name="60% - Accent1 2 2 2" xfId="190" xr:uid="{00000000-0005-0000-0000-0000BD000000}"/>
    <cellStyle name="60% - Accent1 2 3" xfId="191" xr:uid="{00000000-0005-0000-0000-0000BE000000}"/>
    <cellStyle name="60% - Accent1 2 4" xfId="192" xr:uid="{00000000-0005-0000-0000-0000BF000000}"/>
    <cellStyle name="60% - Accent1 2 4 2" xfId="193" xr:uid="{00000000-0005-0000-0000-0000C0000000}"/>
    <cellStyle name="60% - Accent1 3" xfId="194" xr:uid="{00000000-0005-0000-0000-0000C1000000}"/>
    <cellStyle name="60% - Accent1 3 2" xfId="195" xr:uid="{00000000-0005-0000-0000-0000C2000000}"/>
    <cellStyle name="60% - Accent1 3 3" xfId="196" xr:uid="{00000000-0005-0000-0000-0000C3000000}"/>
    <cellStyle name="60% - Accent1 3 4" xfId="197" xr:uid="{00000000-0005-0000-0000-0000C4000000}"/>
    <cellStyle name="60% - Accent1 4" xfId="198" xr:uid="{00000000-0005-0000-0000-0000C5000000}"/>
    <cellStyle name="60% - Accent1 4 2" xfId="199" xr:uid="{00000000-0005-0000-0000-0000C6000000}"/>
    <cellStyle name="60% - Accent2" xfId="200" builtinId="36" customBuiltin="1"/>
    <cellStyle name="60% - Accent2 2" xfId="201" xr:uid="{00000000-0005-0000-0000-0000C8000000}"/>
    <cellStyle name="60% - Accent2 2 2" xfId="202" xr:uid="{00000000-0005-0000-0000-0000C9000000}"/>
    <cellStyle name="60% - Accent2 2 3" xfId="203" xr:uid="{00000000-0005-0000-0000-0000CA000000}"/>
    <cellStyle name="60% - Accent2 3" xfId="204" xr:uid="{00000000-0005-0000-0000-0000CB000000}"/>
    <cellStyle name="60% - Accent2 3 2" xfId="205" xr:uid="{00000000-0005-0000-0000-0000CC000000}"/>
    <cellStyle name="60% - Accent2 3 3" xfId="206" xr:uid="{00000000-0005-0000-0000-0000CD000000}"/>
    <cellStyle name="60% - Accent2 4" xfId="207" xr:uid="{00000000-0005-0000-0000-0000CE000000}"/>
    <cellStyle name="60% - Accent3 2" xfId="208" xr:uid="{00000000-0005-0000-0000-0000CF000000}"/>
    <cellStyle name="60% - Accent3 2 2" xfId="209" xr:uid="{00000000-0005-0000-0000-0000D0000000}"/>
    <cellStyle name="60% - Accent3 2 3" xfId="210" xr:uid="{00000000-0005-0000-0000-0000D1000000}"/>
    <cellStyle name="60% - Accent3 3" xfId="211" xr:uid="{00000000-0005-0000-0000-0000D2000000}"/>
    <cellStyle name="60% - Accent3 3 2" xfId="212" xr:uid="{00000000-0005-0000-0000-0000D3000000}"/>
    <cellStyle name="60% - Accent3 3 3" xfId="213" xr:uid="{00000000-0005-0000-0000-0000D4000000}"/>
    <cellStyle name="60% - Accent3 3 4" xfId="214" xr:uid="{00000000-0005-0000-0000-0000D5000000}"/>
    <cellStyle name="60% - Accent3 4" xfId="215" xr:uid="{00000000-0005-0000-0000-0000D6000000}"/>
    <cellStyle name="60% - Accent3 4 2" xfId="216" xr:uid="{00000000-0005-0000-0000-0000D7000000}"/>
    <cellStyle name="60% - Accent3 4 3" xfId="217" xr:uid="{00000000-0005-0000-0000-0000D8000000}"/>
    <cellStyle name="60% - Accent3 4 4" xfId="218" xr:uid="{00000000-0005-0000-0000-0000D9000000}"/>
    <cellStyle name="60% - Accent4 2" xfId="219" xr:uid="{00000000-0005-0000-0000-0000DA000000}"/>
    <cellStyle name="60% - Accent4 2 2" xfId="220" xr:uid="{00000000-0005-0000-0000-0000DB000000}"/>
    <cellStyle name="60% - Accent4 2 3" xfId="221" xr:uid="{00000000-0005-0000-0000-0000DC000000}"/>
    <cellStyle name="60% - Accent4 3" xfId="222" xr:uid="{00000000-0005-0000-0000-0000DD000000}"/>
    <cellStyle name="60% - Accent4 3 2" xfId="223" xr:uid="{00000000-0005-0000-0000-0000DE000000}"/>
    <cellStyle name="60% - Accent4 3 3" xfId="224" xr:uid="{00000000-0005-0000-0000-0000DF000000}"/>
    <cellStyle name="60% - Accent4 3 4" xfId="225" xr:uid="{00000000-0005-0000-0000-0000E0000000}"/>
    <cellStyle name="60% - Accent4 4" xfId="226" xr:uid="{00000000-0005-0000-0000-0000E1000000}"/>
    <cellStyle name="60% - Accent4 4 2" xfId="227" xr:uid="{00000000-0005-0000-0000-0000E2000000}"/>
    <cellStyle name="60% - Accent4 4 3" xfId="228" xr:uid="{00000000-0005-0000-0000-0000E3000000}"/>
    <cellStyle name="60% - Accent4 4 4" xfId="229" xr:uid="{00000000-0005-0000-0000-0000E4000000}"/>
    <cellStyle name="60% - Accent5" xfId="230" builtinId="48" customBuiltin="1"/>
    <cellStyle name="60% - Accent5 2" xfId="231" xr:uid="{00000000-0005-0000-0000-0000E6000000}"/>
    <cellStyle name="60% - Accent5 2 2" xfId="232" xr:uid="{00000000-0005-0000-0000-0000E7000000}"/>
    <cellStyle name="60% - Accent5 2 2 2" xfId="233" xr:uid="{00000000-0005-0000-0000-0000E8000000}"/>
    <cellStyle name="60% - Accent5 2 3" xfId="234" xr:uid="{00000000-0005-0000-0000-0000E9000000}"/>
    <cellStyle name="60% - Accent5 2 4" xfId="235" xr:uid="{00000000-0005-0000-0000-0000EA000000}"/>
    <cellStyle name="60% - Accent5 2 4 2" xfId="236" xr:uid="{00000000-0005-0000-0000-0000EB000000}"/>
    <cellStyle name="60% - Accent5 3" xfId="237" xr:uid="{00000000-0005-0000-0000-0000EC000000}"/>
    <cellStyle name="60% - Accent5 3 2" xfId="238" xr:uid="{00000000-0005-0000-0000-0000ED000000}"/>
    <cellStyle name="60% - Accent5 3 3" xfId="239" xr:uid="{00000000-0005-0000-0000-0000EE000000}"/>
    <cellStyle name="60% - Accent5 4" xfId="240" xr:uid="{00000000-0005-0000-0000-0000EF000000}"/>
    <cellStyle name="60% - Accent6 2" xfId="241" xr:uid="{00000000-0005-0000-0000-0000F0000000}"/>
    <cellStyle name="60% - Accent6 2 2" xfId="242" xr:uid="{00000000-0005-0000-0000-0000F1000000}"/>
    <cellStyle name="60% - Accent6 2 3" xfId="243" xr:uid="{00000000-0005-0000-0000-0000F2000000}"/>
    <cellStyle name="60% - Accent6 3" xfId="244" xr:uid="{00000000-0005-0000-0000-0000F3000000}"/>
    <cellStyle name="60% - Accent6 3 2" xfId="245" xr:uid="{00000000-0005-0000-0000-0000F4000000}"/>
    <cellStyle name="60% - Accent6 3 3" xfId="246" xr:uid="{00000000-0005-0000-0000-0000F5000000}"/>
    <cellStyle name="60% - Accent6 4" xfId="247" xr:uid="{00000000-0005-0000-0000-0000F6000000}"/>
    <cellStyle name="Accent1" xfId="248" builtinId="29" customBuiltin="1"/>
    <cellStyle name="Accent1 2" xfId="249" xr:uid="{00000000-0005-0000-0000-0000F8000000}"/>
    <cellStyle name="Accent1 2 2" xfId="250" xr:uid="{00000000-0005-0000-0000-0000F9000000}"/>
    <cellStyle name="Accent1 2 2 2" xfId="251" xr:uid="{00000000-0005-0000-0000-0000FA000000}"/>
    <cellStyle name="Accent1 2 3" xfId="252" xr:uid="{00000000-0005-0000-0000-0000FB000000}"/>
    <cellStyle name="Accent1 2 4" xfId="253" xr:uid="{00000000-0005-0000-0000-0000FC000000}"/>
    <cellStyle name="Accent1 2 4 2" xfId="254" xr:uid="{00000000-0005-0000-0000-0000FD000000}"/>
    <cellStyle name="Accent1 3" xfId="255" xr:uid="{00000000-0005-0000-0000-0000FE000000}"/>
    <cellStyle name="Accent1 3 2" xfId="256" xr:uid="{00000000-0005-0000-0000-0000FF000000}"/>
    <cellStyle name="Accent1 3 3" xfId="257" xr:uid="{00000000-0005-0000-0000-000000010000}"/>
    <cellStyle name="Accent1 3 4" xfId="258" xr:uid="{00000000-0005-0000-0000-000001010000}"/>
    <cellStyle name="Accent1 4" xfId="259" xr:uid="{00000000-0005-0000-0000-000002010000}"/>
    <cellStyle name="Accent1 4 2" xfId="260" xr:uid="{00000000-0005-0000-0000-000003010000}"/>
    <cellStyle name="Accent2" xfId="261" builtinId="33" customBuiltin="1"/>
    <cellStyle name="Accent2 2" xfId="262" xr:uid="{00000000-0005-0000-0000-000005010000}"/>
    <cellStyle name="Accent2 2 2" xfId="263" xr:uid="{00000000-0005-0000-0000-000006010000}"/>
    <cellStyle name="Accent2 2 3" xfId="264" xr:uid="{00000000-0005-0000-0000-000007010000}"/>
    <cellStyle name="Accent2 3" xfId="265" xr:uid="{00000000-0005-0000-0000-000008010000}"/>
    <cellStyle name="Accent2 3 2" xfId="266" xr:uid="{00000000-0005-0000-0000-000009010000}"/>
    <cellStyle name="Accent2 3 3" xfId="267" xr:uid="{00000000-0005-0000-0000-00000A010000}"/>
    <cellStyle name="Accent2 4" xfId="268" xr:uid="{00000000-0005-0000-0000-00000B010000}"/>
    <cellStyle name="Accent3" xfId="269" builtinId="37" customBuiltin="1"/>
    <cellStyle name="Accent3 2" xfId="270" xr:uid="{00000000-0005-0000-0000-00000D010000}"/>
    <cellStyle name="Accent3 2 2" xfId="271" xr:uid="{00000000-0005-0000-0000-00000E010000}"/>
    <cellStyle name="Accent3 2 3" xfId="272" xr:uid="{00000000-0005-0000-0000-00000F010000}"/>
    <cellStyle name="Accent3 2 4" xfId="273" xr:uid="{00000000-0005-0000-0000-000010010000}"/>
    <cellStyle name="Accent3 2 4 2" xfId="274" xr:uid="{00000000-0005-0000-0000-000011010000}"/>
    <cellStyle name="Accent3 3" xfId="275" xr:uid="{00000000-0005-0000-0000-000012010000}"/>
    <cellStyle name="Accent3 3 2" xfId="276" xr:uid="{00000000-0005-0000-0000-000013010000}"/>
    <cellStyle name="Accent3 3 3" xfId="277" xr:uid="{00000000-0005-0000-0000-000014010000}"/>
    <cellStyle name="Accent3 4" xfId="278" xr:uid="{00000000-0005-0000-0000-000015010000}"/>
    <cellStyle name="Accent4" xfId="279" builtinId="41" customBuiltin="1"/>
    <cellStyle name="Accent4 2" xfId="280" xr:uid="{00000000-0005-0000-0000-000017010000}"/>
    <cellStyle name="Accent4 2 2" xfId="281" xr:uid="{00000000-0005-0000-0000-000018010000}"/>
    <cellStyle name="Accent4 2 2 2" xfId="282" xr:uid="{00000000-0005-0000-0000-000019010000}"/>
    <cellStyle name="Accent4 2 2 3" xfId="283" xr:uid="{00000000-0005-0000-0000-00001A010000}"/>
    <cellStyle name="Accent4 2 3" xfId="284" xr:uid="{00000000-0005-0000-0000-00001B010000}"/>
    <cellStyle name="Accent4 2 3 2" xfId="285" xr:uid="{00000000-0005-0000-0000-00001C010000}"/>
    <cellStyle name="Accent4 3" xfId="286" xr:uid="{00000000-0005-0000-0000-00001D010000}"/>
    <cellStyle name="Accent4 3 2" xfId="287" xr:uid="{00000000-0005-0000-0000-00001E010000}"/>
    <cellStyle name="Accent4 3 3" xfId="288" xr:uid="{00000000-0005-0000-0000-00001F010000}"/>
    <cellStyle name="Accent4 4" xfId="289" xr:uid="{00000000-0005-0000-0000-000020010000}"/>
    <cellStyle name="Accent5" xfId="290" builtinId="45" customBuiltin="1"/>
    <cellStyle name="Accent5 2" xfId="291" xr:uid="{00000000-0005-0000-0000-000022010000}"/>
    <cellStyle name="Accent5 2 2" xfId="292" xr:uid="{00000000-0005-0000-0000-000023010000}"/>
    <cellStyle name="Accent5 2 2 2" xfId="293" xr:uid="{00000000-0005-0000-0000-000024010000}"/>
    <cellStyle name="Accent5 2 2 3" xfId="294" xr:uid="{00000000-0005-0000-0000-000025010000}"/>
    <cellStyle name="Accent5 2 3" xfId="295" xr:uid="{00000000-0005-0000-0000-000026010000}"/>
    <cellStyle name="Accent5 2 3 2" xfId="296" xr:uid="{00000000-0005-0000-0000-000027010000}"/>
    <cellStyle name="Accent5 2 4" xfId="297" xr:uid="{00000000-0005-0000-0000-000028010000}"/>
    <cellStyle name="Accent5 3" xfId="298" xr:uid="{00000000-0005-0000-0000-000029010000}"/>
    <cellStyle name="Accent5 4" xfId="299" xr:uid="{00000000-0005-0000-0000-00002A010000}"/>
    <cellStyle name="Accent6" xfId="300" builtinId="49" customBuiltin="1"/>
    <cellStyle name="Accent6 2" xfId="301" xr:uid="{00000000-0005-0000-0000-00002C010000}"/>
    <cellStyle name="Accent6 2 2" xfId="302" xr:uid="{00000000-0005-0000-0000-00002D010000}"/>
    <cellStyle name="Accent6 2 3" xfId="303" xr:uid="{00000000-0005-0000-0000-00002E010000}"/>
    <cellStyle name="Accent6 2 4" xfId="304" xr:uid="{00000000-0005-0000-0000-00002F010000}"/>
    <cellStyle name="Accent6 2 4 2" xfId="305" xr:uid="{00000000-0005-0000-0000-000030010000}"/>
    <cellStyle name="Accent6 3" xfId="306" xr:uid="{00000000-0005-0000-0000-000031010000}"/>
    <cellStyle name="Accent6 3 2" xfId="307" xr:uid="{00000000-0005-0000-0000-000032010000}"/>
    <cellStyle name="Accent6 3 3" xfId="308" xr:uid="{00000000-0005-0000-0000-000033010000}"/>
    <cellStyle name="Accent6 4" xfId="309" xr:uid="{00000000-0005-0000-0000-000034010000}"/>
    <cellStyle name="Accounting" xfId="310" xr:uid="{00000000-0005-0000-0000-000035010000}"/>
    <cellStyle name="Accounting 2" xfId="311" xr:uid="{00000000-0005-0000-0000-000036010000}"/>
    <cellStyle name="Accounting 2 2" xfId="312" xr:uid="{00000000-0005-0000-0000-000037010000}"/>
    <cellStyle name="Accounting 3" xfId="313" xr:uid="{00000000-0005-0000-0000-000038010000}"/>
    <cellStyle name="Accounting 3 2" xfId="314" xr:uid="{00000000-0005-0000-0000-000039010000}"/>
    <cellStyle name="Accounting 4" xfId="315" xr:uid="{00000000-0005-0000-0000-00003A010000}"/>
    <cellStyle name="Accounting_2011-11" xfId="316" xr:uid="{00000000-0005-0000-0000-00003B010000}"/>
    <cellStyle name="APS" xfId="317" xr:uid="{00000000-0005-0000-0000-00003C010000}"/>
    <cellStyle name="APSLabels" xfId="318" xr:uid="{00000000-0005-0000-0000-00003D010000}"/>
    <cellStyle name="APSLabels 2" xfId="319" xr:uid="{00000000-0005-0000-0000-00003E010000}"/>
    <cellStyle name="APSLabels 2 2" xfId="320" xr:uid="{00000000-0005-0000-0000-00003F010000}"/>
    <cellStyle name="APSLabels 3" xfId="321" xr:uid="{00000000-0005-0000-0000-000040010000}"/>
    <cellStyle name="APSLabels 4" xfId="322" xr:uid="{00000000-0005-0000-0000-000041010000}"/>
    <cellStyle name="Bad" xfId="323" builtinId="27" customBuiltin="1"/>
    <cellStyle name="Bad 2" xfId="324" xr:uid="{00000000-0005-0000-0000-000043010000}"/>
    <cellStyle name="Bad 2 2" xfId="325" xr:uid="{00000000-0005-0000-0000-000044010000}"/>
    <cellStyle name="Bad 2 3" xfId="326" xr:uid="{00000000-0005-0000-0000-000045010000}"/>
    <cellStyle name="Bad 3" xfId="327" xr:uid="{00000000-0005-0000-0000-000046010000}"/>
    <cellStyle name="Bad 3 2" xfId="328" xr:uid="{00000000-0005-0000-0000-000047010000}"/>
    <cellStyle name="Bad 3 3" xfId="329" xr:uid="{00000000-0005-0000-0000-000048010000}"/>
    <cellStyle name="Bad 4" xfId="330" xr:uid="{00000000-0005-0000-0000-000049010000}"/>
    <cellStyle name="Budget" xfId="331" xr:uid="{00000000-0005-0000-0000-00004A010000}"/>
    <cellStyle name="Budget 2" xfId="332" xr:uid="{00000000-0005-0000-0000-00004B010000}"/>
    <cellStyle name="Budget 3" xfId="333" xr:uid="{00000000-0005-0000-0000-00004C010000}"/>
    <cellStyle name="Budget_2011-11" xfId="334" xr:uid="{00000000-0005-0000-0000-00004D010000}"/>
    <cellStyle name="Calculation" xfId="335" builtinId="22" customBuiltin="1"/>
    <cellStyle name="Calculation 2" xfId="336" xr:uid="{00000000-0005-0000-0000-00004F010000}"/>
    <cellStyle name="Calculation 2 2" xfId="337" xr:uid="{00000000-0005-0000-0000-000050010000}"/>
    <cellStyle name="Calculation 2 2 2" xfId="338" xr:uid="{00000000-0005-0000-0000-000051010000}"/>
    <cellStyle name="Calculation 2 2 2 2" xfId="339" xr:uid="{00000000-0005-0000-0000-000052010000}"/>
    <cellStyle name="Calculation 2 2 2 3" xfId="340" xr:uid="{00000000-0005-0000-0000-000053010000}"/>
    <cellStyle name="Calculation 2 2 2 4" xfId="341" xr:uid="{00000000-0005-0000-0000-000054010000}"/>
    <cellStyle name="Calculation 2 2 2 5" xfId="342" xr:uid="{00000000-0005-0000-0000-000055010000}"/>
    <cellStyle name="Calculation 2 2 3" xfId="343" xr:uid="{00000000-0005-0000-0000-000056010000}"/>
    <cellStyle name="Calculation 2 2 3 2" xfId="344" xr:uid="{00000000-0005-0000-0000-000057010000}"/>
    <cellStyle name="Calculation 2 2 3 3" xfId="345" xr:uid="{00000000-0005-0000-0000-000058010000}"/>
    <cellStyle name="Calculation 2 2 3 4" xfId="346" xr:uid="{00000000-0005-0000-0000-000059010000}"/>
    <cellStyle name="Calculation 2 2 3 5" xfId="347" xr:uid="{00000000-0005-0000-0000-00005A010000}"/>
    <cellStyle name="Calculation 2 3" xfId="348" xr:uid="{00000000-0005-0000-0000-00005B010000}"/>
    <cellStyle name="Calculation 2 3 2" xfId="349" xr:uid="{00000000-0005-0000-0000-00005C010000}"/>
    <cellStyle name="Calculation 2 3 2 2" xfId="350" xr:uid="{00000000-0005-0000-0000-00005D010000}"/>
    <cellStyle name="Calculation 2 3 2 3" xfId="351" xr:uid="{00000000-0005-0000-0000-00005E010000}"/>
    <cellStyle name="Calculation 2 3 2 4" xfId="352" xr:uid="{00000000-0005-0000-0000-00005F010000}"/>
    <cellStyle name="Calculation 2 3 2 5" xfId="353" xr:uid="{00000000-0005-0000-0000-000060010000}"/>
    <cellStyle name="Calculation 2 3 3" xfId="354" xr:uid="{00000000-0005-0000-0000-000061010000}"/>
    <cellStyle name="Calculation 2 4" xfId="355" xr:uid="{00000000-0005-0000-0000-000062010000}"/>
    <cellStyle name="Calculation 2 4 2" xfId="356" xr:uid="{00000000-0005-0000-0000-000063010000}"/>
    <cellStyle name="Calculation 2 4 2 2" xfId="357" xr:uid="{00000000-0005-0000-0000-000064010000}"/>
    <cellStyle name="Calculation 2 4 2 3" xfId="358" xr:uid="{00000000-0005-0000-0000-000065010000}"/>
    <cellStyle name="Calculation 2 4 2 4" xfId="359" xr:uid="{00000000-0005-0000-0000-000066010000}"/>
    <cellStyle name="Calculation 2 4 2 5" xfId="360" xr:uid="{00000000-0005-0000-0000-000067010000}"/>
    <cellStyle name="Calculation 2 4 3" xfId="361" xr:uid="{00000000-0005-0000-0000-000068010000}"/>
    <cellStyle name="Calculation 2 4 4" xfId="362" xr:uid="{00000000-0005-0000-0000-000069010000}"/>
    <cellStyle name="Calculation 2 5" xfId="363" xr:uid="{00000000-0005-0000-0000-00006A010000}"/>
    <cellStyle name="Calculation 2 5 2" xfId="364" xr:uid="{00000000-0005-0000-0000-00006B010000}"/>
    <cellStyle name="Calculation 2 5 3" xfId="365" xr:uid="{00000000-0005-0000-0000-00006C010000}"/>
    <cellStyle name="Calculation 2 5 4" xfId="366" xr:uid="{00000000-0005-0000-0000-00006D010000}"/>
    <cellStyle name="Calculation 2 5 5" xfId="367" xr:uid="{00000000-0005-0000-0000-00006E010000}"/>
    <cellStyle name="Calculation 2 6" xfId="368" xr:uid="{00000000-0005-0000-0000-00006F010000}"/>
    <cellStyle name="Calculation 3" xfId="369" xr:uid="{00000000-0005-0000-0000-000070010000}"/>
    <cellStyle name="Calculation 3 2" xfId="370" xr:uid="{00000000-0005-0000-0000-000071010000}"/>
    <cellStyle name="Calculation 3 2 2" xfId="371" xr:uid="{00000000-0005-0000-0000-000072010000}"/>
    <cellStyle name="Calculation 3 2 2 2" xfId="372" xr:uid="{00000000-0005-0000-0000-000073010000}"/>
    <cellStyle name="Calculation 3 2 2 3" xfId="373" xr:uid="{00000000-0005-0000-0000-000074010000}"/>
    <cellStyle name="Calculation 3 2 2 4" xfId="374" xr:uid="{00000000-0005-0000-0000-000075010000}"/>
    <cellStyle name="Calculation 3 2 2 5" xfId="375" xr:uid="{00000000-0005-0000-0000-000076010000}"/>
    <cellStyle name="Calculation 3 2 3" xfId="376" xr:uid="{00000000-0005-0000-0000-000077010000}"/>
    <cellStyle name="Calculation 3 2 3 2" xfId="377" xr:uid="{00000000-0005-0000-0000-000078010000}"/>
    <cellStyle name="Calculation 3 2 3 3" xfId="378" xr:uid="{00000000-0005-0000-0000-000079010000}"/>
    <cellStyle name="Calculation 3 2 3 4" xfId="379" xr:uid="{00000000-0005-0000-0000-00007A010000}"/>
    <cellStyle name="Calculation 3 2 3 5" xfId="380" xr:uid="{00000000-0005-0000-0000-00007B010000}"/>
    <cellStyle name="Calculation 3 3" xfId="381" xr:uid="{00000000-0005-0000-0000-00007C010000}"/>
    <cellStyle name="Calculation 3 3 2" xfId="382" xr:uid="{00000000-0005-0000-0000-00007D010000}"/>
    <cellStyle name="Calculation 3 3 2 2" xfId="383" xr:uid="{00000000-0005-0000-0000-00007E010000}"/>
    <cellStyle name="Calculation 3 3 2 3" xfId="384" xr:uid="{00000000-0005-0000-0000-00007F010000}"/>
    <cellStyle name="Calculation 3 3 2 4" xfId="385" xr:uid="{00000000-0005-0000-0000-000080010000}"/>
    <cellStyle name="Calculation 3 3 2 5" xfId="386" xr:uid="{00000000-0005-0000-0000-000081010000}"/>
    <cellStyle name="Calculation 3 3 3" xfId="387" xr:uid="{00000000-0005-0000-0000-000082010000}"/>
    <cellStyle name="Calculation 3 4" xfId="388" xr:uid="{00000000-0005-0000-0000-000083010000}"/>
    <cellStyle name="Calculation 3 4 2" xfId="389" xr:uid="{00000000-0005-0000-0000-000084010000}"/>
    <cellStyle name="Calculation 3 4 3" xfId="390" xr:uid="{00000000-0005-0000-0000-000085010000}"/>
    <cellStyle name="Calculation 3 4 4" xfId="391" xr:uid="{00000000-0005-0000-0000-000086010000}"/>
    <cellStyle name="Calculation 3 4 5" xfId="392" xr:uid="{00000000-0005-0000-0000-000087010000}"/>
    <cellStyle name="Calculation 3 5" xfId="393" xr:uid="{00000000-0005-0000-0000-000088010000}"/>
    <cellStyle name="Calculation 3 5 2" xfId="394" xr:uid="{00000000-0005-0000-0000-000089010000}"/>
    <cellStyle name="Calculation 3 5 3" xfId="395" xr:uid="{00000000-0005-0000-0000-00008A010000}"/>
    <cellStyle name="Calculation 3 5 4" xfId="396" xr:uid="{00000000-0005-0000-0000-00008B010000}"/>
    <cellStyle name="Calculation 3 5 5" xfId="397" xr:uid="{00000000-0005-0000-0000-00008C010000}"/>
    <cellStyle name="Calculation 4" xfId="398" xr:uid="{00000000-0005-0000-0000-00008D010000}"/>
    <cellStyle name="Calculation 4 2" xfId="399" xr:uid="{00000000-0005-0000-0000-00008E010000}"/>
    <cellStyle name="Calculation 4 3" xfId="400" xr:uid="{00000000-0005-0000-0000-00008F010000}"/>
    <cellStyle name="Calculation 4 3 2" xfId="401" xr:uid="{00000000-0005-0000-0000-000090010000}"/>
    <cellStyle name="Calculation 4 3 3" xfId="402" xr:uid="{00000000-0005-0000-0000-000091010000}"/>
    <cellStyle name="Calculation 4 3 4" xfId="403" xr:uid="{00000000-0005-0000-0000-000092010000}"/>
    <cellStyle name="Calculation 4 3 5" xfId="404" xr:uid="{00000000-0005-0000-0000-000093010000}"/>
    <cellStyle name="Calculation 4 4" xfId="405" xr:uid="{00000000-0005-0000-0000-000094010000}"/>
    <cellStyle name="Check Cell" xfId="406" builtinId="23" customBuiltin="1"/>
    <cellStyle name="Check Cell 2" xfId="407" xr:uid="{00000000-0005-0000-0000-000096010000}"/>
    <cellStyle name="Check Cell 2 2" xfId="408" xr:uid="{00000000-0005-0000-0000-000097010000}"/>
    <cellStyle name="Check Cell 2 2 2" xfId="409" xr:uid="{00000000-0005-0000-0000-000098010000}"/>
    <cellStyle name="Check Cell 2 3" xfId="410" xr:uid="{00000000-0005-0000-0000-000099010000}"/>
    <cellStyle name="Check Cell 2 4" xfId="411" xr:uid="{00000000-0005-0000-0000-00009A010000}"/>
    <cellStyle name="Check Cell 3" xfId="412" xr:uid="{00000000-0005-0000-0000-00009B010000}"/>
    <cellStyle name="Check Cell 4" xfId="413" xr:uid="{00000000-0005-0000-0000-00009C010000}"/>
    <cellStyle name="Color" xfId="414" xr:uid="{00000000-0005-0000-0000-00009D010000}"/>
    <cellStyle name="combo" xfId="415" xr:uid="{00000000-0005-0000-0000-00009E010000}"/>
    <cellStyle name="Comma" xfId="15262" builtinId="3"/>
    <cellStyle name="Comma 10" xfId="416" xr:uid="{00000000-0005-0000-0000-0000A0010000}"/>
    <cellStyle name="Comma 10 2" xfId="417" xr:uid="{00000000-0005-0000-0000-0000A1010000}"/>
    <cellStyle name="Comma 11" xfId="418" xr:uid="{00000000-0005-0000-0000-0000A2010000}"/>
    <cellStyle name="Comma 11 2" xfId="419" xr:uid="{00000000-0005-0000-0000-0000A3010000}"/>
    <cellStyle name="Comma 11 2 2" xfId="420" xr:uid="{00000000-0005-0000-0000-0000A4010000}"/>
    <cellStyle name="Comma 11 2 2 2" xfId="421" xr:uid="{00000000-0005-0000-0000-0000A5010000}"/>
    <cellStyle name="Comma 11 2 2 2 2" xfId="422" xr:uid="{00000000-0005-0000-0000-0000A6010000}"/>
    <cellStyle name="Comma 11 2 2 2 2 2" xfId="423" xr:uid="{00000000-0005-0000-0000-0000A7010000}"/>
    <cellStyle name="Comma 11 2 2 2 2 2 2" xfId="424" xr:uid="{00000000-0005-0000-0000-0000A8010000}"/>
    <cellStyle name="Comma 11 2 2 2 2 3" xfId="425" xr:uid="{00000000-0005-0000-0000-0000A9010000}"/>
    <cellStyle name="Comma 11 2 2 2 2 3 2" xfId="426" xr:uid="{00000000-0005-0000-0000-0000AA010000}"/>
    <cellStyle name="Comma 11 2 2 2 2 4" xfId="427" xr:uid="{00000000-0005-0000-0000-0000AB010000}"/>
    <cellStyle name="Comma 11 2 2 2 3" xfId="428" xr:uid="{00000000-0005-0000-0000-0000AC010000}"/>
    <cellStyle name="Comma 11 2 2 2 3 2" xfId="429" xr:uid="{00000000-0005-0000-0000-0000AD010000}"/>
    <cellStyle name="Comma 11 2 2 2 4" xfId="430" xr:uid="{00000000-0005-0000-0000-0000AE010000}"/>
    <cellStyle name="Comma 11 2 2 2 4 2" xfId="431" xr:uid="{00000000-0005-0000-0000-0000AF010000}"/>
    <cellStyle name="Comma 11 2 2 2 5" xfId="432" xr:uid="{00000000-0005-0000-0000-0000B0010000}"/>
    <cellStyle name="Comma 11 2 2 3" xfId="433" xr:uid="{00000000-0005-0000-0000-0000B1010000}"/>
    <cellStyle name="Comma 11 2 2 3 2" xfId="434" xr:uid="{00000000-0005-0000-0000-0000B2010000}"/>
    <cellStyle name="Comma 11 2 2 3 2 2" xfId="435" xr:uid="{00000000-0005-0000-0000-0000B3010000}"/>
    <cellStyle name="Comma 11 2 2 3 3" xfId="436" xr:uid="{00000000-0005-0000-0000-0000B4010000}"/>
    <cellStyle name="Comma 11 2 2 3 3 2" xfId="437" xr:uid="{00000000-0005-0000-0000-0000B5010000}"/>
    <cellStyle name="Comma 11 2 2 3 4" xfId="438" xr:uid="{00000000-0005-0000-0000-0000B6010000}"/>
    <cellStyle name="Comma 11 2 2 4" xfId="439" xr:uid="{00000000-0005-0000-0000-0000B7010000}"/>
    <cellStyle name="Comma 11 2 2 4 2" xfId="440" xr:uid="{00000000-0005-0000-0000-0000B8010000}"/>
    <cellStyle name="Comma 11 2 2 5" xfId="441" xr:uid="{00000000-0005-0000-0000-0000B9010000}"/>
    <cellStyle name="Comma 11 2 2 5 2" xfId="442" xr:uid="{00000000-0005-0000-0000-0000BA010000}"/>
    <cellStyle name="Comma 11 2 2 6" xfId="443" xr:uid="{00000000-0005-0000-0000-0000BB010000}"/>
    <cellStyle name="Comma 11 2 3" xfId="444" xr:uid="{00000000-0005-0000-0000-0000BC010000}"/>
    <cellStyle name="Comma 11 2 3 2" xfId="445" xr:uid="{00000000-0005-0000-0000-0000BD010000}"/>
    <cellStyle name="Comma 11 2 3 2 2" xfId="446" xr:uid="{00000000-0005-0000-0000-0000BE010000}"/>
    <cellStyle name="Comma 11 2 3 2 2 2" xfId="447" xr:uid="{00000000-0005-0000-0000-0000BF010000}"/>
    <cellStyle name="Comma 11 2 3 2 3" xfId="448" xr:uid="{00000000-0005-0000-0000-0000C0010000}"/>
    <cellStyle name="Comma 11 2 3 2 3 2" xfId="449" xr:uid="{00000000-0005-0000-0000-0000C1010000}"/>
    <cellStyle name="Comma 11 2 3 2 4" xfId="450" xr:uid="{00000000-0005-0000-0000-0000C2010000}"/>
    <cellStyle name="Comma 11 2 3 3" xfId="451" xr:uid="{00000000-0005-0000-0000-0000C3010000}"/>
    <cellStyle name="Comma 11 2 3 3 2" xfId="452" xr:uid="{00000000-0005-0000-0000-0000C4010000}"/>
    <cellStyle name="Comma 11 2 3 4" xfId="453" xr:uid="{00000000-0005-0000-0000-0000C5010000}"/>
    <cellStyle name="Comma 11 2 3 4 2" xfId="454" xr:uid="{00000000-0005-0000-0000-0000C6010000}"/>
    <cellStyle name="Comma 11 2 3 5" xfId="455" xr:uid="{00000000-0005-0000-0000-0000C7010000}"/>
    <cellStyle name="Comma 11 2 4" xfId="456" xr:uid="{00000000-0005-0000-0000-0000C8010000}"/>
    <cellStyle name="Comma 11 2 4 2" xfId="457" xr:uid="{00000000-0005-0000-0000-0000C9010000}"/>
    <cellStyle name="Comma 11 2 4 2 2" xfId="458" xr:uid="{00000000-0005-0000-0000-0000CA010000}"/>
    <cellStyle name="Comma 11 2 4 3" xfId="459" xr:uid="{00000000-0005-0000-0000-0000CB010000}"/>
    <cellStyle name="Comma 11 2 4 3 2" xfId="460" xr:uid="{00000000-0005-0000-0000-0000CC010000}"/>
    <cellStyle name="Comma 11 2 4 4" xfId="461" xr:uid="{00000000-0005-0000-0000-0000CD010000}"/>
    <cellStyle name="Comma 11 2 5" xfId="462" xr:uid="{00000000-0005-0000-0000-0000CE010000}"/>
    <cellStyle name="Comma 11 2 5 2" xfId="463" xr:uid="{00000000-0005-0000-0000-0000CF010000}"/>
    <cellStyle name="Comma 11 2 6" xfId="464" xr:uid="{00000000-0005-0000-0000-0000D0010000}"/>
    <cellStyle name="Comma 11 2 6 2" xfId="465" xr:uid="{00000000-0005-0000-0000-0000D1010000}"/>
    <cellStyle name="Comma 11 2 7" xfId="466" xr:uid="{00000000-0005-0000-0000-0000D2010000}"/>
    <cellStyle name="Comma 11 3" xfId="467" xr:uid="{00000000-0005-0000-0000-0000D3010000}"/>
    <cellStyle name="Comma 11 3 2" xfId="468" xr:uid="{00000000-0005-0000-0000-0000D4010000}"/>
    <cellStyle name="Comma 11 3 2 2" xfId="469" xr:uid="{00000000-0005-0000-0000-0000D5010000}"/>
    <cellStyle name="Comma 11 3 2 2 2" xfId="470" xr:uid="{00000000-0005-0000-0000-0000D6010000}"/>
    <cellStyle name="Comma 11 3 2 2 2 2" xfId="471" xr:uid="{00000000-0005-0000-0000-0000D7010000}"/>
    <cellStyle name="Comma 11 3 2 2 3" xfId="472" xr:uid="{00000000-0005-0000-0000-0000D8010000}"/>
    <cellStyle name="Comma 11 3 2 2 3 2" xfId="473" xr:uid="{00000000-0005-0000-0000-0000D9010000}"/>
    <cellStyle name="Comma 11 3 2 2 4" xfId="474" xr:uid="{00000000-0005-0000-0000-0000DA010000}"/>
    <cellStyle name="Comma 11 3 2 3" xfId="475" xr:uid="{00000000-0005-0000-0000-0000DB010000}"/>
    <cellStyle name="Comma 11 3 2 3 2" xfId="476" xr:uid="{00000000-0005-0000-0000-0000DC010000}"/>
    <cellStyle name="Comma 11 3 2 4" xfId="477" xr:uid="{00000000-0005-0000-0000-0000DD010000}"/>
    <cellStyle name="Comma 11 3 2 4 2" xfId="478" xr:uid="{00000000-0005-0000-0000-0000DE010000}"/>
    <cellStyle name="Comma 11 3 2 5" xfId="479" xr:uid="{00000000-0005-0000-0000-0000DF010000}"/>
    <cellStyle name="Comma 11 3 3" xfId="480" xr:uid="{00000000-0005-0000-0000-0000E0010000}"/>
    <cellStyle name="Comma 11 3 3 2" xfId="481" xr:uid="{00000000-0005-0000-0000-0000E1010000}"/>
    <cellStyle name="Comma 11 3 3 2 2" xfId="482" xr:uid="{00000000-0005-0000-0000-0000E2010000}"/>
    <cellStyle name="Comma 11 3 3 3" xfId="483" xr:uid="{00000000-0005-0000-0000-0000E3010000}"/>
    <cellStyle name="Comma 11 3 3 3 2" xfId="484" xr:uid="{00000000-0005-0000-0000-0000E4010000}"/>
    <cellStyle name="Comma 11 3 3 4" xfId="485" xr:uid="{00000000-0005-0000-0000-0000E5010000}"/>
    <cellStyle name="Comma 11 3 4" xfId="486" xr:uid="{00000000-0005-0000-0000-0000E6010000}"/>
    <cellStyle name="Comma 11 3 4 2" xfId="487" xr:uid="{00000000-0005-0000-0000-0000E7010000}"/>
    <cellStyle name="Comma 11 3 5" xfId="488" xr:uid="{00000000-0005-0000-0000-0000E8010000}"/>
    <cellStyle name="Comma 11 3 5 2" xfId="489" xr:uid="{00000000-0005-0000-0000-0000E9010000}"/>
    <cellStyle name="Comma 11 3 6" xfId="490" xr:uid="{00000000-0005-0000-0000-0000EA010000}"/>
    <cellStyle name="Comma 11 4" xfId="491" xr:uid="{00000000-0005-0000-0000-0000EB010000}"/>
    <cellStyle name="Comma 11 4 2" xfId="492" xr:uid="{00000000-0005-0000-0000-0000EC010000}"/>
    <cellStyle name="Comma 11 4 2 2" xfId="493" xr:uid="{00000000-0005-0000-0000-0000ED010000}"/>
    <cellStyle name="Comma 11 4 2 2 2" xfId="494" xr:uid="{00000000-0005-0000-0000-0000EE010000}"/>
    <cellStyle name="Comma 11 4 2 3" xfId="495" xr:uid="{00000000-0005-0000-0000-0000EF010000}"/>
    <cellStyle name="Comma 11 4 2 3 2" xfId="496" xr:uid="{00000000-0005-0000-0000-0000F0010000}"/>
    <cellStyle name="Comma 11 4 2 4" xfId="497" xr:uid="{00000000-0005-0000-0000-0000F1010000}"/>
    <cellStyle name="Comma 11 4 3" xfId="498" xr:uid="{00000000-0005-0000-0000-0000F2010000}"/>
    <cellStyle name="Comma 11 4 3 2" xfId="499" xr:uid="{00000000-0005-0000-0000-0000F3010000}"/>
    <cellStyle name="Comma 11 4 4" xfId="500" xr:uid="{00000000-0005-0000-0000-0000F4010000}"/>
    <cellStyle name="Comma 11 4 4 2" xfId="501" xr:uid="{00000000-0005-0000-0000-0000F5010000}"/>
    <cellStyle name="Comma 11 4 5" xfId="502" xr:uid="{00000000-0005-0000-0000-0000F6010000}"/>
    <cellStyle name="Comma 11 5" xfId="503" xr:uid="{00000000-0005-0000-0000-0000F7010000}"/>
    <cellStyle name="Comma 11 5 2" xfId="504" xr:uid="{00000000-0005-0000-0000-0000F8010000}"/>
    <cellStyle name="Comma 11 5 2 2" xfId="505" xr:uid="{00000000-0005-0000-0000-0000F9010000}"/>
    <cellStyle name="Comma 11 5 3" xfId="506" xr:uid="{00000000-0005-0000-0000-0000FA010000}"/>
    <cellStyle name="Comma 11 5 3 2" xfId="507" xr:uid="{00000000-0005-0000-0000-0000FB010000}"/>
    <cellStyle name="Comma 11 5 4" xfId="508" xr:uid="{00000000-0005-0000-0000-0000FC010000}"/>
    <cellStyle name="Comma 11 6" xfId="509" xr:uid="{00000000-0005-0000-0000-0000FD010000}"/>
    <cellStyle name="Comma 11 6 2" xfId="510" xr:uid="{00000000-0005-0000-0000-0000FE010000}"/>
    <cellStyle name="Comma 11 7" xfId="511" xr:uid="{00000000-0005-0000-0000-0000FF010000}"/>
    <cellStyle name="Comma 11 7 2" xfId="512" xr:uid="{00000000-0005-0000-0000-000000020000}"/>
    <cellStyle name="Comma 11 8" xfId="513" xr:uid="{00000000-0005-0000-0000-000001020000}"/>
    <cellStyle name="Comma 12" xfId="514" xr:uid="{00000000-0005-0000-0000-000002020000}"/>
    <cellStyle name="Comma 12 2" xfId="515" xr:uid="{00000000-0005-0000-0000-000003020000}"/>
    <cellStyle name="Comma 12 2 2" xfId="516" xr:uid="{00000000-0005-0000-0000-000004020000}"/>
    <cellStyle name="Comma 12 2 2 2" xfId="517" xr:uid="{00000000-0005-0000-0000-000005020000}"/>
    <cellStyle name="Comma 12 2 2 2 2" xfId="518" xr:uid="{00000000-0005-0000-0000-000006020000}"/>
    <cellStyle name="Comma 12 2 2 2 2 2" xfId="519" xr:uid="{00000000-0005-0000-0000-000007020000}"/>
    <cellStyle name="Comma 12 2 2 2 3" xfId="520" xr:uid="{00000000-0005-0000-0000-000008020000}"/>
    <cellStyle name="Comma 12 2 2 2 3 2" xfId="521" xr:uid="{00000000-0005-0000-0000-000009020000}"/>
    <cellStyle name="Comma 12 2 2 2 4" xfId="522" xr:uid="{00000000-0005-0000-0000-00000A020000}"/>
    <cellStyle name="Comma 12 2 2 3" xfId="523" xr:uid="{00000000-0005-0000-0000-00000B020000}"/>
    <cellStyle name="Comma 12 2 2 3 2" xfId="524" xr:uid="{00000000-0005-0000-0000-00000C020000}"/>
    <cellStyle name="Comma 12 2 2 4" xfId="525" xr:uid="{00000000-0005-0000-0000-00000D020000}"/>
    <cellStyle name="Comma 12 2 2 4 2" xfId="526" xr:uid="{00000000-0005-0000-0000-00000E020000}"/>
    <cellStyle name="Comma 12 2 2 5" xfId="527" xr:uid="{00000000-0005-0000-0000-00000F020000}"/>
    <cellStyle name="Comma 12 2 3" xfId="528" xr:uid="{00000000-0005-0000-0000-000010020000}"/>
    <cellStyle name="Comma 12 2 3 2" xfId="529" xr:uid="{00000000-0005-0000-0000-000011020000}"/>
    <cellStyle name="Comma 12 2 3 2 2" xfId="530" xr:uid="{00000000-0005-0000-0000-000012020000}"/>
    <cellStyle name="Comma 12 2 3 3" xfId="531" xr:uid="{00000000-0005-0000-0000-000013020000}"/>
    <cellStyle name="Comma 12 2 3 3 2" xfId="532" xr:uid="{00000000-0005-0000-0000-000014020000}"/>
    <cellStyle name="Comma 12 2 3 4" xfId="533" xr:uid="{00000000-0005-0000-0000-000015020000}"/>
    <cellStyle name="Comma 12 2 4" xfId="534" xr:uid="{00000000-0005-0000-0000-000016020000}"/>
    <cellStyle name="Comma 12 2 4 2" xfId="535" xr:uid="{00000000-0005-0000-0000-000017020000}"/>
    <cellStyle name="Comma 12 2 5" xfId="536" xr:uid="{00000000-0005-0000-0000-000018020000}"/>
    <cellStyle name="Comma 12 2 5 2" xfId="537" xr:uid="{00000000-0005-0000-0000-000019020000}"/>
    <cellStyle name="Comma 12 2 6" xfId="538" xr:uid="{00000000-0005-0000-0000-00001A020000}"/>
    <cellStyle name="Comma 12 3" xfId="539" xr:uid="{00000000-0005-0000-0000-00001B020000}"/>
    <cellStyle name="Comma 12 4" xfId="540" xr:uid="{00000000-0005-0000-0000-00001C020000}"/>
    <cellStyle name="Comma 12 5" xfId="541" xr:uid="{00000000-0005-0000-0000-00001D020000}"/>
    <cellStyle name="Comma 12 6" xfId="542" xr:uid="{00000000-0005-0000-0000-00001E020000}"/>
    <cellStyle name="Comma 13" xfId="543" xr:uid="{00000000-0005-0000-0000-00001F020000}"/>
    <cellStyle name="Comma 13 2" xfId="544" xr:uid="{00000000-0005-0000-0000-000020020000}"/>
    <cellStyle name="Comma 13 2 2" xfId="545" xr:uid="{00000000-0005-0000-0000-000021020000}"/>
    <cellStyle name="Comma 13 2 2 2" xfId="546" xr:uid="{00000000-0005-0000-0000-000022020000}"/>
    <cellStyle name="Comma 13 2 2 2 2" xfId="547" xr:uid="{00000000-0005-0000-0000-000023020000}"/>
    <cellStyle name="Comma 13 2 2 2 2 2" xfId="548" xr:uid="{00000000-0005-0000-0000-000024020000}"/>
    <cellStyle name="Comma 13 2 2 2 3" xfId="549" xr:uid="{00000000-0005-0000-0000-000025020000}"/>
    <cellStyle name="Comma 13 2 2 2 3 2" xfId="550" xr:uid="{00000000-0005-0000-0000-000026020000}"/>
    <cellStyle name="Comma 13 2 2 2 4" xfId="551" xr:uid="{00000000-0005-0000-0000-000027020000}"/>
    <cellStyle name="Comma 13 2 2 3" xfId="552" xr:uid="{00000000-0005-0000-0000-000028020000}"/>
    <cellStyle name="Comma 13 2 2 3 2" xfId="553" xr:uid="{00000000-0005-0000-0000-000029020000}"/>
    <cellStyle name="Comma 13 2 2 4" xfId="554" xr:uid="{00000000-0005-0000-0000-00002A020000}"/>
    <cellStyle name="Comma 13 2 2 4 2" xfId="555" xr:uid="{00000000-0005-0000-0000-00002B020000}"/>
    <cellStyle name="Comma 13 2 2 5" xfId="556" xr:uid="{00000000-0005-0000-0000-00002C020000}"/>
    <cellStyle name="Comma 13 2 3" xfId="557" xr:uid="{00000000-0005-0000-0000-00002D020000}"/>
    <cellStyle name="Comma 13 2 3 2" xfId="558" xr:uid="{00000000-0005-0000-0000-00002E020000}"/>
    <cellStyle name="Comma 13 2 3 2 2" xfId="559" xr:uid="{00000000-0005-0000-0000-00002F020000}"/>
    <cellStyle name="Comma 13 2 3 3" xfId="560" xr:uid="{00000000-0005-0000-0000-000030020000}"/>
    <cellStyle name="Comma 13 2 3 3 2" xfId="561" xr:uid="{00000000-0005-0000-0000-000031020000}"/>
    <cellStyle name="Comma 13 2 3 4" xfId="562" xr:uid="{00000000-0005-0000-0000-000032020000}"/>
    <cellStyle name="Comma 13 2 4" xfId="563" xr:uid="{00000000-0005-0000-0000-000033020000}"/>
    <cellStyle name="Comma 13 2 4 2" xfId="564" xr:uid="{00000000-0005-0000-0000-000034020000}"/>
    <cellStyle name="Comma 13 2 5" xfId="565" xr:uid="{00000000-0005-0000-0000-000035020000}"/>
    <cellStyle name="Comma 13 2 5 2" xfId="566" xr:uid="{00000000-0005-0000-0000-000036020000}"/>
    <cellStyle name="Comma 13 2 6" xfId="567" xr:uid="{00000000-0005-0000-0000-000037020000}"/>
    <cellStyle name="Comma 13 3" xfId="568" xr:uid="{00000000-0005-0000-0000-000038020000}"/>
    <cellStyle name="Comma 13 3 2" xfId="569" xr:uid="{00000000-0005-0000-0000-000039020000}"/>
    <cellStyle name="Comma 13 3 2 2" xfId="570" xr:uid="{00000000-0005-0000-0000-00003A020000}"/>
    <cellStyle name="Comma 13 3 2 2 2" xfId="571" xr:uid="{00000000-0005-0000-0000-00003B020000}"/>
    <cellStyle name="Comma 13 3 2 3" xfId="572" xr:uid="{00000000-0005-0000-0000-00003C020000}"/>
    <cellStyle name="Comma 13 3 2 3 2" xfId="573" xr:uid="{00000000-0005-0000-0000-00003D020000}"/>
    <cellStyle name="Comma 13 3 2 4" xfId="574" xr:uid="{00000000-0005-0000-0000-00003E020000}"/>
    <cellStyle name="Comma 13 3 3" xfId="575" xr:uid="{00000000-0005-0000-0000-00003F020000}"/>
    <cellStyle name="Comma 13 3 3 2" xfId="576" xr:uid="{00000000-0005-0000-0000-000040020000}"/>
    <cellStyle name="Comma 13 3 4" xfId="577" xr:uid="{00000000-0005-0000-0000-000041020000}"/>
    <cellStyle name="Comma 13 3 4 2" xfId="578" xr:uid="{00000000-0005-0000-0000-000042020000}"/>
    <cellStyle name="Comma 13 3 5" xfId="579" xr:uid="{00000000-0005-0000-0000-000043020000}"/>
    <cellStyle name="Comma 13 4" xfId="580" xr:uid="{00000000-0005-0000-0000-000044020000}"/>
    <cellStyle name="Comma 13 4 2" xfId="581" xr:uid="{00000000-0005-0000-0000-000045020000}"/>
    <cellStyle name="Comma 13 4 2 2" xfId="582" xr:uid="{00000000-0005-0000-0000-000046020000}"/>
    <cellStyle name="Comma 13 4 3" xfId="583" xr:uid="{00000000-0005-0000-0000-000047020000}"/>
    <cellStyle name="Comma 13 4 3 2" xfId="584" xr:uid="{00000000-0005-0000-0000-000048020000}"/>
    <cellStyle name="Comma 13 4 4" xfId="585" xr:uid="{00000000-0005-0000-0000-000049020000}"/>
    <cellStyle name="Comma 13 5" xfId="586" xr:uid="{00000000-0005-0000-0000-00004A020000}"/>
    <cellStyle name="Comma 13 5 2" xfId="587" xr:uid="{00000000-0005-0000-0000-00004B020000}"/>
    <cellStyle name="Comma 13 6" xfId="588" xr:uid="{00000000-0005-0000-0000-00004C020000}"/>
    <cellStyle name="Comma 13 6 2" xfId="589" xr:uid="{00000000-0005-0000-0000-00004D020000}"/>
    <cellStyle name="Comma 13 7" xfId="590" xr:uid="{00000000-0005-0000-0000-00004E020000}"/>
    <cellStyle name="Comma 13 8" xfId="591" xr:uid="{00000000-0005-0000-0000-00004F020000}"/>
    <cellStyle name="Comma 14" xfId="592" xr:uid="{00000000-0005-0000-0000-000050020000}"/>
    <cellStyle name="Comma 14 2" xfId="593" xr:uid="{00000000-0005-0000-0000-000051020000}"/>
    <cellStyle name="Comma 15" xfId="594" xr:uid="{00000000-0005-0000-0000-000052020000}"/>
    <cellStyle name="Comma 15 2" xfId="595" xr:uid="{00000000-0005-0000-0000-000053020000}"/>
    <cellStyle name="Comma 15 2 2" xfId="596" xr:uid="{00000000-0005-0000-0000-000054020000}"/>
    <cellStyle name="Comma 15 3" xfId="597" xr:uid="{00000000-0005-0000-0000-000055020000}"/>
    <cellStyle name="Comma 15 4" xfId="598" xr:uid="{00000000-0005-0000-0000-000056020000}"/>
    <cellStyle name="Comma 16" xfId="599" xr:uid="{00000000-0005-0000-0000-000057020000}"/>
    <cellStyle name="Comma 16 2" xfId="600" xr:uid="{00000000-0005-0000-0000-000058020000}"/>
    <cellStyle name="Comma 16 2 2" xfId="601" xr:uid="{00000000-0005-0000-0000-000059020000}"/>
    <cellStyle name="Comma 16 2 2 2" xfId="602" xr:uid="{00000000-0005-0000-0000-00005A020000}"/>
    <cellStyle name="Comma 16 2 3" xfId="603" xr:uid="{00000000-0005-0000-0000-00005B020000}"/>
    <cellStyle name="Comma 16 2 3 2" xfId="604" xr:uid="{00000000-0005-0000-0000-00005C020000}"/>
    <cellStyle name="Comma 16 2 4" xfId="605" xr:uid="{00000000-0005-0000-0000-00005D020000}"/>
    <cellStyle name="Comma 16 3" xfId="606" xr:uid="{00000000-0005-0000-0000-00005E020000}"/>
    <cellStyle name="Comma 16 3 2" xfId="607" xr:uid="{00000000-0005-0000-0000-00005F020000}"/>
    <cellStyle name="Comma 16 4" xfId="608" xr:uid="{00000000-0005-0000-0000-000060020000}"/>
    <cellStyle name="Comma 16 4 2" xfId="609" xr:uid="{00000000-0005-0000-0000-000061020000}"/>
    <cellStyle name="Comma 16 5" xfId="610" xr:uid="{00000000-0005-0000-0000-000062020000}"/>
    <cellStyle name="Comma 17" xfId="611" xr:uid="{00000000-0005-0000-0000-000063020000}"/>
    <cellStyle name="Comma 17 2" xfId="612" xr:uid="{00000000-0005-0000-0000-000064020000}"/>
    <cellStyle name="Comma 17 2 2" xfId="613" xr:uid="{00000000-0005-0000-0000-000065020000}"/>
    <cellStyle name="Comma 17 3" xfId="614" xr:uid="{00000000-0005-0000-0000-000066020000}"/>
    <cellStyle name="Comma 17 4" xfId="615" xr:uid="{00000000-0005-0000-0000-000067020000}"/>
    <cellStyle name="Comma 17 5" xfId="616" xr:uid="{00000000-0005-0000-0000-000068020000}"/>
    <cellStyle name="Comma 18" xfId="617" xr:uid="{00000000-0005-0000-0000-000069020000}"/>
    <cellStyle name="Comma 18 2" xfId="618" xr:uid="{00000000-0005-0000-0000-00006A020000}"/>
    <cellStyle name="Comma 18 2 2" xfId="619" xr:uid="{00000000-0005-0000-0000-00006B020000}"/>
    <cellStyle name="Comma 18 3" xfId="620" xr:uid="{00000000-0005-0000-0000-00006C020000}"/>
    <cellStyle name="Comma 18 4" xfId="621" xr:uid="{00000000-0005-0000-0000-00006D020000}"/>
    <cellStyle name="Comma 18 5" xfId="622" xr:uid="{00000000-0005-0000-0000-00006E020000}"/>
    <cellStyle name="Comma 19" xfId="623" xr:uid="{00000000-0005-0000-0000-00006F020000}"/>
    <cellStyle name="Comma 19 2" xfId="624" xr:uid="{00000000-0005-0000-0000-000070020000}"/>
    <cellStyle name="Comma 19 3" xfId="625" xr:uid="{00000000-0005-0000-0000-000071020000}"/>
    <cellStyle name="Comma 19 4" xfId="626" xr:uid="{00000000-0005-0000-0000-000072020000}"/>
    <cellStyle name="Comma 19 5" xfId="627" xr:uid="{00000000-0005-0000-0000-000073020000}"/>
    <cellStyle name="Comma 19 6" xfId="628" xr:uid="{00000000-0005-0000-0000-000074020000}"/>
    <cellStyle name="Comma 2" xfId="629" xr:uid="{00000000-0005-0000-0000-000075020000}"/>
    <cellStyle name="Comma 2 2" xfId="630" xr:uid="{00000000-0005-0000-0000-000076020000}"/>
    <cellStyle name="Comma 2 2 2" xfId="631" xr:uid="{00000000-0005-0000-0000-000077020000}"/>
    <cellStyle name="Comma 2 2 2 2" xfId="632" xr:uid="{00000000-0005-0000-0000-000078020000}"/>
    <cellStyle name="Comma 2 2 2 2 2" xfId="633" xr:uid="{00000000-0005-0000-0000-000079020000}"/>
    <cellStyle name="Comma 2 2 2 2 3" xfId="634" xr:uid="{00000000-0005-0000-0000-00007A020000}"/>
    <cellStyle name="Comma 2 2 2 2 4" xfId="635" xr:uid="{00000000-0005-0000-0000-00007B020000}"/>
    <cellStyle name="Comma 2 2 3" xfId="636" xr:uid="{00000000-0005-0000-0000-00007C020000}"/>
    <cellStyle name="Comma 2 2 3 2" xfId="637" xr:uid="{00000000-0005-0000-0000-00007D020000}"/>
    <cellStyle name="Comma 2 2 3 3" xfId="638" xr:uid="{00000000-0005-0000-0000-00007E020000}"/>
    <cellStyle name="Comma 2 3" xfId="639" xr:uid="{00000000-0005-0000-0000-00007F020000}"/>
    <cellStyle name="Comma 2 3 2" xfId="640" xr:uid="{00000000-0005-0000-0000-000080020000}"/>
    <cellStyle name="Comma 2 4" xfId="641" xr:uid="{00000000-0005-0000-0000-000081020000}"/>
    <cellStyle name="Comma 2 4 2" xfId="642" xr:uid="{00000000-0005-0000-0000-000082020000}"/>
    <cellStyle name="Comma 2 4 2 2" xfId="643" xr:uid="{00000000-0005-0000-0000-000083020000}"/>
    <cellStyle name="Comma 2 4 2 2 2" xfId="644" xr:uid="{00000000-0005-0000-0000-000084020000}"/>
    <cellStyle name="Comma 2 4 3" xfId="645" xr:uid="{00000000-0005-0000-0000-000085020000}"/>
    <cellStyle name="Comma 2 4 4" xfId="646" xr:uid="{00000000-0005-0000-0000-000086020000}"/>
    <cellStyle name="Comma 2 4 5" xfId="647" xr:uid="{00000000-0005-0000-0000-000087020000}"/>
    <cellStyle name="Comma 2 5" xfId="648" xr:uid="{00000000-0005-0000-0000-000088020000}"/>
    <cellStyle name="Comma 2 5 2" xfId="649" xr:uid="{00000000-0005-0000-0000-000089020000}"/>
    <cellStyle name="Comma 2 5 3" xfId="650" xr:uid="{00000000-0005-0000-0000-00008A020000}"/>
    <cellStyle name="Comma 2 6" xfId="651" xr:uid="{00000000-0005-0000-0000-00008B020000}"/>
    <cellStyle name="Comma 2 6 2" xfId="652" xr:uid="{00000000-0005-0000-0000-00008C020000}"/>
    <cellStyle name="Comma 2 6 2 2" xfId="653" xr:uid="{00000000-0005-0000-0000-00008D020000}"/>
    <cellStyle name="Comma 2 6 3" xfId="654" xr:uid="{00000000-0005-0000-0000-00008E020000}"/>
    <cellStyle name="Comma 2 6 3 2" xfId="655" xr:uid="{00000000-0005-0000-0000-00008F020000}"/>
    <cellStyle name="Comma 2 6 3 3" xfId="656" xr:uid="{00000000-0005-0000-0000-000090020000}"/>
    <cellStyle name="Comma 2 6 4" xfId="657" xr:uid="{00000000-0005-0000-0000-000091020000}"/>
    <cellStyle name="Comma 2 6 5" xfId="658" xr:uid="{00000000-0005-0000-0000-000092020000}"/>
    <cellStyle name="Comma 2 7" xfId="659" xr:uid="{00000000-0005-0000-0000-000093020000}"/>
    <cellStyle name="Comma 2 7 2" xfId="660" xr:uid="{00000000-0005-0000-0000-000094020000}"/>
    <cellStyle name="Comma 2 7 3" xfId="661" xr:uid="{00000000-0005-0000-0000-000095020000}"/>
    <cellStyle name="Comma 2 7 4" xfId="662" xr:uid="{00000000-0005-0000-0000-000096020000}"/>
    <cellStyle name="Comma 2 7 5" xfId="663" xr:uid="{00000000-0005-0000-0000-000097020000}"/>
    <cellStyle name="Comma 2 8" xfId="664" xr:uid="{00000000-0005-0000-0000-000098020000}"/>
    <cellStyle name="Comma 2 9" xfId="665" xr:uid="{00000000-0005-0000-0000-000099020000}"/>
    <cellStyle name="Comma 20" xfId="666" xr:uid="{00000000-0005-0000-0000-00009A020000}"/>
    <cellStyle name="Comma 20 2" xfId="667" xr:uid="{00000000-0005-0000-0000-00009B020000}"/>
    <cellStyle name="Comma 20 3" xfId="668" xr:uid="{00000000-0005-0000-0000-00009C020000}"/>
    <cellStyle name="Comma 20 4" xfId="669" xr:uid="{00000000-0005-0000-0000-00009D020000}"/>
    <cellStyle name="Comma 21" xfId="670" xr:uid="{00000000-0005-0000-0000-00009E020000}"/>
    <cellStyle name="Comma 21 2" xfId="671" xr:uid="{00000000-0005-0000-0000-00009F020000}"/>
    <cellStyle name="Comma 21 3" xfId="672" xr:uid="{00000000-0005-0000-0000-0000A0020000}"/>
    <cellStyle name="Comma 21 4" xfId="673" xr:uid="{00000000-0005-0000-0000-0000A1020000}"/>
    <cellStyle name="Comma 22" xfId="674" xr:uid="{00000000-0005-0000-0000-0000A2020000}"/>
    <cellStyle name="Comma 22 2" xfId="675" xr:uid="{00000000-0005-0000-0000-0000A3020000}"/>
    <cellStyle name="Comma 23" xfId="676" xr:uid="{00000000-0005-0000-0000-0000A4020000}"/>
    <cellStyle name="Comma 24" xfId="677" xr:uid="{00000000-0005-0000-0000-0000A5020000}"/>
    <cellStyle name="Comma 25" xfId="678" xr:uid="{00000000-0005-0000-0000-0000A6020000}"/>
    <cellStyle name="Comma 25 2" xfId="679" xr:uid="{00000000-0005-0000-0000-0000A7020000}"/>
    <cellStyle name="Comma 25 2 2" xfId="680" xr:uid="{00000000-0005-0000-0000-0000A8020000}"/>
    <cellStyle name="Comma 26" xfId="681" xr:uid="{00000000-0005-0000-0000-0000A9020000}"/>
    <cellStyle name="Comma 27" xfId="682" xr:uid="{00000000-0005-0000-0000-0000AA020000}"/>
    <cellStyle name="Comma 28" xfId="683" xr:uid="{00000000-0005-0000-0000-0000AB020000}"/>
    <cellStyle name="Comma 29" xfId="684" xr:uid="{00000000-0005-0000-0000-0000AC020000}"/>
    <cellStyle name="Comma 29 2" xfId="685" xr:uid="{00000000-0005-0000-0000-0000AD020000}"/>
    <cellStyle name="Comma 3" xfId="686" xr:uid="{00000000-0005-0000-0000-0000AE020000}"/>
    <cellStyle name="Comma 3 2" xfId="687" xr:uid="{00000000-0005-0000-0000-0000AF020000}"/>
    <cellStyle name="Comma 3 2 2" xfId="688" xr:uid="{00000000-0005-0000-0000-0000B0020000}"/>
    <cellStyle name="Comma 3 3" xfId="689" xr:uid="{00000000-0005-0000-0000-0000B1020000}"/>
    <cellStyle name="Comma 3 4" xfId="690" xr:uid="{00000000-0005-0000-0000-0000B2020000}"/>
    <cellStyle name="Comma 3 5" xfId="691" xr:uid="{00000000-0005-0000-0000-0000B3020000}"/>
    <cellStyle name="Comma 30" xfId="692" xr:uid="{00000000-0005-0000-0000-0000B4020000}"/>
    <cellStyle name="Comma 31" xfId="693" xr:uid="{00000000-0005-0000-0000-0000B5020000}"/>
    <cellStyle name="Comma 32" xfId="694" xr:uid="{00000000-0005-0000-0000-0000B6020000}"/>
    <cellStyle name="Comma 4" xfId="695" xr:uid="{00000000-0005-0000-0000-0000B7020000}"/>
    <cellStyle name="Comma 4 10" xfId="696" xr:uid="{00000000-0005-0000-0000-0000B8020000}"/>
    <cellStyle name="Comma 4 11" xfId="697" xr:uid="{00000000-0005-0000-0000-0000B9020000}"/>
    <cellStyle name="Comma 4 12" xfId="698" xr:uid="{00000000-0005-0000-0000-0000BA020000}"/>
    <cellStyle name="Comma 4 13" xfId="699" xr:uid="{00000000-0005-0000-0000-0000BB020000}"/>
    <cellStyle name="Comma 4 2" xfId="700" xr:uid="{00000000-0005-0000-0000-0000BC020000}"/>
    <cellStyle name="Comma 4 2 2" xfId="701" xr:uid="{00000000-0005-0000-0000-0000BD020000}"/>
    <cellStyle name="Comma 4 2 2 10" xfId="702" xr:uid="{00000000-0005-0000-0000-0000BE020000}"/>
    <cellStyle name="Comma 4 2 2 2" xfId="703" xr:uid="{00000000-0005-0000-0000-0000BF020000}"/>
    <cellStyle name="Comma 4 2 2 2 2" xfId="704" xr:uid="{00000000-0005-0000-0000-0000C0020000}"/>
    <cellStyle name="Comma 4 2 2 2 2 2" xfId="705" xr:uid="{00000000-0005-0000-0000-0000C1020000}"/>
    <cellStyle name="Comma 4 2 2 2 2 2 2" xfId="706" xr:uid="{00000000-0005-0000-0000-0000C2020000}"/>
    <cellStyle name="Comma 4 2 2 2 2 2 2 2" xfId="707" xr:uid="{00000000-0005-0000-0000-0000C3020000}"/>
    <cellStyle name="Comma 4 2 2 2 2 2 3" xfId="708" xr:uid="{00000000-0005-0000-0000-0000C4020000}"/>
    <cellStyle name="Comma 4 2 2 2 2 2 3 2" xfId="709" xr:uid="{00000000-0005-0000-0000-0000C5020000}"/>
    <cellStyle name="Comma 4 2 2 2 2 2 4" xfId="710" xr:uid="{00000000-0005-0000-0000-0000C6020000}"/>
    <cellStyle name="Comma 4 2 2 2 2 3" xfId="711" xr:uid="{00000000-0005-0000-0000-0000C7020000}"/>
    <cellStyle name="Comma 4 2 2 2 2 3 2" xfId="712" xr:uid="{00000000-0005-0000-0000-0000C8020000}"/>
    <cellStyle name="Comma 4 2 2 2 2 4" xfId="713" xr:uid="{00000000-0005-0000-0000-0000C9020000}"/>
    <cellStyle name="Comma 4 2 2 2 2 4 2" xfId="714" xr:uid="{00000000-0005-0000-0000-0000CA020000}"/>
    <cellStyle name="Comma 4 2 2 2 2 5" xfId="715" xr:uid="{00000000-0005-0000-0000-0000CB020000}"/>
    <cellStyle name="Comma 4 2 2 2 3" xfId="716" xr:uid="{00000000-0005-0000-0000-0000CC020000}"/>
    <cellStyle name="Comma 4 2 2 2 3 2" xfId="717" xr:uid="{00000000-0005-0000-0000-0000CD020000}"/>
    <cellStyle name="Comma 4 2 2 2 3 2 2" xfId="718" xr:uid="{00000000-0005-0000-0000-0000CE020000}"/>
    <cellStyle name="Comma 4 2 2 2 3 3" xfId="719" xr:uid="{00000000-0005-0000-0000-0000CF020000}"/>
    <cellStyle name="Comma 4 2 2 2 3 3 2" xfId="720" xr:uid="{00000000-0005-0000-0000-0000D0020000}"/>
    <cellStyle name="Comma 4 2 2 2 3 4" xfId="721" xr:uid="{00000000-0005-0000-0000-0000D1020000}"/>
    <cellStyle name="Comma 4 2 2 2 4" xfId="722" xr:uid="{00000000-0005-0000-0000-0000D2020000}"/>
    <cellStyle name="Comma 4 2 2 2 4 2" xfId="723" xr:uid="{00000000-0005-0000-0000-0000D3020000}"/>
    <cellStyle name="Comma 4 2 2 2 5" xfId="724" xr:uid="{00000000-0005-0000-0000-0000D4020000}"/>
    <cellStyle name="Comma 4 2 2 2 5 2" xfId="725" xr:uid="{00000000-0005-0000-0000-0000D5020000}"/>
    <cellStyle name="Comma 4 2 2 2 6" xfId="726" xr:uid="{00000000-0005-0000-0000-0000D6020000}"/>
    <cellStyle name="Comma 4 2 2 3" xfId="727" xr:uid="{00000000-0005-0000-0000-0000D7020000}"/>
    <cellStyle name="Comma 4 2 2 3 2" xfId="728" xr:uid="{00000000-0005-0000-0000-0000D8020000}"/>
    <cellStyle name="Comma 4 2 2 3 2 2" xfId="729" xr:uid="{00000000-0005-0000-0000-0000D9020000}"/>
    <cellStyle name="Comma 4 2 2 3 2 2 2" xfId="730" xr:uid="{00000000-0005-0000-0000-0000DA020000}"/>
    <cellStyle name="Comma 4 2 2 3 2 2 2 2" xfId="731" xr:uid="{00000000-0005-0000-0000-0000DB020000}"/>
    <cellStyle name="Comma 4 2 2 3 2 2 3" xfId="732" xr:uid="{00000000-0005-0000-0000-0000DC020000}"/>
    <cellStyle name="Comma 4 2 2 3 2 2 3 2" xfId="733" xr:uid="{00000000-0005-0000-0000-0000DD020000}"/>
    <cellStyle name="Comma 4 2 2 3 2 2 4" xfId="734" xr:uid="{00000000-0005-0000-0000-0000DE020000}"/>
    <cellStyle name="Comma 4 2 2 3 2 3" xfId="735" xr:uid="{00000000-0005-0000-0000-0000DF020000}"/>
    <cellStyle name="Comma 4 2 2 3 2 3 2" xfId="736" xr:uid="{00000000-0005-0000-0000-0000E0020000}"/>
    <cellStyle name="Comma 4 2 2 3 2 4" xfId="737" xr:uid="{00000000-0005-0000-0000-0000E1020000}"/>
    <cellStyle name="Comma 4 2 2 3 2 4 2" xfId="738" xr:uid="{00000000-0005-0000-0000-0000E2020000}"/>
    <cellStyle name="Comma 4 2 2 3 2 5" xfId="739" xr:uid="{00000000-0005-0000-0000-0000E3020000}"/>
    <cellStyle name="Comma 4 2 2 3 3" xfId="740" xr:uid="{00000000-0005-0000-0000-0000E4020000}"/>
    <cellStyle name="Comma 4 2 2 3 3 2" xfId="741" xr:uid="{00000000-0005-0000-0000-0000E5020000}"/>
    <cellStyle name="Comma 4 2 2 3 3 2 2" xfId="742" xr:uid="{00000000-0005-0000-0000-0000E6020000}"/>
    <cellStyle name="Comma 4 2 2 3 3 3" xfId="743" xr:uid="{00000000-0005-0000-0000-0000E7020000}"/>
    <cellStyle name="Comma 4 2 2 3 3 3 2" xfId="744" xr:uid="{00000000-0005-0000-0000-0000E8020000}"/>
    <cellStyle name="Comma 4 2 2 3 3 4" xfId="745" xr:uid="{00000000-0005-0000-0000-0000E9020000}"/>
    <cellStyle name="Comma 4 2 2 3 4" xfId="746" xr:uid="{00000000-0005-0000-0000-0000EA020000}"/>
    <cellStyle name="Comma 4 2 2 3 4 2" xfId="747" xr:uid="{00000000-0005-0000-0000-0000EB020000}"/>
    <cellStyle name="Comma 4 2 2 3 5" xfId="748" xr:uid="{00000000-0005-0000-0000-0000EC020000}"/>
    <cellStyle name="Comma 4 2 2 3 5 2" xfId="749" xr:uid="{00000000-0005-0000-0000-0000ED020000}"/>
    <cellStyle name="Comma 4 2 2 3 6" xfId="750" xr:uid="{00000000-0005-0000-0000-0000EE020000}"/>
    <cellStyle name="Comma 4 2 2 4" xfId="751" xr:uid="{00000000-0005-0000-0000-0000EF020000}"/>
    <cellStyle name="Comma 4 2 2 4 2" xfId="752" xr:uid="{00000000-0005-0000-0000-0000F0020000}"/>
    <cellStyle name="Comma 4 2 2 4 2 2" xfId="753" xr:uid="{00000000-0005-0000-0000-0000F1020000}"/>
    <cellStyle name="Comma 4 2 2 4 2 2 2" xfId="754" xr:uid="{00000000-0005-0000-0000-0000F2020000}"/>
    <cellStyle name="Comma 4 2 2 4 2 3" xfId="755" xr:uid="{00000000-0005-0000-0000-0000F3020000}"/>
    <cellStyle name="Comma 4 2 2 4 2 3 2" xfId="756" xr:uid="{00000000-0005-0000-0000-0000F4020000}"/>
    <cellStyle name="Comma 4 2 2 4 2 4" xfId="757" xr:uid="{00000000-0005-0000-0000-0000F5020000}"/>
    <cellStyle name="Comma 4 2 2 4 3" xfId="758" xr:uid="{00000000-0005-0000-0000-0000F6020000}"/>
    <cellStyle name="Comma 4 2 2 4 3 2" xfId="759" xr:uid="{00000000-0005-0000-0000-0000F7020000}"/>
    <cellStyle name="Comma 4 2 2 4 4" xfId="760" xr:uid="{00000000-0005-0000-0000-0000F8020000}"/>
    <cellStyle name="Comma 4 2 2 4 4 2" xfId="761" xr:uid="{00000000-0005-0000-0000-0000F9020000}"/>
    <cellStyle name="Comma 4 2 2 4 5" xfId="762" xr:uid="{00000000-0005-0000-0000-0000FA020000}"/>
    <cellStyle name="Comma 4 2 2 5" xfId="763" xr:uid="{00000000-0005-0000-0000-0000FB020000}"/>
    <cellStyle name="Comma 4 2 2 5 2" xfId="764" xr:uid="{00000000-0005-0000-0000-0000FC020000}"/>
    <cellStyle name="Comma 4 2 2 5 2 2" xfId="765" xr:uid="{00000000-0005-0000-0000-0000FD020000}"/>
    <cellStyle name="Comma 4 2 2 5 3" xfId="766" xr:uid="{00000000-0005-0000-0000-0000FE020000}"/>
    <cellStyle name="Comma 4 2 2 5 3 2" xfId="767" xr:uid="{00000000-0005-0000-0000-0000FF020000}"/>
    <cellStyle name="Comma 4 2 2 5 4" xfId="768" xr:uid="{00000000-0005-0000-0000-000000030000}"/>
    <cellStyle name="Comma 4 2 2 6" xfId="769" xr:uid="{00000000-0005-0000-0000-000001030000}"/>
    <cellStyle name="Comma 4 2 2 6 2" xfId="770" xr:uid="{00000000-0005-0000-0000-000002030000}"/>
    <cellStyle name="Comma 4 2 2 7" xfId="771" xr:uid="{00000000-0005-0000-0000-000003030000}"/>
    <cellStyle name="Comma 4 2 2 7 2" xfId="772" xr:uid="{00000000-0005-0000-0000-000004030000}"/>
    <cellStyle name="Comma 4 2 2 8" xfId="773" xr:uid="{00000000-0005-0000-0000-000005030000}"/>
    <cellStyle name="Comma 4 2 2 9" xfId="774" xr:uid="{00000000-0005-0000-0000-000006030000}"/>
    <cellStyle name="Comma 4 2 3" xfId="775" xr:uid="{00000000-0005-0000-0000-000007030000}"/>
    <cellStyle name="Comma 4 2 3 2" xfId="776" xr:uid="{00000000-0005-0000-0000-000008030000}"/>
    <cellStyle name="Comma 4 2 3 2 2" xfId="777" xr:uid="{00000000-0005-0000-0000-000009030000}"/>
    <cellStyle name="Comma 4 2 3 2 2 2" xfId="778" xr:uid="{00000000-0005-0000-0000-00000A030000}"/>
    <cellStyle name="Comma 4 2 3 2 2 2 2" xfId="779" xr:uid="{00000000-0005-0000-0000-00000B030000}"/>
    <cellStyle name="Comma 4 2 3 2 2 3" xfId="780" xr:uid="{00000000-0005-0000-0000-00000C030000}"/>
    <cellStyle name="Comma 4 2 3 2 2 3 2" xfId="781" xr:uid="{00000000-0005-0000-0000-00000D030000}"/>
    <cellStyle name="Comma 4 2 3 2 2 4" xfId="782" xr:uid="{00000000-0005-0000-0000-00000E030000}"/>
    <cellStyle name="Comma 4 2 3 2 3" xfId="783" xr:uid="{00000000-0005-0000-0000-00000F030000}"/>
    <cellStyle name="Comma 4 2 3 2 3 2" xfId="784" xr:uid="{00000000-0005-0000-0000-000010030000}"/>
    <cellStyle name="Comma 4 2 3 2 4" xfId="785" xr:uid="{00000000-0005-0000-0000-000011030000}"/>
    <cellStyle name="Comma 4 2 3 2 4 2" xfId="786" xr:uid="{00000000-0005-0000-0000-000012030000}"/>
    <cellStyle name="Comma 4 2 3 2 5" xfId="787" xr:uid="{00000000-0005-0000-0000-000013030000}"/>
    <cellStyle name="Comma 4 2 3 3" xfId="788" xr:uid="{00000000-0005-0000-0000-000014030000}"/>
    <cellStyle name="Comma 4 2 3 3 2" xfId="789" xr:uid="{00000000-0005-0000-0000-000015030000}"/>
    <cellStyle name="Comma 4 2 3 3 2 2" xfId="790" xr:uid="{00000000-0005-0000-0000-000016030000}"/>
    <cellStyle name="Comma 4 2 3 3 3" xfId="791" xr:uid="{00000000-0005-0000-0000-000017030000}"/>
    <cellStyle name="Comma 4 2 3 3 3 2" xfId="792" xr:uid="{00000000-0005-0000-0000-000018030000}"/>
    <cellStyle name="Comma 4 2 3 3 4" xfId="793" xr:uid="{00000000-0005-0000-0000-000019030000}"/>
    <cellStyle name="Comma 4 2 3 4" xfId="794" xr:uid="{00000000-0005-0000-0000-00001A030000}"/>
    <cellStyle name="Comma 4 2 3 4 2" xfId="795" xr:uid="{00000000-0005-0000-0000-00001B030000}"/>
    <cellStyle name="Comma 4 2 3 5" xfId="796" xr:uid="{00000000-0005-0000-0000-00001C030000}"/>
    <cellStyle name="Comma 4 2 3 5 2" xfId="797" xr:uid="{00000000-0005-0000-0000-00001D030000}"/>
    <cellStyle name="Comma 4 2 3 6" xfId="798" xr:uid="{00000000-0005-0000-0000-00001E030000}"/>
    <cellStyle name="Comma 4 2 3 7" xfId="799" xr:uid="{00000000-0005-0000-0000-00001F030000}"/>
    <cellStyle name="Comma 4 2 4" xfId="800" xr:uid="{00000000-0005-0000-0000-000020030000}"/>
    <cellStyle name="Comma 4 2 4 2" xfId="801" xr:uid="{00000000-0005-0000-0000-000021030000}"/>
    <cellStyle name="Comma 4 2 4 2 2" xfId="802" xr:uid="{00000000-0005-0000-0000-000022030000}"/>
    <cellStyle name="Comma 4 2 4 2 2 2" xfId="803" xr:uid="{00000000-0005-0000-0000-000023030000}"/>
    <cellStyle name="Comma 4 2 4 2 2 2 2" xfId="804" xr:uid="{00000000-0005-0000-0000-000024030000}"/>
    <cellStyle name="Comma 4 2 4 2 2 3" xfId="805" xr:uid="{00000000-0005-0000-0000-000025030000}"/>
    <cellStyle name="Comma 4 2 4 2 2 3 2" xfId="806" xr:uid="{00000000-0005-0000-0000-000026030000}"/>
    <cellStyle name="Comma 4 2 4 2 2 4" xfId="807" xr:uid="{00000000-0005-0000-0000-000027030000}"/>
    <cellStyle name="Comma 4 2 4 2 3" xfId="808" xr:uid="{00000000-0005-0000-0000-000028030000}"/>
    <cellStyle name="Comma 4 2 4 2 3 2" xfId="809" xr:uid="{00000000-0005-0000-0000-000029030000}"/>
    <cellStyle name="Comma 4 2 4 2 4" xfId="810" xr:uid="{00000000-0005-0000-0000-00002A030000}"/>
    <cellStyle name="Comma 4 2 4 2 4 2" xfId="811" xr:uid="{00000000-0005-0000-0000-00002B030000}"/>
    <cellStyle name="Comma 4 2 4 2 5" xfId="812" xr:uid="{00000000-0005-0000-0000-00002C030000}"/>
    <cellStyle name="Comma 4 2 4 3" xfId="813" xr:uid="{00000000-0005-0000-0000-00002D030000}"/>
    <cellStyle name="Comma 4 2 4 3 2" xfId="814" xr:uid="{00000000-0005-0000-0000-00002E030000}"/>
    <cellStyle name="Comma 4 2 4 3 2 2" xfId="815" xr:uid="{00000000-0005-0000-0000-00002F030000}"/>
    <cellStyle name="Comma 4 2 4 3 3" xfId="816" xr:uid="{00000000-0005-0000-0000-000030030000}"/>
    <cellStyle name="Comma 4 2 4 3 3 2" xfId="817" xr:uid="{00000000-0005-0000-0000-000031030000}"/>
    <cellStyle name="Comma 4 2 4 3 4" xfId="818" xr:uid="{00000000-0005-0000-0000-000032030000}"/>
    <cellStyle name="Comma 4 2 4 4" xfId="819" xr:uid="{00000000-0005-0000-0000-000033030000}"/>
    <cellStyle name="Comma 4 2 4 4 2" xfId="820" xr:uid="{00000000-0005-0000-0000-000034030000}"/>
    <cellStyle name="Comma 4 2 4 5" xfId="821" xr:uid="{00000000-0005-0000-0000-000035030000}"/>
    <cellStyle name="Comma 4 2 4 5 2" xfId="822" xr:uid="{00000000-0005-0000-0000-000036030000}"/>
    <cellStyle name="Comma 4 2 4 6" xfId="823" xr:uid="{00000000-0005-0000-0000-000037030000}"/>
    <cellStyle name="Comma 4 2 4 7" xfId="824" xr:uid="{00000000-0005-0000-0000-000038030000}"/>
    <cellStyle name="Comma 4 2 5" xfId="825" xr:uid="{00000000-0005-0000-0000-000039030000}"/>
    <cellStyle name="Comma 4 2 5 2" xfId="826" xr:uid="{00000000-0005-0000-0000-00003A030000}"/>
    <cellStyle name="Comma 4 2 5 2 2" xfId="827" xr:uid="{00000000-0005-0000-0000-00003B030000}"/>
    <cellStyle name="Comma 4 2 5 2 2 2" xfId="828" xr:uid="{00000000-0005-0000-0000-00003C030000}"/>
    <cellStyle name="Comma 4 2 5 2 3" xfId="829" xr:uid="{00000000-0005-0000-0000-00003D030000}"/>
    <cellStyle name="Comma 4 2 5 2 3 2" xfId="830" xr:uid="{00000000-0005-0000-0000-00003E030000}"/>
    <cellStyle name="Comma 4 2 5 2 4" xfId="831" xr:uid="{00000000-0005-0000-0000-00003F030000}"/>
    <cellStyle name="Comma 4 2 5 3" xfId="832" xr:uid="{00000000-0005-0000-0000-000040030000}"/>
    <cellStyle name="Comma 4 2 5 3 2" xfId="833" xr:uid="{00000000-0005-0000-0000-000041030000}"/>
    <cellStyle name="Comma 4 2 5 4" xfId="834" xr:uid="{00000000-0005-0000-0000-000042030000}"/>
    <cellStyle name="Comma 4 2 5 4 2" xfId="835" xr:uid="{00000000-0005-0000-0000-000043030000}"/>
    <cellStyle name="Comma 4 2 5 5" xfId="836" xr:uid="{00000000-0005-0000-0000-000044030000}"/>
    <cellStyle name="Comma 4 2 5 6" xfId="837" xr:uid="{00000000-0005-0000-0000-000045030000}"/>
    <cellStyle name="Comma 4 2 6" xfId="838" xr:uid="{00000000-0005-0000-0000-000046030000}"/>
    <cellStyle name="Comma 4 2 6 2" xfId="839" xr:uid="{00000000-0005-0000-0000-000047030000}"/>
    <cellStyle name="Comma 4 2 6 2 2" xfId="840" xr:uid="{00000000-0005-0000-0000-000048030000}"/>
    <cellStyle name="Comma 4 2 6 3" xfId="841" xr:uid="{00000000-0005-0000-0000-000049030000}"/>
    <cellStyle name="Comma 4 2 6 3 2" xfId="842" xr:uid="{00000000-0005-0000-0000-00004A030000}"/>
    <cellStyle name="Comma 4 2 6 4" xfId="843" xr:uid="{00000000-0005-0000-0000-00004B030000}"/>
    <cellStyle name="Comma 4 2 7" xfId="844" xr:uid="{00000000-0005-0000-0000-00004C030000}"/>
    <cellStyle name="Comma 4 2 7 2" xfId="845" xr:uid="{00000000-0005-0000-0000-00004D030000}"/>
    <cellStyle name="Comma 4 2 8" xfId="846" xr:uid="{00000000-0005-0000-0000-00004E030000}"/>
    <cellStyle name="Comma 4 2 8 2" xfId="847" xr:uid="{00000000-0005-0000-0000-00004F030000}"/>
    <cellStyle name="Comma 4 2 9" xfId="848" xr:uid="{00000000-0005-0000-0000-000050030000}"/>
    <cellStyle name="Comma 4 3" xfId="849" xr:uid="{00000000-0005-0000-0000-000051030000}"/>
    <cellStyle name="Comma 4 3 10" xfId="850" xr:uid="{00000000-0005-0000-0000-000052030000}"/>
    <cellStyle name="Comma 4 3 2" xfId="851" xr:uid="{00000000-0005-0000-0000-000053030000}"/>
    <cellStyle name="Comma 4 3 2 2" xfId="852" xr:uid="{00000000-0005-0000-0000-000054030000}"/>
    <cellStyle name="Comma 4 3 2 2 2" xfId="853" xr:uid="{00000000-0005-0000-0000-000055030000}"/>
    <cellStyle name="Comma 4 3 2 2 2 2" xfId="854" xr:uid="{00000000-0005-0000-0000-000056030000}"/>
    <cellStyle name="Comma 4 3 2 2 2 2 2" xfId="855" xr:uid="{00000000-0005-0000-0000-000057030000}"/>
    <cellStyle name="Comma 4 3 2 2 2 3" xfId="856" xr:uid="{00000000-0005-0000-0000-000058030000}"/>
    <cellStyle name="Comma 4 3 2 2 2 3 2" xfId="857" xr:uid="{00000000-0005-0000-0000-000059030000}"/>
    <cellStyle name="Comma 4 3 2 2 2 4" xfId="858" xr:uid="{00000000-0005-0000-0000-00005A030000}"/>
    <cellStyle name="Comma 4 3 2 2 3" xfId="859" xr:uid="{00000000-0005-0000-0000-00005B030000}"/>
    <cellStyle name="Comma 4 3 2 2 3 2" xfId="860" xr:uid="{00000000-0005-0000-0000-00005C030000}"/>
    <cellStyle name="Comma 4 3 2 2 4" xfId="861" xr:uid="{00000000-0005-0000-0000-00005D030000}"/>
    <cellStyle name="Comma 4 3 2 2 4 2" xfId="862" xr:uid="{00000000-0005-0000-0000-00005E030000}"/>
    <cellStyle name="Comma 4 3 2 2 5" xfId="863" xr:uid="{00000000-0005-0000-0000-00005F030000}"/>
    <cellStyle name="Comma 4 3 2 3" xfId="864" xr:uid="{00000000-0005-0000-0000-000060030000}"/>
    <cellStyle name="Comma 4 3 2 3 2" xfId="865" xr:uid="{00000000-0005-0000-0000-000061030000}"/>
    <cellStyle name="Comma 4 3 2 3 2 2" xfId="866" xr:uid="{00000000-0005-0000-0000-000062030000}"/>
    <cellStyle name="Comma 4 3 2 3 3" xfId="867" xr:uid="{00000000-0005-0000-0000-000063030000}"/>
    <cellStyle name="Comma 4 3 2 3 3 2" xfId="868" xr:uid="{00000000-0005-0000-0000-000064030000}"/>
    <cellStyle name="Comma 4 3 2 3 4" xfId="869" xr:uid="{00000000-0005-0000-0000-000065030000}"/>
    <cellStyle name="Comma 4 3 2 4" xfId="870" xr:uid="{00000000-0005-0000-0000-000066030000}"/>
    <cellStyle name="Comma 4 3 2 4 2" xfId="871" xr:uid="{00000000-0005-0000-0000-000067030000}"/>
    <cellStyle name="Comma 4 3 2 5" xfId="872" xr:uid="{00000000-0005-0000-0000-000068030000}"/>
    <cellStyle name="Comma 4 3 2 5 2" xfId="873" xr:uid="{00000000-0005-0000-0000-000069030000}"/>
    <cellStyle name="Comma 4 3 2 6" xfId="874" xr:uid="{00000000-0005-0000-0000-00006A030000}"/>
    <cellStyle name="Comma 4 3 2 7" xfId="875" xr:uid="{00000000-0005-0000-0000-00006B030000}"/>
    <cellStyle name="Comma 4 3 2 8" xfId="876" xr:uid="{00000000-0005-0000-0000-00006C030000}"/>
    <cellStyle name="Comma 4 3 3" xfId="877" xr:uid="{00000000-0005-0000-0000-00006D030000}"/>
    <cellStyle name="Comma 4 3 3 2" xfId="878" xr:uid="{00000000-0005-0000-0000-00006E030000}"/>
    <cellStyle name="Comma 4 3 3 2 2" xfId="879" xr:uid="{00000000-0005-0000-0000-00006F030000}"/>
    <cellStyle name="Comma 4 3 3 2 2 2" xfId="880" xr:uid="{00000000-0005-0000-0000-000070030000}"/>
    <cellStyle name="Comma 4 3 3 2 2 2 2" xfId="881" xr:uid="{00000000-0005-0000-0000-000071030000}"/>
    <cellStyle name="Comma 4 3 3 2 2 3" xfId="882" xr:uid="{00000000-0005-0000-0000-000072030000}"/>
    <cellStyle name="Comma 4 3 3 2 2 3 2" xfId="883" xr:uid="{00000000-0005-0000-0000-000073030000}"/>
    <cellStyle name="Comma 4 3 3 2 2 4" xfId="884" xr:uid="{00000000-0005-0000-0000-000074030000}"/>
    <cellStyle name="Comma 4 3 3 2 3" xfId="885" xr:uid="{00000000-0005-0000-0000-000075030000}"/>
    <cellStyle name="Comma 4 3 3 2 3 2" xfId="886" xr:uid="{00000000-0005-0000-0000-000076030000}"/>
    <cellStyle name="Comma 4 3 3 2 4" xfId="887" xr:uid="{00000000-0005-0000-0000-000077030000}"/>
    <cellStyle name="Comma 4 3 3 2 4 2" xfId="888" xr:uid="{00000000-0005-0000-0000-000078030000}"/>
    <cellStyle name="Comma 4 3 3 2 5" xfId="889" xr:uid="{00000000-0005-0000-0000-000079030000}"/>
    <cellStyle name="Comma 4 3 3 3" xfId="890" xr:uid="{00000000-0005-0000-0000-00007A030000}"/>
    <cellStyle name="Comma 4 3 3 3 2" xfId="891" xr:uid="{00000000-0005-0000-0000-00007B030000}"/>
    <cellStyle name="Comma 4 3 3 3 2 2" xfId="892" xr:uid="{00000000-0005-0000-0000-00007C030000}"/>
    <cellStyle name="Comma 4 3 3 3 3" xfId="893" xr:uid="{00000000-0005-0000-0000-00007D030000}"/>
    <cellStyle name="Comma 4 3 3 3 3 2" xfId="894" xr:uid="{00000000-0005-0000-0000-00007E030000}"/>
    <cellStyle name="Comma 4 3 3 3 4" xfId="895" xr:uid="{00000000-0005-0000-0000-00007F030000}"/>
    <cellStyle name="Comma 4 3 3 4" xfId="896" xr:uid="{00000000-0005-0000-0000-000080030000}"/>
    <cellStyle name="Comma 4 3 3 4 2" xfId="897" xr:uid="{00000000-0005-0000-0000-000081030000}"/>
    <cellStyle name="Comma 4 3 3 5" xfId="898" xr:uid="{00000000-0005-0000-0000-000082030000}"/>
    <cellStyle name="Comma 4 3 3 5 2" xfId="899" xr:uid="{00000000-0005-0000-0000-000083030000}"/>
    <cellStyle name="Comma 4 3 3 6" xfId="900" xr:uid="{00000000-0005-0000-0000-000084030000}"/>
    <cellStyle name="Comma 4 3 3 7" xfId="901" xr:uid="{00000000-0005-0000-0000-000085030000}"/>
    <cellStyle name="Comma 4 3 4" xfId="902" xr:uid="{00000000-0005-0000-0000-000086030000}"/>
    <cellStyle name="Comma 4 3 4 2" xfId="903" xr:uid="{00000000-0005-0000-0000-000087030000}"/>
    <cellStyle name="Comma 4 3 4 2 2" xfId="904" xr:uid="{00000000-0005-0000-0000-000088030000}"/>
    <cellStyle name="Comma 4 3 4 2 2 2" xfId="905" xr:uid="{00000000-0005-0000-0000-000089030000}"/>
    <cellStyle name="Comma 4 3 4 2 3" xfId="906" xr:uid="{00000000-0005-0000-0000-00008A030000}"/>
    <cellStyle name="Comma 4 3 4 2 3 2" xfId="907" xr:uid="{00000000-0005-0000-0000-00008B030000}"/>
    <cellStyle name="Comma 4 3 4 2 4" xfId="908" xr:uid="{00000000-0005-0000-0000-00008C030000}"/>
    <cellStyle name="Comma 4 3 4 3" xfId="909" xr:uid="{00000000-0005-0000-0000-00008D030000}"/>
    <cellStyle name="Comma 4 3 4 3 2" xfId="910" xr:uid="{00000000-0005-0000-0000-00008E030000}"/>
    <cellStyle name="Comma 4 3 4 4" xfId="911" xr:uid="{00000000-0005-0000-0000-00008F030000}"/>
    <cellStyle name="Comma 4 3 4 4 2" xfId="912" xr:uid="{00000000-0005-0000-0000-000090030000}"/>
    <cellStyle name="Comma 4 3 4 5" xfId="913" xr:uid="{00000000-0005-0000-0000-000091030000}"/>
    <cellStyle name="Comma 4 3 5" xfId="914" xr:uid="{00000000-0005-0000-0000-000092030000}"/>
    <cellStyle name="Comma 4 3 5 2" xfId="915" xr:uid="{00000000-0005-0000-0000-000093030000}"/>
    <cellStyle name="Comma 4 3 5 2 2" xfId="916" xr:uid="{00000000-0005-0000-0000-000094030000}"/>
    <cellStyle name="Comma 4 3 5 3" xfId="917" xr:uid="{00000000-0005-0000-0000-000095030000}"/>
    <cellStyle name="Comma 4 3 5 3 2" xfId="918" xr:uid="{00000000-0005-0000-0000-000096030000}"/>
    <cellStyle name="Comma 4 3 5 4" xfId="919" xr:uid="{00000000-0005-0000-0000-000097030000}"/>
    <cellStyle name="Comma 4 3 6" xfId="920" xr:uid="{00000000-0005-0000-0000-000098030000}"/>
    <cellStyle name="Comma 4 3 6 2" xfId="921" xr:uid="{00000000-0005-0000-0000-000099030000}"/>
    <cellStyle name="Comma 4 3 7" xfId="922" xr:uid="{00000000-0005-0000-0000-00009A030000}"/>
    <cellStyle name="Comma 4 3 7 2" xfId="923" xr:uid="{00000000-0005-0000-0000-00009B030000}"/>
    <cellStyle name="Comma 4 3 8" xfId="924" xr:uid="{00000000-0005-0000-0000-00009C030000}"/>
    <cellStyle name="Comma 4 3 9" xfId="925" xr:uid="{00000000-0005-0000-0000-00009D030000}"/>
    <cellStyle name="Comma 4 4" xfId="926" xr:uid="{00000000-0005-0000-0000-00009E030000}"/>
    <cellStyle name="Comma 4 4 10" xfId="927" xr:uid="{00000000-0005-0000-0000-00009F030000}"/>
    <cellStyle name="Comma 4 4 2" xfId="928" xr:uid="{00000000-0005-0000-0000-0000A0030000}"/>
    <cellStyle name="Comma 4 4 2 2" xfId="929" xr:uid="{00000000-0005-0000-0000-0000A1030000}"/>
    <cellStyle name="Comma 4 4 2 2 2" xfId="930" xr:uid="{00000000-0005-0000-0000-0000A2030000}"/>
    <cellStyle name="Comma 4 4 2 2 2 2" xfId="931" xr:uid="{00000000-0005-0000-0000-0000A3030000}"/>
    <cellStyle name="Comma 4 4 2 2 2 2 2" xfId="932" xr:uid="{00000000-0005-0000-0000-0000A4030000}"/>
    <cellStyle name="Comma 4 4 2 2 2 3" xfId="933" xr:uid="{00000000-0005-0000-0000-0000A5030000}"/>
    <cellStyle name="Comma 4 4 2 2 2 3 2" xfId="934" xr:uid="{00000000-0005-0000-0000-0000A6030000}"/>
    <cellStyle name="Comma 4 4 2 2 2 4" xfId="935" xr:uid="{00000000-0005-0000-0000-0000A7030000}"/>
    <cellStyle name="Comma 4 4 2 2 3" xfId="936" xr:uid="{00000000-0005-0000-0000-0000A8030000}"/>
    <cellStyle name="Comma 4 4 2 2 3 2" xfId="937" xr:uid="{00000000-0005-0000-0000-0000A9030000}"/>
    <cellStyle name="Comma 4 4 2 2 4" xfId="938" xr:uid="{00000000-0005-0000-0000-0000AA030000}"/>
    <cellStyle name="Comma 4 4 2 2 4 2" xfId="939" xr:uid="{00000000-0005-0000-0000-0000AB030000}"/>
    <cellStyle name="Comma 4 4 2 2 5" xfId="940" xr:uid="{00000000-0005-0000-0000-0000AC030000}"/>
    <cellStyle name="Comma 4 4 2 3" xfId="941" xr:uid="{00000000-0005-0000-0000-0000AD030000}"/>
    <cellStyle name="Comma 4 4 2 3 2" xfId="942" xr:uid="{00000000-0005-0000-0000-0000AE030000}"/>
    <cellStyle name="Comma 4 4 2 3 2 2" xfId="943" xr:uid="{00000000-0005-0000-0000-0000AF030000}"/>
    <cellStyle name="Comma 4 4 2 3 3" xfId="944" xr:uid="{00000000-0005-0000-0000-0000B0030000}"/>
    <cellStyle name="Comma 4 4 2 3 3 2" xfId="945" xr:uid="{00000000-0005-0000-0000-0000B1030000}"/>
    <cellStyle name="Comma 4 4 2 3 4" xfId="946" xr:uid="{00000000-0005-0000-0000-0000B2030000}"/>
    <cellStyle name="Comma 4 4 2 4" xfId="947" xr:uid="{00000000-0005-0000-0000-0000B3030000}"/>
    <cellStyle name="Comma 4 4 2 4 2" xfId="948" xr:uid="{00000000-0005-0000-0000-0000B4030000}"/>
    <cellStyle name="Comma 4 4 2 5" xfId="949" xr:uid="{00000000-0005-0000-0000-0000B5030000}"/>
    <cellStyle name="Comma 4 4 2 5 2" xfId="950" xr:uid="{00000000-0005-0000-0000-0000B6030000}"/>
    <cellStyle name="Comma 4 4 2 6" xfId="951" xr:uid="{00000000-0005-0000-0000-0000B7030000}"/>
    <cellStyle name="Comma 4 4 2 7" xfId="952" xr:uid="{00000000-0005-0000-0000-0000B8030000}"/>
    <cellStyle name="Comma 4 4 3" xfId="953" xr:uid="{00000000-0005-0000-0000-0000B9030000}"/>
    <cellStyle name="Comma 4 4 3 2" xfId="954" xr:uid="{00000000-0005-0000-0000-0000BA030000}"/>
    <cellStyle name="Comma 4 4 3 2 2" xfId="955" xr:uid="{00000000-0005-0000-0000-0000BB030000}"/>
    <cellStyle name="Comma 4 4 3 2 2 2" xfId="956" xr:uid="{00000000-0005-0000-0000-0000BC030000}"/>
    <cellStyle name="Comma 4 4 3 2 3" xfId="957" xr:uid="{00000000-0005-0000-0000-0000BD030000}"/>
    <cellStyle name="Comma 4 4 3 2 3 2" xfId="958" xr:uid="{00000000-0005-0000-0000-0000BE030000}"/>
    <cellStyle name="Comma 4 4 3 2 4" xfId="959" xr:uid="{00000000-0005-0000-0000-0000BF030000}"/>
    <cellStyle name="Comma 4 4 3 3" xfId="960" xr:uid="{00000000-0005-0000-0000-0000C0030000}"/>
    <cellStyle name="Comma 4 4 3 3 2" xfId="961" xr:uid="{00000000-0005-0000-0000-0000C1030000}"/>
    <cellStyle name="Comma 4 4 3 4" xfId="962" xr:uid="{00000000-0005-0000-0000-0000C2030000}"/>
    <cellStyle name="Comma 4 4 3 4 2" xfId="963" xr:uid="{00000000-0005-0000-0000-0000C3030000}"/>
    <cellStyle name="Comma 4 4 3 5" xfId="964" xr:uid="{00000000-0005-0000-0000-0000C4030000}"/>
    <cellStyle name="Comma 4 4 3 6" xfId="965" xr:uid="{00000000-0005-0000-0000-0000C5030000}"/>
    <cellStyle name="Comma 4 4 4" xfId="966" xr:uid="{00000000-0005-0000-0000-0000C6030000}"/>
    <cellStyle name="Comma 4 4 4 2" xfId="967" xr:uid="{00000000-0005-0000-0000-0000C7030000}"/>
    <cellStyle name="Comma 4 4 4 2 2" xfId="968" xr:uid="{00000000-0005-0000-0000-0000C8030000}"/>
    <cellStyle name="Comma 4 4 4 3" xfId="969" xr:uid="{00000000-0005-0000-0000-0000C9030000}"/>
    <cellStyle name="Comma 4 4 4 3 2" xfId="970" xr:uid="{00000000-0005-0000-0000-0000CA030000}"/>
    <cellStyle name="Comma 4 4 4 4" xfId="971" xr:uid="{00000000-0005-0000-0000-0000CB030000}"/>
    <cellStyle name="Comma 4 4 5" xfId="972" xr:uid="{00000000-0005-0000-0000-0000CC030000}"/>
    <cellStyle name="Comma 4 4 5 2" xfId="973" xr:uid="{00000000-0005-0000-0000-0000CD030000}"/>
    <cellStyle name="Comma 4 4 5 3" xfId="974" xr:uid="{00000000-0005-0000-0000-0000CE030000}"/>
    <cellStyle name="Comma 4 4 6" xfId="975" xr:uid="{00000000-0005-0000-0000-0000CF030000}"/>
    <cellStyle name="Comma 4 4 6 2" xfId="976" xr:uid="{00000000-0005-0000-0000-0000D0030000}"/>
    <cellStyle name="Comma 4 4 7" xfId="977" xr:uid="{00000000-0005-0000-0000-0000D1030000}"/>
    <cellStyle name="Comma 4 4 8" xfId="978" xr:uid="{00000000-0005-0000-0000-0000D2030000}"/>
    <cellStyle name="Comma 4 4 9" xfId="979" xr:uid="{00000000-0005-0000-0000-0000D3030000}"/>
    <cellStyle name="Comma 4 5" xfId="980" xr:uid="{00000000-0005-0000-0000-0000D4030000}"/>
    <cellStyle name="Comma 4 5 2" xfId="981" xr:uid="{00000000-0005-0000-0000-0000D5030000}"/>
    <cellStyle name="Comma 4 5 2 2" xfId="982" xr:uid="{00000000-0005-0000-0000-0000D6030000}"/>
    <cellStyle name="Comma 4 5 2 2 2" xfId="983" xr:uid="{00000000-0005-0000-0000-0000D7030000}"/>
    <cellStyle name="Comma 4 5 2 2 2 2" xfId="984" xr:uid="{00000000-0005-0000-0000-0000D8030000}"/>
    <cellStyle name="Comma 4 5 2 2 3" xfId="985" xr:uid="{00000000-0005-0000-0000-0000D9030000}"/>
    <cellStyle name="Comma 4 5 2 2 3 2" xfId="986" xr:uid="{00000000-0005-0000-0000-0000DA030000}"/>
    <cellStyle name="Comma 4 5 2 2 4" xfId="987" xr:uid="{00000000-0005-0000-0000-0000DB030000}"/>
    <cellStyle name="Comma 4 5 2 3" xfId="988" xr:uid="{00000000-0005-0000-0000-0000DC030000}"/>
    <cellStyle name="Comma 4 5 2 3 2" xfId="989" xr:uid="{00000000-0005-0000-0000-0000DD030000}"/>
    <cellStyle name="Comma 4 5 2 4" xfId="990" xr:uid="{00000000-0005-0000-0000-0000DE030000}"/>
    <cellStyle name="Comma 4 5 2 4 2" xfId="991" xr:uid="{00000000-0005-0000-0000-0000DF030000}"/>
    <cellStyle name="Comma 4 5 2 5" xfId="992" xr:uid="{00000000-0005-0000-0000-0000E0030000}"/>
    <cellStyle name="Comma 4 5 2 6" xfId="993" xr:uid="{00000000-0005-0000-0000-0000E1030000}"/>
    <cellStyle name="Comma 4 5 3" xfId="994" xr:uid="{00000000-0005-0000-0000-0000E2030000}"/>
    <cellStyle name="Comma 4 5 3 2" xfId="995" xr:uid="{00000000-0005-0000-0000-0000E3030000}"/>
    <cellStyle name="Comma 4 5 3 2 2" xfId="996" xr:uid="{00000000-0005-0000-0000-0000E4030000}"/>
    <cellStyle name="Comma 4 5 3 3" xfId="997" xr:uid="{00000000-0005-0000-0000-0000E5030000}"/>
    <cellStyle name="Comma 4 5 3 3 2" xfId="998" xr:uid="{00000000-0005-0000-0000-0000E6030000}"/>
    <cellStyle name="Comma 4 5 3 4" xfId="999" xr:uid="{00000000-0005-0000-0000-0000E7030000}"/>
    <cellStyle name="Comma 4 5 4" xfId="1000" xr:uid="{00000000-0005-0000-0000-0000E8030000}"/>
    <cellStyle name="Comma 4 5 4 2" xfId="1001" xr:uid="{00000000-0005-0000-0000-0000E9030000}"/>
    <cellStyle name="Comma 4 5 5" xfId="1002" xr:uid="{00000000-0005-0000-0000-0000EA030000}"/>
    <cellStyle name="Comma 4 5 5 2" xfId="1003" xr:uid="{00000000-0005-0000-0000-0000EB030000}"/>
    <cellStyle name="Comma 4 5 6" xfId="1004" xr:uid="{00000000-0005-0000-0000-0000EC030000}"/>
    <cellStyle name="Comma 4 6" xfId="1005" xr:uid="{00000000-0005-0000-0000-0000ED030000}"/>
    <cellStyle name="Comma 4 6 2" xfId="1006" xr:uid="{00000000-0005-0000-0000-0000EE030000}"/>
    <cellStyle name="Comma 4 6 2 2" xfId="1007" xr:uid="{00000000-0005-0000-0000-0000EF030000}"/>
    <cellStyle name="Comma 4 6 2 2 2" xfId="1008" xr:uid="{00000000-0005-0000-0000-0000F0030000}"/>
    <cellStyle name="Comma 4 6 2 3" xfId="1009" xr:uid="{00000000-0005-0000-0000-0000F1030000}"/>
    <cellStyle name="Comma 4 6 2 3 2" xfId="1010" xr:uid="{00000000-0005-0000-0000-0000F2030000}"/>
    <cellStyle name="Comma 4 6 2 4" xfId="1011" xr:uid="{00000000-0005-0000-0000-0000F3030000}"/>
    <cellStyle name="Comma 4 6 3" xfId="1012" xr:uid="{00000000-0005-0000-0000-0000F4030000}"/>
    <cellStyle name="Comma 4 6 3 2" xfId="1013" xr:uid="{00000000-0005-0000-0000-0000F5030000}"/>
    <cellStyle name="Comma 4 6 4" xfId="1014" xr:uid="{00000000-0005-0000-0000-0000F6030000}"/>
    <cellStyle name="Comma 4 6 4 2" xfId="1015" xr:uid="{00000000-0005-0000-0000-0000F7030000}"/>
    <cellStyle name="Comma 4 6 5" xfId="1016" xr:uid="{00000000-0005-0000-0000-0000F8030000}"/>
    <cellStyle name="Comma 4 6 6" xfId="1017" xr:uid="{00000000-0005-0000-0000-0000F9030000}"/>
    <cellStyle name="Comma 4 7" xfId="1018" xr:uid="{00000000-0005-0000-0000-0000FA030000}"/>
    <cellStyle name="Comma 4 7 2" xfId="1019" xr:uid="{00000000-0005-0000-0000-0000FB030000}"/>
    <cellStyle name="Comma 4 7 2 2" xfId="1020" xr:uid="{00000000-0005-0000-0000-0000FC030000}"/>
    <cellStyle name="Comma 4 7 3" xfId="1021" xr:uid="{00000000-0005-0000-0000-0000FD030000}"/>
    <cellStyle name="Comma 4 7 3 2" xfId="1022" xr:uid="{00000000-0005-0000-0000-0000FE030000}"/>
    <cellStyle name="Comma 4 7 4" xfId="1023" xr:uid="{00000000-0005-0000-0000-0000FF030000}"/>
    <cellStyle name="Comma 4 8" xfId="1024" xr:uid="{00000000-0005-0000-0000-000000040000}"/>
    <cellStyle name="Comma 4 8 2" xfId="1025" xr:uid="{00000000-0005-0000-0000-000001040000}"/>
    <cellStyle name="Comma 4 9" xfId="1026" xr:uid="{00000000-0005-0000-0000-000002040000}"/>
    <cellStyle name="Comma 4 9 2" xfId="1027" xr:uid="{00000000-0005-0000-0000-000003040000}"/>
    <cellStyle name="Comma 5" xfId="1028" xr:uid="{00000000-0005-0000-0000-000004040000}"/>
    <cellStyle name="Comma 5 10" xfId="1029" xr:uid="{00000000-0005-0000-0000-000005040000}"/>
    <cellStyle name="Comma 5 2" xfId="1030" xr:uid="{00000000-0005-0000-0000-000006040000}"/>
    <cellStyle name="Comma 5 2 2" xfId="1031" xr:uid="{00000000-0005-0000-0000-000007040000}"/>
    <cellStyle name="Comma 5 2 2 2" xfId="1032" xr:uid="{00000000-0005-0000-0000-000008040000}"/>
    <cellStyle name="Comma 5 2 2 2 2" xfId="1033" xr:uid="{00000000-0005-0000-0000-000009040000}"/>
    <cellStyle name="Comma 5 2 2 2 2 2" xfId="1034" xr:uid="{00000000-0005-0000-0000-00000A040000}"/>
    <cellStyle name="Comma 5 2 2 2 2 2 2" xfId="1035" xr:uid="{00000000-0005-0000-0000-00000B040000}"/>
    <cellStyle name="Comma 5 2 2 2 2 2 2 2" xfId="1036" xr:uid="{00000000-0005-0000-0000-00000C040000}"/>
    <cellStyle name="Comma 5 2 2 2 2 2 3" xfId="1037" xr:uid="{00000000-0005-0000-0000-00000D040000}"/>
    <cellStyle name="Comma 5 2 2 2 2 2 3 2" xfId="1038" xr:uid="{00000000-0005-0000-0000-00000E040000}"/>
    <cellStyle name="Comma 5 2 2 2 2 2 4" xfId="1039" xr:uid="{00000000-0005-0000-0000-00000F040000}"/>
    <cellStyle name="Comma 5 2 2 2 2 3" xfId="1040" xr:uid="{00000000-0005-0000-0000-000010040000}"/>
    <cellStyle name="Comma 5 2 2 2 2 3 2" xfId="1041" xr:uid="{00000000-0005-0000-0000-000011040000}"/>
    <cellStyle name="Comma 5 2 2 2 2 4" xfId="1042" xr:uid="{00000000-0005-0000-0000-000012040000}"/>
    <cellStyle name="Comma 5 2 2 2 2 4 2" xfId="1043" xr:uid="{00000000-0005-0000-0000-000013040000}"/>
    <cellStyle name="Comma 5 2 2 2 2 5" xfId="1044" xr:uid="{00000000-0005-0000-0000-000014040000}"/>
    <cellStyle name="Comma 5 2 2 2 3" xfId="1045" xr:uid="{00000000-0005-0000-0000-000015040000}"/>
    <cellStyle name="Comma 5 2 2 2 3 2" xfId="1046" xr:uid="{00000000-0005-0000-0000-000016040000}"/>
    <cellStyle name="Comma 5 2 2 2 3 2 2" xfId="1047" xr:uid="{00000000-0005-0000-0000-000017040000}"/>
    <cellStyle name="Comma 5 2 2 2 3 3" xfId="1048" xr:uid="{00000000-0005-0000-0000-000018040000}"/>
    <cellStyle name="Comma 5 2 2 2 3 3 2" xfId="1049" xr:uid="{00000000-0005-0000-0000-000019040000}"/>
    <cellStyle name="Comma 5 2 2 2 3 4" xfId="1050" xr:uid="{00000000-0005-0000-0000-00001A040000}"/>
    <cellStyle name="Comma 5 2 2 2 4" xfId="1051" xr:uid="{00000000-0005-0000-0000-00001B040000}"/>
    <cellStyle name="Comma 5 2 2 2 4 2" xfId="1052" xr:uid="{00000000-0005-0000-0000-00001C040000}"/>
    <cellStyle name="Comma 5 2 2 2 5" xfId="1053" xr:uid="{00000000-0005-0000-0000-00001D040000}"/>
    <cellStyle name="Comma 5 2 2 2 5 2" xfId="1054" xr:uid="{00000000-0005-0000-0000-00001E040000}"/>
    <cellStyle name="Comma 5 2 2 2 6" xfId="1055" xr:uid="{00000000-0005-0000-0000-00001F040000}"/>
    <cellStyle name="Comma 5 2 2 3" xfId="1056" xr:uid="{00000000-0005-0000-0000-000020040000}"/>
    <cellStyle name="Comma 5 2 2 3 2" xfId="1057" xr:uid="{00000000-0005-0000-0000-000021040000}"/>
    <cellStyle name="Comma 5 2 2 3 2 2" xfId="1058" xr:uid="{00000000-0005-0000-0000-000022040000}"/>
    <cellStyle name="Comma 5 2 2 3 2 2 2" xfId="1059" xr:uid="{00000000-0005-0000-0000-000023040000}"/>
    <cellStyle name="Comma 5 2 2 3 2 3" xfId="1060" xr:uid="{00000000-0005-0000-0000-000024040000}"/>
    <cellStyle name="Comma 5 2 2 3 2 3 2" xfId="1061" xr:uid="{00000000-0005-0000-0000-000025040000}"/>
    <cellStyle name="Comma 5 2 2 3 2 4" xfId="1062" xr:uid="{00000000-0005-0000-0000-000026040000}"/>
    <cellStyle name="Comma 5 2 2 3 3" xfId="1063" xr:uid="{00000000-0005-0000-0000-000027040000}"/>
    <cellStyle name="Comma 5 2 2 3 3 2" xfId="1064" xr:uid="{00000000-0005-0000-0000-000028040000}"/>
    <cellStyle name="Comma 5 2 2 3 4" xfId="1065" xr:uid="{00000000-0005-0000-0000-000029040000}"/>
    <cellStyle name="Comma 5 2 2 3 4 2" xfId="1066" xr:uid="{00000000-0005-0000-0000-00002A040000}"/>
    <cellStyle name="Comma 5 2 2 3 5" xfId="1067" xr:uid="{00000000-0005-0000-0000-00002B040000}"/>
    <cellStyle name="Comma 5 2 2 4" xfId="1068" xr:uid="{00000000-0005-0000-0000-00002C040000}"/>
    <cellStyle name="Comma 5 2 2 4 2" xfId="1069" xr:uid="{00000000-0005-0000-0000-00002D040000}"/>
    <cellStyle name="Comma 5 2 2 4 2 2" xfId="1070" xr:uid="{00000000-0005-0000-0000-00002E040000}"/>
    <cellStyle name="Comma 5 2 2 4 3" xfId="1071" xr:uid="{00000000-0005-0000-0000-00002F040000}"/>
    <cellStyle name="Comma 5 2 2 4 3 2" xfId="1072" xr:uid="{00000000-0005-0000-0000-000030040000}"/>
    <cellStyle name="Comma 5 2 2 4 4" xfId="1073" xr:uid="{00000000-0005-0000-0000-000031040000}"/>
    <cellStyle name="Comma 5 2 2 5" xfId="1074" xr:uid="{00000000-0005-0000-0000-000032040000}"/>
    <cellStyle name="Comma 5 2 2 5 2" xfId="1075" xr:uid="{00000000-0005-0000-0000-000033040000}"/>
    <cellStyle name="Comma 5 2 2 6" xfId="1076" xr:uid="{00000000-0005-0000-0000-000034040000}"/>
    <cellStyle name="Comma 5 2 2 6 2" xfId="1077" xr:uid="{00000000-0005-0000-0000-000035040000}"/>
    <cellStyle name="Comma 5 2 2 7" xfId="1078" xr:uid="{00000000-0005-0000-0000-000036040000}"/>
    <cellStyle name="Comma 5 2 2 8" xfId="1079" xr:uid="{00000000-0005-0000-0000-000037040000}"/>
    <cellStyle name="Comma 5 2 3" xfId="1080" xr:uid="{00000000-0005-0000-0000-000038040000}"/>
    <cellStyle name="Comma 5 2 3 2" xfId="1081" xr:uid="{00000000-0005-0000-0000-000039040000}"/>
    <cellStyle name="Comma 5 2 3 2 2" xfId="1082" xr:uid="{00000000-0005-0000-0000-00003A040000}"/>
    <cellStyle name="Comma 5 2 3 2 2 2" xfId="1083" xr:uid="{00000000-0005-0000-0000-00003B040000}"/>
    <cellStyle name="Comma 5 2 3 2 2 2 2" xfId="1084" xr:uid="{00000000-0005-0000-0000-00003C040000}"/>
    <cellStyle name="Comma 5 2 3 2 2 3" xfId="1085" xr:uid="{00000000-0005-0000-0000-00003D040000}"/>
    <cellStyle name="Comma 5 2 3 2 2 3 2" xfId="1086" xr:uid="{00000000-0005-0000-0000-00003E040000}"/>
    <cellStyle name="Comma 5 2 3 2 2 4" xfId="1087" xr:uid="{00000000-0005-0000-0000-00003F040000}"/>
    <cellStyle name="Comma 5 2 3 2 3" xfId="1088" xr:uid="{00000000-0005-0000-0000-000040040000}"/>
    <cellStyle name="Comma 5 2 3 2 3 2" xfId="1089" xr:uid="{00000000-0005-0000-0000-000041040000}"/>
    <cellStyle name="Comma 5 2 3 2 4" xfId="1090" xr:uid="{00000000-0005-0000-0000-000042040000}"/>
    <cellStyle name="Comma 5 2 3 2 4 2" xfId="1091" xr:uid="{00000000-0005-0000-0000-000043040000}"/>
    <cellStyle name="Comma 5 2 3 2 5" xfId="1092" xr:uid="{00000000-0005-0000-0000-000044040000}"/>
    <cellStyle name="Comma 5 2 3 3" xfId="1093" xr:uid="{00000000-0005-0000-0000-000045040000}"/>
    <cellStyle name="Comma 5 2 3 3 2" xfId="1094" xr:uid="{00000000-0005-0000-0000-000046040000}"/>
    <cellStyle name="Comma 5 2 3 3 2 2" xfId="1095" xr:uid="{00000000-0005-0000-0000-000047040000}"/>
    <cellStyle name="Comma 5 2 3 3 3" xfId="1096" xr:uid="{00000000-0005-0000-0000-000048040000}"/>
    <cellStyle name="Comma 5 2 3 3 3 2" xfId="1097" xr:uid="{00000000-0005-0000-0000-000049040000}"/>
    <cellStyle name="Comma 5 2 3 3 4" xfId="1098" xr:uid="{00000000-0005-0000-0000-00004A040000}"/>
    <cellStyle name="Comma 5 2 3 4" xfId="1099" xr:uid="{00000000-0005-0000-0000-00004B040000}"/>
    <cellStyle name="Comma 5 2 3 4 2" xfId="1100" xr:uid="{00000000-0005-0000-0000-00004C040000}"/>
    <cellStyle name="Comma 5 2 3 5" xfId="1101" xr:uid="{00000000-0005-0000-0000-00004D040000}"/>
    <cellStyle name="Comma 5 2 3 5 2" xfId="1102" xr:uid="{00000000-0005-0000-0000-00004E040000}"/>
    <cellStyle name="Comma 5 2 3 6" xfId="1103" xr:uid="{00000000-0005-0000-0000-00004F040000}"/>
    <cellStyle name="Comma 5 2 4" xfId="1104" xr:uid="{00000000-0005-0000-0000-000050040000}"/>
    <cellStyle name="Comma 5 2 4 2" xfId="1105" xr:uid="{00000000-0005-0000-0000-000051040000}"/>
    <cellStyle name="Comma 5 2 4 2 2" xfId="1106" xr:uid="{00000000-0005-0000-0000-000052040000}"/>
    <cellStyle name="Comma 5 2 4 2 2 2" xfId="1107" xr:uid="{00000000-0005-0000-0000-000053040000}"/>
    <cellStyle name="Comma 5 2 4 2 3" xfId="1108" xr:uid="{00000000-0005-0000-0000-000054040000}"/>
    <cellStyle name="Comma 5 2 4 2 3 2" xfId="1109" xr:uid="{00000000-0005-0000-0000-000055040000}"/>
    <cellStyle name="Comma 5 2 4 2 4" xfId="1110" xr:uid="{00000000-0005-0000-0000-000056040000}"/>
    <cellStyle name="Comma 5 2 4 3" xfId="1111" xr:uid="{00000000-0005-0000-0000-000057040000}"/>
    <cellStyle name="Comma 5 2 4 3 2" xfId="1112" xr:uid="{00000000-0005-0000-0000-000058040000}"/>
    <cellStyle name="Comma 5 2 4 4" xfId="1113" xr:uid="{00000000-0005-0000-0000-000059040000}"/>
    <cellStyle name="Comma 5 2 4 4 2" xfId="1114" xr:uid="{00000000-0005-0000-0000-00005A040000}"/>
    <cellStyle name="Comma 5 2 4 5" xfId="1115" xr:uid="{00000000-0005-0000-0000-00005B040000}"/>
    <cellStyle name="Comma 5 2 5" xfId="1116" xr:uid="{00000000-0005-0000-0000-00005C040000}"/>
    <cellStyle name="Comma 5 2 5 2" xfId="1117" xr:uid="{00000000-0005-0000-0000-00005D040000}"/>
    <cellStyle name="Comma 5 2 5 2 2" xfId="1118" xr:uid="{00000000-0005-0000-0000-00005E040000}"/>
    <cellStyle name="Comma 5 2 5 3" xfId="1119" xr:uid="{00000000-0005-0000-0000-00005F040000}"/>
    <cellStyle name="Comma 5 2 5 3 2" xfId="1120" xr:uid="{00000000-0005-0000-0000-000060040000}"/>
    <cellStyle name="Comma 5 2 5 4" xfId="1121" xr:uid="{00000000-0005-0000-0000-000061040000}"/>
    <cellStyle name="Comma 5 2 6" xfId="1122" xr:uid="{00000000-0005-0000-0000-000062040000}"/>
    <cellStyle name="Comma 5 2 6 2" xfId="1123" xr:uid="{00000000-0005-0000-0000-000063040000}"/>
    <cellStyle name="Comma 5 2 7" xfId="1124" xr:uid="{00000000-0005-0000-0000-000064040000}"/>
    <cellStyle name="Comma 5 2 7 2" xfId="1125" xr:uid="{00000000-0005-0000-0000-000065040000}"/>
    <cellStyle name="Comma 5 2 8" xfId="1126" xr:uid="{00000000-0005-0000-0000-000066040000}"/>
    <cellStyle name="Comma 5 2 9" xfId="1127" xr:uid="{00000000-0005-0000-0000-000067040000}"/>
    <cellStyle name="Comma 5 3" xfId="1128" xr:uid="{00000000-0005-0000-0000-000068040000}"/>
    <cellStyle name="Comma 5 3 2" xfId="1129" xr:uid="{00000000-0005-0000-0000-000069040000}"/>
    <cellStyle name="Comma 5 3 2 2" xfId="1130" xr:uid="{00000000-0005-0000-0000-00006A040000}"/>
    <cellStyle name="Comma 5 3 2 2 2" xfId="1131" xr:uid="{00000000-0005-0000-0000-00006B040000}"/>
    <cellStyle name="Comma 5 3 2 2 2 2" xfId="1132" xr:uid="{00000000-0005-0000-0000-00006C040000}"/>
    <cellStyle name="Comma 5 3 2 2 2 2 2" xfId="1133" xr:uid="{00000000-0005-0000-0000-00006D040000}"/>
    <cellStyle name="Comma 5 3 2 2 2 3" xfId="1134" xr:uid="{00000000-0005-0000-0000-00006E040000}"/>
    <cellStyle name="Comma 5 3 2 2 2 3 2" xfId="1135" xr:uid="{00000000-0005-0000-0000-00006F040000}"/>
    <cellStyle name="Comma 5 3 2 2 2 4" xfId="1136" xr:uid="{00000000-0005-0000-0000-000070040000}"/>
    <cellStyle name="Comma 5 3 2 2 3" xfId="1137" xr:uid="{00000000-0005-0000-0000-000071040000}"/>
    <cellStyle name="Comma 5 3 2 2 3 2" xfId="1138" xr:uid="{00000000-0005-0000-0000-000072040000}"/>
    <cellStyle name="Comma 5 3 2 2 4" xfId="1139" xr:uid="{00000000-0005-0000-0000-000073040000}"/>
    <cellStyle name="Comma 5 3 2 2 4 2" xfId="1140" xr:uid="{00000000-0005-0000-0000-000074040000}"/>
    <cellStyle name="Comma 5 3 2 2 5" xfId="1141" xr:uid="{00000000-0005-0000-0000-000075040000}"/>
    <cellStyle name="Comma 5 3 2 3" xfId="1142" xr:uid="{00000000-0005-0000-0000-000076040000}"/>
    <cellStyle name="Comma 5 3 2 3 2" xfId="1143" xr:uid="{00000000-0005-0000-0000-000077040000}"/>
    <cellStyle name="Comma 5 3 2 3 2 2" xfId="1144" xr:uid="{00000000-0005-0000-0000-000078040000}"/>
    <cellStyle name="Comma 5 3 2 3 3" xfId="1145" xr:uid="{00000000-0005-0000-0000-000079040000}"/>
    <cellStyle name="Comma 5 3 2 3 3 2" xfId="1146" xr:uid="{00000000-0005-0000-0000-00007A040000}"/>
    <cellStyle name="Comma 5 3 2 3 4" xfId="1147" xr:uid="{00000000-0005-0000-0000-00007B040000}"/>
    <cellStyle name="Comma 5 3 2 4" xfId="1148" xr:uid="{00000000-0005-0000-0000-00007C040000}"/>
    <cellStyle name="Comma 5 3 2 4 2" xfId="1149" xr:uid="{00000000-0005-0000-0000-00007D040000}"/>
    <cellStyle name="Comma 5 3 2 5" xfId="1150" xr:uid="{00000000-0005-0000-0000-00007E040000}"/>
    <cellStyle name="Comma 5 3 2 5 2" xfId="1151" xr:uid="{00000000-0005-0000-0000-00007F040000}"/>
    <cellStyle name="Comma 5 3 2 6" xfId="1152" xr:uid="{00000000-0005-0000-0000-000080040000}"/>
    <cellStyle name="Comma 5 3 3" xfId="1153" xr:uid="{00000000-0005-0000-0000-000081040000}"/>
    <cellStyle name="Comma 5 3 3 2" xfId="1154" xr:uid="{00000000-0005-0000-0000-000082040000}"/>
    <cellStyle name="Comma 5 3 3 2 2" xfId="1155" xr:uid="{00000000-0005-0000-0000-000083040000}"/>
    <cellStyle name="Comma 5 3 3 2 2 2" xfId="1156" xr:uid="{00000000-0005-0000-0000-000084040000}"/>
    <cellStyle name="Comma 5 3 3 2 3" xfId="1157" xr:uid="{00000000-0005-0000-0000-000085040000}"/>
    <cellStyle name="Comma 5 3 3 2 3 2" xfId="1158" xr:uid="{00000000-0005-0000-0000-000086040000}"/>
    <cellStyle name="Comma 5 3 3 2 4" xfId="1159" xr:uid="{00000000-0005-0000-0000-000087040000}"/>
    <cellStyle name="Comma 5 3 3 3" xfId="1160" xr:uid="{00000000-0005-0000-0000-000088040000}"/>
    <cellStyle name="Comma 5 3 3 3 2" xfId="1161" xr:uid="{00000000-0005-0000-0000-000089040000}"/>
    <cellStyle name="Comma 5 3 3 4" xfId="1162" xr:uid="{00000000-0005-0000-0000-00008A040000}"/>
    <cellStyle name="Comma 5 3 3 4 2" xfId="1163" xr:uid="{00000000-0005-0000-0000-00008B040000}"/>
    <cellStyle name="Comma 5 3 3 5" xfId="1164" xr:uid="{00000000-0005-0000-0000-00008C040000}"/>
    <cellStyle name="Comma 5 3 4" xfId="1165" xr:uid="{00000000-0005-0000-0000-00008D040000}"/>
    <cellStyle name="Comma 5 3 4 2" xfId="1166" xr:uid="{00000000-0005-0000-0000-00008E040000}"/>
    <cellStyle name="Comma 5 3 4 2 2" xfId="1167" xr:uid="{00000000-0005-0000-0000-00008F040000}"/>
    <cellStyle name="Comma 5 3 4 3" xfId="1168" xr:uid="{00000000-0005-0000-0000-000090040000}"/>
    <cellStyle name="Comma 5 3 4 3 2" xfId="1169" xr:uid="{00000000-0005-0000-0000-000091040000}"/>
    <cellStyle name="Comma 5 3 4 4" xfId="1170" xr:uid="{00000000-0005-0000-0000-000092040000}"/>
    <cellStyle name="Comma 5 3 5" xfId="1171" xr:uid="{00000000-0005-0000-0000-000093040000}"/>
    <cellStyle name="Comma 5 3 5 2" xfId="1172" xr:uid="{00000000-0005-0000-0000-000094040000}"/>
    <cellStyle name="Comma 5 3 6" xfId="1173" xr:uid="{00000000-0005-0000-0000-000095040000}"/>
    <cellStyle name="Comma 5 3 6 2" xfId="1174" xr:uid="{00000000-0005-0000-0000-000096040000}"/>
    <cellStyle name="Comma 5 3 7" xfId="1175" xr:uid="{00000000-0005-0000-0000-000097040000}"/>
    <cellStyle name="Comma 5 3 8" xfId="1176" xr:uid="{00000000-0005-0000-0000-000098040000}"/>
    <cellStyle name="Comma 5 4" xfId="1177" xr:uid="{00000000-0005-0000-0000-000099040000}"/>
    <cellStyle name="Comma 5 4 2" xfId="1178" xr:uid="{00000000-0005-0000-0000-00009A040000}"/>
    <cellStyle name="Comma 5 4 2 2" xfId="1179" xr:uid="{00000000-0005-0000-0000-00009B040000}"/>
    <cellStyle name="Comma 5 4 2 2 2" xfId="1180" xr:uid="{00000000-0005-0000-0000-00009C040000}"/>
    <cellStyle name="Comma 5 4 2 2 2 2" xfId="1181" xr:uid="{00000000-0005-0000-0000-00009D040000}"/>
    <cellStyle name="Comma 5 4 2 2 2 2 2" xfId="1182" xr:uid="{00000000-0005-0000-0000-00009E040000}"/>
    <cellStyle name="Comma 5 4 2 2 2 3" xfId="1183" xr:uid="{00000000-0005-0000-0000-00009F040000}"/>
    <cellStyle name="Comma 5 4 2 2 2 3 2" xfId="1184" xr:uid="{00000000-0005-0000-0000-0000A0040000}"/>
    <cellStyle name="Comma 5 4 2 2 2 4" xfId="1185" xr:uid="{00000000-0005-0000-0000-0000A1040000}"/>
    <cellStyle name="Comma 5 4 2 2 3" xfId="1186" xr:uid="{00000000-0005-0000-0000-0000A2040000}"/>
    <cellStyle name="Comma 5 4 2 2 3 2" xfId="1187" xr:uid="{00000000-0005-0000-0000-0000A3040000}"/>
    <cellStyle name="Comma 5 4 2 2 4" xfId="1188" xr:uid="{00000000-0005-0000-0000-0000A4040000}"/>
    <cellStyle name="Comma 5 4 2 2 4 2" xfId="1189" xr:uid="{00000000-0005-0000-0000-0000A5040000}"/>
    <cellStyle name="Comma 5 4 2 2 5" xfId="1190" xr:uid="{00000000-0005-0000-0000-0000A6040000}"/>
    <cellStyle name="Comma 5 4 2 3" xfId="1191" xr:uid="{00000000-0005-0000-0000-0000A7040000}"/>
    <cellStyle name="Comma 5 4 2 3 2" xfId="1192" xr:uid="{00000000-0005-0000-0000-0000A8040000}"/>
    <cellStyle name="Comma 5 4 2 3 2 2" xfId="1193" xr:uid="{00000000-0005-0000-0000-0000A9040000}"/>
    <cellStyle name="Comma 5 4 2 3 3" xfId="1194" xr:uid="{00000000-0005-0000-0000-0000AA040000}"/>
    <cellStyle name="Comma 5 4 2 3 3 2" xfId="1195" xr:uid="{00000000-0005-0000-0000-0000AB040000}"/>
    <cellStyle name="Comma 5 4 2 3 4" xfId="1196" xr:uid="{00000000-0005-0000-0000-0000AC040000}"/>
    <cellStyle name="Comma 5 4 2 4" xfId="1197" xr:uid="{00000000-0005-0000-0000-0000AD040000}"/>
    <cellStyle name="Comma 5 4 2 4 2" xfId="1198" xr:uid="{00000000-0005-0000-0000-0000AE040000}"/>
    <cellStyle name="Comma 5 4 2 5" xfId="1199" xr:uid="{00000000-0005-0000-0000-0000AF040000}"/>
    <cellStyle name="Comma 5 4 2 5 2" xfId="1200" xr:uid="{00000000-0005-0000-0000-0000B0040000}"/>
    <cellStyle name="Comma 5 4 2 6" xfId="1201" xr:uid="{00000000-0005-0000-0000-0000B1040000}"/>
    <cellStyle name="Comma 5 4 3" xfId="1202" xr:uid="{00000000-0005-0000-0000-0000B2040000}"/>
    <cellStyle name="Comma 5 4 3 2" xfId="1203" xr:uid="{00000000-0005-0000-0000-0000B3040000}"/>
    <cellStyle name="Comma 5 4 3 2 2" xfId="1204" xr:uid="{00000000-0005-0000-0000-0000B4040000}"/>
    <cellStyle name="Comma 5 4 3 2 2 2" xfId="1205" xr:uid="{00000000-0005-0000-0000-0000B5040000}"/>
    <cellStyle name="Comma 5 4 3 2 3" xfId="1206" xr:uid="{00000000-0005-0000-0000-0000B6040000}"/>
    <cellStyle name="Comma 5 4 3 2 3 2" xfId="1207" xr:uid="{00000000-0005-0000-0000-0000B7040000}"/>
    <cellStyle name="Comma 5 4 3 2 4" xfId="1208" xr:uid="{00000000-0005-0000-0000-0000B8040000}"/>
    <cellStyle name="Comma 5 4 3 3" xfId="1209" xr:uid="{00000000-0005-0000-0000-0000B9040000}"/>
    <cellStyle name="Comma 5 4 3 3 2" xfId="1210" xr:uid="{00000000-0005-0000-0000-0000BA040000}"/>
    <cellStyle name="Comma 5 4 3 4" xfId="1211" xr:uid="{00000000-0005-0000-0000-0000BB040000}"/>
    <cellStyle name="Comma 5 4 3 4 2" xfId="1212" xr:uid="{00000000-0005-0000-0000-0000BC040000}"/>
    <cellStyle name="Comma 5 4 3 5" xfId="1213" xr:uid="{00000000-0005-0000-0000-0000BD040000}"/>
    <cellStyle name="Comma 5 4 4" xfId="1214" xr:uid="{00000000-0005-0000-0000-0000BE040000}"/>
    <cellStyle name="Comma 5 4 4 2" xfId="1215" xr:uid="{00000000-0005-0000-0000-0000BF040000}"/>
    <cellStyle name="Comma 5 4 4 2 2" xfId="1216" xr:uid="{00000000-0005-0000-0000-0000C0040000}"/>
    <cellStyle name="Comma 5 4 4 3" xfId="1217" xr:uid="{00000000-0005-0000-0000-0000C1040000}"/>
    <cellStyle name="Comma 5 4 4 3 2" xfId="1218" xr:uid="{00000000-0005-0000-0000-0000C2040000}"/>
    <cellStyle name="Comma 5 4 4 4" xfId="1219" xr:uid="{00000000-0005-0000-0000-0000C3040000}"/>
    <cellStyle name="Comma 5 4 5" xfId="1220" xr:uid="{00000000-0005-0000-0000-0000C4040000}"/>
    <cellStyle name="Comma 5 4 5 2" xfId="1221" xr:uid="{00000000-0005-0000-0000-0000C5040000}"/>
    <cellStyle name="Comma 5 4 6" xfId="1222" xr:uid="{00000000-0005-0000-0000-0000C6040000}"/>
    <cellStyle name="Comma 5 4 6 2" xfId="1223" xr:uid="{00000000-0005-0000-0000-0000C7040000}"/>
    <cellStyle name="Comma 5 4 7" xfId="1224" xr:uid="{00000000-0005-0000-0000-0000C8040000}"/>
    <cellStyle name="Comma 5 5" xfId="1225" xr:uid="{00000000-0005-0000-0000-0000C9040000}"/>
    <cellStyle name="Comma 5 5 2" xfId="1226" xr:uid="{00000000-0005-0000-0000-0000CA040000}"/>
    <cellStyle name="Comma 5 5 2 2" xfId="1227" xr:uid="{00000000-0005-0000-0000-0000CB040000}"/>
    <cellStyle name="Comma 5 5 2 2 2" xfId="1228" xr:uid="{00000000-0005-0000-0000-0000CC040000}"/>
    <cellStyle name="Comma 5 5 2 2 2 2" xfId="1229" xr:uid="{00000000-0005-0000-0000-0000CD040000}"/>
    <cellStyle name="Comma 5 5 2 2 3" xfId="1230" xr:uid="{00000000-0005-0000-0000-0000CE040000}"/>
    <cellStyle name="Comma 5 5 2 2 3 2" xfId="1231" xr:uid="{00000000-0005-0000-0000-0000CF040000}"/>
    <cellStyle name="Comma 5 5 2 2 4" xfId="1232" xr:uid="{00000000-0005-0000-0000-0000D0040000}"/>
    <cellStyle name="Comma 5 5 2 3" xfId="1233" xr:uid="{00000000-0005-0000-0000-0000D1040000}"/>
    <cellStyle name="Comma 5 5 2 3 2" xfId="1234" xr:uid="{00000000-0005-0000-0000-0000D2040000}"/>
    <cellStyle name="Comma 5 5 2 4" xfId="1235" xr:uid="{00000000-0005-0000-0000-0000D3040000}"/>
    <cellStyle name="Comma 5 5 2 4 2" xfId="1236" xr:uid="{00000000-0005-0000-0000-0000D4040000}"/>
    <cellStyle name="Comma 5 5 2 5" xfId="1237" xr:uid="{00000000-0005-0000-0000-0000D5040000}"/>
    <cellStyle name="Comma 5 5 3" xfId="1238" xr:uid="{00000000-0005-0000-0000-0000D6040000}"/>
    <cellStyle name="Comma 5 5 3 2" xfId="1239" xr:uid="{00000000-0005-0000-0000-0000D7040000}"/>
    <cellStyle name="Comma 5 5 3 2 2" xfId="1240" xr:uid="{00000000-0005-0000-0000-0000D8040000}"/>
    <cellStyle name="Comma 5 5 3 3" xfId="1241" xr:uid="{00000000-0005-0000-0000-0000D9040000}"/>
    <cellStyle name="Comma 5 5 3 3 2" xfId="1242" xr:uid="{00000000-0005-0000-0000-0000DA040000}"/>
    <cellStyle name="Comma 5 5 3 4" xfId="1243" xr:uid="{00000000-0005-0000-0000-0000DB040000}"/>
    <cellStyle name="Comma 5 5 4" xfId="1244" xr:uid="{00000000-0005-0000-0000-0000DC040000}"/>
    <cellStyle name="Comma 5 5 4 2" xfId="1245" xr:uid="{00000000-0005-0000-0000-0000DD040000}"/>
    <cellStyle name="Comma 5 5 5" xfId="1246" xr:uid="{00000000-0005-0000-0000-0000DE040000}"/>
    <cellStyle name="Comma 5 5 5 2" xfId="1247" xr:uid="{00000000-0005-0000-0000-0000DF040000}"/>
    <cellStyle name="Comma 5 5 6" xfId="1248" xr:uid="{00000000-0005-0000-0000-0000E0040000}"/>
    <cellStyle name="Comma 5 6" xfId="1249" xr:uid="{00000000-0005-0000-0000-0000E1040000}"/>
    <cellStyle name="Comma 5 6 2" xfId="1250" xr:uid="{00000000-0005-0000-0000-0000E2040000}"/>
    <cellStyle name="Comma 5 6 2 2" xfId="1251" xr:uid="{00000000-0005-0000-0000-0000E3040000}"/>
    <cellStyle name="Comma 5 6 2 2 2" xfId="1252" xr:uid="{00000000-0005-0000-0000-0000E4040000}"/>
    <cellStyle name="Comma 5 6 2 3" xfId="1253" xr:uid="{00000000-0005-0000-0000-0000E5040000}"/>
    <cellStyle name="Comma 5 6 2 3 2" xfId="1254" xr:uid="{00000000-0005-0000-0000-0000E6040000}"/>
    <cellStyle name="Comma 5 6 2 4" xfId="1255" xr:uid="{00000000-0005-0000-0000-0000E7040000}"/>
    <cellStyle name="Comma 5 6 3" xfId="1256" xr:uid="{00000000-0005-0000-0000-0000E8040000}"/>
    <cellStyle name="Comma 5 6 3 2" xfId="1257" xr:uid="{00000000-0005-0000-0000-0000E9040000}"/>
    <cellStyle name="Comma 5 6 4" xfId="1258" xr:uid="{00000000-0005-0000-0000-0000EA040000}"/>
    <cellStyle name="Comma 5 6 4 2" xfId="1259" xr:uid="{00000000-0005-0000-0000-0000EB040000}"/>
    <cellStyle name="Comma 5 6 5" xfId="1260" xr:uid="{00000000-0005-0000-0000-0000EC040000}"/>
    <cellStyle name="Comma 5 7" xfId="1261" xr:uid="{00000000-0005-0000-0000-0000ED040000}"/>
    <cellStyle name="Comma 5 7 2" xfId="1262" xr:uid="{00000000-0005-0000-0000-0000EE040000}"/>
    <cellStyle name="Comma 5 7 2 2" xfId="1263" xr:uid="{00000000-0005-0000-0000-0000EF040000}"/>
    <cellStyle name="Comma 5 7 3" xfId="1264" xr:uid="{00000000-0005-0000-0000-0000F0040000}"/>
    <cellStyle name="Comma 5 7 3 2" xfId="1265" xr:uid="{00000000-0005-0000-0000-0000F1040000}"/>
    <cellStyle name="Comma 5 7 4" xfId="1266" xr:uid="{00000000-0005-0000-0000-0000F2040000}"/>
    <cellStyle name="Comma 5 8" xfId="1267" xr:uid="{00000000-0005-0000-0000-0000F3040000}"/>
    <cellStyle name="Comma 5 8 2" xfId="1268" xr:uid="{00000000-0005-0000-0000-0000F4040000}"/>
    <cellStyle name="Comma 5 9" xfId="1269" xr:uid="{00000000-0005-0000-0000-0000F5040000}"/>
    <cellStyle name="Comma 5 9 2" xfId="1270" xr:uid="{00000000-0005-0000-0000-0000F6040000}"/>
    <cellStyle name="Comma 6" xfId="1271" xr:uid="{00000000-0005-0000-0000-0000F7040000}"/>
    <cellStyle name="Comma 6 10" xfId="1272" xr:uid="{00000000-0005-0000-0000-0000F8040000}"/>
    <cellStyle name="Comma 6 2" xfId="1273" xr:uid="{00000000-0005-0000-0000-0000F9040000}"/>
    <cellStyle name="Comma 6 2 2" xfId="1274" xr:uid="{00000000-0005-0000-0000-0000FA040000}"/>
    <cellStyle name="Comma 6 2 2 2" xfId="1275" xr:uid="{00000000-0005-0000-0000-0000FB040000}"/>
    <cellStyle name="Comma 6 2 2 2 2" xfId="1276" xr:uid="{00000000-0005-0000-0000-0000FC040000}"/>
    <cellStyle name="Comma 6 2 2 2 2 2" xfId="1277" xr:uid="{00000000-0005-0000-0000-0000FD040000}"/>
    <cellStyle name="Comma 6 2 2 2 2 2 2" xfId="1278" xr:uid="{00000000-0005-0000-0000-0000FE040000}"/>
    <cellStyle name="Comma 6 2 2 2 2 2 2 2" xfId="1279" xr:uid="{00000000-0005-0000-0000-0000FF040000}"/>
    <cellStyle name="Comma 6 2 2 2 2 2 3" xfId="1280" xr:uid="{00000000-0005-0000-0000-000000050000}"/>
    <cellStyle name="Comma 6 2 2 2 2 2 3 2" xfId="1281" xr:uid="{00000000-0005-0000-0000-000001050000}"/>
    <cellStyle name="Comma 6 2 2 2 2 2 4" xfId="1282" xr:uid="{00000000-0005-0000-0000-000002050000}"/>
    <cellStyle name="Comma 6 2 2 2 2 3" xfId="1283" xr:uid="{00000000-0005-0000-0000-000003050000}"/>
    <cellStyle name="Comma 6 2 2 2 2 3 2" xfId="1284" xr:uid="{00000000-0005-0000-0000-000004050000}"/>
    <cellStyle name="Comma 6 2 2 2 2 4" xfId="1285" xr:uid="{00000000-0005-0000-0000-000005050000}"/>
    <cellStyle name="Comma 6 2 2 2 2 4 2" xfId="1286" xr:uid="{00000000-0005-0000-0000-000006050000}"/>
    <cellStyle name="Comma 6 2 2 2 2 5" xfId="1287" xr:uid="{00000000-0005-0000-0000-000007050000}"/>
    <cellStyle name="Comma 6 2 2 2 3" xfId="1288" xr:uid="{00000000-0005-0000-0000-000008050000}"/>
    <cellStyle name="Comma 6 2 2 2 3 2" xfId="1289" xr:uid="{00000000-0005-0000-0000-000009050000}"/>
    <cellStyle name="Comma 6 2 2 2 3 2 2" xfId="1290" xr:uid="{00000000-0005-0000-0000-00000A050000}"/>
    <cellStyle name="Comma 6 2 2 2 3 3" xfId="1291" xr:uid="{00000000-0005-0000-0000-00000B050000}"/>
    <cellStyle name="Comma 6 2 2 2 3 3 2" xfId="1292" xr:uid="{00000000-0005-0000-0000-00000C050000}"/>
    <cellStyle name="Comma 6 2 2 2 3 4" xfId="1293" xr:uid="{00000000-0005-0000-0000-00000D050000}"/>
    <cellStyle name="Comma 6 2 2 2 4" xfId="1294" xr:uid="{00000000-0005-0000-0000-00000E050000}"/>
    <cellStyle name="Comma 6 2 2 2 4 2" xfId="1295" xr:uid="{00000000-0005-0000-0000-00000F050000}"/>
    <cellStyle name="Comma 6 2 2 2 5" xfId="1296" xr:uid="{00000000-0005-0000-0000-000010050000}"/>
    <cellStyle name="Comma 6 2 2 2 5 2" xfId="1297" xr:uid="{00000000-0005-0000-0000-000011050000}"/>
    <cellStyle name="Comma 6 2 2 2 6" xfId="1298" xr:uid="{00000000-0005-0000-0000-000012050000}"/>
    <cellStyle name="Comma 6 2 2 3" xfId="1299" xr:uid="{00000000-0005-0000-0000-000013050000}"/>
    <cellStyle name="Comma 6 2 2 3 2" xfId="1300" xr:uid="{00000000-0005-0000-0000-000014050000}"/>
    <cellStyle name="Comma 6 2 2 3 2 2" xfId="1301" xr:uid="{00000000-0005-0000-0000-000015050000}"/>
    <cellStyle name="Comma 6 2 2 3 2 2 2" xfId="1302" xr:uid="{00000000-0005-0000-0000-000016050000}"/>
    <cellStyle name="Comma 6 2 2 3 2 3" xfId="1303" xr:uid="{00000000-0005-0000-0000-000017050000}"/>
    <cellStyle name="Comma 6 2 2 3 2 3 2" xfId="1304" xr:uid="{00000000-0005-0000-0000-000018050000}"/>
    <cellStyle name="Comma 6 2 2 3 2 4" xfId="1305" xr:uid="{00000000-0005-0000-0000-000019050000}"/>
    <cellStyle name="Comma 6 2 2 3 3" xfId="1306" xr:uid="{00000000-0005-0000-0000-00001A050000}"/>
    <cellStyle name="Comma 6 2 2 3 3 2" xfId="1307" xr:uid="{00000000-0005-0000-0000-00001B050000}"/>
    <cellStyle name="Comma 6 2 2 3 4" xfId="1308" xr:uid="{00000000-0005-0000-0000-00001C050000}"/>
    <cellStyle name="Comma 6 2 2 3 4 2" xfId="1309" xr:uid="{00000000-0005-0000-0000-00001D050000}"/>
    <cellStyle name="Comma 6 2 2 3 5" xfId="1310" xr:uid="{00000000-0005-0000-0000-00001E050000}"/>
    <cellStyle name="Comma 6 2 2 4" xfId="1311" xr:uid="{00000000-0005-0000-0000-00001F050000}"/>
    <cellStyle name="Comma 6 2 2 4 2" xfId="1312" xr:uid="{00000000-0005-0000-0000-000020050000}"/>
    <cellStyle name="Comma 6 2 2 4 2 2" xfId="1313" xr:uid="{00000000-0005-0000-0000-000021050000}"/>
    <cellStyle name="Comma 6 2 2 4 3" xfId="1314" xr:uid="{00000000-0005-0000-0000-000022050000}"/>
    <cellStyle name="Comma 6 2 2 4 3 2" xfId="1315" xr:uid="{00000000-0005-0000-0000-000023050000}"/>
    <cellStyle name="Comma 6 2 2 4 4" xfId="1316" xr:uid="{00000000-0005-0000-0000-000024050000}"/>
    <cellStyle name="Comma 6 2 2 5" xfId="1317" xr:uid="{00000000-0005-0000-0000-000025050000}"/>
    <cellStyle name="Comma 6 2 2 5 2" xfId="1318" xr:uid="{00000000-0005-0000-0000-000026050000}"/>
    <cellStyle name="Comma 6 2 2 6" xfId="1319" xr:uid="{00000000-0005-0000-0000-000027050000}"/>
    <cellStyle name="Comma 6 2 2 6 2" xfId="1320" xr:uid="{00000000-0005-0000-0000-000028050000}"/>
    <cellStyle name="Comma 6 2 2 7" xfId="1321" xr:uid="{00000000-0005-0000-0000-000029050000}"/>
    <cellStyle name="Comma 6 2 3" xfId="1322" xr:uid="{00000000-0005-0000-0000-00002A050000}"/>
    <cellStyle name="Comma 6 2 3 2" xfId="1323" xr:uid="{00000000-0005-0000-0000-00002B050000}"/>
    <cellStyle name="Comma 6 2 3 2 2" xfId="1324" xr:uid="{00000000-0005-0000-0000-00002C050000}"/>
    <cellStyle name="Comma 6 2 3 2 2 2" xfId="1325" xr:uid="{00000000-0005-0000-0000-00002D050000}"/>
    <cellStyle name="Comma 6 2 3 2 2 2 2" xfId="1326" xr:uid="{00000000-0005-0000-0000-00002E050000}"/>
    <cellStyle name="Comma 6 2 3 2 2 3" xfId="1327" xr:uid="{00000000-0005-0000-0000-00002F050000}"/>
    <cellStyle name="Comma 6 2 3 2 2 3 2" xfId="1328" xr:uid="{00000000-0005-0000-0000-000030050000}"/>
    <cellStyle name="Comma 6 2 3 2 2 4" xfId="1329" xr:uid="{00000000-0005-0000-0000-000031050000}"/>
    <cellStyle name="Comma 6 2 3 2 3" xfId="1330" xr:uid="{00000000-0005-0000-0000-000032050000}"/>
    <cellStyle name="Comma 6 2 3 2 3 2" xfId="1331" xr:uid="{00000000-0005-0000-0000-000033050000}"/>
    <cellStyle name="Comma 6 2 3 2 4" xfId="1332" xr:uid="{00000000-0005-0000-0000-000034050000}"/>
    <cellStyle name="Comma 6 2 3 2 4 2" xfId="1333" xr:uid="{00000000-0005-0000-0000-000035050000}"/>
    <cellStyle name="Comma 6 2 3 2 5" xfId="1334" xr:uid="{00000000-0005-0000-0000-000036050000}"/>
    <cellStyle name="Comma 6 2 3 3" xfId="1335" xr:uid="{00000000-0005-0000-0000-000037050000}"/>
    <cellStyle name="Comma 6 2 3 3 2" xfId="1336" xr:uid="{00000000-0005-0000-0000-000038050000}"/>
    <cellStyle name="Comma 6 2 3 3 2 2" xfId="1337" xr:uid="{00000000-0005-0000-0000-000039050000}"/>
    <cellStyle name="Comma 6 2 3 3 3" xfId="1338" xr:uid="{00000000-0005-0000-0000-00003A050000}"/>
    <cellStyle name="Comma 6 2 3 3 3 2" xfId="1339" xr:uid="{00000000-0005-0000-0000-00003B050000}"/>
    <cellStyle name="Comma 6 2 3 3 4" xfId="1340" xr:uid="{00000000-0005-0000-0000-00003C050000}"/>
    <cellStyle name="Comma 6 2 3 4" xfId="1341" xr:uid="{00000000-0005-0000-0000-00003D050000}"/>
    <cellStyle name="Comma 6 2 3 4 2" xfId="1342" xr:uid="{00000000-0005-0000-0000-00003E050000}"/>
    <cellStyle name="Comma 6 2 3 5" xfId="1343" xr:uid="{00000000-0005-0000-0000-00003F050000}"/>
    <cellStyle name="Comma 6 2 3 5 2" xfId="1344" xr:uid="{00000000-0005-0000-0000-000040050000}"/>
    <cellStyle name="Comma 6 2 3 6" xfId="1345" xr:uid="{00000000-0005-0000-0000-000041050000}"/>
    <cellStyle name="Comma 6 2 4" xfId="1346" xr:uid="{00000000-0005-0000-0000-000042050000}"/>
    <cellStyle name="Comma 6 2 4 2" xfId="1347" xr:uid="{00000000-0005-0000-0000-000043050000}"/>
    <cellStyle name="Comma 6 2 4 2 2" xfId="1348" xr:uid="{00000000-0005-0000-0000-000044050000}"/>
    <cellStyle name="Comma 6 2 4 2 2 2" xfId="1349" xr:uid="{00000000-0005-0000-0000-000045050000}"/>
    <cellStyle name="Comma 6 2 4 2 3" xfId="1350" xr:uid="{00000000-0005-0000-0000-000046050000}"/>
    <cellStyle name="Comma 6 2 4 2 3 2" xfId="1351" xr:uid="{00000000-0005-0000-0000-000047050000}"/>
    <cellStyle name="Comma 6 2 4 2 4" xfId="1352" xr:uid="{00000000-0005-0000-0000-000048050000}"/>
    <cellStyle name="Comma 6 2 4 3" xfId="1353" xr:uid="{00000000-0005-0000-0000-000049050000}"/>
    <cellStyle name="Comma 6 2 4 3 2" xfId="1354" xr:uid="{00000000-0005-0000-0000-00004A050000}"/>
    <cellStyle name="Comma 6 2 4 4" xfId="1355" xr:uid="{00000000-0005-0000-0000-00004B050000}"/>
    <cellStyle name="Comma 6 2 4 4 2" xfId="1356" xr:uid="{00000000-0005-0000-0000-00004C050000}"/>
    <cellStyle name="Comma 6 2 4 5" xfId="1357" xr:uid="{00000000-0005-0000-0000-00004D050000}"/>
    <cellStyle name="Comma 6 2 5" xfId="1358" xr:uid="{00000000-0005-0000-0000-00004E050000}"/>
    <cellStyle name="Comma 6 2 5 2" xfId="1359" xr:uid="{00000000-0005-0000-0000-00004F050000}"/>
    <cellStyle name="Comma 6 2 5 2 2" xfId="1360" xr:uid="{00000000-0005-0000-0000-000050050000}"/>
    <cellStyle name="Comma 6 2 5 3" xfId="1361" xr:uid="{00000000-0005-0000-0000-000051050000}"/>
    <cellStyle name="Comma 6 2 5 3 2" xfId="1362" xr:uid="{00000000-0005-0000-0000-000052050000}"/>
    <cellStyle name="Comma 6 2 5 4" xfId="1363" xr:uid="{00000000-0005-0000-0000-000053050000}"/>
    <cellStyle name="Comma 6 2 6" xfId="1364" xr:uid="{00000000-0005-0000-0000-000054050000}"/>
    <cellStyle name="Comma 6 2 6 2" xfId="1365" xr:uid="{00000000-0005-0000-0000-000055050000}"/>
    <cellStyle name="Comma 6 2 7" xfId="1366" xr:uid="{00000000-0005-0000-0000-000056050000}"/>
    <cellStyle name="Comma 6 2 7 2" xfId="1367" xr:uid="{00000000-0005-0000-0000-000057050000}"/>
    <cellStyle name="Comma 6 2 8" xfId="1368" xr:uid="{00000000-0005-0000-0000-000058050000}"/>
    <cellStyle name="Comma 6 3" xfId="1369" xr:uid="{00000000-0005-0000-0000-000059050000}"/>
    <cellStyle name="Comma 6 3 2" xfId="1370" xr:uid="{00000000-0005-0000-0000-00005A050000}"/>
    <cellStyle name="Comma 6 3 2 2" xfId="1371" xr:uid="{00000000-0005-0000-0000-00005B050000}"/>
    <cellStyle name="Comma 6 3 2 2 2" xfId="1372" xr:uid="{00000000-0005-0000-0000-00005C050000}"/>
    <cellStyle name="Comma 6 3 2 2 2 2" xfId="1373" xr:uid="{00000000-0005-0000-0000-00005D050000}"/>
    <cellStyle name="Comma 6 3 2 2 2 2 2" xfId="1374" xr:uid="{00000000-0005-0000-0000-00005E050000}"/>
    <cellStyle name="Comma 6 3 2 2 2 3" xfId="1375" xr:uid="{00000000-0005-0000-0000-00005F050000}"/>
    <cellStyle name="Comma 6 3 2 2 2 3 2" xfId="1376" xr:uid="{00000000-0005-0000-0000-000060050000}"/>
    <cellStyle name="Comma 6 3 2 2 2 4" xfId="1377" xr:uid="{00000000-0005-0000-0000-000061050000}"/>
    <cellStyle name="Comma 6 3 2 2 3" xfId="1378" xr:uid="{00000000-0005-0000-0000-000062050000}"/>
    <cellStyle name="Comma 6 3 2 2 3 2" xfId="1379" xr:uid="{00000000-0005-0000-0000-000063050000}"/>
    <cellStyle name="Comma 6 3 2 2 4" xfId="1380" xr:uid="{00000000-0005-0000-0000-000064050000}"/>
    <cellStyle name="Comma 6 3 2 2 4 2" xfId="1381" xr:uid="{00000000-0005-0000-0000-000065050000}"/>
    <cellStyle name="Comma 6 3 2 2 5" xfId="1382" xr:uid="{00000000-0005-0000-0000-000066050000}"/>
    <cellStyle name="Comma 6 3 2 3" xfId="1383" xr:uid="{00000000-0005-0000-0000-000067050000}"/>
    <cellStyle name="Comma 6 3 2 3 2" xfId="1384" xr:uid="{00000000-0005-0000-0000-000068050000}"/>
    <cellStyle name="Comma 6 3 2 3 2 2" xfId="1385" xr:uid="{00000000-0005-0000-0000-000069050000}"/>
    <cellStyle name="Comma 6 3 2 3 3" xfId="1386" xr:uid="{00000000-0005-0000-0000-00006A050000}"/>
    <cellStyle name="Comma 6 3 2 3 3 2" xfId="1387" xr:uid="{00000000-0005-0000-0000-00006B050000}"/>
    <cellStyle name="Comma 6 3 2 3 4" xfId="1388" xr:uid="{00000000-0005-0000-0000-00006C050000}"/>
    <cellStyle name="Comma 6 3 2 4" xfId="1389" xr:uid="{00000000-0005-0000-0000-00006D050000}"/>
    <cellStyle name="Comma 6 3 2 4 2" xfId="1390" xr:uid="{00000000-0005-0000-0000-00006E050000}"/>
    <cellStyle name="Comma 6 3 2 5" xfId="1391" xr:uid="{00000000-0005-0000-0000-00006F050000}"/>
    <cellStyle name="Comma 6 3 2 5 2" xfId="1392" xr:uid="{00000000-0005-0000-0000-000070050000}"/>
    <cellStyle name="Comma 6 3 2 6" xfId="1393" xr:uid="{00000000-0005-0000-0000-000071050000}"/>
    <cellStyle name="Comma 6 3 3" xfId="1394" xr:uid="{00000000-0005-0000-0000-000072050000}"/>
    <cellStyle name="Comma 6 3 3 2" xfId="1395" xr:uid="{00000000-0005-0000-0000-000073050000}"/>
    <cellStyle name="Comma 6 3 3 2 2" xfId="1396" xr:uid="{00000000-0005-0000-0000-000074050000}"/>
    <cellStyle name="Comma 6 3 3 2 2 2" xfId="1397" xr:uid="{00000000-0005-0000-0000-000075050000}"/>
    <cellStyle name="Comma 6 3 3 2 3" xfId="1398" xr:uid="{00000000-0005-0000-0000-000076050000}"/>
    <cellStyle name="Comma 6 3 3 2 3 2" xfId="1399" xr:uid="{00000000-0005-0000-0000-000077050000}"/>
    <cellStyle name="Comma 6 3 3 2 4" xfId="1400" xr:uid="{00000000-0005-0000-0000-000078050000}"/>
    <cellStyle name="Comma 6 3 3 3" xfId="1401" xr:uid="{00000000-0005-0000-0000-000079050000}"/>
    <cellStyle name="Comma 6 3 3 3 2" xfId="1402" xr:uid="{00000000-0005-0000-0000-00007A050000}"/>
    <cellStyle name="Comma 6 3 3 4" xfId="1403" xr:uid="{00000000-0005-0000-0000-00007B050000}"/>
    <cellStyle name="Comma 6 3 3 4 2" xfId="1404" xr:uid="{00000000-0005-0000-0000-00007C050000}"/>
    <cellStyle name="Comma 6 3 3 5" xfId="1405" xr:uid="{00000000-0005-0000-0000-00007D050000}"/>
    <cellStyle name="Comma 6 3 4" xfId="1406" xr:uid="{00000000-0005-0000-0000-00007E050000}"/>
    <cellStyle name="Comma 6 3 4 2" xfId="1407" xr:uid="{00000000-0005-0000-0000-00007F050000}"/>
    <cellStyle name="Comma 6 3 4 2 2" xfId="1408" xr:uid="{00000000-0005-0000-0000-000080050000}"/>
    <cellStyle name="Comma 6 3 4 3" xfId="1409" xr:uid="{00000000-0005-0000-0000-000081050000}"/>
    <cellStyle name="Comma 6 3 4 3 2" xfId="1410" xr:uid="{00000000-0005-0000-0000-000082050000}"/>
    <cellStyle name="Comma 6 3 4 4" xfId="1411" xr:uid="{00000000-0005-0000-0000-000083050000}"/>
    <cellStyle name="Comma 6 3 5" xfId="1412" xr:uid="{00000000-0005-0000-0000-000084050000}"/>
    <cellStyle name="Comma 6 3 5 2" xfId="1413" xr:uid="{00000000-0005-0000-0000-000085050000}"/>
    <cellStyle name="Comma 6 3 6" xfId="1414" xr:uid="{00000000-0005-0000-0000-000086050000}"/>
    <cellStyle name="Comma 6 3 6 2" xfId="1415" xr:uid="{00000000-0005-0000-0000-000087050000}"/>
    <cellStyle name="Comma 6 3 7" xfId="1416" xr:uid="{00000000-0005-0000-0000-000088050000}"/>
    <cellStyle name="Comma 6 4" xfId="1417" xr:uid="{00000000-0005-0000-0000-000089050000}"/>
    <cellStyle name="Comma 6 4 2" xfId="1418" xr:uid="{00000000-0005-0000-0000-00008A050000}"/>
    <cellStyle name="Comma 6 4 2 2" xfId="1419" xr:uid="{00000000-0005-0000-0000-00008B050000}"/>
    <cellStyle name="Comma 6 4 2 2 2" xfId="1420" xr:uid="{00000000-0005-0000-0000-00008C050000}"/>
    <cellStyle name="Comma 6 4 2 2 2 2" xfId="1421" xr:uid="{00000000-0005-0000-0000-00008D050000}"/>
    <cellStyle name="Comma 6 4 2 2 2 2 2" xfId="1422" xr:uid="{00000000-0005-0000-0000-00008E050000}"/>
    <cellStyle name="Comma 6 4 2 2 2 3" xfId="1423" xr:uid="{00000000-0005-0000-0000-00008F050000}"/>
    <cellStyle name="Comma 6 4 2 2 2 3 2" xfId="1424" xr:uid="{00000000-0005-0000-0000-000090050000}"/>
    <cellStyle name="Comma 6 4 2 2 2 4" xfId="1425" xr:uid="{00000000-0005-0000-0000-000091050000}"/>
    <cellStyle name="Comma 6 4 2 2 3" xfId="1426" xr:uid="{00000000-0005-0000-0000-000092050000}"/>
    <cellStyle name="Comma 6 4 2 2 3 2" xfId="1427" xr:uid="{00000000-0005-0000-0000-000093050000}"/>
    <cellStyle name="Comma 6 4 2 2 4" xfId="1428" xr:uid="{00000000-0005-0000-0000-000094050000}"/>
    <cellStyle name="Comma 6 4 2 2 4 2" xfId="1429" xr:uid="{00000000-0005-0000-0000-000095050000}"/>
    <cellStyle name="Comma 6 4 2 2 5" xfId="1430" xr:uid="{00000000-0005-0000-0000-000096050000}"/>
    <cellStyle name="Comma 6 4 2 3" xfId="1431" xr:uid="{00000000-0005-0000-0000-000097050000}"/>
    <cellStyle name="Comma 6 4 2 3 2" xfId="1432" xr:uid="{00000000-0005-0000-0000-000098050000}"/>
    <cellStyle name="Comma 6 4 2 3 2 2" xfId="1433" xr:uid="{00000000-0005-0000-0000-000099050000}"/>
    <cellStyle name="Comma 6 4 2 3 3" xfId="1434" xr:uid="{00000000-0005-0000-0000-00009A050000}"/>
    <cellStyle name="Comma 6 4 2 3 3 2" xfId="1435" xr:uid="{00000000-0005-0000-0000-00009B050000}"/>
    <cellStyle name="Comma 6 4 2 3 4" xfId="1436" xr:uid="{00000000-0005-0000-0000-00009C050000}"/>
    <cellStyle name="Comma 6 4 2 4" xfId="1437" xr:uid="{00000000-0005-0000-0000-00009D050000}"/>
    <cellStyle name="Comma 6 4 2 4 2" xfId="1438" xr:uid="{00000000-0005-0000-0000-00009E050000}"/>
    <cellStyle name="Comma 6 4 2 5" xfId="1439" xr:uid="{00000000-0005-0000-0000-00009F050000}"/>
    <cellStyle name="Comma 6 4 2 5 2" xfId="1440" xr:uid="{00000000-0005-0000-0000-0000A0050000}"/>
    <cellStyle name="Comma 6 4 2 6" xfId="1441" xr:uid="{00000000-0005-0000-0000-0000A1050000}"/>
    <cellStyle name="Comma 6 4 3" xfId="1442" xr:uid="{00000000-0005-0000-0000-0000A2050000}"/>
    <cellStyle name="Comma 6 4 3 2" xfId="1443" xr:uid="{00000000-0005-0000-0000-0000A3050000}"/>
    <cellStyle name="Comma 6 4 3 2 2" xfId="1444" xr:uid="{00000000-0005-0000-0000-0000A4050000}"/>
    <cellStyle name="Comma 6 4 3 2 2 2" xfId="1445" xr:uid="{00000000-0005-0000-0000-0000A5050000}"/>
    <cellStyle name="Comma 6 4 3 2 3" xfId="1446" xr:uid="{00000000-0005-0000-0000-0000A6050000}"/>
    <cellStyle name="Comma 6 4 3 2 3 2" xfId="1447" xr:uid="{00000000-0005-0000-0000-0000A7050000}"/>
    <cellStyle name="Comma 6 4 3 2 4" xfId="1448" xr:uid="{00000000-0005-0000-0000-0000A8050000}"/>
    <cellStyle name="Comma 6 4 3 3" xfId="1449" xr:uid="{00000000-0005-0000-0000-0000A9050000}"/>
    <cellStyle name="Comma 6 4 3 3 2" xfId="1450" xr:uid="{00000000-0005-0000-0000-0000AA050000}"/>
    <cellStyle name="Comma 6 4 3 4" xfId="1451" xr:uid="{00000000-0005-0000-0000-0000AB050000}"/>
    <cellStyle name="Comma 6 4 3 4 2" xfId="1452" xr:uid="{00000000-0005-0000-0000-0000AC050000}"/>
    <cellStyle name="Comma 6 4 3 5" xfId="1453" xr:uid="{00000000-0005-0000-0000-0000AD050000}"/>
    <cellStyle name="Comma 6 4 4" xfId="1454" xr:uid="{00000000-0005-0000-0000-0000AE050000}"/>
    <cellStyle name="Comma 6 4 4 2" xfId="1455" xr:uid="{00000000-0005-0000-0000-0000AF050000}"/>
    <cellStyle name="Comma 6 4 4 2 2" xfId="1456" xr:uid="{00000000-0005-0000-0000-0000B0050000}"/>
    <cellStyle name="Comma 6 4 4 3" xfId="1457" xr:uid="{00000000-0005-0000-0000-0000B1050000}"/>
    <cellStyle name="Comma 6 4 4 3 2" xfId="1458" xr:uid="{00000000-0005-0000-0000-0000B2050000}"/>
    <cellStyle name="Comma 6 4 4 4" xfId="1459" xr:uid="{00000000-0005-0000-0000-0000B3050000}"/>
    <cellStyle name="Comma 6 4 5" xfId="1460" xr:uid="{00000000-0005-0000-0000-0000B4050000}"/>
    <cellStyle name="Comma 6 4 5 2" xfId="1461" xr:uid="{00000000-0005-0000-0000-0000B5050000}"/>
    <cellStyle name="Comma 6 4 6" xfId="1462" xr:uid="{00000000-0005-0000-0000-0000B6050000}"/>
    <cellStyle name="Comma 6 4 6 2" xfId="1463" xr:uid="{00000000-0005-0000-0000-0000B7050000}"/>
    <cellStyle name="Comma 6 4 7" xfId="1464" xr:uid="{00000000-0005-0000-0000-0000B8050000}"/>
    <cellStyle name="Comma 6 5" xfId="1465" xr:uid="{00000000-0005-0000-0000-0000B9050000}"/>
    <cellStyle name="Comma 6 5 2" xfId="1466" xr:uid="{00000000-0005-0000-0000-0000BA050000}"/>
    <cellStyle name="Comma 6 5 2 2" xfId="1467" xr:uid="{00000000-0005-0000-0000-0000BB050000}"/>
    <cellStyle name="Comma 6 5 2 2 2" xfId="1468" xr:uid="{00000000-0005-0000-0000-0000BC050000}"/>
    <cellStyle name="Comma 6 5 2 2 2 2" xfId="1469" xr:uid="{00000000-0005-0000-0000-0000BD050000}"/>
    <cellStyle name="Comma 6 5 2 2 3" xfId="1470" xr:uid="{00000000-0005-0000-0000-0000BE050000}"/>
    <cellStyle name="Comma 6 5 2 2 3 2" xfId="1471" xr:uid="{00000000-0005-0000-0000-0000BF050000}"/>
    <cellStyle name="Comma 6 5 2 2 4" xfId="1472" xr:uid="{00000000-0005-0000-0000-0000C0050000}"/>
    <cellStyle name="Comma 6 5 2 3" xfId="1473" xr:uid="{00000000-0005-0000-0000-0000C1050000}"/>
    <cellStyle name="Comma 6 5 2 3 2" xfId="1474" xr:uid="{00000000-0005-0000-0000-0000C2050000}"/>
    <cellStyle name="Comma 6 5 2 4" xfId="1475" xr:uid="{00000000-0005-0000-0000-0000C3050000}"/>
    <cellStyle name="Comma 6 5 2 4 2" xfId="1476" xr:uid="{00000000-0005-0000-0000-0000C4050000}"/>
    <cellStyle name="Comma 6 5 2 5" xfId="1477" xr:uid="{00000000-0005-0000-0000-0000C5050000}"/>
    <cellStyle name="Comma 6 5 3" xfId="1478" xr:uid="{00000000-0005-0000-0000-0000C6050000}"/>
    <cellStyle name="Comma 6 5 3 2" xfId="1479" xr:uid="{00000000-0005-0000-0000-0000C7050000}"/>
    <cellStyle name="Comma 6 5 3 2 2" xfId="1480" xr:uid="{00000000-0005-0000-0000-0000C8050000}"/>
    <cellStyle name="Comma 6 5 3 3" xfId="1481" xr:uid="{00000000-0005-0000-0000-0000C9050000}"/>
    <cellStyle name="Comma 6 5 3 3 2" xfId="1482" xr:uid="{00000000-0005-0000-0000-0000CA050000}"/>
    <cellStyle name="Comma 6 5 3 4" xfId="1483" xr:uid="{00000000-0005-0000-0000-0000CB050000}"/>
    <cellStyle name="Comma 6 5 4" xfId="1484" xr:uid="{00000000-0005-0000-0000-0000CC050000}"/>
    <cellStyle name="Comma 6 5 4 2" xfId="1485" xr:uid="{00000000-0005-0000-0000-0000CD050000}"/>
    <cellStyle name="Comma 6 5 5" xfId="1486" xr:uid="{00000000-0005-0000-0000-0000CE050000}"/>
    <cellStyle name="Comma 6 5 5 2" xfId="1487" xr:uid="{00000000-0005-0000-0000-0000CF050000}"/>
    <cellStyle name="Comma 6 5 6" xfId="1488" xr:uid="{00000000-0005-0000-0000-0000D0050000}"/>
    <cellStyle name="Comma 6 6" xfId="1489" xr:uid="{00000000-0005-0000-0000-0000D1050000}"/>
    <cellStyle name="Comma 6 6 2" xfId="1490" xr:uid="{00000000-0005-0000-0000-0000D2050000}"/>
    <cellStyle name="Comma 6 6 2 2" xfId="1491" xr:uid="{00000000-0005-0000-0000-0000D3050000}"/>
    <cellStyle name="Comma 6 6 2 2 2" xfId="1492" xr:uid="{00000000-0005-0000-0000-0000D4050000}"/>
    <cellStyle name="Comma 6 6 2 3" xfId="1493" xr:uid="{00000000-0005-0000-0000-0000D5050000}"/>
    <cellStyle name="Comma 6 6 2 3 2" xfId="1494" xr:uid="{00000000-0005-0000-0000-0000D6050000}"/>
    <cellStyle name="Comma 6 6 2 4" xfId="1495" xr:uid="{00000000-0005-0000-0000-0000D7050000}"/>
    <cellStyle name="Comma 6 6 3" xfId="1496" xr:uid="{00000000-0005-0000-0000-0000D8050000}"/>
    <cellStyle name="Comma 6 6 3 2" xfId="1497" xr:uid="{00000000-0005-0000-0000-0000D9050000}"/>
    <cellStyle name="Comma 6 6 4" xfId="1498" xr:uid="{00000000-0005-0000-0000-0000DA050000}"/>
    <cellStyle name="Comma 6 6 4 2" xfId="1499" xr:uid="{00000000-0005-0000-0000-0000DB050000}"/>
    <cellStyle name="Comma 6 6 5" xfId="1500" xr:uid="{00000000-0005-0000-0000-0000DC050000}"/>
    <cellStyle name="Comma 6 7" xfId="1501" xr:uid="{00000000-0005-0000-0000-0000DD050000}"/>
    <cellStyle name="Comma 6 7 2" xfId="1502" xr:uid="{00000000-0005-0000-0000-0000DE050000}"/>
    <cellStyle name="Comma 6 7 2 2" xfId="1503" xr:uid="{00000000-0005-0000-0000-0000DF050000}"/>
    <cellStyle name="Comma 6 7 3" xfId="1504" xr:uid="{00000000-0005-0000-0000-0000E0050000}"/>
    <cellStyle name="Comma 6 7 3 2" xfId="1505" xr:uid="{00000000-0005-0000-0000-0000E1050000}"/>
    <cellStyle name="Comma 6 7 4" xfId="1506" xr:uid="{00000000-0005-0000-0000-0000E2050000}"/>
    <cellStyle name="Comma 6 8" xfId="1507" xr:uid="{00000000-0005-0000-0000-0000E3050000}"/>
    <cellStyle name="Comma 6 8 2" xfId="1508" xr:uid="{00000000-0005-0000-0000-0000E4050000}"/>
    <cellStyle name="Comma 6 9" xfId="1509" xr:uid="{00000000-0005-0000-0000-0000E5050000}"/>
    <cellStyle name="Comma 6 9 2" xfId="1510" xr:uid="{00000000-0005-0000-0000-0000E6050000}"/>
    <cellStyle name="Comma 7" xfId="1511" xr:uid="{00000000-0005-0000-0000-0000E7050000}"/>
    <cellStyle name="Comma 7 10" xfId="1512" xr:uid="{00000000-0005-0000-0000-0000E8050000}"/>
    <cellStyle name="Comma 7 2" xfId="1513" xr:uid="{00000000-0005-0000-0000-0000E9050000}"/>
    <cellStyle name="Comma 7 2 2" xfId="1514" xr:uid="{00000000-0005-0000-0000-0000EA050000}"/>
    <cellStyle name="Comma 7 2 2 2" xfId="1515" xr:uid="{00000000-0005-0000-0000-0000EB050000}"/>
    <cellStyle name="Comma 7 2 2 2 2" xfId="1516" xr:uid="{00000000-0005-0000-0000-0000EC050000}"/>
    <cellStyle name="Comma 7 2 2 2 2 2" xfId="1517" xr:uid="{00000000-0005-0000-0000-0000ED050000}"/>
    <cellStyle name="Comma 7 2 2 2 2 2 2" xfId="1518" xr:uid="{00000000-0005-0000-0000-0000EE050000}"/>
    <cellStyle name="Comma 7 2 2 2 2 2 2 2" xfId="1519" xr:uid="{00000000-0005-0000-0000-0000EF050000}"/>
    <cellStyle name="Comma 7 2 2 2 2 2 3" xfId="1520" xr:uid="{00000000-0005-0000-0000-0000F0050000}"/>
    <cellStyle name="Comma 7 2 2 2 2 2 3 2" xfId="1521" xr:uid="{00000000-0005-0000-0000-0000F1050000}"/>
    <cellStyle name="Comma 7 2 2 2 2 2 4" xfId="1522" xr:uid="{00000000-0005-0000-0000-0000F2050000}"/>
    <cellStyle name="Comma 7 2 2 2 2 3" xfId="1523" xr:uid="{00000000-0005-0000-0000-0000F3050000}"/>
    <cellStyle name="Comma 7 2 2 2 2 3 2" xfId="1524" xr:uid="{00000000-0005-0000-0000-0000F4050000}"/>
    <cellStyle name="Comma 7 2 2 2 2 4" xfId="1525" xr:uid="{00000000-0005-0000-0000-0000F5050000}"/>
    <cellStyle name="Comma 7 2 2 2 2 4 2" xfId="1526" xr:uid="{00000000-0005-0000-0000-0000F6050000}"/>
    <cellStyle name="Comma 7 2 2 2 2 5" xfId="1527" xr:uid="{00000000-0005-0000-0000-0000F7050000}"/>
    <cellStyle name="Comma 7 2 2 2 3" xfId="1528" xr:uid="{00000000-0005-0000-0000-0000F8050000}"/>
    <cellStyle name="Comma 7 2 2 2 3 2" xfId="1529" xr:uid="{00000000-0005-0000-0000-0000F9050000}"/>
    <cellStyle name="Comma 7 2 2 2 3 2 2" xfId="1530" xr:uid="{00000000-0005-0000-0000-0000FA050000}"/>
    <cellStyle name="Comma 7 2 2 2 3 3" xfId="1531" xr:uid="{00000000-0005-0000-0000-0000FB050000}"/>
    <cellStyle name="Comma 7 2 2 2 3 3 2" xfId="1532" xr:uid="{00000000-0005-0000-0000-0000FC050000}"/>
    <cellStyle name="Comma 7 2 2 2 3 4" xfId="1533" xr:uid="{00000000-0005-0000-0000-0000FD050000}"/>
    <cellStyle name="Comma 7 2 2 2 4" xfId="1534" xr:uid="{00000000-0005-0000-0000-0000FE050000}"/>
    <cellStyle name="Comma 7 2 2 2 4 2" xfId="1535" xr:uid="{00000000-0005-0000-0000-0000FF050000}"/>
    <cellStyle name="Comma 7 2 2 2 5" xfId="1536" xr:uid="{00000000-0005-0000-0000-000000060000}"/>
    <cellStyle name="Comma 7 2 2 2 5 2" xfId="1537" xr:uid="{00000000-0005-0000-0000-000001060000}"/>
    <cellStyle name="Comma 7 2 2 2 6" xfId="1538" xr:uid="{00000000-0005-0000-0000-000002060000}"/>
    <cellStyle name="Comma 7 2 2 3" xfId="1539" xr:uid="{00000000-0005-0000-0000-000003060000}"/>
    <cellStyle name="Comma 7 2 2 3 2" xfId="1540" xr:uid="{00000000-0005-0000-0000-000004060000}"/>
    <cellStyle name="Comma 7 2 2 3 2 2" xfId="1541" xr:uid="{00000000-0005-0000-0000-000005060000}"/>
    <cellStyle name="Comma 7 2 2 3 2 2 2" xfId="1542" xr:uid="{00000000-0005-0000-0000-000006060000}"/>
    <cellStyle name="Comma 7 2 2 3 2 3" xfId="1543" xr:uid="{00000000-0005-0000-0000-000007060000}"/>
    <cellStyle name="Comma 7 2 2 3 2 3 2" xfId="1544" xr:uid="{00000000-0005-0000-0000-000008060000}"/>
    <cellStyle name="Comma 7 2 2 3 2 4" xfId="1545" xr:uid="{00000000-0005-0000-0000-000009060000}"/>
    <cellStyle name="Comma 7 2 2 3 3" xfId="1546" xr:uid="{00000000-0005-0000-0000-00000A060000}"/>
    <cellStyle name="Comma 7 2 2 3 3 2" xfId="1547" xr:uid="{00000000-0005-0000-0000-00000B060000}"/>
    <cellStyle name="Comma 7 2 2 3 4" xfId="1548" xr:uid="{00000000-0005-0000-0000-00000C060000}"/>
    <cellStyle name="Comma 7 2 2 3 4 2" xfId="1549" xr:uid="{00000000-0005-0000-0000-00000D060000}"/>
    <cellStyle name="Comma 7 2 2 3 5" xfId="1550" xr:uid="{00000000-0005-0000-0000-00000E060000}"/>
    <cellStyle name="Comma 7 2 2 4" xfId="1551" xr:uid="{00000000-0005-0000-0000-00000F060000}"/>
    <cellStyle name="Comma 7 2 2 4 2" xfId="1552" xr:uid="{00000000-0005-0000-0000-000010060000}"/>
    <cellStyle name="Comma 7 2 2 4 2 2" xfId="1553" xr:uid="{00000000-0005-0000-0000-000011060000}"/>
    <cellStyle name="Comma 7 2 2 4 3" xfId="1554" xr:uid="{00000000-0005-0000-0000-000012060000}"/>
    <cellStyle name="Comma 7 2 2 4 3 2" xfId="1555" xr:uid="{00000000-0005-0000-0000-000013060000}"/>
    <cellStyle name="Comma 7 2 2 4 4" xfId="1556" xr:uid="{00000000-0005-0000-0000-000014060000}"/>
    <cellStyle name="Comma 7 2 2 5" xfId="1557" xr:uid="{00000000-0005-0000-0000-000015060000}"/>
    <cellStyle name="Comma 7 2 2 5 2" xfId="1558" xr:uid="{00000000-0005-0000-0000-000016060000}"/>
    <cellStyle name="Comma 7 2 2 6" xfId="1559" xr:uid="{00000000-0005-0000-0000-000017060000}"/>
    <cellStyle name="Comma 7 2 2 6 2" xfId="1560" xr:uid="{00000000-0005-0000-0000-000018060000}"/>
    <cellStyle name="Comma 7 2 2 7" xfId="1561" xr:uid="{00000000-0005-0000-0000-000019060000}"/>
    <cellStyle name="Comma 7 2 3" xfId="1562" xr:uid="{00000000-0005-0000-0000-00001A060000}"/>
    <cellStyle name="Comma 7 2 3 2" xfId="1563" xr:uid="{00000000-0005-0000-0000-00001B060000}"/>
    <cellStyle name="Comma 7 2 3 2 2" xfId="1564" xr:uid="{00000000-0005-0000-0000-00001C060000}"/>
    <cellStyle name="Comma 7 2 3 2 2 2" xfId="1565" xr:uid="{00000000-0005-0000-0000-00001D060000}"/>
    <cellStyle name="Comma 7 2 3 2 2 2 2" xfId="1566" xr:uid="{00000000-0005-0000-0000-00001E060000}"/>
    <cellStyle name="Comma 7 2 3 2 2 3" xfId="1567" xr:uid="{00000000-0005-0000-0000-00001F060000}"/>
    <cellStyle name="Comma 7 2 3 2 2 3 2" xfId="1568" xr:uid="{00000000-0005-0000-0000-000020060000}"/>
    <cellStyle name="Comma 7 2 3 2 2 4" xfId="1569" xr:uid="{00000000-0005-0000-0000-000021060000}"/>
    <cellStyle name="Comma 7 2 3 2 3" xfId="1570" xr:uid="{00000000-0005-0000-0000-000022060000}"/>
    <cellStyle name="Comma 7 2 3 2 3 2" xfId="1571" xr:uid="{00000000-0005-0000-0000-000023060000}"/>
    <cellStyle name="Comma 7 2 3 2 4" xfId="1572" xr:uid="{00000000-0005-0000-0000-000024060000}"/>
    <cellStyle name="Comma 7 2 3 2 4 2" xfId="1573" xr:uid="{00000000-0005-0000-0000-000025060000}"/>
    <cellStyle name="Comma 7 2 3 2 5" xfId="1574" xr:uid="{00000000-0005-0000-0000-000026060000}"/>
    <cellStyle name="Comma 7 2 3 3" xfId="1575" xr:uid="{00000000-0005-0000-0000-000027060000}"/>
    <cellStyle name="Comma 7 2 3 3 2" xfId="1576" xr:uid="{00000000-0005-0000-0000-000028060000}"/>
    <cellStyle name="Comma 7 2 3 3 2 2" xfId="1577" xr:uid="{00000000-0005-0000-0000-000029060000}"/>
    <cellStyle name="Comma 7 2 3 3 3" xfId="1578" xr:uid="{00000000-0005-0000-0000-00002A060000}"/>
    <cellStyle name="Comma 7 2 3 3 3 2" xfId="1579" xr:uid="{00000000-0005-0000-0000-00002B060000}"/>
    <cellStyle name="Comma 7 2 3 3 4" xfId="1580" xr:uid="{00000000-0005-0000-0000-00002C060000}"/>
    <cellStyle name="Comma 7 2 3 4" xfId="1581" xr:uid="{00000000-0005-0000-0000-00002D060000}"/>
    <cellStyle name="Comma 7 2 3 4 2" xfId="1582" xr:uid="{00000000-0005-0000-0000-00002E060000}"/>
    <cellStyle name="Comma 7 2 3 5" xfId="1583" xr:uid="{00000000-0005-0000-0000-00002F060000}"/>
    <cellStyle name="Comma 7 2 3 5 2" xfId="1584" xr:uid="{00000000-0005-0000-0000-000030060000}"/>
    <cellStyle name="Comma 7 2 3 6" xfId="1585" xr:uid="{00000000-0005-0000-0000-000031060000}"/>
    <cellStyle name="Comma 7 2 4" xfId="1586" xr:uid="{00000000-0005-0000-0000-000032060000}"/>
    <cellStyle name="Comma 7 2 4 2" xfId="1587" xr:uid="{00000000-0005-0000-0000-000033060000}"/>
    <cellStyle name="Comma 7 2 4 2 2" xfId="1588" xr:uid="{00000000-0005-0000-0000-000034060000}"/>
    <cellStyle name="Comma 7 2 4 2 2 2" xfId="1589" xr:uid="{00000000-0005-0000-0000-000035060000}"/>
    <cellStyle name="Comma 7 2 4 2 3" xfId="1590" xr:uid="{00000000-0005-0000-0000-000036060000}"/>
    <cellStyle name="Comma 7 2 4 2 3 2" xfId="1591" xr:uid="{00000000-0005-0000-0000-000037060000}"/>
    <cellStyle name="Comma 7 2 4 2 4" xfId="1592" xr:uid="{00000000-0005-0000-0000-000038060000}"/>
    <cellStyle name="Comma 7 2 4 3" xfId="1593" xr:uid="{00000000-0005-0000-0000-000039060000}"/>
    <cellStyle name="Comma 7 2 4 3 2" xfId="1594" xr:uid="{00000000-0005-0000-0000-00003A060000}"/>
    <cellStyle name="Comma 7 2 4 4" xfId="1595" xr:uid="{00000000-0005-0000-0000-00003B060000}"/>
    <cellStyle name="Comma 7 2 4 4 2" xfId="1596" xr:uid="{00000000-0005-0000-0000-00003C060000}"/>
    <cellStyle name="Comma 7 2 4 5" xfId="1597" xr:uid="{00000000-0005-0000-0000-00003D060000}"/>
    <cellStyle name="Comma 7 2 5" xfId="1598" xr:uid="{00000000-0005-0000-0000-00003E060000}"/>
    <cellStyle name="Comma 7 2 5 2" xfId="1599" xr:uid="{00000000-0005-0000-0000-00003F060000}"/>
    <cellStyle name="Comma 7 2 5 2 2" xfId="1600" xr:uid="{00000000-0005-0000-0000-000040060000}"/>
    <cellStyle name="Comma 7 2 5 3" xfId="1601" xr:uid="{00000000-0005-0000-0000-000041060000}"/>
    <cellStyle name="Comma 7 2 5 3 2" xfId="1602" xr:uid="{00000000-0005-0000-0000-000042060000}"/>
    <cellStyle name="Comma 7 2 5 4" xfId="1603" xr:uid="{00000000-0005-0000-0000-000043060000}"/>
    <cellStyle name="Comma 7 2 6" xfId="1604" xr:uid="{00000000-0005-0000-0000-000044060000}"/>
    <cellStyle name="Comma 7 2 6 2" xfId="1605" xr:uid="{00000000-0005-0000-0000-000045060000}"/>
    <cellStyle name="Comma 7 2 7" xfId="1606" xr:uid="{00000000-0005-0000-0000-000046060000}"/>
    <cellStyle name="Comma 7 2 7 2" xfId="1607" xr:uid="{00000000-0005-0000-0000-000047060000}"/>
    <cellStyle name="Comma 7 2 8" xfId="1608" xr:uid="{00000000-0005-0000-0000-000048060000}"/>
    <cellStyle name="Comma 7 2 9" xfId="1609" xr:uid="{00000000-0005-0000-0000-000049060000}"/>
    <cellStyle name="Comma 7 3" xfId="1610" xr:uid="{00000000-0005-0000-0000-00004A060000}"/>
    <cellStyle name="Comma 7 3 2" xfId="1611" xr:uid="{00000000-0005-0000-0000-00004B060000}"/>
    <cellStyle name="Comma 7 3 2 2" xfId="1612" xr:uid="{00000000-0005-0000-0000-00004C060000}"/>
    <cellStyle name="Comma 7 3 2 2 2" xfId="1613" xr:uid="{00000000-0005-0000-0000-00004D060000}"/>
    <cellStyle name="Comma 7 3 2 2 2 2" xfId="1614" xr:uid="{00000000-0005-0000-0000-00004E060000}"/>
    <cellStyle name="Comma 7 3 2 2 2 2 2" xfId="1615" xr:uid="{00000000-0005-0000-0000-00004F060000}"/>
    <cellStyle name="Comma 7 3 2 2 2 3" xfId="1616" xr:uid="{00000000-0005-0000-0000-000050060000}"/>
    <cellStyle name="Comma 7 3 2 2 2 3 2" xfId="1617" xr:uid="{00000000-0005-0000-0000-000051060000}"/>
    <cellStyle name="Comma 7 3 2 2 2 4" xfId="1618" xr:uid="{00000000-0005-0000-0000-000052060000}"/>
    <cellStyle name="Comma 7 3 2 2 3" xfId="1619" xr:uid="{00000000-0005-0000-0000-000053060000}"/>
    <cellStyle name="Comma 7 3 2 2 3 2" xfId="1620" xr:uid="{00000000-0005-0000-0000-000054060000}"/>
    <cellStyle name="Comma 7 3 2 2 4" xfId="1621" xr:uid="{00000000-0005-0000-0000-000055060000}"/>
    <cellStyle name="Comma 7 3 2 2 4 2" xfId="1622" xr:uid="{00000000-0005-0000-0000-000056060000}"/>
    <cellStyle name="Comma 7 3 2 2 5" xfId="1623" xr:uid="{00000000-0005-0000-0000-000057060000}"/>
    <cellStyle name="Comma 7 3 2 3" xfId="1624" xr:uid="{00000000-0005-0000-0000-000058060000}"/>
    <cellStyle name="Comma 7 3 2 3 2" xfId="1625" xr:uid="{00000000-0005-0000-0000-000059060000}"/>
    <cellStyle name="Comma 7 3 2 3 2 2" xfId="1626" xr:uid="{00000000-0005-0000-0000-00005A060000}"/>
    <cellStyle name="Comma 7 3 2 3 3" xfId="1627" xr:uid="{00000000-0005-0000-0000-00005B060000}"/>
    <cellStyle name="Comma 7 3 2 3 3 2" xfId="1628" xr:uid="{00000000-0005-0000-0000-00005C060000}"/>
    <cellStyle name="Comma 7 3 2 3 4" xfId="1629" xr:uid="{00000000-0005-0000-0000-00005D060000}"/>
    <cellStyle name="Comma 7 3 2 4" xfId="1630" xr:uid="{00000000-0005-0000-0000-00005E060000}"/>
    <cellStyle name="Comma 7 3 2 4 2" xfId="1631" xr:uid="{00000000-0005-0000-0000-00005F060000}"/>
    <cellStyle name="Comma 7 3 2 5" xfId="1632" xr:uid="{00000000-0005-0000-0000-000060060000}"/>
    <cellStyle name="Comma 7 3 2 5 2" xfId="1633" xr:uid="{00000000-0005-0000-0000-000061060000}"/>
    <cellStyle name="Comma 7 3 2 6" xfId="1634" xr:uid="{00000000-0005-0000-0000-000062060000}"/>
    <cellStyle name="Comma 7 3 3" xfId="1635" xr:uid="{00000000-0005-0000-0000-000063060000}"/>
    <cellStyle name="Comma 7 3 3 2" xfId="1636" xr:uid="{00000000-0005-0000-0000-000064060000}"/>
    <cellStyle name="Comma 7 3 3 2 2" xfId="1637" xr:uid="{00000000-0005-0000-0000-000065060000}"/>
    <cellStyle name="Comma 7 3 3 2 2 2" xfId="1638" xr:uid="{00000000-0005-0000-0000-000066060000}"/>
    <cellStyle name="Comma 7 3 3 2 3" xfId="1639" xr:uid="{00000000-0005-0000-0000-000067060000}"/>
    <cellStyle name="Comma 7 3 3 2 3 2" xfId="1640" xr:uid="{00000000-0005-0000-0000-000068060000}"/>
    <cellStyle name="Comma 7 3 3 2 4" xfId="1641" xr:uid="{00000000-0005-0000-0000-000069060000}"/>
    <cellStyle name="Comma 7 3 3 3" xfId="1642" xr:uid="{00000000-0005-0000-0000-00006A060000}"/>
    <cellStyle name="Comma 7 3 3 3 2" xfId="1643" xr:uid="{00000000-0005-0000-0000-00006B060000}"/>
    <cellStyle name="Comma 7 3 3 4" xfId="1644" xr:uid="{00000000-0005-0000-0000-00006C060000}"/>
    <cellStyle name="Comma 7 3 3 4 2" xfId="1645" xr:uid="{00000000-0005-0000-0000-00006D060000}"/>
    <cellStyle name="Comma 7 3 3 5" xfId="1646" xr:uid="{00000000-0005-0000-0000-00006E060000}"/>
    <cellStyle name="Comma 7 3 4" xfId="1647" xr:uid="{00000000-0005-0000-0000-00006F060000}"/>
    <cellStyle name="Comma 7 3 4 2" xfId="1648" xr:uid="{00000000-0005-0000-0000-000070060000}"/>
    <cellStyle name="Comma 7 3 4 2 2" xfId="1649" xr:uid="{00000000-0005-0000-0000-000071060000}"/>
    <cellStyle name="Comma 7 3 4 3" xfId="1650" xr:uid="{00000000-0005-0000-0000-000072060000}"/>
    <cellStyle name="Comma 7 3 4 3 2" xfId="1651" xr:uid="{00000000-0005-0000-0000-000073060000}"/>
    <cellStyle name="Comma 7 3 4 4" xfId="1652" xr:uid="{00000000-0005-0000-0000-000074060000}"/>
    <cellStyle name="Comma 7 3 5" xfId="1653" xr:uid="{00000000-0005-0000-0000-000075060000}"/>
    <cellStyle name="Comma 7 3 5 2" xfId="1654" xr:uid="{00000000-0005-0000-0000-000076060000}"/>
    <cellStyle name="Comma 7 3 6" xfId="1655" xr:uid="{00000000-0005-0000-0000-000077060000}"/>
    <cellStyle name="Comma 7 3 6 2" xfId="1656" xr:uid="{00000000-0005-0000-0000-000078060000}"/>
    <cellStyle name="Comma 7 3 7" xfId="1657" xr:uid="{00000000-0005-0000-0000-000079060000}"/>
    <cellStyle name="Comma 7 4" xfId="1658" xr:uid="{00000000-0005-0000-0000-00007A060000}"/>
    <cellStyle name="Comma 7 4 2" xfId="1659" xr:uid="{00000000-0005-0000-0000-00007B060000}"/>
    <cellStyle name="Comma 7 4 2 2" xfId="1660" xr:uid="{00000000-0005-0000-0000-00007C060000}"/>
    <cellStyle name="Comma 7 4 2 2 2" xfId="1661" xr:uid="{00000000-0005-0000-0000-00007D060000}"/>
    <cellStyle name="Comma 7 4 2 2 2 2" xfId="1662" xr:uid="{00000000-0005-0000-0000-00007E060000}"/>
    <cellStyle name="Comma 7 4 2 2 2 2 2" xfId="1663" xr:uid="{00000000-0005-0000-0000-00007F060000}"/>
    <cellStyle name="Comma 7 4 2 2 2 3" xfId="1664" xr:uid="{00000000-0005-0000-0000-000080060000}"/>
    <cellStyle name="Comma 7 4 2 2 2 3 2" xfId="1665" xr:uid="{00000000-0005-0000-0000-000081060000}"/>
    <cellStyle name="Comma 7 4 2 2 2 4" xfId="1666" xr:uid="{00000000-0005-0000-0000-000082060000}"/>
    <cellStyle name="Comma 7 4 2 2 3" xfId="1667" xr:uid="{00000000-0005-0000-0000-000083060000}"/>
    <cellStyle name="Comma 7 4 2 2 3 2" xfId="1668" xr:uid="{00000000-0005-0000-0000-000084060000}"/>
    <cellStyle name="Comma 7 4 2 2 4" xfId="1669" xr:uid="{00000000-0005-0000-0000-000085060000}"/>
    <cellStyle name="Comma 7 4 2 2 4 2" xfId="1670" xr:uid="{00000000-0005-0000-0000-000086060000}"/>
    <cellStyle name="Comma 7 4 2 2 5" xfId="1671" xr:uid="{00000000-0005-0000-0000-000087060000}"/>
    <cellStyle name="Comma 7 4 2 3" xfId="1672" xr:uid="{00000000-0005-0000-0000-000088060000}"/>
    <cellStyle name="Comma 7 4 2 3 2" xfId="1673" xr:uid="{00000000-0005-0000-0000-000089060000}"/>
    <cellStyle name="Comma 7 4 2 3 2 2" xfId="1674" xr:uid="{00000000-0005-0000-0000-00008A060000}"/>
    <cellStyle name="Comma 7 4 2 3 3" xfId="1675" xr:uid="{00000000-0005-0000-0000-00008B060000}"/>
    <cellStyle name="Comma 7 4 2 3 3 2" xfId="1676" xr:uid="{00000000-0005-0000-0000-00008C060000}"/>
    <cellStyle name="Comma 7 4 2 3 4" xfId="1677" xr:uid="{00000000-0005-0000-0000-00008D060000}"/>
    <cellStyle name="Comma 7 4 2 4" xfId="1678" xr:uid="{00000000-0005-0000-0000-00008E060000}"/>
    <cellStyle name="Comma 7 4 2 4 2" xfId="1679" xr:uid="{00000000-0005-0000-0000-00008F060000}"/>
    <cellStyle name="Comma 7 4 2 5" xfId="1680" xr:uid="{00000000-0005-0000-0000-000090060000}"/>
    <cellStyle name="Comma 7 4 2 5 2" xfId="1681" xr:uid="{00000000-0005-0000-0000-000091060000}"/>
    <cellStyle name="Comma 7 4 2 6" xfId="1682" xr:uid="{00000000-0005-0000-0000-000092060000}"/>
    <cellStyle name="Comma 7 4 3" xfId="1683" xr:uid="{00000000-0005-0000-0000-000093060000}"/>
    <cellStyle name="Comma 7 4 3 2" xfId="1684" xr:uid="{00000000-0005-0000-0000-000094060000}"/>
    <cellStyle name="Comma 7 4 3 2 2" xfId="1685" xr:uid="{00000000-0005-0000-0000-000095060000}"/>
    <cellStyle name="Comma 7 4 3 2 2 2" xfId="1686" xr:uid="{00000000-0005-0000-0000-000096060000}"/>
    <cellStyle name="Comma 7 4 3 2 3" xfId="1687" xr:uid="{00000000-0005-0000-0000-000097060000}"/>
    <cellStyle name="Comma 7 4 3 2 3 2" xfId="1688" xr:uid="{00000000-0005-0000-0000-000098060000}"/>
    <cellStyle name="Comma 7 4 3 2 4" xfId="1689" xr:uid="{00000000-0005-0000-0000-000099060000}"/>
    <cellStyle name="Comma 7 4 3 3" xfId="1690" xr:uid="{00000000-0005-0000-0000-00009A060000}"/>
    <cellStyle name="Comma 7 4 3 3 2" xfId="1691" xr:uid="{00000000-0005-0000-0000-00009B060000}"/>
    <cellStyle name="Comma 7 4 3 4" xfId="1692" xr:uid="{00000000-0005-0000-0000-00009C060000}"/>
    <cellStyle name="Comma 7 4 3 4 2" xfId="1693" xr:uid="{00000000-0005-0000-0000-00009D060000}"/>
    <cellStyle name="Comma 7 4 3 5" xfId="1694" xr:uid="{00000000-0005-0000-0000-00009E060000}"/>
    <cellStyle name="Comma 7 4 4" xfId="1695" xr:uid="{00000000-0005-0000-0000-00009F060000}"/>
    <cellStyle name="Comma 7 4 4 2" xfId="1696" xr:uid="{00000000-0005-0000-0000-0000A0060000}"/>
    <cellStyle name="Comma 7 4 4 2 2" xfId="1697" xr:uid="{00000000-0005-0000-0000-0000A1060000}"/>
    <cellStyle name="Comma 7 4 4 3" xfId="1698" xr:uid="{00000000-0005-0000-0000-0000A2060000}"/>
    <cellStyle name="Comma 7 4 4 3 2" xfId="1699" xr:uid="{00000000-0005-0000-0000-0000A3060000}"/>
    <cellStyle name="Comma 7 4 4 4" xfId="1700" xr:uid="{00000000-0005-0000-0000-0000A4060000}"/>
    <cellStyle name="Comma 7 4 5" xfId="1701" xr:uid="{00000000-0005-0000-0000-0000A5060000}"/>
    <cellStyle name="Comma 7 4 5 2" xfId="1702" xr:uid="{00000000-0005-0000-0000-0000A6060000}"/>
    <cellStyle name="Comma 7 4 6" xfId="1703" xr:uid="{00000000-0005-0000-0000-0000A7060000}"/>
    <cellStyle name="Comma 7 4 6 2" xfId="1704" xr:uid="{00000000-0005-0000-0000-0000A8060000}"/>
    <cellStyle name="Comma 7 4 7" xfId="1705" xr:uid="{00000000-0005-0000-0000-0000A9060000}"/>
    <cellStyle name="Comma 7 5" xfId="1706" xr:uid="{00000000-0005-0000-0000-0000AA060000}"/>
    <cellStyle name="Comma 7 5 2" xfId="1707" xr:uid="{00000000-0005-0000-0000-0000AB060000}"/>
    <cellStyle name="Comma 7 5 2 2" xfId="1708" xr:uid="{00000000-0005-0000-0000-0000AC060000}"/>
    <cellStyle name="Comma 7 5 2 2 2" xfId="1709" xr:uid="{00000000-0005-0000-0000-0000AD060000}"/>
    <cellStyle name="Comma 7 5 2 2 2 2" xfId="1710" xr:uid="{00000000-0005-0000-0000-0000AE060000}"/>
    <cellStyle name="Comma 7 5 2 2 3" xfId="1711" xr:uid="{00000000-0005-0000-0000-0000AF060000}"/>
    <cellStyle name="Comma 7 5 2 2 3 2" xfId="1712" xr:uid="{00000000-0005-0000-0000-0000B0060000}"/>
    <cellStyle name="Comma 7 5 2 2 4" xfId="1713" xr:uid="{00000000-0005-0000-0000-0000B1060000}"/>
    <cellStyle name="Comma 7 5 2 3" xfId="1714" xr:uid="{00000000-0005-0000-0000-0000B2060000}"/>
    <cellStyle name="Comma 7 5 2 3 2" xfId="1715" xr:uid="{00000000-0005-0000-0000-0000B3060000}"/>
    <cellStyle name="Comma 7 5 2 4" xfId="1716" xr:uid="{00000000-0005-0000-0000-0000B4060000}"/>
    <cellStyle name="Comma 7 5 2 4 2" xfId="1717" xr:uid="{00000000-0005-0000-0000-0000B5060000}"/>
    <cellStyle name="Comma 7 5 2 5" xfId="1718" xr:uid="{00000000-0005-0000-0000-0000B6060000}"/>
    <cellStyle name="Comma 7 5 3" xfId="1719" xr:uid="{00000000-0005-0000-0000-0000B7060000}"/>
    <cellStyle name="Comma 7 5 3 2" xfId="1720" xr:uid="{00000000-0005-0000-0000-0000B8060000}"/>
    <cellStyle name="Comma 7 5 3 2 2" xfId="1721" xr:uid="{00000000-0005-0000-0000-0000B9060000}"/>
    <cellStyle name="Comma 7 5 3 3" xfId="1722" xr:uid="{00000000-0005-0000-0000-0000BA060000}"/>
    <cellStyle name="Comma 7 5 3 3 2" xfId="1723" xr:uid="{00000000-0005-0000-0000-0000BB060000}"/>
    <cellStyle name="Comma 7 5 3 4" xfId="1724" xr:uid="{00000000-0005-0000-0000-0000BC060000}"/>
    <cellStyle name="Comma 7 5 4" xfId="1725" xr:uid="{00000000-0005-0000-0000-0000BD060000}"/>
    <cellStyle name="Comma 7 5 4 2" xfId="1726" xr:uid="{00000000-0005-0000-0000-0000BE060000}"/>
    <cellStyle name="Comma 7 5 5" xfId="1727" xr:uid="{00000000-0005-0000-0000-0000BF060000}"/>
    <cellStyle name="Comma 7 5 5 2" xfId="1728" xr:uid="{00000000-0005-0000-0000-0000C0060000}"/>
    <cellStyle name="Comma 7 5 6" xfId="1729" xr:uid="{00000000-0005-0000-0000-0000C1060000}"/>
    <cellStyle name="Comma 7 6" xfId="1730" xr:uid="{00000000-0005-0000-0000-0000C2060000}"/>
    <cellStyle name="Comma 7 6 2" xfId="1731" xr:uid="{00000000-0005-0000-0000-0000C3060000}"/>
    <cellStyle name="Comma 7 6 2 2" xfId="1732" xr:uid="{00000000-0005-0000-0000-0000C4060000}"/>
    <cellStyle name="Comma 7 6 2 2 2" xfId="1733" xr:uid="{00000000-0005-0000-0000-0000C5060000}"/>
    <cellStyle name="Comma 7 6 2 3" xfId="1734" xr:uid="{00000000-0005-0000-0000-0000C6060000}"/>
    <cellStyle name="Comma 7 6 2 3 2" xfId="1735" xr:uid="{00000000-0005-0000-0000-0000C7060000}"/>
    <cellStyle name="Comma 7 6 2 4" xfId="1736" xr:uid="{00000000-0005-0000-0000-0000C8060000}"/>
    <cellStyle name="Comma 7 6 3" xfId="1737" xr:uid="{00000000-0005-0000-0000-0000C9060000}"/>
    <cellStyle name="Comma 7 6 3 2" xfId="1738" xr:uid="{00000000-0005-0000-0000-0000CA060000}"/>
    <cellStyle name="Comma 7 6 4" xfId="1739" xr:uid="{00000000-0005-0000-0000-0000CB060000}"/>
    <cellStyle name="Comma 7 6 4 2" xfId="1740" xr:uid="{00000000-0005-0000-0000-0000CC060000}"/>
    <cellStyle name="Comma 7 6 5" xfId="1741" xr:uid="{00000000-0005-0000-0000-0000CD060000}"/>
    <cellStyle name="Comma 7 7" xfId="1742" xr:uid="{00000000-0005-0000-0000-0000CE060000}"/>
    <cellStyle name="Comma 7 7 2" xfId="1743" xr:uid="{00000000-0005-0000-0000-0000CF060000}"/>
    <cellStyle name="Comma 7 7 2 2" xfId="1744" xr:uid="{00000000-0005-0000-0000-0000D0060000}"/>
    <cellStyle name="Comma 7 7 3" xfId="1745" xr:uid="{00000000-0005-0000-0000-0000D1060000}"/>
    <cellStyle name="Comma 7 7 3 2" xfId="1746" xr:uid="{00000000-0005-0000-0000-0000D2060000}"/>
    <cellStyle name="Comma 7 7 4" xfId="1747" xr:uid="{00000000-0005-0000-0000-0000D3060000}"/>
    <cellStyle name="Comma 7 8" xfId="1748" xr:uid="{00000000-0005-0000-0000-0000D4060000}"/>
    <cellStyle name="Comma 7 8 2" xfId="1749" xr:uid="{00000000-0005-0000-0000-0000D5060000}"/>
    <cellStyle name="Comma 7 9" xfId="1750" xr:uid="{00000000-0005-0000-0000-0000D6060000}"/>
    <cellStyle name="Comma 7 9 2" xfId="1751" xr:uid="{00000000-0005-0000-0000-0000D7060000}"/>
    <cellStyle name="Comma 8" xfId="1752" xr:uid="{00000000-0005-0000-0000-0000D8060000}"/>
    <cellStyle name="Comma 8 2" xfId="1753" xr:uid="{00000000-0005-0000-0000-0000D9060000}"/>
    <cellStyle name="Comma 8 2 2" xfId="1754" xr:uid="{00000000-0005-0000-0000-0000DA060000}"/>
    <cellStyle name="Comma 8 2 2 2" xfId="1755" xr:uid="{00000000-0005-0000-0000-0000DB060000}"/>
    <cellStyle name="Comma 8 2 2 2 2" xfId="1756" xr:uid="{00000000-0005-0000-0000-0000DC060000}"/>
    <cellStyle name="Comma 8 2 2 2 2 2" xfId="1757" xr:uid="{00000000-0005-0000-0000-0000DD060000}"/>
    <cellStyle name="Comma 8 2 2 2 2 2 2" xfId="1758" xr:uid="{00000000-0005-0000-0000-0000DE060000}"/>
    <cellStyle name="Comma 8 2 2 2 2 3" xfId="1759" xr:uid="{00000000-0005-0000-0000-0000DF060000}"/>
    <cellStyle name="Comma 8 2 2 2 2 3 2" xfId="1760" xr:uid="{00000000-0005-0000-0000-0000E0060000}"/>
    <cellStyle name="Comma 8 2 2 2 2 4" xfId="1761" xr:uid="{00000000-0005-0000-0000-0000E1060000}"/>
    <cellStyle name="Comma 8 2 2 2 3" xfId="1762" xr:uid="{00000000-0005-0000-0000-0000E2060000}"/>
    <cellStyle name="Comma 8 2 2 2 3 2" xfId="1763" xr:uid="{00000000-0005-0000-0000-0000E3060000}"/>
    <cellStyle name="Comma 8 2 2 2 4" xfId="1764" xr:uid="{00000000-0005-0000-0000-0000E4060000}"/>
    <cellStyle name="Comma 8 2 2 2 4 2" xfId="1765" xr:uid="{00000000-0005-0000-0000-0000E5060000}"/>
    <cellStyle name="Comma 8 2 2 2 5" xfId="1766" xr:uid="{00000000-0005-0000-0000-0000E6060000}"/>
    <cellStyle name="Comma 8 2 2 3" xfId="1767" xr:uid="{00000000-0005-0000-0000-0000E7060000}"/>
    <cellStyle name="Comma 8 2 2 3 2" xfId="1768" xr:uid="{00000000-0005-0000-0000-0000E8060000}"/>
    <cellStyle name="Comma 8 2 2 3 2 2" xfId="1769" xr:uid="{00000000-0005-0000-0000-0000E9060000}"/>
    <cellStyle name="Comma 8 2 2 3 3" xfId="1770" xr:uid="{00000000-0005-0000-0000-0000EA060000}"/>
    <cellStyle name="Comma 8 2 2 3 3 2" xfId="1771" xr:uid="{00000000-0005-0000-0000-0000EB060000}"/>
    <cellStyle name="Comma 8 2 2 3 4" xfId="1772" xr:uid="{00000000-0005-0000-0000-0000EC060000}"/>
    <cellStyle name="Comma 8 2 2 4" xfId="1773" xr:uid="{00000000-0005-0000-0000-0000ED060000}"/>
    <cellStyle name="Comma 8 2 2 4 2" xfId="1774" xr:uid="{00000000-0005-0000-0000-0000EE060000}"/>
    <cellStyle name="Comma 8 2 2 5" xfId="1775" xr:uid="{00000000-0005-0000-0000-0000EF060000}"/>
    <cellStyle name="Comma 8 2 2 5 2" xfId="1776" xr:uid="{00000000-0005-0000-0000-0000F0060000}"/>
    <cellStyle name="Comma 8 2 2 6" xfId="1777" xr:uid="{00000000-0005-0000-0000-0000F1060000}"/>
    <cellStyle name="Comma 8 2 3" xfId="1778" xr:uid="{00000000-0005-0000-0000-0000F2060000}"/>
    <cellStyle name="Comma 8 2 3 2" xfId="1779" xr:uid="{00000000-0005-0000-0000-0000F3060000}"/>
    <cellStyle name="Comma 8 2 3 2 2" xfId="1780" xr:uid="{00000000-0005-0000-0000-0000F4060000}"/>
    <cellStyle name="Comma 8 2 3 2 2 2" xfId="1781" xr:uid="{00000000-0005-0000-0000-0000F5060000}"/>
    <cellStyle name="Comma 8 2 3 2 3" xfId="1782" xr:uid="{00000000-0005-0000-0000-0000F6060000}"/>
    <cellStyle name="Comma 8 2 3 2 3 2" xfId="1783" xr:uid="{00000000-0005-0000-0000-0000F7060000}"/>
    <cellStyle name="Comma 8 2 3 2 4" xfId="1784" xr:uid="{00000000-0005-0000-0000-0000F8060000}"/>
    <cellStyle name="Comma 8 2 3 3" xfId="1785" xr:uid="{00000000-0005-0000-0000-0000F9060000}"/>
    <cellStyle name="Comma 8 2 3 3 2" xfId="1786" xr:uid="{00000000-0005-0000-0000-0000FA060000}"/>
    <cellStyle name="Comma 8 2 3 4" xfId="1787" xr:uid="{00000000-0005-0000-0000-0000FB060000}"/>
    <cellStyle name="Comma 8 2 3 4 2" xfId="1788" xr:uid="{00000000-0005-0000-0000-0000FC060000}"/>
    <cellStyle name="Comma 8 2 3 5" xfId="1789" xr:uid="{00000000-0005-0000-0000-0000FD060000}"/>
    <cellStyle name="Comma 8 2 4" xfId="1790" xr:uid="{00000000-0005-0000-0000-0000FE060000}"/>
    <cellStyle name="Comma 8 2 4 2" xfId="1791" xr:uid="{00000000-0005-0000-0000-0000FF060000}"/>
    <cellStyle name="Comma 8 2 4 2 2" xfId="1792" xr:uid="{00000000-0005-0000-0000-000000070000}"/>
    <cellStyle name="Comma 8 2 4 3" xfId="1793" xr:uid="{00000000-0005-0000-0000-000001070000}"/>
    <cellStyle name="Comma 8 2 4 3 2" xfId="1794" xr:uid="{00000000-0005-0000-0000-000002070000}"/>
    <cellStyle name="Comma 8 2 4 4" xfId="1795" xr:uid="{00000000-0005-0000-0000-000003070000}"/>
    <cellStyle name="Comma 8 2 5" xfId="1796" xr:uid="{00000000-0005-0000-0000-000004070000}"/>
    <cellStyle name="Comma 8 2 5 2" xfId="1797" xr:uid="{00000000-0005-0000-0000-000005070000}"/>
    <cellStyle name="Comma 8 2 6" xfId="1798" xr:uid="{00000000-0005-0000-0000-000006070000}"/>
    <cellStyle name="Comma 8 2 6 2" xfId="1799" xr:uid="{00000000-0005-0000-0000-000007070000}"/>
    <cellStyle name="Comma 8 2 7" xfId="1800" xr:uid="{00000000-0005-0000-0000-000008070000}"/>
    <cellStyle name="Comma 8 2 8" xfId="1801" xr:uid="{00000000-0005-0000-0000-000009070000}"/>
    <cellStyle name="Comma 8 3" xfId="1802" xr:uid="{00000000-0005-0000-0000-00000A070000}"/>
    <cellStyle name="Comma 8 3 2" xfId="1803" xr:uid="{00000000-0005-0000-0000-00000B070000}"/>
    <cellStyle name="Comma 8 3 2 2" xfId="1804" xr:uid="{00000000-0005-0000-0000-00000C070000}"/>
    <cellStyle name="Comma 8 3 2 2 2" xfId="1805" xr:uid="{00000000-0005-0000-0000-00000D070000}"/>
    <cellStyle name="Comma 8 3 2 2 2 2" xfId="1806" xr:uid="{00000000-0005-0000-0000-00000E070000}"/>
    <cellStyle name="Comma 8 3 2 2 2 2 2" xfId="1807" xr:uid="{00000000-0005-0000-0000-00000F070000}"/>
    <cellStyle name="Comma 8 3 2 2 2 3" xfId="1808" xr:uid="{00000000-0005-0000-0000-000010070000}"/>
    <cellStyle name="Comma 8 3 2 2 2 3 2" xfId="1809" xr:uid="{00000000-0005-0000-0000-000011070000}"/>
    <cellStyle name="Comma 8 3 2 2 2 4" xfId="1810" xr:uid="{00000000-0005-0000-0000-000012070000}"/>
    <cellStyle name="Comma 8 3 2 2 3" xfId="1811" xr:uid="{00000000-0005-0000-0000-000013070000}"/>
    <cellStyle name="Comma 8 3 2 2 3 2" xfId="1812" xr:uid="{00000000-0005-0000-0000-000014070000}"/>
    <cellStyle name="Comma 8 3 2 2 4" xfId="1813" xr:uid="{00000000-0005-0000-0000-000015070000}"/>
    <cellStyle name="Comma 8 3 2 2 4 2" xfId="1814" xr:uid="{00000000-0005-0000-0000-000016070000}"/>
    <cellStyle name="Comma 8 3 2 2 5" xfId="1815" xr:uid="{00000000-0005-0000-0000-000017070000}"/>
    <cellStyle name="Comma 8 3 2 3" xfId="1816" xr:uid="{00000000-0005-0000-0000-000018070000}"/>
    <cellStyle name="Comma 8 3 2 3 2" xfId="1817" xr:uid="{00000000-0005-0000-0000-000019070000}"/>
    <cellStyle name="Comma 8 3 2 3 2 2" xfId="1818" xr:uid="{00000000-0005-0000-0000-00001A070000}"/>
    <cellStyle name="Comma 8 3 2 3 3" xfId="1819" xr:uid="{00000000-0005-0000-0000-00001B070000}"/>
    <cellStyle name="Comma 8 3 2 3 3 2" xfId="1820" xr:uid="{00000000-0005-0000-0000-00001C070000}"/>
    <cellStyle name="Comma 8 3 2 3 4" xfId="1821" xr:uid="{00000000-0005-0000-0000-00001D070000}"/>
    <cellStyle name="Comma 8 3 2 4" xfId="1822" xr:uid="{00000000-0005-0000-0000-00001E070000}"/>
    <cellStyle name="Comma 8 3 2 4 2" xfId="1823" xr:uid="{00000000-0005-0000-0000-00001F070000}"/>
    <cellStyle name="Comma 8 3 2 5" xfId="1824" xr:uid="{00000000-0005-0000-0000-000020070000}"/>
    <cellStyle name="Comma 8 3 2 5 2" xfId="1825" xr:uid="{00000000-0005-0000-0000-000021070000}"/>
    <cellStyle name="Comma 8 3 2 6" xfId="1826" xr:uid="{00000000-0005-0000-0000-000022070000}"/>
    <cellStyle name="Comma 8 3 3" xfId="1827" xr:uid="{00000000-0005-0000-0000-000023070000}"/>
    <cellStyle name="Comma 8 3 3 2" xfId="1828" xr:uid="{00000000-0005-0000-0000-000024070000}"/>
    <cellStyle name="Comma 8 3 3 2 2" xfId="1829" xr:uid="{00000000-0005-0000-0000-000025070000}"/>
    <cellStyle name="Comma 8 3 3 2 2 2" xfId="1830" xr:uid="{00000000-0005-0000-0000-000026070000}"/>
    <cellStyle name="Comma 8 3 3 2 3" xfId="1831" xr:uid="{00000000-0005-0000-0000-000027070000}"/>
    <cellStyle name="Comma 8 3 3 2 3 2" xfId="1832" xr:uid="{00000000-0005-0000-0000-000028070000}"/>
    <cellStyle name="Comma 8 3 3 2 4" xfId="1833" xr:uid="{00000000-0005-0000-0000-000029070000}"/>
    <cellStyle name="Comma 8 3 3 3" xfId="1834" xr:uid="{00000000-0005-0000-0000-00002A070000}"/>
    <cellStyle name="Comma 8 3 3 3 2" xfId="1835" xr:uid="{00000000-0005-0000-0000-00002B070000}"/>
    <cellStyle name="Comma 8 3 3 4" xfId="1836" xr:uid="{00000000-0005-0000-0000-00002C070000}"/>
    <cellStyle name="Comma 8 3 3 4 2" xfId="1837" xr:uid="{00000000-0005-0000-0000-00002D070000}"/>
    <cellStyle name="Comma 8 3 3 5" xfId="1838" xr:uid="{00000000-0005-0000-0000-00002E070000}"/>
    <cellStyle name="Comma 8 3 4" xfId="1839" xr:uid="{00000000-0005-0000-0000-00002F070000}"/>
    <cellStyle name="Comma 8 3 4 2" xfId="1840" xr:uid="{00000000-0005-0000-0000-000030070000}"/>
    <cellStyle name="Comma 8 3 4 2 2" xfId="1841" xr:uid="{00000000-0005-0000-0000-000031070000}"/>
    <cellStyle name="Comma 8 3 4 3" xfId="1842" xr:uid="{00000000-0005-0000-0000-000032070000}"/>
    <cellStyle name="Comma 8 3 4 3 2" xfId="1843" xr:uid="{00000000-0005-0000-0000-000033070000}"/>
    <cellStyle name="Comma 8 3 4 4" xfId="1844" xr:uid="{00000000-0005-0000-0000-000034070000}"/>
    <cellStyle name="Comma 8 3 5" xfId="1845" xr:uid="{00000000-0005-0000-0000-000035070000}"/>
    <cellStyle name="Comma 8 3 5 2" xfId="1846" xr:uid="{00000000-0005-0000-0000-000036070000}"/>
    <cellStyle name="Comma 8 3 6" xfId="1847" xr:uid="{00000000-0005-0000-0000-000037070000}"/>
    <cellStyle name="Comma 8 3 6 2" xfId="1848" xr:uid="{00000000-0005-0000-0000-000038070000}"/>
    <cellStyle name="Comma 8 3 7" xfId="1849" xr:uid="{00000000-0005-0000-0000-000039070000}"/>
    <cellStyle name="Comma 8 4" xfId="1850" xr:uid="{00000000-0005-0000-0000-00003A070000}"/>
    <cellStyle name="Comma 8 4 2" xfId="1851" xr:uid="{00000000-0005-0000-0000-00003B070000}"/>
    <cellStyle name="Comma 8 4 2 2" xfId="1852" xr:uid="{00000000-0005-0000-0000-00003C070000}"/>
    <cellStyle name="Comma 8 4 2 2 2" xfId="1853" xr:uid="{00000000-0005-0000-0000-00003D070000}"/>
    <cellStyle name="Comma 8 4 2 2 2 2" xfId="1854" xr:uid="{00000000-0005-0000-0000-00003E070000}"/>
    <cellStyle name="Comma 8 4 2 2 3" xfId="1855" xr:uid="{00000000-0005-0000-0000-00003F070000}"/>
    <cellStyle name="Comma 8 4 2 2 3 2" xfId="1856" xr:uid="{00000000-0005-0000-0000-000040070000}"/>
    <cellStyle name="Comma 8 4 2 2 4" xfId="1857" xr:uid="{00000000-0005-0000-0000-000041070000}"/>
    <cellStyle name="Comma 8 4 2 3" xfId="1858" xr:uid="{00000000-0005-0000-0000-000042070000}"/>
    <cellStyle name="Comma 8 4 2 3 2" xfId="1859" xr:uid="{00000000-0005-0000-0000-000043070000}"/>
    <cellStyle name="Comma 8 4 2 4" xfId="1860" xr:uid="{00000000-0005-0000-0000-000044070000}"/>
    <cellStyle name="Comma 8 4 2 4 2" xfId="1861" xr:uid="{00000000-0005-0000-0000-000045070000}"/>
    <cellStyle name="Comma 8 4 2 5" xfId="1862" xr:uid="{00000000-0005-0000-0000-000046070000}"/>
    <cellStyle name="Comma 8 4 3" xfId="1863" xr:uid="{00000000-0005-0000-0000-000047070000}"/>
    <cellStyle name="Comma 8 4 3 2" xfId="1864" xr:uid="{00000000-0005-0000-0000-000048070000}"/>
    <cellStyle name="Comma 8 4 3 2 2" xfId="1865" xr:uid="{00000000-0005-0000-0000-000049070000}"/>
    <cellStyle name="Comma 8 4 3 3" xfId="1866" xr:uid="{00000000-0005-0000-0000-00004A070000}"/>
    <cellStyle name="Comma 8 4 3 3 2" xfId="1867" xr:uid="{00000000-0005-0000-0000-00004B070000}"/>
    <cellStyle name="Comma 8 4 3 4" xfId="1868" xr:uid="{00000000-0005-0000-0000-00004C070000}"/>
    <cellStyle name="Comma 8 4 4" xfId="1869" xr:uid="{00000000-0005-0000-0000-00004D070000}"/>
    <cellStyle name="Comma 8 4 4 2" xfId="1870" xr:uid="{00000000-0005-0000-0000-00004E070000}"/>
    <cellStyle name="Comma 8 4 5" xfId="1871" xr:uid="{00000000-0005-0000-0000-00004F070000}"/>
    <cellStyle name="Comma 8 4 5 2" xfId="1872" xr:uid="{00000000-0005-0000-0000-000050070000}"/>
    <cellStyle name="Comma 8 4 6" xfId="1873" xr:uid="{00000000-0005-0000-0000-000051070000}"/>
    <cellStyle name="Comma 8 5" xfId="1874" xr:uid="{00000000-0005-0000-0000-000052070000}"/>
    <cellStyle name="Comma 8 5 2" xfId="1875" xr:uid="{00000000-0005-0000-0000-000053070000}"/>
    <cellStyle name="Comma 8 5 2 2" xfId="1876" xr:uid="{00000000-0005-0000-0000-000054070000}"/>
    <cellStyle name="Comma 8 5 2 2 2" xfId="1877" xr:uid="{00000000-0005-0000-0000-000055070000}"/>
    <cellStyle name="Comma 8 5 2 3" xfId="1878" xr:uid="{00000000-0005-0000-0000-000056070000}"/>
    <cellStyle name="Comma 8 5 2 3 2" xfId="1879" xr:uid="{00000000-0005-0000-0000-000057070000}"/>
    <cellStyle name="Comma 8 5 2 4" xfId="1880" xr:uid="{00000000-0005-0000-0000-000058070000}"/>
    <cellStyle name="Comma 8 5 3" xfId="1881" xr:uid="{00000000-0005-0000-0000-000059070000}"/>
    <cellStyle name="Comma 8 5 3 2" xfId="1882" xr:uid="{00000000-0005-0000-0000-00005A070000}"/>
    <cellStyle name="Comma 8 5 4" xfId="1883" xr:uid="{00000000-0005-0000-0000-00005B070000}"/>
    <cellStyle name="Comma 8 5 4 2" xfId="1884" xr:uid="{00000000-0005-0000-0000-00005C070000}"/>
    <cellStyle name="Comma 8 5 5" xfId="1885" xr:uid="{00000000-0005-0000-0000-00005D070000}"/>
    <cellStyle name="Comma 8 6" xfId="1886" xr:uid="{00000000-0005-0000-0000-00005E070000}"/>
    <cellStyle name="Comma 8 6 2" xfId="1887" xr:uid="{00000000-0005-0000-0000-00005F070000}"/>
    <cellStyle name="Comma 8 6 2 2" xfId="1888" xr:uid="{00000000-0005-0000-0000-000060070000}"/>
    <cellStyle name="Comma 8 6 3" xfId="1889" xr:uid="{00000000-0005-0000-0000-000061070000}"/>
    <cellStyle name="Comma 8 6 3 2" xfId="1890" xr:uid="{00000000-0005-0000-0000-000062070000}"/>
    <cellStyle name="Comma 8 6 4" xfId="1891" xr:uid="{00000000-0005-0000-0000-000063070000}"/>
    <cellStyle name="Comma 8 7" xfId="1892" xr:uid="{00000000-0005-0000-0000-000064070000}"/>
    <cellStyle name="Comma 8 7 2" xfId="1893" xr:uid="{00000000-0005-0000-0000-000065070000}"/>
    <cellStyle name="Comma 8 8" xfId="1894" xr:uid="{00000000-0005-0000-0000-000066070000}"/>
    <cellStyle name="Comma 8 8 2" xfId="1895" xr:uid="{00000000-0005-0000-0000-000067070000}"/>
    <cellStyle name="Comma 8 9" xfId="1896" xr:uid="{00000000-0005-0000-0000-000068070000}"/>
    <cellStyle name="Comma 9" xfId="1897" xr:uid="{00000000-0005-0000-0000-000069070000}"/>
    <cellStyle name="Comma 9 2" xfId="1898" xr:uid="{00000000-0005-0000-0000-00006A070000}"/>
    <cellStyle name="Comma(2)" xfId="1899" xr:uid="{00000000-0005-0000-0000-00006B070000}"/>
    <cellStyle name="Comma0" xfId="1900" xr:uid="{00000000-0005-0000-0000-00006C070000}"/>
    <cellStyle name="Comma0 - Style2" xfId="1901" xr:uid="{00000000-0005-0000-0000-00006D070000}"/>
    <cellStyle name="Comma1 - Style1" xfId="1902" xr:uid="{00000000-0005-0000-0000-00006E070000}"/>
    <cellStyle name="Comments" xfId="1903" xr:uid="{00000000-0005-0000-0000-00006F070000}"/>
    <cellStyle name="Currency" xfId="15263" builtinId="4"/>
    <cellStyle name="Currency 10" xfId="1904" xr:uid="{00000000-0005-0000-0000-000071070000}"/>
    <cellStyle name="Currency 10 2" xfId="1905" xr:uid="{00000000-0005-0000-0000-000072070000}"/>
    <cellStyle name="Currency 10 2 2" xfId="1906" xr:uid="{00000000-0005-0000-0000-000073070000}"/>
    <cellStyle name="Currency 10 2 2 2" xfId="1907" xr:uid="{00000000-0005-0000-0000-000074070000}"/>
    <cellStyle name="Currency 10 2 2 2 2" xfId="1908" xr:uid="{00000000-0005-0000-0000-000075070000}"/>
    <cellStyle name="Currency 10 2 2 2 2 2" xfId="1909" xr:uid="{00000000-0005-0000-0000-000076070000}"/>
    <cellStyle name="Currency 10 2 2 2 3" xfId="1910" xr:uid="{00000000-0005-0000-0000-000077070000}"/>
    <cellStyle name="Currency 10 2 2 2 3 2" xfId="1911" xr:uid="{00000000-0005-0000-0000-000078070000}"/>
    <cellStyle name="Currency 10 2 2 2 4" xfId="1912" xr:uid="{00000000-0005-0000-0000-000079070000}"/>
    <cellStyle name="Currency 10 2 2 3" xfId="1913" xr:uid="{00000000-0005-0000-0000-00007A070000}"/>
    <cellStyle name="Currency 10 2 2 3 2" xfId="1914" xr:uid="{00000000-0005-0000-0000-00007B070000}"/>
    <cellStyle name="Currency 10 2 2 4" xfId="1915" xr:uid="{00000000-0005-0000-0000-00007C070000}"/>
    <cellStyle name="Currency 10 2 2 4 2" xfId="1916" xr:uid="{00000000-0005-0000-0000-00007D070000}"/>
    <cellStyle name="Currency 10 2 2 5" xfId="1917" xr:uid="{00000000-0005-0000-0000-00007E070000}"/>
    <cellStyle name="Currency 10 2 3" xfId="1918" xr:uid="{00000000-0005-0000-0000-00007F070000}"/>
    <cellStyle name="Currency 10 2 3 2" xfId="1919" xr:uid="{00000000-0005-0000-0000-000080070000}"/>
    <cellStyle name="Currency 10 2 3 2 2" xfId="1920" xr:uid="{00000000-0005-0000-0000-000081070000}"/>
    <cellStyle name="Currency 10 2 3 3" xfId="1921" xr:uid="{00000000-0005-0000-0000-000082070000}"/>
    <cellStyle name="Currency 10 2 3 3 2" xfId="1922" xr:uid="{00000000-0005-0000-0000-000083070000}"/>
    <cellStyle name="Currency 10 2 3 4" xfId="1923" xr:uid="{00000000-0005-0000-0000-000084070000}"/>
    <cellStyle name="Currency 10 2 4" xfId="1924" xr:uid="{00000000-0005-0000-0000-000085070000}"/>
    <cellStyle name="Currency 10 2 4 2" xfId="1925" xr:uid="{00000000-0005-0000-0000-000086070000}"/>
    <cellStyle name="Currency 10 2 5" xfId="1926" xr:uid="{00000000-0005-0000-0000-000087070000}"/>
    <cellStyle name="Currency 10 2 5 2" xfId="1927" xr:uid="{00000000-0005-0000-0000-000088070000}"/>
    <cellStyle name="Currency 10 2 6" xfId="1928" xr:uid="{00000000-0005-0000-0000-000089070000}"/>
    <cellStyle name="Currency 10 3" xfId="1929" xr:uid="{00000000-0005-0000-0000-00008A070000}"/>
    <cellStyle name="Currency 10 4" xfId="1930" xr:uid="{00000000-0005-0000-0000-00008B070000}"/>
    <cellStyle name="Currency 10 5" xfId="1931" xr:uid="{00000000-0005-0000-0000-00008C070000}"/>
    <cellStyle name="Currency 11" xfId="1932" xr:uid="{00000000-0005-0000-0000-00008D070000}"/>
    <cellStyle name="Currency 11 2" xfId="1933" xr:uid="{00000000-0005-0000-0000-00008E070000}"/>
    <cellStyle name="Currency 11 2 2" xfId="1934" xr:uid="{00000000-0005-0000-0000-00008F070000}"/>
    <cellStyle name="Currency 11 3" xfId="1935" xr:uid="{00000000-0005-0000-0000-000090070000}"/>
    <cellStyle name="Currency 11 4" xfId="1936" xr:uid="{00000000-0005-0000-0000-000091070000}"/>
    <cellStyle name="Currency 11 5" xfId="1937" xr:uid="{00000000-0005-0000-0000-000092070000}"/>
    <cellStyle name="Currency 11 6" xfId="1938" xr:uid="{00000000-0005-0000-0000-000093070000}"/>
    <cellStyle name="Currency 12" xfId="1939" xr:uid="{00000000-0005-0000-0000-000094070000}"/>
    <cellStyle name="Currency 12 2" xfId="1940" xr:uid="{00000000-0005-0000-0000-000095070000}"/>
    <cellStyle name="Currency 12 2 2" xfId="1941" xr:uid="{00000000-0005-0000-0000-000096070000}"/>
    <cellStyle name="Currency 12 3" xfId="1942" xr:uid="{00000000-0005-0000-0000-000097070000}"/>
    <cellStyle name="Currency 12 4" xfId="1943" xr:uid="{00000000-0005-0000-0000-000098070000}"/>
    <cellStyle name="Currency 13" xfId="1944" xr:uid="{00000000-0005-0000-0000-000099070000}"/>
    <cellStyle name="Currency 13 2" xfId="15265" xr:uid="{00000000-0005-0000-0000-00009A070000}"/>
    <cellStyle name="Currency 14" xfId="1945" xr:uid="{00000000-0005-0000-0000-00009B070000}"/>
    <cellStyle name="Currency 14 2" xfId="1946" xr:uid="{00000000-0005-0000-0000-00009C070000}"/>
    <cellStyle name="Currency 15" xfId="1947" xr:uid="{00000000-0005-0000-0000-00009D070000}"/>
    <cellStyle name="Currency 16" xfId="1948" xr:uid="{00000000-0005-0000-0000-00009E070000}"/>
    <cellStyle name="Currency 17" xfId="1949" xr:uid="{00000000-0005-0000-0000-00009F070000}"/>
    <cellStyle name="Currency 18" xfId="1950" xr:uid="{00000000-0005-0000-0000-0000A0070000}"/>
    <cellStyle name="Currency 19" xfId="1951" xr:uid="{00000000-0005-0000-0000-0000A1070000}"/>
    <cellStyle name="Currency 2" xfId="1952" xr:uid="{00000000-0005-0000-0000-0000A2070000}"/>
    <cellStyle name="Currency 2 2" xfId="1953" xr:uid="{00000000-0005-0000-0000-0000A3070000}"/>
    <cellStyle name="Currency 2 2 2" xfId="1954" xr:uid="{00000000-0005-0000-0000-0000A4070000}"/>
    <cellStyle name="Currency 2 2 2 2" xfId="1955" xr:uid="{00000000-0005-0000-0000-0000A5070000}"/>
    <cellStyle name="Currency 2 2 2 3" xfId="1956" xr:uid="{00000000-0005-0000-0000-0000A6070000}"/>
    <cellStyle name="Currency 2 2 2 4" xfId="1957" xr:uid="{00000000-0005-0000-0000-0000A7070000}"/>
    <cellStyle name="Currency 2 2 2 5" xfId="1958" xr:uid="{00000000-0005-0000-0000-0000A8070000}"/>
    <cellStyle name="Currency 2 2 2 6" xfId="1959" xr:uid="{00000000-0005-0000-0000-0000A9070000}"/>
    <cellStyle name="Currency 2 2 3" xfId="1960" xr:uid="{00000000-0005-0000-0000-0000AA070000}"/>
    <cellStyle name="Currency 2 2 3 2" xfId="1961" xr:uid="{00000000-0005-0000-0000-0000AB070000}"/>
    <cellStyle name="Currency 2 2 3 3" xfId="1962" xr:uid="{00000000-0005-0000-0000-0000AC070000}"/>
    <cellStyle name="Currency 2 2 3 4" xfId="1963" xr:uid="{00000000-0005-0000-0000-0000AD070000}"/>
    <cellStyle name="Currency 2 2 4" xfId="1964" xr:uid="{00000000-0005-0000-0000-0000AE070000}"/>
    <cellStyle name="Currency 2 2 4 2" xfId="1965" xr:uid="{00000000-0005-0000-0000-0000AF070000}"/>
    <cellStyle name="Currency 2 2 4 3" xfId="1966" xr:uid="{00000000-0005-0000-0000-0000B0070000}"/>
    <cellStyle name="Currency 2 2 5" xfId="1967" xr:uid="{00000000-0005-0000-0000-0000B1070000}"/>
    <cellStyle name="Currency 2 2 6" xfId="1968" xr:uid="{00000000-0005-0000-0000-0000B2070000}"/>
    <cellStyle name="Currency 2 2 7" xfId="1969" xr:uid="{00000000-0005-0000-0000-0000B3070000}"/>
    <cellStyle name="Currency 2 2 8" xfId="1970" xr:uid="{00000000-0005-0000-0000-0000B4070000}"/>
    <cellStyle name="Currency 2 3" xfId="1971" xr:uid="{00000000-0005-0000-0000-0000B5070000}"/>
    <cellStyle name="Currency 2 3 2" xfId="1972" xr:uid="{00000000-0005-0000-0000-0000B6070000}"/>
    <cellStyle name="Currency 2 3 2 2" xfId="1973" xr:uid="{00000000-0005-0000-0000-0000B7070000}"/>
    <cellStyle name="Currency 2 3 2 3" xfId="1974" xr:uid="{00000000-0005-0000-0000-0000B8070000}"/>
    <cellStyle name="Currency 2 3 2 4" xfId="1975" xr:uid="{00000000-0005-0000-0000-0000B9070000}"/>
    <cellStyle name="Currency 2 3 2 5" xfId="1976" xr:uid="{00000000-0005-0000-0000-0000BA070000}"/>
    <cellStyle name="Currency 2 3 2 6" xfId="1977" xr:uid="{00000000-0005-0000-0000-0000BB070000}"/>
    <cellStyle name="Currency 2 3 3" xfId="1978" xr:uid="{00000000-0005-0000-0000-0000BC070000}"/>
    <cellStyle name="Currency 2 3 3 2" xfId="1979" xr:uid="{00000000-0005-0000-0000-0000BD070000}"/>
    <cellStyle name="Currency 2 3 3 3" xfId="1980" xr:uid="{00000000-0005-0000-0000-0000BE070000}"/>
    <cellStyle name="Currency 2 3 3 4" xfId="1981" xr:uid="{00000000-0005-0000-0000-0000BF070000}"/>
    <cellStyle name="Currency 2 3 3 5" xfId="1982" xr:uid="{00000000-0005-0000-0000-0000C0070000}"/>
    <cellStyle name="Currency 2 3 4" xfId="1983" xr:uid="{00000000-0005-0000-0000-0000C1070000}"/>
    <cellStyle name="Currency 2 3 4 2" xfId="1984" xr:uid="{00000000-0005-0000-0000-0000C2070000}"/>
    <cellStyle name="Currency 2 3 4 3" xfId="1985" xr:uid="{00000000-0005-0000-0000-0000C3070000}"/>
    <cellStyle name="Currency 2 3 4 4" xfId="1986" xr:uid="{00000000-0005-0000-0000-0000C4070000}"/>
    <cellStyle name="Currency 2 3 5" xfId="1987" xr:uid="{00000000-0005-0000-0000-0000C5070000}"/>
    <cellStyle name="Currency 2 3 6" xfId="1988" xr:uid="{00000000-0005-0000-0000-0000C6070000}"/>
    <cellStyle name="Currency 2 3 7" xfId="1989" xr:uid="{00000000-0005-0000-0000-0000C7070000}"/>
    <cellStyle name="Currency 2 4" xfId="1990" xr:uid="{00000000-0005-0000-0000-0000C8070000}"/>
    <cellStyle name="Currency 2 4 10" xfId="1991" xr:uid="{00000000-0005-0000-0000-0000C9070000}"/>
    <cellStyle name="Currency 2 4 2" xfId="1992" xr:uid="{00000000-0005-0000-0000-0000CA070000}"/>
    <cellStyle name="Currency 2 4 2 2" xfId="1993" xr:uid="{00000000-0005-0000-0000-0000CB070000}"/>
    <cellStyle name="Currency 2 4 2 3" xfId="1994" xr:uid="{00000000-0005-0000-0000-0000CC070000}"/>
    <cellStyle name="Currency 2 4 2 4" xfId="1995" xr:uid="{00000000-0005-0000-0000-0000CD070000}"/>
    <cellStyle name="Currency 2 4 2 5" xfId="1996" xr:uid="{00000000-0005-0000-0000-0000CE070000}"/>
    <cellStyle name="Currency 2 4 2 6" xfId="1997" xr:uid="{00000000-0005-0000-0000-0000CF070000}"/>
    <cellStyle name="Currency 2 4 3" xfId="1998" xr:uid="{00000000-0005-0000-0000-0000D0070000}"/>
    <cellStyle name="Currency 2 4 3 2" xfId="1999" xr:uid="{00000000-0005-0000-0000-0000D1070000}"/>
    <cellStyle name="Currency 2 4 3 3" xfId="2000" xr:uid="{00000000-0005-0000-0000-0000D2070000}"/>
    <cellStyle name="Currency 2 4 4" xfId="2001" xr:uid="{00000000-0005-0000-0000-0000D3070000}"/>
    <cellStyle name="Currency 2 4 4 2" xfId="2002" xr:uid="{00000000-0005-0000-0000-0000D4070000}"/>
    <cellStyle name="Currency 2 4 4 3" xfId="2003" xr:uid="{00000000-0005-0000-0000-0000D5070000}"/>
    <cellStyle name="Currency 2 4 5" xfId="2004" xr:uid="{00000000-0005-0000-0000-0000D6070000}"/>
    <cellStyle name="Currency 2 4 6" xfId="2005" xr:uid="{00000000-0005-0000-0000-0000D7070000}"/>
    <cellStyle name="Currency 2 4 7" xfId="2006" xr:uid="{00000000-0005-0000-0000-0000D8070000}"/>
    <cellStyle name="Currency 2 4 8" xfId="2007" xr:uid="{00000000-0005-0000-0000-0000D9070000}"/>
    <cellStyle name="Currency 2 4 9" xfId="2008" xr:uid="{00000000-0005-0000-0000-0000DA070000}"/>
    <cellStyle name="Currency 2 5" xfId="2009" xr:uid="{00000000-0005-0000-0000-0000DB070000}"/>
    <cellStyle name="Currency 2 5 2" xfId="2010" xr:uid="{00000000-0005-0000-0000-0000DC070000}"/>
    <cellStyle name="Currency 2 5 3" xfId="2011" xr:uid="{00000000-0005-0000-0000-0000DD070000}"/>
    <cellStyle name="Currency 2 5 4" xfId="2012" xr:uid="{00000000-0005-0000-0000-0000DE070000}"/>
    <cellStyle name="Currency 2 6" xfId="2013" xr:uid="{00000000-0005-0000-0000-0000DF070000}"/>
    <cellStyle name="Currency 2 6 2" xfId="2014" xr:uid="{00000000-0005-0000-0000-0000E0070000}"/>
    <cellStyle name="Currency 2 6 3" xfId="2015" xr:uid="{00000000-0005-0000-0000-0000E1070000}"/>
    <cellStyle name="Currency 2 7" xfId="2016" xr:uid="{00000000-0005-0000-0000-0000E2070000}"/>
    <cellStyle name="Currency 20" xfId="15266" xr:uid="{00000000-0005-0000-0000-0000E3070000}"/>
    <cellStyle name="Currency 3" xfId="2017" xr:uid="{00000000-0005-0000-0000-0000E4070000}"/>
    <cellStyle name="Currency 3 10" xfId="2018" xr:uid="{00000000-0005-0000-0000-0000E5070000}"/>
    <cellStyle name="Currency 3 2" xfId="2019" xr:uid="{00000000-0005-0000-0000-0000E6070000}"/>
    <cellStyle name="Currency 3 2 2" xfId="2020" xr:uid="{00000000-0005-0000-0000-0000E7070000}"/>
    <cellStyle name="Currency 3 2 2 2" xfId="2021" xr:uid="{00000000-0005-0000-0000-0000E8070000}"/>
    <cellStyle name="Currency 3 2 2 2 2" xfId="2022" xr:uid="{00000000-0005-0000-0000-0000E9070000}"/>
    <cellStyle name="Currency 3 2 2 2 2 2" xfId="2023" xr:uid="{00000000-0005-0000-0000-0000EA070000}"/>
    <cellStyle name="Currency 3 2 2 2 2 2 2" xfId="2024" xr:uid="{00000000-0005-0000-0000-0000EB070000}"/>
    <cellStyle name="Currency 3 2 2 2 2 2 2 2" xfId="2025" xr:uid="{00000000-0005-0000-0000-0000EC070000}"/>
    <cellStyle name="Currency 3 2 2 2 2 2 3" xfId="2026" xr:uid="{00000000-0005-0000-0000-0000ED070000}"/>
    <cellStyle name="Currency 3 2 2 2 2 2 3 2" xfId="2027" xr:uid="{00000000-0005-0000-0000-0000EE070000}"/>
    <cellStyle name="Currency 3 2 2 2 2 2 4" xfId="2028" xr:uid="{00000000-0005-0000-0000-0000EF070000}"/>
    <cellStyle name="Currency 3 2 2 2 2 3" xfId="2029" xr:uid="{00000000-0005-0000-0000-0000F0070000}"/>
    <cellStyle name="Currency 3 2 2 2 2 3 2" xfId="2030" xr:uid="{00000000-0005-0000-0000-0000F1070000}"/>
    <cellStyle name="Currency 3 2 2 2 2 4" xfId="2031" xr:uid="{00000000-0005-0000-0000-0000F2070000}"/>
    <cellStyle name="Currency 3 2 2 2 2 4 2" xfId="2032" xr:uid="{00000000-0005-0000-0000-0000F3070000}"/>
    <cellStyle name="Currency 3 2 2 2 2 5" xfId="2033" xr:uid="{00000000-0005-0000-0000-0000F4070000}"/>
    <cellStyle name="Currency 3 2 2 2 3" xfId="2034" xr:uid="{00000000-0005-0000-0000-0000F5070000}"/>
    <cellStyle name="Currency 3 2 2 2 3 2" xfId="2035" xr:uid="{00000000-0005-0000-0000-0000F6070000}"/>
    <cellStyle name="Currency 3 2 2 2 3 2 2" xfId="2036" xr:uid="{00000000-0005-0000-0000-0000F7070000}"/>
    <cellStyle name="Currency 3 2 2 2 3 3" xfId="2037" xr:uid="{00000000-0005-0000-0000-0000F8070000}"/>
    <cellStyle name="Currency 3 2 2 2 3 3 2" xfId="2038" xr:uid="{00000000-0005-0000-0000-0000F9070000}"/>
    <cellStyle name="Currency 3 2 2 2 3 4" xfId="2039" xr:uid="{00000000-0005-0000-0000-0000FA070000}"/>
    <cellStyle name="Currency 3 2 2 2 4" xfId="2040" xr:uid="{00000000-0005-0000-0000-0000FB070000}"/>
    <cellStyle name="Currency 3 2 2 2 4 2" xfId="2041" xr:uid="{00000000-0005-0000-0000-0000FC070000}"/>
    <cellStyle name="Currency 3 2 2 2 5" xfId="2042" xr:uid="{00000000-0005-0000-0000-0000FD070000}"/>
    <cellStyle name="Currency 3 2 2 2 5 2" xfId="2043" xr:uid="{00000000-0005-0000-0000-0000FE070000}"/>
    <cellStyle name="Currency 3 2 2 2 6" xfId="2044" xr:uid="{00000000-0005-0000-0000-0000FF070000}"/>
    <cellStyle name="Currency 3 2 2 3" xfId="2045" xr:uid="{00000000-0005-0000-0000-000000080000}"/>
    <cellStyle name="Currency 3 2 2 3 2" xfId="2046" xr:uid="{00000000-0005-0000-0000-000001080000}"/>
    <cellStyle name="Currency 3 2 2 3 2 2" xfId="2047" xr:uid="{00000000-0005-0000-0000-000002080000}"/>
    <cellStyle name="Currency 3 2 2 3 2 2 2" xfId="2048" xr:uid="{00000000-0005-0000-0000-000003080000}"/>
    <cellStyle name="Currency 3 2 2 3 2 3" xfId="2049" xr:uid="{00000000-0005-0000-0000-000004080000}"/>
    <cellStyle name="Currency 3 2 2 3 2 3 2" xfId="2050" xr:uid="{00000000-0005-0000-0000-000005080000}"/>
    <cellStyle name="Currency 3 2 2 3 2 4" xfId="2051" xr:uid="{00000000-0005-0000-0000-000006080000}"/>
    <cellStyle name="Currency 3 2 2 3 3" xfId="2052" xr:uid="{00000000-0005-0000-0000-000007080000}"/>
    <cellStyle name="Currency 3 2 2 3 3 2" xfId="2053" xr:uid="{00000000-0005-0000-0000-000008080000}"/>
    <cellStyle name="Currency 3 2 2 3 4" xfId="2054" xr:uid="{00000000-0005-0000-0000-000009080000}"/>
    <cellStyle name="Currency 3 2 2 3 4 2" xfId="2055" xr:uid="{00000000-0005-0000-0000-00000A080000}"/>
    <cellStyle name="Currency 3 2 2 3 5" xfId="2056" xr:uid="{00000000-0005-0000-0000-00000B080000}"/>
    <cellStyle name="Currency 3 2 2 4" xfId="2057" xr:uid="{00000000-0005-0000-0000-00000C080000}"/>
    <cellStyle name="Currency 3 2 2 4 2" xfId="2058" xr:uid="{00000000-0005-0000-0000-00000D080000}"/>
    <cellStyle name="Currency 3 2 2 4 2 2" xfId="2059" xr:uid="{00000000-0005-0000-0000-00000E080000}"/>
    <cellStyle name="Currency 3 2 2 4 3" xfId="2060" xr:uid="{00000000-0005-0000-0000-00000F080000}"/>
    <cellStyle name="Currency 3 2 2 4 3 2" xfId="2061" xr:uid="{00000000-0005-0000-0000-000010080000}"/>
    <cellStyle name="Currency 3 2 2 4 4" xfId="2062" xr:uid="{00000000-0005-0000-0000-000011080000}"/>
    <cellStyle name="Currency 3 2 2 5" xfId="2063" xr:uid="{00000000-0005-0000-0000-000012080000}"/>
    <cellStyle name="Currency 3 2 2 5 2" xfId="2064" xr:uid="{00000000-0005-0000-0000-000013080000}"/>
    <cellStyle name="Currency 3 2 2 6" xfId="2065" xr:uid="{00000000-0005-0000-0000-000014080000}"/>
    <cellStyle name="Currency 3 2 2 6 2" xfId="2066" xr:uid="{00000000-0005-0000-0000-000015080000}"/>
    <cellStyle name="Currency 3 2 2 7" xfId="2067" xr:uid="{00000000-0005-0000-0000-000016080000}"/>
    <cellStyle name="Currency 3 2 3" xfId="2068" xr:uid="{00000000-0005-0000-0000-000017080000}"/>
    <cellStyle name="Currency 3 2 3 2" xfId="2069" xr:uid="{00000000-0005-0000-0000-000018080000}"/>
    <cellStyle name="Currency 3 2 3 2 2" xfId="2070" xr:uid="{00000000-0005-0000-0000-000019080000}"/>
    <cellStyle name="Currency 3 2 3 2 2 2" xfId="2071" xr:uid="{00000000-0005-0000-0000-00001A080000}"/>
    <cellStyle name="Currency 3 2 3 2 2 2 2" xfId="2072" xr:uid="{00000000-0005-0000-0000-00001B080000}"/>
    <cellStyle name="Currency 3 2 3 2 2 3" xfId="2073" xr:uid="{00000000-0005-0000-0000-00001C080000}"/>
    <cellStyle name="Currency 3 2 3 2 2 3 2" xfId="2074" xr:uid="{00000000-0005-0000-0000-00001D080000}"/>
    <cellStyle name="Currency 3 2 3 2 2 4" xfId="2075" xr:uid="{00000000-0005-0000-0000-00001E080000}"/>
    <cellStyle name="Currency 3 2 3 2 3" xfId="2076" xr:uid="{00000000-0005-0000-0000-00001F080000}"/>
    <cellStyle name="Currency 3 2 3 2 3 2" xfId="2077" xr:uid="{00000000-0005-0000-0000-000020080000}"/>
    <cellStyle name="Currency 3 2 3 2 4" xfId="2078" xr:uid="{00000000-0005-0000-0000-000021080000}"/>
    <cellStyle name="Currency 3 2 3 2 4 2" xfId="2079" xr:uid="{00000000-0005-0000-0000-000022080000}"/>
    <cellStyle name="Currency 3 2 3 2 5" xfId="2080" xr:uid="{00000000-0005-0000-0000-000023080000}"/>
    <cellStyle name="Currency 3 2 3 3" xfId="2081" xr:uid="{00000000-0005-0000-0000-000024080000}"/>
    <cellStyle name="Currency 3 2 3 3 2" xfId="2082" xr:uid="{00000000-0005-0000-0000-000025080000}"/>
    <cellStyle name="Currency 3 2 3 3 2 2" xfId="2083" xr:uid="{00000000-0005-0000-0000-000026080000}"/>
    <cellStyle name="Currency 3 2 3 3 3" xfId="2084" xr:uid="{00000000-0005-0000-0000-000027080000}"/>
    <cellStyle name="Currency 3 2 3 3 3 2" xfId="2085" xr:uid="{00000000-0005-0000-0000-000028080000}"/>
    <cellStyle name="Currency 3 2 3 3 4" xfId="2086" xr:uid="{00000000-0005-0000-0000-000029080000}"/>
    <cellStyle name="Currency 3 2 3 4" xfId="2087" xr:uid="{00000000-0005-0000-0000-00002A080000}"/>
    <cellStyle name="Currency 3 2 3 4 2" xfId="2088" xr:uid="{00000000-0005-0000-0000-00002B080000}"/>
    <cellStyle name="Currency 3 2 3 5" xfId="2089" xr:uid="{00000000-0005-0000-0000-00002C080000}"/>
    <cellStyle name="Currency 3 2 3 5 2" xfId="2090" xr:uid="{00000000-0005-0000-0000-00002D080000}"/>
    <cellStyle name="Currency 3 2 3 6" xfId="2091" xr:uid="{00000000-0005-0000-0000-00002E080000}"/>
    <cellStyle name="Currency 3 2 4" xfId="2092" xr:uid="{00000000-0005-0000-0000-00002F080000}"/>
    <cellStyle name="Currency 3 2 4 2" xfId="2093" xr:uid="{00000000-0005-0000-0000-000030080000}"/>
    <cellStyle name="Currency 3 2 4 2 2" xfId="2094" xr:uid="{00000000-0005-0000-0000-000031080000}"/>
    <cellStyle name="Currency 3 2 4 2 2 2" xfId="2095" xr:uid="{00000000-0005-0000-0000-000032080000}"/>
    <cellStyle name="Currency 3 2 4 2 3" xfId="2096" xr:uid="{00000000-0005-0000-0000-000033080000}"/>
    <cellStyle name="Currency 3 2 4 2 3 2" xfId="2097" xr:uid="{00000000-0005-0000-0000-000034080000}"/>
    <cellStyle name="Currency 3 2 4 2 4" xfId="2098" xr:uid="{00000000-0005-0000-0000-000035080000}"/>
    <cellStyle name="Currency 3 2 4 3" xfId="2099" xr:uid="{00000000-0005-0000-0000-000036080000}"/>
    <cellStyle name="Currency 3 2 4 3 2" xfId="2100" xr:uid="{00000000-0005-0000-0000-000037080000}"/>
    <cellStyle name="Currency 3 2 4 4" xfId="2101" xr:uid="{00000000-0005-0000-0000-000038080000}"/>
    <cellStyle name="Currency 3 2 4 4 2" xfId="2102" xr:uid="{00000000-0005-0000-0000-000039080000}"/>
    <cellStyle name="Currency 3 2 4 5" xfId="2103" xr:uid="{00000000-0005-0000-0000-00003A080000}"/>
    <cellStyle name="Currency 3 2 5" xfId="2104" xr:uid="{00000000-0005-0000-0000-00003B080000}"/>
    <cellStyle name="Currency 3 2 5 2" xfId="2105" xr:uid="{00000000-0005-0000-0000-00003C080000}"/>
    <cellStyle name="Currency 3 2 5 2 2" xfId="2106" xr:uid="{00000000-0005-0000-0000-00003D080000}"/>
    <cellStyle name="Currency 3 2 5 3" xfId="2107" xr:uid="{00000000-0005-0000-0000-00003E080000}"/>
    <cellStyle name="Currency 3 2 5 3 2" xfId="2108" xr:uid="{00000000-0005-0000-0000-00003F080000}"/>
    <cellStyle name="Currency 3 2 5 4" xfId="2109" xr:uid="{00000000-0005-0000-0000-000040080000}"/>
    <cellStyle name="Currency 3 2 6" xfId="2110" xr:uid="{00000000-0005-0000-0000-000041080000}"/>
    <cellStyle name="Currency 3 2 6 2" xfId="2111" xr:uid="{00000000-0005-0000-0000-000042080000}"/>
    <cellStyle name="Currency 3 2 7" xfId="2112" xr:uid="{00000000-0005-0000-0000-000043080000}"/>
    <cellStyle name="Currency 3 2 7 2" xfId="2113" xr:uid="{00000000-0005-0000-0000-000044080000}"/>
    <cellStyle name="Currency 3 2 8" xfId="2114" xr:uid="{00000000-0005-0000-0000-000045080000}"/>
    <cellStyle name="Currency 3 3" xfId="2115" xr:uid="{00000000-0005-0000-0000-000046080000}"/>
    <cellStyle name="Currency 3 3 2" xfId="2116" xr:uid="{00000000-0005-0000-0000-000047080000}"/>
    <cellStyle name="Currency 3 3 2 2" xfId="2117" xr:uid="{00000000-0005-0000-0000-000048080000}"/>
    <cellStyle name="Currency 3 3 2 2 2" xfId="2118" xr:uid="{00000000-0005-0000-0000-000049080000}"/>
    <cellStyle name="Currency 3 3 2 2 2 2" xfId="2119" xr:uid="{00000000-0005-0000-0000-00004A080000}"/>
    <cellStyle name="Currency 3 3 2 2 2 2 2" xfId="2120" xr:uid="{00000000-0005-0000-0000-00004B080000}"/>
    <cellStyle name="Currency 3 3 2 2 2 3" xfId="2121" xr:uid="{00000000-0005-0000-0000-00004C080000}"/>
    <cellStyle name="Currency 3 3 2 2 2 3 2" xfId="2122" xr:uid="{00000000-0005-0000-0000-00004D080000}"/>
    <cellStyle name="Currency 3 3 2 2 2 4" xfId="2123" xr:uid="{00000000-0005-0000-0000-00004E080000}"/>
    <cellStyle name="Currency 3 3 2 2 3" xfId="2124" xr:uid="{00000000-0005-0000-0000-00004F080000}"/>
    <cellStyle name="Currency 3 3 2 2 3 2" xfId="2125" xr:uid="{00000000-0005-0000-0000-000050080000}"/>
    <cellStyle name="Currency 3 3 2 2 4" xfId="2126" xr:uid="{00000000-0005-0000-0000-000051080000}"/>
    <cellStyle name="Currency 3 3 2 2 4 2" xfId="2127" xr:uid="{00000000-0005-0000-0000-000052080000}"/>
    <cellStyle name="Currency 3 3 2 2 5" xfId="2128" xr:uid="{00000000-0005-0000-0000-000053080000}"/>
    <cellStyle name="Currency 3 3 2 3" xfId="2129" xr:uid="{00000000-0005-0000-0000-000054080000}"/>
    <cellStyle name="Currency 3 3 2 3 2" xfId="2130" xr:uid="{00000000-0005-0000-0000-000055080000}"/>
    <cellStyle name="Currency 3 3 2 3 2 2" xfId="2131" xr:uid="{00000000-0005-0000-0000-000056080000}"/>
    <cellStyle name="Currency 3 3 2 3 3" xfId="2132" xr:uid="{00000000-0005-0000-0000-000057080000}"/>
    <cellStyle name="Currency 3 3 2 3 3 2" xfId="2133" xr:uid="{00000000-0005-0000-0000-000058080000}"/>
    <cellStyle name="Currency 3 3 2 3 4" xfId="2134" xr:uid="{00000000-0005-0000-0000-000059080000}"/>
    <cellStyle name="Currency 3 3 2 4" xfId="2135" xr:uid="{00000000-0005-0000-0000-00005A080000}"/>
    <cellStyle name="Currency 3 3 2 4 2" xfId="2136" xr:uid="{00000000-0005-0000-0000-00005B080000}"/>
    <cellStyle name="Currency 3 3 2 5" xfId="2137" xr:uid="{00000000-0005-0000-0000-00005C080000}"/>
    <cellStyle name="Currency 3 3 2 5 2" xfId="2138" xr:uid="{00000000-0005-0000-0000-00005D080000}"/>
    <cellStyle name="Currency 3 3 2 6" xfId="2139" xr:uid="{00000000-0005-0000-0000-00005E080000}"/>
    <cellStyle name="Currency 3 3 3" xfId="2140" xr:uid="{00000000-0005-0000-0000-00005F080000}"/>
    <cellStyle name="Currency 3 3 3 2" xfId="2141" xr:uid="{00000000-0005-0000-0000-000060080000}"/>
    <cellStyle name="Currency 3 3 3 2 2" xfId="2142" xr:uid="{00000000-0005-0000-0000-000061080000}"/>
    <cellStyle name="Currency 3 3 3 2 2 2" xfId="2143" xr:uid="{00000000-0005-0000-0000-000062080000}"/>
    <cellStyle name="Currency 3 3 3 2 3" xfId="2144" xr:uid="{00000000-0005-0000-0000-000063080000}"/>
    <cellStyle name="Currency 3 3 3 2 3 2" xfId="2145" xr:uid="{00000000-0005-0000-0000-000064080000}"/>
    <cellStyle name="Currency 3 3 3 2 4" xfId="2146" xr:uid="{00000000-0005-0000-0000-000065080000}"/>
    <cellStyle name="Currency 3 3 3 3" xfId="2147" xr:uid="{00000000-0005-0000-0000-000066080000}"/>
    <cellStyle name="Currency 3 3 3 3 2" xfId="2148" xr:uid="{00000000-0005-0000-0000-000067080000}"/>
    <cellStyle name="Currency 3 3 3 4" xfId="2149" xr:uid="{00000000-0005-0000-0000-000068080000}"/>
    <cellStyle name="Currency 3 3 3 4 2" xfId="2150" xr:uid="{00000000-0005-0000-0000-000069080000}"/>
    <cellStyle name="Currency 3 3 3 5" xfId="2151" xr:uid="{00000000-0005-0000-0000-00006A080000}"/>
    <cellStyle name="Currency 3 3 4" xfId="2152" xr:uid="{00000000-0005-0000-0000-00006B080000}"/>
    <cellStyle name="Currency 3 3 4 2" xfId="2153" xr:uid="{00000000-0005-0000-0000-00006C080000}"/>
    <cellStyle name="Currency 3 3 4 2 2" xfId="2154" xr:uid="{00000000-0005-0000-0000-00006D080000}"/>
    <cellStyle name="Currency 3 3 4 3" xfId="2155" xr:uid="{00000000-0005-0000-0000-00006E080000}"/>
    <cellStyle name="Currency 3 3 4 3 2" xfId="2156" xr:uid="{00000000-0005-0000-0000-00006F080000}"/>
    <cellStyle name="Currency 3 3 4 4" xfId="2157" xr:uid="{00000000-0005-0000-0000-000070080000}"/>
    <cellStyle name="Currency 3 3 5" xfId="2158" xr:uid="{00000000-0005-0000-0000-000071080000}"/>
    <cellStyle name="Currency 3 3 5 2" xfId="2159" xr:uid="{00000000-0005-0000-0000-000072080000}"/>
    <cellStyle name="Currency 3 3 6" xfId="2160" xr:uid="{00000000-0005-0000-0000-000073080000}"/>
    <cellStyle name="Currency 3 3 6 2" xfId="2161" xr:uid="{00000000-0005-0000-0000-000074080000}"/>
    <cellStyle name="Currency 3 3 7" xfId="2162" xr:uid="{00000000-0005-0000-0000-000075080000}"/>
    <cellStyle name="Currency 3 4" xfId="2163" xr:uid="{00000000-0005-0000-0000-000076080000}"/>
    <cellStyle name="Currency 3 4 2" xfId="2164" xr:uid="{00000000-0005-0000-0000-000077080000}"/>
    <cellStyle name="Currency 3 4 2 2" xfId="2165" xr:uid="{00000000-0005-0000-0000-000078080000}"/>
    <cellStyle name="Currency 3 4 2 2 2" xfId="2166" xr:uid="{00000000-0005-0000-0000-000079080000}"/>
    <cellStyle name="Currency 3 4 2 2 2 2" xfId="2167" xr:uid="{00000000-0005-0000-0000-00007A080000}"/>
    <cellStyle name="Currency 3 4 2 2 2 2 2" xfId="2168" xr:uid="{00000000-0005-0000-0000-00007B080000}"/>
    <cellStyle name="Currency 3 4 2 2 2 3" xfId="2169" xr:uid="{00000000-0005-0000-0000-00007C080000}"/>
    <cellStyle name="Currency 3 4 2 2 2 3 2" xfId="2170" xr:uid="{00000000-0005-0000-0000-00007D080000}"/>
    <cellStyle name="Currency 3 4 2 2 2 4" xfId="2171" xr:uid="{00000000-0005-0000-0000-00007E080000}"/>
    <cellStyle name="Currency 3 4 2 2 3" xfId="2172" xr:uid="{00000000-0005-0000-0000-00007F080000}"/>
    <cellStyle name="Currency 3 4 2 2 3 2" xfId="2173" xr:uid="{00000000-0005-0000-0000-000080080000}"/>
    <cellStyle name="Currency 3 4 2 2 4" xfId="2174" xr:uid="{00000000-0005-0000-0000-000081080000}"/>
    <cellStyle name="Currency 3 4 2 2 4 2" xfId="2175" xr:uid="{00000000-0005-0000-0000-000082080000}"/>
    <cellStyle name="Currency 3 4 2 2 5" xfId="2176" xr:uid="{00000000-0005-0000-0000-000083080000}"/>
    <cellStyle name="Currency 3 4 2 3" xfId="2177" xr:uid="{00000000-0005-0000-0000-000084080000}"/>
    <cellStyle name="Currency 3 4 2 3 2" xfId="2178" xr:uid="{00000000-0005-0000-0000-000085080000}"/>
    <cellStyle name="Currency 3 4 2 3 2 2" xfId="2179" xr:uid="{00000000-0005-0000-0000-000086080000}"/>
    <cellStyle name="Currency 3 4 2 3 3" xfId="2180" xr:uid="{00000000-0005-0000-0000-000087080000}"/>
    <cellStyle name="Currency 3 4 2 3 3 2" xfId="2181" xr:uid="{00000000-0005-0000-0000-000088080000}"/>
    <cellStyle name="Currency 3 4 2 3 4" xfId="2182" xr:uid="{00000000-0005-0000-0000-000089080000}"/>
    <cellStyle name="Currency 3 4 2 4" xfId="2183" xr:uid="{00000000-0005-0000-0000-00008A080000}"/>
    <cellStyle name="Currency 3 4 2 4 2" xfId="2184" xr:uid="{00000000-0005-0000-0000-00008B080000}"/>
    <cellStyle name="Currency 3 4 2 5" xfId="2185" xr:uid="{00000000-0005-0000-0000-00008C080000}"/>
    <cellStyle name="Currency 3 4 2 5 2" xfId="2186" xr:uid="{00000000-0005-0000-0000-00008D080000}"/>
    <cellStyle name="Currency 3 4 2 6" xfId="2187" xr:uid="{00000000-0005-0000-0000-00008E080000}"/>
    <cellStyle name="Currency 3 4 3" xfId="2188" xr:uid="{00000000-0005-0000-0000-00008F080000}"/>
    <cellStyle name="Currency 3 4 3 2" xfId="2189" xr:uid="{00000000-0005-0000-0000-000090080000}"/>
    <cellStyle name="Currency 3 4 3 2 2" xfId="2190" xr:uid="{00000000-0005-0000-0000-000091080000}"/>
    <cellStyle name="Currency 3 4 3 2 2 2" xfId="2191" xr:uid="{00000000-0005-0000-0000-000092080000}"/>
    <cellStyle name="Currency 3 4 3 2 3" xfId="2192" xr:uid="{00000000-0005-0000-0000-000093080000}"/>
    <cellStyle name="Currency 3 4 3 2 3 2" xfId="2193" xr:uid="{00000000-0005-0000-0000-000094080000}"/>
    <cellStyle name="Currency 3 4 3 2 4" xfId="2194" xr:uid="{00000000-0005-0000-0000-000095080000}"/>
    <cellStyle name="Currency 3 4 3 3" xfId="2195" xr:uid="{00000000-0005-0000-0000-000096080000}"/>
    <cellStyle name="Currency 3 4 3 3 2" xfId="2196" xr:uid="{00000000-0005-0000-0000-000097080000}"/>
    <cellStyle name="Currency 3 4 3 4" xfId="2197" xr:uid="{00000000-0005-0000-0000-000098080000}"/>
    <cellStyle name="Currency 3 4 3 4 2" xfId="2198" xr:uid="{00000000-0005-0000-0000-000099080000}"/>
    <cellStyle name="Currency 3 4 3 5" xfId="2199" xr:uid="{00000000-0005-0000-0000-00009A080000}"/>
    <cellStyle name="Currency 3 4 4" xfId="2200" xr:uid="{00000000-0005-0000-0000-00009B080000}"/>
    <cellStyle name="Currency 3 4 4 2" xfId="2201" xr:uid="{00000000-0005-0000-0000-00009C080000}"/>
    <cellStyle name="Currency 3 4 4 2 2" xfId="2202" xr:uid="{00000000-0005-0000-0000-00009D080000}"/>
    <cellStyle name="Currency 3 4 4 3" xfId="2203" xr:uid="{00000000-0005-0000-0000-00009E080000}"/>
    <cellStyle name="Currency 3 4 4 3 2" xfId="2204" xr:uid="{00000000-0005-0000-0000-00009F080000}"/>
    <cellStyle name="Currency 3 4 4 4" xfId="2205" xr:uid="{00000000-0005-0000-0000-0000A0080000}"/>
    <cellStyle name="Currency 3 4 5" xfId="2206" xr:uid="{00000000-0005-0000-0000-0000A1080000}"/>
    <cellStyle name="Currency 3 4 5 2" xfId="2207" xr:uid="{00000000-0005-0000-0000-0000A2080000}"/>
    <cellStyle name="Currency 3 4 6" xfId="2208" xr:uid="{00000000-0005-0000-0000-0000A3080000}"/>
    <cellStyle name="Currency 3 4 6 2" xfId="2209" xr:uid="{00000000-0005-0000-0000-0000A4080000}"/>
    <cellStyle name="Currency 3 4 7" xfId="2210" xr:uid="{00000000-0005-0000-0000-0000A5080000}"/>
    <cellStyle name="Currency 3 5" xfId="2211" xr:uid="{00000000-0005-0000-0000-0000A6080000}"/>
    <cellStyle name="Currency 3 5 2" xfId="2212" xr:uid="{00000000-0005-0000-0000-0000A7080000}"/>
    <cellStyle name="Currency 3 5 2 2" xfId="2213" xr:uid="{00000000-0005-0000-0000-0000A8080000}"/>
    <cellStyle name="Currency 3 5 2 2 2" xfId="2214" xr:uid="{00000000-0005-0000-0000-0000A9080000}"/>
    <cellStyle name="Currency 3 5 2 2 2 2" xfId="2215" xr:uid="{00000000-0005-0000-0000-0000AA080000}"/>
    <cellStyle name="Currency 3 5 2 2 3" xfId="2216" xr:uid="{00000000-0005-0000-0000-0000AB080000}"/>
    <cellStyle name="Currency 3 5 2 2 3 2" xfId="2217" xr:uid="{00000000-0005-0000-0000-0000AC080000}"/>
    <cellStyle name="Currency 3 5 2 2 4" xfId="2218" xr:uid="{00000000-0005-0000-0000-0000AD080000}"/>
    <cellStyle name="Currency 3 5 2 3" xfId="2219" xr:uid="{00000000-0005-0000-0000-0000AE080000}"/>
    <cellStyle name="Currency 3 5 2 3 2" xfId="2220" xr:uid="{00000000-0005-0000-0000-0000AF080000}"/>
    <cellStyle name="Currency 3 5 2 4" xfId="2221" xr:uid="{00000000-0005-0000-0000-0000B0080000}"/>
    <cellStyle name="Currency 3 5 2 4 2" xfId="2222" xr:uid="{00000000-0005-0000-0000-0000B1080000}"/>
    <cellStyle name="Currency 3 5 2 5" xfId="2223" xr:uid="{00000000-0005-0000-0000-0000B2080000}"/>
    <cellStyle name="Currency 3 5 3" xfId="2224" xr:uid="{00000000-0005-0000-0000-0000B3080000}"/>
    <cellStyle name="Currency 3 5 3 2" xfId="2225" xr:uid="{00000000-0005-0000-0000-0000B4080000}"/>
    <cellStyle name="Currency 3 5 3 2 2" xfId="2226" xr:uid="{00000000-0005-0000-0000-0000B5080000}"/>
    <cellStyle name="Currency 3 5 3 3" xfId="2227" xr:uid="{00000000-0005-0000-0000-0000B6080000}"/>
    <cellStyle name="Currency 3 5 3 3 2" xfId="2228" xr:uid="{00000000-0005-0000-0000-0000B7080000}"/>
    <cellStyle name="Currency 3 5 3 4" xfId="2229" xr:uid="{00000000-0005-0000-0000-0000B8080000}"/>
    <cellStyle name="Currency 3 5 4" xfId="2230" xr:uid="{00000000-0005-0000-0000-0000B9080000}"/>
    <cellStyle name="Currency 3 5 4 2" xfId="2231" xr:uid="{00000000-0005-0000-0000-0000BA080000}"/>
    <cellStyle name="Currency 3 5 5" xfId="2232" xr:uid="{00000000-0005-0000-0000-0000BB080000}"/>
    <cellStyle name="Currency 3 5 5 2" xfId="2233" xr:uid="{00000000-0005-0000-0000-0000BC080000}"/>
    <cellStyle name="Currency 3 5 6" xfId="2234" xr:uid="{00000000-0005-0000-0000-0000BD080000}"/>
    <cellStyle name="Currency 3 5 7" xfId="2235" xr:uid="{00000000-0005-0000-0000-0000BE080000}"/>
    <cellStyle name="Currency 3 6" xfId="2236" xr:uid="{00000000-0005-0000-0000-0000BF080000}"/>
    <cellStyle name="Currency 3 6 2" xfId="2237" xr:uid="{00000000-0005-0000-0000-0000C0080000}"/>
    <cellStyle name="Currency 3 6 2 2" xfId="2238" xr:uid="{00000000-0005-0000-0000-0000C1080000}"/>
    <cellStyle name="Currency 3 6 2 2 2" xfId="2239" xr:uid="{00000000-0005-0000-0000-0000C2080000}"/>
    <cellStyle name="Currency 3 6 2 3" xfId="2240" xr:uid="{00000000-0005-0000-0000-0000C3080000}"/>
    <cellStyle name="Currency 3 6 2 3 2" xfId="2241" xr:uid="{00000000-0005-0000-0000-0000C4080000}"/>
    <cellStyle name="Currency 3 6 2 4" xfId="2242" xr:uid="{00000000-0005-0000-0000-0000C5080000}"/>
    <cellStyle name="Currency 3 6 3" xfId="2243" xr:uid="{00000000-0005-0000-0000-0000C6080000}"/>
    <cellStyle name="Currency 3 6 3 2" xfId="2244" xr:uid="{00000000-0005-0000-0000-0000C7080000}"/>
    <cellStyle name="Currency 3 6 4" xfId="2245" xr:uid="{00000000-0005-0000-0000-0000C8080000}"/>
    <cellStyle name="Currency 3 6 4 2" xfId="2246" xr:uid="{00000000-0005-0000-0000-0000C9080000}"/>
    <cellStyle name="Currency 3 6 5" xfId="2247" xr:uid="{00000000-0005-0000-0000-0000CA080000}"/>
    <cellStyle name="Currency 3 7" xfId="2248" xr:uid="{00000000-0005-0000-0000-0000CB080000}"/>
    <cellStyle name="Currency 3 7 2" xfId="2249" xr:uid="{00000000-0005-0000-0000-0000CC080000}"/>
    <cellStyle name="Currency 3 7 2 2" xfId="2250" xr:uid="{00000000-0005-0000-0000-0000CD080000}"/>
    <cellStyle name="Currency 3 7 3" xfId="2251" xr:uid="{00000000-0005-0000-0000-0000CE080000}"/>
    <cellStyle name="Currency 3 7 3 2" xfId="2252" xr:uid="{00000000-0005-0000-0000-0000CF080000}"/>
    <cellStyle name="Currency 3 7 4" xfId="2253" xr:uid="{00000000-0005-0000-0000-0000D0080000}"/>
    <cellStyle name="Currency 3 8" xfId="2254" xr:uid="{00000000-0005-0000-0000-0000D1080000}"/>
    <cellStyle name="Currency 3 8 2" xfId="2255" xr:uid="{00000000-0005-0000-0000-0000D2080000}"/>
    <cellStyle name="Currency 3 9" xfId="2256" xr:uid="{00000000-0005-0000-0000-0000D3080000}"/>
    <cellStyle name="Currency 3 9 2" xfId="2257" xr:uid="{00000000-0005-0000-0000-0000D4080000}"/>
    <cellStyle name="Currency 4" xfId="2258" xr:uid="{00000000-0005-0000-0000-0000D5080000}"/>
    <cellStyle name="Currency 4 10" xfId="2259" xr:uid="{00000000-0005-0000-0000-0000D6080000}"/>
    <cellStyle name="Currency 4 11" xfId="2260" xr:uid="{00000000-0005-0000-0000-0000D7080000}"/>
    <cellStyle name="Currency 4 2" xfId="2261" xr:uid="{00000000-0005-0000-0000-0000D8080000}"/>
    <cellStyle name="Currency 4 2 2" xfId="2262" xr:uid="{00000000-0005-0000-0000-0000D9080000}"/>
    <cellStyle name="Currency 4 2 2 2" xfId="2263" xr:uid="{00000000-0005-0000-0000-0000DA080000}"/>
    <cellStyle name="Currency 4 2 2 2 2" xfId="2264" xr:uid="{00000000-0005-0000-0000-0000DB080000}"/>
    <cellStyle name="Currency 4 2 2 2 2 2" xfId="2265" xr:uid="{00000000-0005-0000-0000-0000DC080000}"/>
    <cellStyle name="Currency 4 2 2 2 2 2 2" xfId="2266" xr:uid="{00000000-0005-0000-0000-0000DD080000}"/>
    <cellStyle name="Currency 4 2 2 2 2 2 2 2" xfId="2267" xr:uid="{00000000-0005-0000-0000-0000DE080000}"/>
    <cellStyle name="Currency 4 2 2 2 2 2 3" xfId="2268" xr:uid="{00000000-0005-0000-0000-0000DF080000}"/>
    <cellStyle name="Currency 4 2 2 2 2 2 3 2" xfId="2269" xr:uid="{00000000-0005-0000-0000-0000E0080000}"/>
    <cellStyle name="Currency 4 2 2 2 2 2 4" xfId="2270" xr:uid="{00000000-0005-0000-0000-0000E1080000}"/>
    <cellStyle name="Currency 4 2 2 2 2 3" xfId="2271" xr:uid="{00000000-0005-0000-0000-0000E2080000}"/>
    <cellStyle name="Currency 4 2 2 2 2 3 2" xfId="2272" xr:uid="{00000000-0005-0000-0000-0000E3080000}"/>
    <cellStyle name="Currency 4 2 2 2 2 4" xfId="2273" xr:uid="{00000000-0005-0000-0000-0000E4080000}"/>
    <cellStyle name="Currency 4 2 2 2 2 4 2" xfId="2274" xr:uid="{00000000-0005-0000-0000-0000E5080000}"/>
    <cellStyle name="Currency 4 2 2 2 2 5" xfId="2275" xr:uid="{00000000-0005-0000-0000-0000E6080000}"/>
    <cellStyle name="Currency 4 2 2 2 3" xfId="2276" xr:uid="{00000000-0005-0000-0000-0000E7080000}"/>
    <cellStyle name="Currency 4 2 2 2 3 2" xfId="2277" xr:uid="{00000000-0005-0000-0000-0000E8080000}"/>
    <cellStyle name="Currency 4 2 2 2 3 2 2" xfId="2278" xr:uid="{00000000-0005-0000-0000-0000E9080000}"/>
    <cellStyle name="Currency 4 2 2 2 3 3" xfId="2279" xr:uid="{00000000-0005-0000-0000-0000EA080000}"/>
    <cellStyle name="Currency 4 2 2 2 3 3 2" xfId="2280" xr:uid="{00000000-0005-0000-0000-0000EB080000}"/>
    <cellStyle name="Currency 4 2 2 2 3 4" xfId="2281" xr:uid="{00000000-0005-0000-0000-0000EC080000}"/>
    <cellStyle name="Currency 4 2 2 2 4" xfId="2282" xr:uid="{00000000-0005-0000-0000-0000ED080000}"/>
    <cellStyle name="Currency 4 2 2 2 4 2" xfId="2283" xr:uid="{00000000-0005-0000-0000-0000EE080000}"/>
    <cellStyle name="Currency 4 2 2 2 5" xfId="2284" xr:uid="{00000000-0005-0000-0000-0000EF080000}"/>
    <cellStyle name="Currency 4 2 2 2 5 2" xfId="2285" xr:uid="{00000000-0005-0000-0000-0000F0080000}"/>
    <cellStyle name="Currency 4 2 2 2 6" xfId="2286" xr:uid="{00000000-0005-0000-0000-0000F1080000}"/>
    <cellStyle name="Currency 4 2 2 3" xfId="2287" xr:uid="{00000000-0005-0000-0000-0000F2080000}"/>
    <cellStyle name="Currency 4 2 2 3 2" xfId="2288" xr:uid="{00000000-0005-0000-0000-0000F3080000}"/>
    <cellStyle name="Currency 4 2 2 3 2 2" xfId="2289" xr:uid="{00000000-0005-0000-0000-0000F4080000}"/>
    <cellStyle name="Currency 4 2 2 3 2 2 2" xfId="2290" xr:uid="{00000000-0005-0000-0000-0000F5080000}"/>
    <cellStyle name="Currency 4 2 2 3 2 3" xfId="2291" xr:uid="{00000000-0005-0000-0000-0000F6080000}"/>
    <cellStyle name="Currency 4 2 2 3 2 3 2" xfId="2292" xr:uid="{00000000-0005-0000-0000-0000F7080000}"/>
    <cellStyle name="Currency 4 2 2 3 2 4" xfId="2293" xr:uid="{00000000-0005-0000-0000-0000F8080000}"/>
    <cellStyle name="Currency 4 2 2 3 3" xfId="2294" xr:uid="{00000000-0005-0000-0000-0000F9080000}"/>
    <cellStyle name="Currency 4 2 2 3 3 2" xfId="2295" xr:uid="{00000000-0005-0000-0000-0000FA080000}"/>
    <cellStyle name="Currency 4 2 2 3 4" xfId="2296" xr:uid="{00000000-0005-0000-0000-0000FB080000}"/>
    <cellStyle name="Currency 4 2 2 3 4 2" xfId="2297" xr:uid="{00000000-0005-0000-0000-0000FC080000}"/>
    <cellStyle name="Currency 4 2 2 3 5" xfId="2298" xr:uid="{00000000-0005-0000-0000-0000FD080000}"/>
    <cellStyle name="Currency 4 2 2 4" xfId="2299" xr:uid="{00000000-0005-0000-0000-0000FE080000}"/>
    <cellStyle name="Currency 4 2 2 4 2" xfId="2300" xr:uid="{00000000-0005-0000-0000-0000FF080000}"/>
    <cellStyle name="Currency 4 2 2 4 2 2" xfId="2301" xr:uid="{00000000-0005-0000-0000-000000090000}"/>
    <cellStyle name="Currency 4 2 2 4 3" xfId="2302" xr:uid="{00000000-0005-0000-0000-000001090000}"/>
    <cellStyle name="Currency 4 2 2 4 3 2" xfId="2303" xr:uid="{00000000-0005-0000-0000-000002090000}"/>
    <cellStyle name="Currency 4 2 2 4 4" xfId="2304" xr:uid="{00000000-0005-0000-0000-000003090000}"/>
    <cellStyle name="Currency 4 2 2 5" xfId="2305" xr:uid="{00000000-0005-0000-0000-000004090000}"/>
    <cellStyle name="Currency 4 2 2 5 2" xfId="2306" xr:uid="{00000000-0005-0000-0000-000005090000}"/>
    <cellStyle name="Currency 4 2 2 6" xfId="2307" xr:uid="{00000000-0005-0000-0000-000006090000}"/>
    <cellStyle name="Currency 4 2 2 6 2" xfId="2308" xr:uid="{00000000-0005-0000-0000-000007090000}"/>
    <cellStyle name="Currency 4 2 2 7" xfId="2309" xr:uid="{00000000-0005-0000-0000-000008090000}"/>
    <cellStyle name="Currency 4 2 3" xfId="2310" xr:uid="{00000000-0005-0000-0000-000009090000}"/>
    <cellStyle name="Currency 4 2 3 2" xfId="2311" xr:uid="{00000000-0005-0000-0000-00000A090000}"/>
    <cellStyle name="Currency 4 2 3 2 2" xfId="2312" xr:uid="{00000000-0005-0000-0000-00000B090000}"/>
    <cellStyle name="Currency 4 2 3 2 2 2" xfId="2313" xr:uid="{00000000-0005-0000-0000-00000C090000}"/>
    <cellStyle name="Currency 4 2 3 2 2 2 2" xfId="2314" xr:uid="{00000000-0005-0000-0000-00000D090000}"/>
    <cellStyle name="Currency 4 2 3 2 2 3" xfId="2315" xr:uid="{00000000-0005-0000-0000-00000E090000}"/>
    <cellStyle name="Currency 4 2 3 2 2 3 2" xfId="2316" xr:uid="{00000000-0005-0000-0000-00000F090000}"/>
    <cellStyle name="Currency 4 2 3 2 2 4" xfId="2317" xr:uid="{00000000-0005-0000-0000-000010090000}"/>
    <cellStyle name="Currency 4 2 3 2 3" xfId="2318" xr:uid="{00000000-0005-0000-0000-000011090000}"/>
    <cellStyle name="Currency 4 2 3 2 3 2" xfId="2319" xr:uid="{00000000-0005-0000-0000-000012090000}"/>
    <cellStyle name="Currency 4 2 3 2 4" xfId="2320" xr:uid="{00000000-0005-0000-0000-000013090000}"/>
    <cellStyle name="Currency 4 2 3 2 4 2" xfId="2321" xr:uid="{00000000-0005-0000-0000-000014090000}"/>
    <cellStyle name="Currency 4 2 3 2 5" xfId="2322" xr:uid="{00000000-0005-0000-0000-000015090000}"/>
    <cellStyle name="Currency 4 2 3 3" xfId="2323" xr:uid="{00000000-0005-0000-0000-000016090000}"/>
    <cellStyle name="Currency 4 2 3 3 2" xfId="2324" xr:uid="{00000000-0005-0000-0000-000017090000}"/>
    <cellStyle name="Currency 4 2 3 3 2 2" xfId="2325" xr:uid="{00000000-0005-0000-0000-000018090000}"/>
    <cellStyle name="Currency 4 2 3 3 3" xfId="2326" xr:uid="{00000000-0005-0000-0000-000019090000}"/>
    <cellStyle name="Currency 4 2 3 3 3 2" xfId="2327" xr:uid="{00000000-0005-0000-0000-00001A090000}"/>
    <cellStyle name="Currency 4 2 3 3 4" xfId="2328" xr:uid="{00000000-0005-0000-0000-00001B090000}"/>
    <cellStyle name="Currency 4 2 3 4" xfId="2329" xr:uid="{00000000-0005-0000-0000-00001C090000}"/>
    <cellStyle name="Currency 4 2 3 4 2" xfId="2330" xr:uid="{00000000-0005-0000-0000-00001D090000}"/>
    <cellStyle name="Currency 4 2 3 5" xfId="2331" xr:uid="{00000000-0005-0000-0000-00001E090000}"/>
    <cellStyle name="Currency 4 2 3 5 2" xfId="2332" xr:uid="{00000000-0005-0000-0000-00001F090000}"/>
    <cellStyle name="Currency 4 2 3 6" xfId="2333" xr:uid="{00000000-0005-0000-0000-000020090000}"/>
    <cellStyle name="Currency 4 2 4" xfId="2334" xr:uid="{00000000-0005-0000-0000-000021090000}"/>
    <cellStyle name="Currency 4 2 4 2" xfId="2335" xr:uid="{00000000-0005-0000-0000-000022090000}"/>
    <cellStyle name="Currency 4 2 4 2 2" xfId="2336" xr:uid="{00000000-0005-0000-0000-000023090000}"/>
    <cellStyle name="Currency 4 2 4 2 2 2" xfId="2337" xr:uid="{00000000-0005-0000-0000-000024090000}"/>
    <cellStyle name="Currency 4 2 4 2 3" xfId="2338" xr:uid="{00000000-0005-0000-0000-000025090000}"/>
    <cellStyle name="Currency 4 2 4 2 3 2" xfId="2339" xr:uid="{00000000-0005-0000-0000-000026090000}"/>
    <cellStyle name="Currency 4 2 4 2 4" xfId="2340" xr:uid="{00000000-0005-0000-0000-000027090000}"/>
    <cellStyle name="Currency 4 2 4 3" xfId="2341" xr:uid="{00000000-0005-0000-0000-000028090000}"/>
    <cellStyle name="Currency 4 2 4 3 2" xfId="2342" xr:uid="{00000000-0005-0000-0000-000029090000}"/>
    <cellStyle name="Currency 4 2 4 4" xfId="2343" xr:uid="{00000000-0005-0000-0000-00002A090000}"/>
    <cellStyle name="Currency 4 2 4 4 2" xfId="2344" xr:uid="{00000000-0005-0000-0000-00002B090000}"/>
    <cellStyle name="Currency 4 2 4 5" xfId="2345" xr:uid="{00000000-0005-0000-0000-00002C090000}"/>
    <cellStyle name="Currency 4 2 5" xfId="2346" xr:uid="{00000000-0005-0000-0000-00002D090000}"/>
    <cellStyle name="Currency 4 2 5 2" xfId="2347" xr:uid="{00000000-0005-0000-0000-00002E090000}"/>
    <cellStyle name="Currency 4 2 5 2 2" xfId="2348" xr:uid="{00000000-0005-0000-0000-00002F090000}"/>
    <cellStyle name="Currency 4 2 5 3" xfId="2349" xr:uid="{00000000-0005-0000-0000-000030090000}"/>
    <cellStyle name="Currency 4 2 5 3 2" xfId="2350" xr:uid="{00000000-0005-0000-0000-000031090000}"/>
    <cellStyle name="Currency 4 2 5 4" xfId="2351" xr:uid="{00000000-0005-0000-0000-000032090000}"/>
    <cellStyle name="Currency 4 2 6" xfId="2352" xr:uid="{00000000-0005-0000-0000-000033090000}"/>
    <cellStyle name="Currency 4 2 6 2" xfId="2353" xr:uid="{00000000-0005-0000-0000-000034090000}"/>
    <cellStyle name="Currency 4 2 7" xfId="2354" xr:uid="{00000000-0005-0000-0000-000035090000}"/>
    <cellStyle name="Currency 4 2 7 2" xfId="2355" xr:uid="{00000000-0005-0000-0000-000036090000}"/>
    <cellStyle name="Currency 4 2 8" xfId="2356" xr:uid="{00000000-0005-0000-0000-000037090000}"/>
    <cellStyle name="Currency 4 3" xfId="2357" xr:uid="{00000000-0005-0000-0000-000038090000}"/>
    <cellStyle name="Currency 4 3 2" xfId="2358" xr:uid="{00000000-0005-0000-0000-000039090000}"/>
    <cellStyle name="Currency 4 3 2 2" xfId="2359" xr:uid="{00000000-0005-0000-0000-00003A090000}"/>
    <cellStyle name="Currency 4 3 2 2 2" xfId="2360" xr:uid="{00000000-0005-0000-0000-00003B090000}"/>
    <cellStyle name="Currency 4 3 2 2 2 2" xfId="2361" xr:uid="{00000000-0005-0000-0000-00003C090000}"/>
    <cellStyle name="Currency 4 3 2 2 2 2 2" xfId="2362" xr:uid="{00000000-0005-0000-0000-00003D090000}"/>
    <cellStyle name="Currency 4 3 2 2 2 3" xfId="2363" xr:uid="{00000000-0005-0000-0000-00003E090000}"/>
    <cellStyle name="Currency 4 3 2 2 2 3 2" xfId="2364" xr:uid="{00000000-0005-0000-0000-00003F090000}"/>
    <cellStyle name="Currency 4 3 2 2 2 4" xfId="2365" xr:uid="{00000000-0005-0000-0000-000040090000}"/>
    <cellStyle name="Currency 4 3 2 2 3" xfId="2366" xr:uid="{00000000-0005-0000-0000-000041090000}"/>
    <cellStyle name="Currency 4 3 2 2 3 2" xfId="2367" xr:uid="{00000000-0005-0000-0000-000042090000}"/>
    <cellStyle name="Currency 4 3 2 2 4" xfId="2368" xr:uid="{00000000-0005-0000-0000-000043090000}"/>
    <cellStyle name="Currency 4 3 2 2 4 2" xfId="2369" xr:uid="{00000000-0005-0000-0000-000044090000}"/>
    <cellStyle name="Currency 4 3 2 2 5" xfId="2370" xr:uid="{00000000-0005-0000-0000-000045090000}"/>
    <cellStyle name="Currency 4 3 2 3" xfId="2371" xr:uid="{00000000-0005-0000-0000-000046090000}"/>
    <cellStyle name="Currency 4 3 2 3 2" xfId="2372" xr:uid="{00000000-0005-0000-0000-000047090000}"/>
    <cellStyle name="Currency 4 3 2 3 2 2" xfId="2373" xr:uid="{00000000-0005-0000-0000-000048090000}"/>
    <cellStyle name="Currency 4 3 2 3 3" xfId="2374" xr:uid="{00000000-0005-0000-0000-000049090000}"/>
    <cellStyle name="Currency 4 3 2 3 3 2" xfId="2375" xr:uid="{00000000-0005-0000-0000-00004A090000}"/>
    <cellStyle name="Currency 4 3 2 3 4" xfId="2376" xr:uid="{00000000-0005-0000-0000-00004B090000}"/>
    <cellStyle name="Currency 4 3 2 4" xfId="2377" xr:uid="{00000000-0005-0000-0000-00004C090000}"/>
    <cellStyle name="Currency 4 3 2 4 2" xfId="2378" xr:uid="{00000000-0005-0000-0000-00004D090000}"/>
    <cellStyle name="Currency 4 3 2 5" xfId="2379" xr:uid="{00000000-0005-0000-0000-00004E090000}"/>
    <cellStyle name="Currency 4 3 2 5 2" xfId="2380" xr:uid="{00000000-0005-0000-0000-00004F090000}"/>
    <cellStyle name="Currency 4 3 2 6" xfId="2381" xr:uid="{00000000-0005-0000-0000-000050090000}"/>
    <cellStyle name="Currency 4 3 3" xfId="2382" xr:uid="{00000000-0005-0000-0000-000051090000}"/>
    <cellStyle name="Currency 4 3 3 2" xfId="2383" xr:uid="{00000000-0005-0000-0000-000052090000}"/>
    <cellStyle name="Currency 4 3 3 2 2" xfId="2384" xr:uid="{00000000-0005-0000-0000-000053090000}"/>
    <cellStyle name="Currency 4 3 3 2 2 2" xfId="2385" xr:uid="{00000000-0005-0000-0000-000054090000}"/>
    <cellStyle name="Currency 4 3 3 2 3" xfId="2386" xr:uid="{00000000-0005-0000-0000-000055090000}"/>
    <cellStyle name="Currency 4 3 3 2 3 2" xfId="2387" xr:uid="{00000000-0005-0000-0000-000056090000}"/>
    <cellStyle name="Currency 4 3 3 2 4" xfId="2388" xr:uid="{00000000-0005-0000-0000-000057090000}"/>
    <cellStyle name="Currency 4 3 3 3" xfId="2389" xr:uid="{00000000-0005-0000-0000-000058090000}"/>
    <cellStyle name="Currency 4 3 3 3 2" xfId="2390" xr:uid="{00000000-0005-0000-0000-000059090000}"/>
    <cellStyle name="Currency 4 3 3 4" xfId="2391" xr:uid="{00000000-0005-0000-0000-00005A090000}"/>
    <cellStyle name="Currency 4 3 3 4 2" xfId="2392" xr:uid="{00000000-0005-0000-0000-00005B090000}"/>
    <cellStyle name="Currency 4 3 3 5" xfId="2393" xr:uid="{00000000-0005-0000-0000-00005C090000}"/>
    <cellStyle name="Currency 4 3 4" xfId="2394" xr:uid="{00000000-0005-0000-0000-00005D090000}"/>
    <cellStyle name="Currency 4 3 4 2" xfId="2395" xr:uid="{00000000-0005-0000-0000-00005E090000}"/>
    <cellStyle name="Currency 4 3 4 2 2" xfId="2396" xr:uid="{00000000-0005-0000-0000-00005F090000}"/>
    <cellStyle name="Currency 4 3 4 3" xfId="2397" xr:uid="{00000000-0005-0000-0000-000060090000}"/>
    <cellStyle name="Currency 4 3 4 3 2" xfId="2398" xr:uid="{00000000-0005-0000-0000-000061090000}"/>
    <cellStyle name="Currency 4 3 4 4" xfId="2399" xr:uid="{00000000-0005-0000-0000-000062090000}"/>
    <cellStyle name="Currency 4 3 5" xfId="2400" xr:uid="{00000000-0005-0000-0000-000063090000}"/>
    <cellStyle name="Currency 4 3 5 2" xfId="2401" xr:uid="{00000000-0005-0000-0000-000064090000}"/>
    <cellStyle name="Currency 4 3 6" xfId="2402" xr:uid="{00000000-0005-0000-0000-000065090000}"/>
    <cellStyle name="Currency 4 3 6 2" xfId="2403" xr:uid="{00000000-0005-0000-0000-000066090000}"/>
    <cellStyle name="Currency 4 3 7" xfId="2404" xr:uid="{00000000-0005-0000-0000-000067090000}"/>
    <cellStyle name="Currency 4 4" xfId="2405" xr:uid="{00000000-0005-0000-0000-000068090000}"/>
    <cellStyle name="Currency 4 4 2" xfId="2406" xr:uid="{00000000-0005-0000-0000-000069090000}"/>
    <cellStyle name="Currency 4 4 2 2" xfId="2407" xr:uid="{00000000-0005-0000-0000-00006A090000}"/>
    <cellStyle name="Currency 4 4 2 2 2" xfId="2408" xr:uid="{00000000-0005-0000-0000-00006B090000}"/>
    <cellStyle name="Currency 4 4 2 2 2 2" xfId="2409" xr:uid="{00000000-0005-0000-0000-00006C090000}"/>
    <cellStyle name="Currency 4 4 2 2 2 2 2" xfId="2410" xr:uid="{00000000-0005-0000-0000-00006D090000}"/>
    <cellStyle name="Currency 4 4 2 2 2 3" xfId="2411" xr:uid="{00000000-0005-0000-0000-00006E090000}"/>
    <cellStyle name="Currency 4 4 2 2 2 3 2" xfId="2412" xr:uid="{00000000-0005-0000-0000-00006F090000}"/>
    <cellStyle name="Currency 4 4 2 2 2 4" xfId="2413" xr:uid="{00000000-0005-0000-0000-000070090000}"/>
    <cellStyle name="Currency 4 4 2 2 3" xfId="2414" xr:uid="{00000000-0005-0000-0000-000071090000}"/>
    <cellStyle name="Currency 4 4 2 2 3 2" xfId="2415" xr:uid="{00000000-0005-0000-0000-000072090000}"/>
    <cellStyle name="Currency 4 4 2 2 4" xfId="2416" xr:uid="{00000000-0005-0000-0000-000073090000}"/>
    <cellStyle name="Currency 4 4 2 2 4 2" xfId="2417" xr:uid="{00000000-0005-0000-0000-000074090000}"/>
    <cellStyle name="Currency 4 4 2 2 5" xfId="2418" xr:uid="{00000000-0005-0000-0000-000075090000}"/>
    <cellStyle name="Currency 4 4 2 3" xfId="2419" xr:uid="{00000000-0005-0000-0000-000076090000}"/>
    <cellStyle name="Currency 4 4 2 3 2" xfId="2420" xr:uid="{00000000-0005-0000-0000-000077090000}"/>
    <cellStyle name="Currency 4 4 2 3 2 2" xfId="2421" xr:uid="{00000000-0005-0000-0000-000078090000}"/>
    <cellStyle name="Currency 4 4 2 3 3" xfId="2422" xr:uid="{00000000-0005-0000-0000-000079090000}"/>
    <cellStyle name="Currency 4 4 2 3 3 2" xfId="2423" xr:uid="{00000000-0005-0000-0000-00007A090000}"/>
    <cellStyle name="Currency 4 4 2 3 4" xfId="2424" xr:uid="{00000000-0005-0000-0000-00007B090000}"/>
    <cellStyle name="Currency 4 4 2 4" xfId="2425" xr:uid="{00000000-0005-0000-0000-00007C090000}"/>
    <cellStyle name="Currency 4 4 2 4 2" xfId="2426" xr:uid="{00000000-0005-0000-0000-00007D090000}"/>
    <cellStyle name="Currency 4 4 2 5" xfId="2427" xr:uid="{00000000-0005-0000-0000-00007E090000}"/>
    <cellStyle name="Currency 4 4 2 5 2" xfId="2428" xr:uid="{00000000-0005-0000-0000-00007F090000}"/>
    <cellStyle name="Currency 4 4 2 6" xfId="2429" xr:uid="{00000000-0005-0000-0000-000080090000}"/>
    <cellStyle name="Currency 4 4 3" xfId="2430" xr:uid="{00000000-0005-0000-0000-000081090000}"/>
    <cellStyle name="Currency 4 4 3 2" xfId="2431" xr:uid="{00000000-0005-0000-0000-000082090000}"/>
    <cellStyle name="Currency 4 4 3 2 2" xfId="2432" xr:uid="{00000000-0005-0000-0000-000083090000}"/>
    <cellStyle name="Currency 4 4 3 2 2 2" xfId="2433" xr:uid="{00000000-0005-0000-0000-000084090000}"/>
    <cellStyle name="Currency 4 4 3 2 3" xfId="2434" xr:uid="{00000000-0005-0000-0000-000085090000}"/>
    <cellStyle name="Currency 4 4 3 2 3 2" xfId="2435" xr:uid="{00000000-0005-0000-0000-000086090000}"/>
    <cellStyle name="Currency 4 4 3 2 4" xfId="2436" xr:uid="{00000000-0005-0000-0000-000087090000}"/>
    <cellStyle name="Currency 4 4 3 3" xfId="2437" xr:uid="{00000000-0005-0000-0000-000088090000}"/>
    <cellStyle name="Currency 4 4 3 3 2" xfId="2438" xr:uid="{00000000-0005-0000-0000-000089090000}"/>
    <cellStyle name="Currency 4 4 3 4" xfId="2439" xr:uid="{00000000-0005-0000-0000-00008A090000}"/>
    <cellStyle name="Currency 4 4 3 4 2" xfId="2440" xr:uid="{00000000-0005-0000-0000-00008B090000}"/>
    <cellStyle name="Currency 4 4 3 5" xfId="2441" xr:uid="{00000000-0005-0000-0000-00008C090000}"/>
    <cellStyle name="Currency 4 4 4" xfId="2442" xr:uid="{00000000-0005-0000-0000-00008D090000}"/>
    <cellStyle name="Currency 4 4 4 2" xfId="2443" xr:uid="{00000000-0005-0000-0000-00008E090000}"/>
    <cellStyle name="Currency 4 4 4 2 2" xfId="2444" xr:uid="{00000000-0005-0000-0000-00008F090000}"/>
    <cellStyle name="Currency 4 4 4 3" xfId="2445" xr:uid="{00000000-0005-0000-0000-000090090000}"/>
    <cellStyle name="Currency 4 4 4 3 2" xfId="2446" xr:uid="{00000000-0005-0000-0000-000091090000}"/>
    <cellStyle name="Currency 4 4 4 4" xfId="2447" xr:uid="{00000000-0005-0000-0000-000092090000}"/>
    <cellStyle name="Currency 4 4 5" xfId="2448" xr:uid="{00000000-0005-0000-0000-000093090000}"/>
    <cellStyle name="Currency 4 4 5 2" xfId="2449" xr:uid="{00000000-0005-0000-0000-000094090000}"/>
    <cellStyle name="Currency 4 4 6" xfId="2450" xr:uid="{00000000-0005-0000-0000-000095090000}"/>
    <cellStyle name="Currency 4 4 6 2" xfId="2451" xr:uid="{00000000-0005-0000-0000-000096090000}"/>
    <cellStyle name="Currency 4 4 7" xfId="2452" xr:uid="{00000000-0005-0000-0000-000097090000}"/>
    <cellStyle name="Currency 4 5" xfId="2453" xr:uid="{00000000-0005-0000-0000-000098090000}"/>
    <cellStyle name="Currency 4 5 2" xfId="2454" xr:uid="{00000000-0005-0000-0000-000099090000}"/>
    <cellStyle name="Currency 4 5 2 2" xfId="2455" xr:uid="{00000000-0005-0000-0000-00009A090000}"/>
    <cellStyle name="Currency 4 5 2 2 2" xfId="2456" xr:uid="{00000000-0005-0000-0000-00009B090000}"/>
    <cellStyle name="Currency 4 5 2 2 2 2" xfId="2457" xr:uid="{00000000-0005-0000-0000-00009C090000}"/>
    <cellStyle name="Currency 4 5 2 2 3" xfId="2458" xr:uid="{00000000-0005-0000-0000-00009D090000}"/>
    <cellStyle name="Currency 4 5 2 2 3 2" xfId="2459" xr:uid="{00000000-0005-0000-0000-00009E090000}"/>
    <cellStyle name="Currency 4 5 2 2 4" xfId="2460" xr:uid="{00000000-0005-0000-0000-00009F090000}"/>
    <cellStyle name="Currency 4 5 2 3" xfId="2461" xr:uid="{00000000-0005-0000-0000-0000A0090000}"/>
    <cellStyle name="Currency 4 5 2 3 2" xfId="2462" xr:uid="{00000000-0005-0000-0000-0000A1090000}"/>
    <cellStyle name="Currency 4 5 2 4" xfId="2463" xr:uid="{00000000-0005-0000-0000-0000A2090000}"/>
    <cellStyle name="Currency 4 5 2 4 2" xfId="2464" xr:uid="{00000000-0005-0000-0000-0000A3090000}"/>
    <cellStyle name="Currency 4 5 2 5" xfId="2465" xr:uid="{00000000-0005-0000-0000-0000A4090000}"/>
    <cellStyle name="Currency 4 5 3" xfId="2466" xr:uid="{00000000-0005-0000-0000-0000A5090000}"/>
    <cellStyle name="Currency 4 5 3 2" xfId="2467" xr:uid="{00000000-0005-0000-0000-0000A6090000}"/>
    <cellStyle name="Currency 4 5 3 2 2" xfId="2468" xr:uid="{00000000-0005-0000-0000-0000A7090000}"/>
    <cellStyle name="Currency 4 5 3 3" xfId="2469" xr:uid="{00000000-0005-0000-0000-0000A8090000}"/>
    <cellStyle name="Currency 4 5 3 3 2" xfId="2470" xr:uid="{00000000-0005-0000-0000-0000A9090000}"/>
    <cellStyle name="Currency 4 5 3 4" xfId="2471" xr:uid="{00000000-0005-0000-0000-0000AA090000}"/>
    <cellStyle name="Currency 4 5 4" xfId="2472" xr:uid="{00000000-0005-0000-0000-0000AB090000}"/>
    <cellStyle name="Currency 4 5 4 2" xfId="2473" xr:uid="{00000000-0005-0000-0000-0000AC090000}"/>
    <cellStyle name="Currency 4 5 5" xfId="2474" xr:uid="{00000000-0005-0000-0000-0000AD090000}"/>
    <cellStyle name="Currency 4 5 5 2" xfId="2475" xr:uid="{00000000-0005-0000-0000-0000AE090000}"/>
    <cellStyle name="Currency 4 5 6" xfId="2476" xr:uid="{00000000-0005-0000-0000-0000AF090000}"/>
    <cellStyle name="Currency 4 6" xfId="2477" xr:uid="{00000000-0005-0000-0000-0000B0090000}"/>
    <cellStyle name="Currency 4 6 2" xfId="2478" xr:uid="{00000000-0005-0000-0000-0000B1090000}"/>
    <cellStyle name="Currency 4 6 2 2" xfId="2479" xr:uid="{00000000-0005-0000-0000-0000B2090000}"/>
    <cellStyle name="Currency 4 6 2 2 2" xfId="2480" xr:uid="{00000000-0005-0000-0000-0000B3090000}"/>
    <cellStyle name="Currency 4 6 2 3" xfId="2481" xr:uid="{00000000-0005-0000-0000-0000B4090000}"/>
    <cellStyle name="Currency 4 6 2 3 2" xfId="2482" xr:uid="{00000000-0005-0000-0000-0000B5090000}"/>
    <cellStyle name="Currency 4 6 2 4" xfId="2483" xr:uid="{00000000-0005-0000-0000-0000B6090000}"/>
    <cellStyle name="Currency 4 6 3" xfId="2484" xr:uid="{00000000-0005-0000-0000-0000B7090000}"/>
    <cellStyle name="Currency 4 6 3 2" xfId="2485" xr:uid="{00000000-0005-0000-0000-0000B8090000}"/>
    <cellStyle name="Currency 4 6 4" xfId="2486" xr:uid="{00000000-0005-0000-0000-0000B9090000}"/>
    <cellStyle name="Currency 4 6 4 2" xfId="2487" xr:uid="{00000000-0005-0000-0000-0000BA090000}"/>
    <cellStyle name="Currency 4 6 5" xfId="2488" xr:uid="{00000000-0005-0000-0000-0000BB090000}"/>
    <cellStyle name="Currency 4 7" xfId="2489" xr:uid="{00000000-0005-0000-0000-0000BC090000}"/>
    <cellStyle name="Currency 4 7 2" xfId="2490" xr:uid="{00000000-0005-0000-0000-0000BD090000}"/>
    <cellStyle name="Currency 4 7 2 2" xfId="2491" xr:uid="{00000000-0005-0000-0000-0000BE090000}"/>
    <cellStyle name="Currency 4 7 3" xfId="2492" xr:uid="{00000000-0005-0000-0000-0000BF090000}"/>
    <cellStyle name="Currency 4 7 3 2" xfId="2493" xr:uid="{00000000-0005-0000-0000-0000C0090000}"/>
    <cellStyle name="Currency 4 7 4" xfId="2494" xr:uid="{00000000-0005-0000-0000-0000C1090000}"/>
    <cellStyle name="Currency 4 8" xfId="2495" xr:uid="{00000000-0005-0000-0000-0000C2090000}"/>
    <cellStyle name="Currency 4 8 2" xfId="2496" xr:uid="{00000000-0005-0000-0000-0000C3090000}"/>
    <cellStyle name="Currency 4 9" xfId="2497" xr:uid="{00000000-0005-0000-0000-0000C4090000}"/>
    <cellStyle name="Currency 4 9 2" xfId="2498" xr:uid="{00000000-0005-0000-0000-0000C5090000}"/>
    <cellStyle name="Currency 5" xfId="2499" xr:uid="{00000000-0005-0000-0000-0000C6090000}"/>
    <cellStyle name="Currency 5 2" xfId="2500" xr:uid="{00000000-0005-0000-0000-0000C7090000}"/>
    <cellStyle name="Currency 5 2 2" xfId="2501" xr:uid="{00000000-0005-0000-0000-0000C8090000}"/>
    <cellStyle name="Currency 5 2 2 2" xfId="2502" xr:uid="{00000000-0005-0000-0000-0000C9090000}"/>
    <cellStyle name="Currency 5 2 2 2 2" xfId="2503" xr:uid="{00000000-0005-0000-0000-0000CA090000}"/>
    <cellStyle name="Currency 5 2 2 2 2 2" xfId="2504" xr:uid="{00000000-0005-0000-0000-0000CB090000}"/>
    <cellStyle name="Currency 5 2 2 2 2 2 2" xfId="2505" xr:uid="{00000000-0005-0000-0000-0000CC090000}"/>
    <cellStyle name="Currency 5 2 2 2 2 3" xfId="2506" xr:uid="{00000000-0005-0000-0000-0000CD090000}"/>
    <cellStyle name="Currency 5 2 2 2 2 3 2" xfId="2507" xr:uid="{00000000-0005-0000-0000-0000CE090000}"/>
    <cellStyle name="Currency 5 2 2 2 2 4" xfId="2508" xr:uid="{00000000-0005-0000-0000-0000CF090000}"/>
    <cellStyle name="Currency 5 2 2 2 3" xfId="2509" xr:uid="{00000000-0005-0000-0000-0000D0090000}"/>
    <cellStyle name="Currency 5 2 2 2 3 2" xfId="2510" xr:uid="{00000000-0005-0000-0000-0000D1090000}"/>
    <cellStyle name="Currency 5 2 2 2 4" xfId="2511" xr:uid="{00000000-0005-0000-0000-0000D2090000}"/>
    <cellStyle name="Currency 5 2 2 2 4 2" xfId="2512" xr:uid="{00000000-0005-0000-0000-0000D3090000}"/>
    <cellStyle name="Currency 5 2 2 2 5" xfId="2513" xr:uid="{00000000-0005-0000-0000-0000D4090000}"/>
    <cellStyle name="Currency 5 2 2 3" xfId="2514" xr:uid="{00000000-0005-0000-0000-0000D5090000}"/>
    <cellStyle name="Currency 5 2 2 3 2" xfId="2515" xr:uid="{00000000-0005-0000-0000-0000D6090000}"/>
    <cellStyle name="Currency 5 2 2 3 2 2" xfId="2516" xr:uid="{00000000-0005-0000-0000-0000D7090000}"/>
    <cellStyle name="Currency 5 2 2 3 3" xfId="2517" xr:uid="{00000000-0005-0000-0000-0000D8090000}"/>
    <cellStyle name="Currency 5 2 2 3 3 2" xfId="2518" xr:uid="{00000000-0005-0000-0000-0000D9090000}"/>
    <cellStyle name="Currency 5 2 2 3 4" xfId="2519" xr:uid="{00000000-0005-0000-0000-0000DA090000}"/>
    <cellStyle name="Currency 5 2 2 4" xfId="2520" xr:uid="{00000000-0005-0000-0000-0000DB090000}"/>
    <cellStyle name="Currency 5 2 2 4 2" xfId="2521" xr:uid="{00000000-0005-0000-0000-0000DC090000}"/>
    <cellStyle name="Currency 5 2 2 5" xfId="2522" xr:uid="{00000000-0005-0000-0000-0000DD090000}"/>
    <cellStyle name="Currency 5 2 2 5 2" xfId="2523" xr:uid="{00000000-0005-0000-0000-0000DE090000}"/>
    <cellStyle name="Currency 5 2 2 6" xfId="2524" xr:uid="{00000000-0005-0000-0000-0000DF090000}"/>
    <cellStyle name="Currency 5 2 3" xfId="2525" xr:uid="{00000000-0005-0000-0000-0000E0090000}"/>
    <cellStyle name="Currency 5 2 3 2" xfId="2526" xr:uid="{00000000-0005-0000-0000-0000E1090000}"/>
    <cellStyle name="Currency 5 2 3 2 2" xfId="2527" xr:uid="{00000000-0005-0000-0000-0000E2090000}"/>
    <cellStyle name="Currency 5 2 3 2 2 2" xfId="2528" xr:uid="{00000000-0005-0000-0000-0000E3090000}"/>
    <cellStyle name="Currency 5 2 3 2 3" xfId="2529" xr:uid="{00000000-0005-0000-0000-0000E4090000}"/>
    <cellStyle name="Currency 5 2 3 2 3 2" xfId="2530" xr:uid="{00000000-0005-0000-0000-0000E5090000}"/>
    <cellStyle name="Currency 5 2 3 2 4" xfId="2531" xr:uid="{00000000-0005-0000-0000-0000E6090000}"/>
    <cellStyle name="Currency 5 2 3 3" xfId="2532" xr:uid="{00000000-0005-0000-0000-0000E7090000}"/>
    <cellStyle name="Currency 5 2 3 3 2" xfId="2533" xr:uid="{00000000-0005-0000-0000-0000E8090000}"/>
    <cellStyle name="Currency 5 2 3 4" xfId="2534" xr:uid="{00000000-0005-0000-0000-0000E9090000}"/>
    <cellStyle name="Currency 5 2 3 4 2" xfId="2535" xr:uid="{00000000-0005-0000-0000-0000EA090000}"/>
    <cellStyle name="Currency 5 2 3 5" xfId="2536" xr:uid="{00000000-0005-0000-0000-0000EB090000}"/>
    <cellStyle name="Currency 5 2 4" xfId="2537" xr:uid="{00000000-0005-0000-0000-0000EC090000}"/>
    <cellStyle name="Currency 5 2 4 2" xfId="2538" xr:uid="{00000000-0005-0000-0000-0000ED090000}"/>
    <cellStyle name="Currency 5 2 4 2 2" xfId="2539" xr:uid="{00000000-0005-0000-0000-0000EE090000}"/>
    <cellStyle name="Currency 5 2 4 3" xfId="2540" xr:uid="{00000000-0005-0000-0000-0000EF090000}"/>
    <cellStyle name="Currency 5 2 4 3 2" xfId="2541" xr:uid="{00000000-0005-0000-0000-0000F0090000}"/>
    <cellStyle name="Currency 5 2 4 4" xfId="2542" xr:uid="{00000000-0005-0000-0000-0000F1090000}"/>
    <cellStyle name="Currency 5 2 5" xfId="2543" xr:uid="{00000000-0005-0000-0000-0000F2090000}"/>
    <cellStyle name="Currency 5 2 5 2" xfId="2544" xr:uid="{00000000-0005-0000-0000-0000F3090000}"/>
    <cellStyle name="Currency 5 2 6" xfId="2545" xr:uid="{00000000-0005-0000-0000-0000F4090000}"/>
    <cellStyle name="Currency 5 2 6 2" xfId="2546" xr:uid="{00000000-0005-0000-0000-0000F5090000}"/>
    <cellStyle name="Currency 5 2 7" xfId="2547" xr:uid="{00000000-0005-0000-0000-0000F6090000}"/>
    <cellStyle name="Currency 5 3" xfId="2548" xr:uid="{00000000-0005-0000-0000-0000F7090000}"/>
    <cellStyle name="Currency 5 3 2" xfId="2549" xr:uid="{00000000-0005-0000-0000-0000F8090000}"/>
    <cellStyle name="Currency 5 3 2 2" xfId="2550" xr:uid="{00000000-0005-0000-0000-0000F9090000}"/>
    <cellStyle name="Currency 5 3 2 2 2" xfId="2551" xr:uid="{00000000-0005-0000-0000-0000FA090000}"/>
    <cellStyle name="Currency 5 3 2 2 2 2" xfId="2552" xr:uid="{00000000-0005-0000-0000-0000FB090000}"/>
    <cellStyle name="Currency 5 3 2 2 2 2 2" xfId="2553" xr:uid="{00000000-0005-0000-0000-0000FC090000}"/>
    <cellStyle name="Currency 5 3 2 2 2 3" xfId="2554" xr:uid="{00000000-0005-0000-0000-0000FD090000}"/>
    <cellStyle name="Currency 5 3 2 2 2 3 2" xfId="2555" xr:uid="{00000000-0005-0000-0000-0000FE090000}"/>
    <cellStyle name="Currency 5 3 2 2 2 4" xfId="2556" xr:uid="{00000000-0005-0000-0000-0000FF090000}"/>
    <cellStyle name="Currency 5 3 2 2 3" xfId="2557" xr:uid="{00000000-0005-0000-0000-0000000A0000}"/>
    <cellStyle name="Currency 5 3 2 2 3 2" xfId="2558" xr:uid="{00000000-0005-0000-0000-0000010A0000}"/>
    <cellStyle name="Currency 5 3 2 2 4" xfId="2559" xr:uid="{00000000-0005-0000-0000-0000020A0000}"/>
    <cellStyle name="Currency 5 3 2 2 4 2" xfId="2560" xr:uid="{00000000-0005-0000-0000-0000030A0000}"/>
    <cellStyle name="Currency 5 3 2 2 5" xfId="2561" xr:uid="{00000000-0005-0000-0000-0000040A0000}"/>
    <cellStyle name="Currency 5 3 2 3" xfId="2562" xr:uid="{00000000-0005-0000-0000-0000050A0000}"/>
    <cellStyle name="Currency 5 3 2 3 2" xfId="2563" xr:uid="{00000000-0005-0000-0000-0000060A0000}"/>
    <cellStyle name="Currency 5 3 2 3 2 2" xfId="2564" xr:uid="{00000000-0005-0000-0000-0000070A0000}"/>
    <cellStyle name="Currency 5 3 2 3 3" xfId="2565" xr:uid="{00000000-0005-0000-0000-0000080A0000}"/>
    <cellStyle name="Currency 5 3 2 3 3 2" xfId="2566" xr:uid="{00000000-0005-0000-0000-0000090A0000}"/>
    <cellStyle name="Currency 5 3 2 3 4" xfId="2567" xr:uid="{00000000-0005-0000-0000-00000A0A0000}"/>
    <cellStyle name="Currency 5 3 2 4" xfId="2568" xr:uid="{00000000-0005-0000-0000-00000B0A0000}"/>
    <cellStyle name="Currency 5 3 2 4 2" xfId="2569" xr:uid="{00000000-0005-0000-0000-00000C0A0000}"/>
    <cellStyle name="Currency 5 3 2 5" xfId="2570" xr:uid="{00000000-0005-0000-0000-00000D0A0000}"/>
    <cellStyle name="Currency 5 3 2 5 2" xfId="2571" xr:uid="{00000000-0005-0000-0000-00000E0A0000}"/>
    <cellStyle name="Currency 5 3 2 6" xfId="2572" xr:uid="{00000000-0005-0000-0000-00000F0A0000}"/>
    <cellStyle name="Currency 5 3 3" xfId="2573" xr:uid="{00000000-0005-0000-0000-0000100A0000}"/>
    <cellStyle name="Currency 5 3 3 2" xfId="2574" xr:uid="{00000000-0005-0000-0000-0000110A0000}"/>
    <cellStyle name="Currency 5 3 3 2 2" xfId="2575" xr:uid="{00000000-0005-0000-0000-0000120A0000}"/>
    <cellStyle name="Currency 5 3 3 2 2 2" xfId="2576" xr:uid="{00000000-0005-0000-0000-0000130A0000}"/>
    <cellStyle name="Currency 5 3 3 2 3" xfId="2577" xr:uid="{00000000-0005-0000-0000-0000140A0000}"/>
    <cellStyle name="Currency 5 3 3 2 3 2" xfId="2578" xr:uid="{00000000-0005-0000-0000-0000150A0000}"/>
    <cellStyle name="Currency 5 3 3 2 4" xfId="2579" xr:uid="{00000000-0005-0000-0000-0000160A0000}"/>
    <cellStyle name="Currency 5 3 3 3" xfId="2580" xr:uid="{00000000-0005-0000-0000-0000170A0000}"/>
    <cellStyle name="Currency 5 3 3 3 2" xfId="2581" xr:uid="{00000000-0005-0000-0000-0000180A0000}"/>
    <cellStyle name="Currency 5 3 3 4" xfId="2582" xr:uid="{00000000-0005-0000-0000-0000190A0000}"/>
    <cellStyle name="Currency 5 3 3 4 2" xfId="2583" xr:uid="{00000000-0005-0000-0000-00001A0A0000}"/>
    <cellStyle name="Currency 5 3 3 5" xfId="2584" xr:uid="{00000000-0005-0000-0000-00001B0A0000}"/>
    <cellStyle name="Currency 5 3 4" xfId="2585" xr:uid="{00000000-0005-0000-0000-00001C0A0000}"/>
    <cellStyle name="Currency 5 3 4 2" xfId="2586" xr:uid="{00000000-0005-0000-0000-00001D0A0000}"/>
    <cellStyle name="Currency 5 3 4 2 2" xfId="2587" xr:uid="{00000000-0005-0000-0000-00001E0A0000}"/>
    <cellStyle name="Currency 5 3 4 3" xfId="2588" xr:uid="{00000000-0005-0000-0000-00001F0A0000}"/>
    <cellStyle name="Currency 5 3 4 3 2" xfId="2589" xr:uid="{00000000-0005-0000-0000-0000200A0000}"/>
    <cellStyle name="Currency 5 3 4 4" xfId="2590" xr:uid="{00000000-0005-0000-0000-0000210A0000}"/>
    <cellStyle name="Currency 5 3 5" xfId="2591" xr:uid="{00000000-0005-0000-0000-0000220A0000}"/>
    <cellStyle name="Currency 5 3 5 2" xfId="2592" xr:uid="{00000000-0005-0000-0000-0000230A0000}"/>
    <cellStyle name="Currency 5 3 6" xfId="2593" xr:uid="{00000000-0005-0000-0000-0000240A0000}"/>
    <cellStyle name="Currency 5 3 6 2" xfId="2594" xr:uid="{00000000-0005-0000-0000-0000250A0000}"/>
    <cellStyle name="Currency 5 3 7" xfId="2595" xr:uid="{00000000-0005-0000-0000-0000260A0000}"/>
    <cellStyle name="Currency 5 4" xfId="2596" xr:uid="{00000000-0005-0000-0000-0000270A0000}"/>
    <cellStyle name="Currency 5 4 2" xfId="2597" xr:uid="{00000000-0005-0000-0000-0000280A0000}"/>
    <cellStyle name="Currency 5 4 2 2" xfId="2598" xr:uid="{00000000-0005-0000-0000-0000290A0000}"/>
    <cellStyle name="Currency 5 4 2 2 2" xfId="2599" xr:uid="{00000000-0005-0000-0000-00002A0A0000}"/>
    <cellStyle name="Currency 5 4 2 2 2 2" xfId="2600" xr:uid="{00000000-0005-0000-0000-00002B0A0000}"/>
    <cellStyle name="Currency 5 4 2 2 3" xfId="2601" xr:uid="{00000000-0005-0000-0000-00002C0A0000}"/>
    <cellStyle name="Currency 5 4 2 2 3 2" xfId="2602" xr:uid="{00000000-0005-0000-0000-00002D0A0000}"/>
    <cellStyle name="Currency 5 4 2 2 4" xfId="2603" xr:uid="{00000000-0005-0000-0000-00002E0A0000}"/>
    <cellStyle name="Currency 5 4 2 3" xfId="2604" xr:uid="{00000000-0005-0000-0000-00002F0A0000}"/>
    <cellStyle name="Currency 5 4 2 3 2" xfId="2605" xr:uid="{00000000-0005-0000-0000-0000300A0000}"/>
    <cellStyle name="Currency 5 4 2 4" xfId="2606" xr:uid="{00000000-0005-0000-0000-0000310A0000}"/>
    <cellStyle name="Currency 5 4 2 4 2" xfId="2607" xr:uid="{00000000-0005-0000-0000-0000320A0000}"/>
    <cellStyle name="Currency 5 4 2 5" xfId="2608" xr:uid="{00000000-0005-0000-0000-0000330A0000}"/>
    <cellStyle name="Currency 5 4 3" xfId="2609" xr:uid="{00000000-0005-0000-0000-0000340A0000}"/>
    <cellStyle name="Currency 5 4 3 2" xfId="2610" xr:uid="{00000000-0005-0000-0000-0000350A0000}"/>
    <cellStyle name="Currency 5 4 3 2 2" xfId="2611" xr:uid="{00000000-0005-0000-0000-0000360A0000}"/>
    <cellStyle name="Currency 5 4 3 3" xfId="2612" xr:uid="{00000000-0005-0000-0000-0000370A0000}"/>
    <cellStyle name="Currency 5 4 3 3 2" xfId="2613" xr:uid="{00000000-0005-0000-0000-0000380A0000}"/>
    <cellStyle name="Currency 5 4 3 4" xfId="2614" xr:uid="{00000000-0005-0000-0000-0000390A0000}"/>
    <cellStyle name="Currency 5 4 4" xfId="2615" xr:uid="{00000000-0005-0000-0000-00003A0A0000}"/>
    <cellStyle name="Currency 5 4 4 2" xfId="2616" xr:uid="{00000000-0005-0000-0000-00003B0A0000}"/>
    <cellStyle name="Currency 5 4 5" xfId="2617" xr:uid="{00000000-0005-0000-0000-00003C0A0000}"/>
    <cellStyle name="Currency 5 4 5 2" xfId="2618" xr:uid="{00000000-0005-0000-0000-00003D0A0000}"/>
    <cellStyle name="Currency 5 4 6" xfId="2619" xr:uid="{00000000-0005-0000-0000-00003E0A0000}"/>
    <cellStyle name="Currency 5 5" xfId="2620" xr:uid="{00000000-0005-0000-0000-00003F0A0000}"/>
    <cellStyle name="Currency 5 5 2" xfId="2621" xr:uid="{00000000-0005-0000-0000-0000400A0000}"/>
    <cellStyle name="Currency 5 5 2 2" xfId="2622" xr:uid="{00000000-0005-0000-0000-0000410A0000}"/>
    <cellStyle name="Currency 5 5 2 2 2" xfId="2623" xr:uid="{00000000-0005-0000-0000-0000420A0000}"/>
    <cellStyle name="Currency 5 5 2 3" xfId="2624" xr:uid="{00000000-0005-0000-0000-0000430A0000}"/>
    <cellStyle name="Currency 5 5 2 3 2" xfId="2625" xr:uid="{00000000-0005-0000-0000-0000440A0000}"/>
    <cellStyle name="Currency 5 5 2 4" xfId="2626" xr:uid="{00000000-0005-0000-0000-0000450A0000}"/>
    <cellStyle name="Currency 5 5 3" xfId="2627" xr:uid="{00000000-0005-0000-0000-0000460A0000}"/>
    <cellStyle name="Currency 5 5 3 2" xfId="2628" xr:uid="{00000000-0005-0000-0000-0000470A0000}"/>
    <cellStyle name="Currency 5 5 4" xfId="2629" xr:uid="{00000000-0005-0000-0000-0000480A0000}"/>
    <cellStyle name="Currency 5 5 4 2" xfId="2630" xr:uid="{00000000-0005-0000-0000-0000490A0000}"/>
    <cellStyle name="Currency 5 5 5" xfId="2631" xr:uid="{00000000-0005-0000-0000-00004A0A0000}"/>
    <cellStyle name="Currency 5 6" xfId="2632" xr:uid="{00000000-0005-0000-0000-00004B0A0000}"/>
    <cellStyle name="Currency 5 6 2" xfId="2633" xr:uid="{00000000-0005-0000-0000-00004C0A0000}"/>
    <cellStyle name="Currency 5 6 2 2" xfId="2634" xr:uid="{00000000-0005-0000-0000-00004D0A0000}"/>
    <cellStyle name="Currency 5 6 3" xfId="2635" xr:uid="{00000000-0005-0000-0000-00004E0A0000}"/>
    <cellStyle name="Currency 5 6 3 2" xfId="2636" xr:uid="{00000000-0005-0000-0000-00004F0A0000}"/>
    <cellStyle name="Currency 5 6 4" xfId="2637" xr:uid="{00000000-0005-0000-0000-0000500A0000}"/>
    <cellStyle name="Currency 5 7" xfId="2638" xr:uid="{00000000-0005-0000-0000-0000510A0000}"/>
    <cellStyle name="Currency 5 7 2" xfId="2639" xr:uid="{00000000-0005-0000-0000-0000520A0000}"/>
    <cellStyle name="Currency 5 8" xfId="2640" xr:uid="{00000000-0005-0000-0000-0000530A0000}"/>
    <cellStyle name="Currency 5 8 2" xfId="2641" xr:uid="{00000000-0005-0000-0000-0000540A0000}"/>
    <cellStyle name="Currency 5 9" xfId="2642" xr:uid="{00000000-0005-0000-0000-0000550A0000}"/>
    <cellStyle name="Currency 6" xfId="2643" xr:uid="{00000000-0005-0000-0000-0000560A0000}"/>
    <cellStyle name="Currency 6 2" xfId="2644" xr:uid="{00000000-0005-0000-0000-0000570A0000}"/>
    <cellStyle name="Currency 6 3" xfId="2645" xr:uid="{00000000-0005-0000-0000-0000580A0000}"/>
    <cellStyle name="Currency 6 4" xfId="2646" xr:uid="{00000000-0005-0000-0000-0000590A0000}"/>
    <cellStyle name="Currency 7" xfId="2647" xr:uid="{00000000-0005-0000-0000-00005A0A0000}"/>
    <cellStyle name="Currency 7 2" xfId="2648" xr:uid="{00000000-0005-0000-0000-00005B0A0000}"/>
    <cellStyle name="Currency 8" xfId="2649" xr:uid="{00000000-0005-0000-0000-00005C0A0000}"/>
    <cellStyle name="Currency 8 2" xfId="2650" xr:uid="{00000000-0005-0000-0000-00005D0A0000}"/>
    <cellStyle name="Currency 8 2 2" xfId="2651" xr:uid="{00000000-0005-0000-0000-00005E0A0000}"/>
    <cellStyle name="Currency 8 2 2 2" xfId="2652" xr:uid="{00000000-0005-0000-0000-00005F0A0000}"/>
    <cellStyle name="Currency 8 2 2 2 2" xfId="2653" xr:uid="{00000000-0005-0000-0000-0000600A0000}"/>
    <cellStyle name="Currency 8 2 2 2 2 2" xfId="2654" xr:uid="{00000000-0005-0000-0000-0000610A0000}"/>
    <cellStyle name="Currency 8 2 2 2 2 2 2" xfId="2655" xr:uid="{00000000-0005-0000-0000-0000620A0000}"/>
    <cellStyle name="Currency 8 2 2 2 2 3" xfId="2656" xr:uid="{00000000-0005-0000-0000-0000630A0000}"/>
    <cellStyle name="Currency 8 2 2 2 2 3 2" xfId="2657" xr:uid="{00000000-0005-0000-0000-0000640A0000}"/>
    <cellStyle name="Currency 8 2 2 2 2 4" xfId="2658" xr:uid="{00000000-0005-0000-0000-0000650A0000}"/>
    <cellStyle name="Currency 8 2 2 2 3" xfId="2659" xr:uid="{00000000-0005-0000-0000-0000660A0000}"/>
    <cellStyle name="Currency 8 2 2 2 3 2" xfId="2660" xr:uid="{00000000-0005-0000-0000-0000670A0000}"/>
    <cellStyle name="Currency 8 2 2 2 4" xfId="2661" xr:uid="{00000000-0005-0000-0000-0000680A0000}"/>
    <cellStyle name="Currency 8 2 2 2 4 2" xfId="2662" xr:uid="{00000000-0005-0000-0000-0000690A0000}"/>
    <cellStyle name="Currency 8 2 2 2 5" xfId="2663" xr:uid="{00000000-0005-0000-0000-00006A0A0000}"/>
    <cellStyle name="Currency 8 2 2 3" xfId="2664" xr:uid="{00000000-0005-0000-0000-00006B0A0000}"/>
    <cellStyle name="Currency 8 2 2 3 2" xfId="2665" xr:uid="{00000000-0005-0000-0000-00006C0A0000}"/>
    <cellStyle name="Currency 8 2 2 3 2 2" xfId="2666" xr:uid="{00000000-0005-0000-0000-00006D0A0000}"/>
    <cellStyle name="Currency 8 2 2 3 3" xfId="2667" xr:uid="{00000000-0005-0000-0000-00006E0A0000}"/>
    <cellStyle name="Currency 8 2 2 3 3 2" xfId="2668" xr:uid="{00000000-0005-0000-0000-00006F0A0000}"/>
    <cellStyle name="Currency 8 2 2 3 4" xfId="2669" xr:uid="{00000000-0005-0000-0000-0000700A0000}"/>
    <cellStyle name="Currency 8 2 2 4" xfId="2670" xr:uid="{00000000-0005-0000-0000-0000710A0000}"/>
    <cellStyle name="Currency 8 2 2 4 2" xfId="2671" xr:uid="{00000000-0005-0000-0000-0000720A0000}"/>
    <cellStyle name="Currency 8 2 2 5" xfId="2672" xr:uid="{00000000-0005-0000-0000-0000730A0000}"/>
    <cellStyle name="Currency 8 2 2 5 2" xfId="2673" xr:uid="{00000000-0005-0000-0000-0000740A0000}"/>
    <cellStyle name="Currency 8 2 2 6" xfId="2674" xr:uid="{00000000-0005-0000-0000-0000750A0000}"/>
    <cellStyle name="Currency 8 2 3" xfId="2675" xr:uid="{00000000-0005-0000-0000-0000760A0000}"/>
    <cellStyle name="Currency 8 2 3 2" xfId="2676" xr:uid="{00000000-0005-0000-0000-0000770A0000}"/>
    <cellStyle name="Currency 8 2 3 2 2" xfId="2677" xr:uid="{00000000-0005-0000-0000-0000780A0000}"/>
    <cellStyle name="Currency 8 2 3 2 2 2" xfId="2678" xr:uid="{00000000-0005-0000-0000-0000790A0000}"/>
    <cellStyle name="Currency 8 2 3 2 3" xfId="2679" xr:uid="{00000000-0005-0000-0000-00007A0A0000}"/>
    <cellStyle name="Currency 8 2 3 2 3 2" xfId="2680" xr:uid="{00000000-0005-0000-0000-00007B0A0000}"/>
    <cellStyle name="Currency 8 2 3 2 4" xfId="2681" xr:uid="{00000000-0005-0000-0000-00007C0A0000}"/>
    <cellStyle name="Currency 8 2 3 3" xfId="2682" xr:uid="{00000000-0005-0000-0000-00007D0A0000}"/>
    <cellStyle name="Currency 8 2 3 3 2" xfId="2683" xr:uid="{00000000-0005-0000-0000-00007E0A0000}"/>
    <cellStyle name="Currency 8 2 3 4" xfId="2684" xr:uid="{00000000-0005-0000-0000-00007F0A0000}"/>
    <cellStyle name="Currency 8 2 3 4 2" xfId="2685" xr:uid="{00000000-0005-0000-0000-0000800A0000}"/>
    <cellStyle name="Currency 8 2 3 5" xfId="2686" xr:uid="{00000000-0005-0000-0000-0000810A0000}"/>
    <cellStyle name="Currency 8 2 4" xfId="2687" xr:uid="{00000000-0005-0000-0000-0000820A0000}"/>
    <cellStyle name="Currency 8 2 4 2" xfId="2688" xr:uid="{00000000-0005-0000-0000-0000830A0000}"/>
    <cellStyle name="Currency 8 2 4 2 2" xfId="2689" xr:uid="{00000000-0005-0000-0000-0000840A0000}"/>
    <cellStyle name="Currency 8 2 4 3" xfId="2690" xr:uid="{00000000-0005-0000-0000-0000850A0000}"/>
    <cellStyle name="Currency 8 2 4 3 2" xfId="2691" xr:uid="{00000000-0005-0000-0000-0000860A0000}"/>
    <cellStyle name="Currency 8 2 4 4" xfId="2692" xr:uid="{00000000-0005-0000-0000-0000870A0000}"/>
    <cellStyle name="Currency 8 2 5" xfId="2693" xr:uid="{00000000-0005-0000-0000-0000880A0000}"/>
    <cellStyle name="Currency 8 2 5 2" xfId="2694" xr:uid="{00000000-0005-0000-0000-0000890A0000}"/>
    <cellStyle name="Currency 8 2 6" xfId="2695" xr:uid="{00000000-0005-0000-0000-00008A0A0000}"/>
    <cellStyle name="Currency 8 2 6 2" xfId="2696" xr:uid="{00000000-0005-0000-0000-00008B0A0000}"/>
    <cellStyle name="Currency 8 2 7" xfId="2697" xr:uid="{00000000-0005-0000-0000-00008C0A0000}"/>
    <cellStyle name="Currency 8 3" xfId="2698" xr:uid="{00000000-0005-0000-0000-00008D0A0000}"/>
    <cellStyle name="Currency 8 3 2" xfId="2699" xr:uid="{00000000-0005-0000-0000-00008E0A0000}"/>
    <cellStyle name="Currency 8 3 2 2" xfId="2700" xr:uid="{00000000-0005-0000-0000-00008F0A0000}"/>
    <cellStyle name="Currency 8 3 2 2 2" xfId="2701" xr:uid="{00000000-0005-0000-0000-0000900A0000}"/>
    <cellStyle name="Currency 8 3 2 2 2 2" xfId="2702" xr:uid="{00000000-0005-0000-0000-0000910A0000}"/>
    <cellStyle name="Currency 8 3 2 2 3" xfId="2703" xr:uid="{00000000-0005-0000-0000-0000920A0000}"/>
    <cellStyle name="Currency 8 3 2 2 3 2" xfId="2704" xr:uid="{00000000-0005-0000-0000-0000930A0000}"/>
    <cellStyle name="Currency 8 3 2 2 4" xfId="2705" xr:uid="{00000000-0005-0000-0000-0000940A0000}"/>
    <cellStyle name="Currency 8 3 2 3" xfId="2706" xr:uid="{00000000-0005-0000-0000-0000950A0000}"/>
    <cellStyle name="Currency 8 3 2 3 2" xfId="2707" xr:uid="{00000000-0005-0000-0000-0000960A0000}"/>
    <cellStyle name="Currency 8 3 2 4" xfId="2708" xr:uid="{00000000-0005-0000-0000-0000970A0000}"/>
    <cellStyle name="Currency 8 3 2 4 2" xfId="2709" xr:uid="{00000000-0005-0000-0000-0000980A0000}"/>
    <cellStyle name="Currency 8 3 2 5" xfId="2710" xr:uid="{00000000-0005-0000-0000-0000990A0000}"/>
    <cellStyle name="Currency 8 3 3" xfId="2711" xr:uid="{00000000-0005-0000-0000-00009A0A0000}"/>
    <cellStyle name="Currency 8 3 3 2" xfId="2712" xr:uid="{00000000-0005-0000-0000-00009B0A0000}"/>
    <cellStyle name="Currency 8 3 3 2 2" xfId="2713" xr:uid="{00000000-0005-0000-0000-00009C0A0000}"/>
    <cellStyle name="Currency 8 3 3 3" xfId="2714" xr:uid="{00000000-0005-0000-0000-00009D0A0000}"/>
    <cellStyle name="Currency 8 3 3 3 2" xfId="2715" xr:uid="{00000000-0005-0000-0000-00009E0A0000}"/>
    <cellStyle name="Currency 8 3 3 4" xfId="2716" xr:uid="{00000000-0005-0000-0000-00009F0A0000}"/>
    <cellStyle name="Currency 8 3 4" xfId="2717" xr:uid="{00000000-0005-0000-0000-0000A00A0000}"/>
    <cellStyle name="Currency 8 3 4 2" xfId="2718" xr:uid="{00000000-0005-0000-0000-0000A10A0000}"/>
    <cellStyle name="Currency 8 3 5" xfId="2719" xr:uid="{00000000-0005-0000-0000-0000A20A0000}"/>
    <cellStyle name="Currency 8 3 5 2" xfId="2720" xr:uid="{00000000-0005-0000-0000-0000A30A0000}"/>
    <cellStyle name="Currency 8 3 6" xfId="2721" xr:uid="{00000000-0005-0000-0000-0000A40A0000}"/>
    <cellStyle name="Currency 8 3 7" xfId="2722" xr:uid="{00000000-0005-0000-0000-0000A50A0000}"/>
    <cellStyle name="Currency 8 4" xfId="2723" xr:uid="{00000000-0005-0000-0000-0000A60A0000}"/>
    <cellStyle name="Currency 8 4 2" xfId="2724" xr:uid="{00000000-0005-0000-0000-0000A70A0000}"/>
    <cellStyle name="Currency 8 4 2 2" xfId="2725" xr:uid="{00000000-0005-0000-0000-0000A80A0000}"/>
    <cellStyle name="Currency 8 4 2 2 2" xfId="2726" xr:uid="{00000000-0005-0000-0000-0000A90A0000}"/>
    <cellStyle name="Currency 8 4 2 3" xfId="2727" xr:uid="{00000000-0005-0000-0000-0000AA0A0000}"/>
    <cellStyle name="Currency 8 4 2 3 2" xfId="2728" xr:uid="{00000000-0005-0000-0000-0000AB0A0000}"/>
    <cellStyle name="Currency 8 4 2 4" xfId="2729" xr:uid="{00000000-0005-0000-0000-0000AC0A0000}"/>
    <cellStyle name="Currency 8 4 3" xfId="2730" xr:uid="{00000000-0005-0000-0000-0000AD0A0000}"/>
    <cellStyle name="Currency 8 4 3 2" xfId="2731" xr:uid="{00000000-0005-0000-0000-0000AE0A0000}"/>
    <cellStyle name="Currency 8 4 4" xfId="2732" xr:uid="{00000000-0005-0000-0000-0000AF0A0000}"/>
    <cellStyle name="Currency 8 4 4 2" xfId="2733" xr:uid="{00000000-0005-0000-0000-0000B00A0000}"/>
    <cellStyle name="Currency 8 4 5" xfId="2734" xr:uid="{00000000-0005-0000-0000-0000B10A0000}"/>
    <cellStyle name="Currency 8 5" xfId="2735" xr:uid="{00000000-0005-0000-0000-0000B20A0000}"/>
    <cellStyle name="Currency 8 5 2" xfId="2736" xr:uid="{00000000-0005-0000-0000-0000B30A0000}"/>
    <cellStyle name="Currency 8 5 2 2" xfId="2737" xr:uid="{00000000-0005-0000-0000-0000B40A0000}"/>
    <cellStyle name="Currency 8 5 3" xfId="2738" xr:uid="{00000000-0005-0000-0000-0000B50A0000}"/>
    <cellStyle name="Currency 8 5 3 2" xfId="2739" xr:uid="{00000000-0005-0000-0000-0000B60A0000}"/>
    <cellStyle name="Currency 8 5 4" xfId="2740" xr:uid="{00000000-0005-0000-0000-0000B70A0000}"/>
    <cellStyle name="Currency 8 6" xfId="2741" xr:uid="{00000000-0005-0000-0000-0000B80A0000}"/>
    <cellStyle name="Currency 8 6 2" xfId="2742" xr:uid="{00000000-0005-0000-0000-0000B90A0000}"/>
    <cellStyle name="Currency 8 7" xfId="2743" xr:uid="{00000000-0005-0000-0000-0000BA0A0000}"/>
    <cellStyle name="Currency 8 7 2" xfId="2744" xr:uid="{00000000-0005-0000-0000-0000BB0A0000}"/>
    <cellStyle name="Currency 8 8" xfId="2745" xr:uid="{00000000-0005-0000-0000-0000BC0A0000}"/>
    <cellStyle name="Currency 9" xfId="2746" xr:uid="{00000000-0005-0000-0000-0000BD0A0000}"/>
    <cellStyle name="Currency 9 2" xfId="2747" xr:uid="{00000000-0005-0000-0000-0000BE0A0000}"/>
    <cellStyle name="Currency 9 2 2" xfId="2748" xr:uid="{00000000-0005-0000-0000-0000BF0A0000}"/>
    <cellStyle name="Currency 9 2 2 2" xfId="2749" xr:uid="{00000000-0005-0000-0000-0000C00A0000}"/>
    <cellStyle name="Currency 9 2 2 2 2" xfId="2750" xr:uid="{00000000-0005-0000-0000-0000C10A0000}"/>
    <cellStyle name="Currency 9 2 2 2 2 2" xfId="2751" xr:uid="{00000000-0005-0000-0000-0000C20A0000}"/>
    <cellStyle name="Currency 9 2 2 2 3" xfId="2752" xr:uid="{00000000-0005-0000-0000-0000C30A0000}"/>
    <cellStyle name="Currency 9 2 2 2 3 2" xfId="2753" xr:uid="{00000000-0005-0000-0000-0000C40A0000}"/>
    <cellStyle name="Currency 9 2 2 2 4" xfId="2754" xr:uid="{00000000-0005-0000-0000-0000C50A0000}"/>
    <cellStyle name="Currency 9 2 2 3" xfId="2755" xr:uid="{00000000-0005-0000-0000-0000C60A0000}"/>
    <cellStyle name="Currency 9 2 2 3 2" xfId="2756" xr:uid="{00000000-0005-0000-0000-0000C70A0000}"/>
    <cellStyle name="Currency 9 2 2 4" xfId="2757" xr:uid="{00000000-0005-0000-0000-0000C80A0000}"/>
    <cellStyle name="Currency 9 2 2 4 2" xfId="2758" xr:uid="{00000000-0005-0000-0000-0000C90A0000}"/>
    <cellStyle name="Currency 9 2 2 5" xfId="2759" xr:uid="{00000000-0005-0000-0000-0000CA0A0000}"/>
    <cellStyle name="Currency 9 2 3" xfId="2760" xr:uid="{00000000-0005-0000-0000-0000CB0A0000}"/>
    <cellStyle name="Currency 9 2 3 2" xfId="2761" xr:uid="{00000000-0005-0000-0000-0000CC0A0000}"/>
    <cellStyle name="Currency 9 2 3 2 2" xfId="2762" xr:uid="{00000000-0005-0000-0000-0000CD0A0000}"/>
    <cellStyle name="Currency 9 2 3 3" xfId="2763" xr:uid="{00000000-0005-0000-0000-0000CE0A0000}"/>
    <cellStyle name="Currency 9 2 3 3 2" xfId="2764" xr:uid="{00000000-0005-0000-0000-0000CF0A0000}"/>
    <cellStyle name="Currency 9 2 3 4" xfId="2765" xr:uid="{00000000-0005-0000-0000-0000D00A0000}"/>
    <cellStyle name="Currency 9 2 4" xfId="2766" xr:uid="{00000000-0005-0000-0000-0000D10A0000}"/>
    <cellStyle name="Currency 9 2 4 2" xfId="2767" xr:uid="{00000000-0005-0000-0000-0000D20A0000}"/>
    <cellStyle name="Currency 9 2 5" xfId="2768" xr:uid="{00000000-0005-0000-0000-0000D30A0000}"/>
    <cellStyle name="Currency 9 2 5 2" xfId="2769" xr:uid="{00000000-0005-0000-0000-0000D40A0000}"/>
    <cellStyle name="Currency 9 2 6" xfId="2770" xr:uid="{00000000-0005-0000-0000-0000D50A0000}"/>
    <cellStyle name="Currency 9 3" xfId="2771" xr:uid="{00000000-0005-0000-0000-0000D60A0000}"/>
    <cellStyle name="Currency 9 3 2" xfId="2772" xr:uid="{00000000-0005-0000-0000-0000D70A0000}"/>
    <cellStyle name="Currency 9 3 2 2" xfId="2773" xr:uid="{00000000-0005-0000-0000-0000D80A0000}"/>
    <cellStyle name="Currency 9 3 2 2 2" xfId="2774" xr:uid="{00000000-0005-0000-0000-0000D90A0000}"/>
    <cellStyle name="Currency 9 3 2 3" xfId="2775" xr:uid="{00000000-0005-0000-0000-0000DA0A0000}"/>
    <cellStyle name="Currency 9 3 2 3 2" xfId="2776" xr:uid="{00000000-0005-0000-0000-0000DB0A0000}"/>
    <cellStyle name="Currency 9 3 2 4" xfId="2777" xr:uid="{00000000-0005-0000-0000-0000DC0A0000}"/>
    <cellStyle name="Currency 9 3 3" xfId="2778" xr:uid="{00000000-0005-0000-0000-0000DD0A0000}"/>
    <cellStyle name="Currency 9 3 3 2" xfId="2779" xr:uid="{00000000-0005-0000-0000-0000DE0A0000}"/>
    <cellStyle name="Currency 9 3 4" xfId="2780" xr:uid="{00000000-0005-0000-0000-0000DF0A0000}"/>
    <cellStyle name="Currency 9 3 4 2" xfId="2781" xr:uid="{00000000-0005-0000-0000-0000E00A0000}"/>
    <cellStyle name="Currency 9 3 5" xfId="2782" xr:uid="{00000000-0005-0000-0000-0000E10A0000}"/>
    <cellStyle name="Currency 9 4" xfId="2783" xr:uid="{00000000-0005-0000-0000-0000E20A0000}"/>
    <cellStyle name="Currency 9 4 2" xfId="2784" xr:uid="{00000000-0005-0000-0000-0000E30A0000}"/>
    <cellStyle name="Currency 9 4 2 2" xfId="2785" xr:uid="{00000000-0005-0000-0000-0000E40A0000}"/>
    <cellStyle name="Currency 9 4 3" xfId="2786" xr:uid="{00000000-0005-0000-0000-0000E50A0000}"/>
    <cellStyle name="Currency 9 4 3 2" xfId="2787" xr:uid="{00000000-0005-0000-0000-0000E60A0000}"/>
    <cellStyle name="Currency 9 4 4" xfId="2788" xr:uid="{00000000-0005-0000-0000-0000E70A0000}"/>
    <cellStyle name="Currency 9 5" xfId="2789" xr:uid="{00000000-0005-0000-0000-0000E80A0000}"/>
    <cellStyle name="Currency 9 5 2" xfId="2790" xr:uid="{00000000-0005-0000-0000-0000E90A0000}"/>
    <cellStyle name="Currency 9 6" xfId="2791" xr:uid="{00000000-0005-0000-0000-0000EA0A0000}"/>
    <cellStyle name="Currency 9 6 2" xfId="2792" xr:uid="{00000000-0005-0000-0000-0000EB0A0000}"/>
    <cellStyle name="Currency 9 7" xfId="2793" xr:uid="{00000000-0005-0000-0000-0000EC0A0000}"/>
    <cellStyle name="Currency0" xfId="2794" xr:uid="{00000000-0005-0000-0000-0000ED0A0000}"/>
    <cellStyle name="Custom - Style1" xfId="2795" xr:uid="{00000000-0005-0000-0000-0000EE0A0000}"/>
    <cellStyle name="Custom - Style8" xfId="2796" xr:uid="{00000000-0005-0000-0000-0000EF0A0000}"/>
    <cellStyle name="Data   - Style2" xfId="2797" xr:uid="{00000000-0005-0000-0000-0000F00A0000}"/>
    <cellStyle name="Data   - Style2 2" xfId="2798" xr:uid="{00000000-0005-0000-0000-0000F10A0000}"/>
    <cellStyle name="Data   - Style2 3" xfId="2799" xr:uid="{00000000-0005-0000-0000-0000F20A0000}"/>
    <cellStyle name="Data   - Style2 4" xfId="2800" xr:uid="{00000000-0005-0000-0000-0000F30A0000}"/>
    <cellStyle name="Data   - Style2 5" xfId="2801" xr:uid="{00000000-0005-0000-0000-0000F40A0000}"/>
    <cellStyle name="Data Enter" xfId="2802" xr:uid="{00000000-0005-0000-0000-0000F50A0000}"/>
    <cellStyle name="date" xfId="2803" xr:uid="{00000000-0005-0000-0000-0000F60A0000}"/>
    <cellStyle name="Euro" xfId="2804" xr:uid="{00000000-0005-0000-0000-0000F70A0000}"/>
    <cellStyle name="Euro 2" xfId="2805" xr:uid="{00000000-0005-0000-0000-0000F80A0000}"/>
    <cellStyle name="Explanatory Text" xfId="2806" builtinId="53" customBuiltin="1"/>
    <cellStyle name="Explanatory Text 2" xfId="2807" xr:uid="{00000000-0005-0000-0000-0000FA0A0000}"/>
    <cellStyle name="Explanatory Text 3" xfId="2808" xr:uid="{00000000-0005-0000-0000-0000FB0A0000}"/>
    <cellStyle name="Explanatory Text 4" xfId="2809" xr:uid="{00000000-0005-0000-0000-0000FC0A0000}"/>
    <cellStyle name="F9ReportControlStyle_ctpInquire" xfId="2810" xr:uid="{00000000-0005-0000-0000-0000FD0A0000}"/>
    <cellStyle name="FactSheet" xfId="2811" xr:uid="{00000000-0005-0000-0000-0000FE0A0000}"/>
    <cellStyle name="fish" xfId="2812" xr:uid="{00000000-0005-0000-0000-0000FF0A0000}"/>
    <cellStyle name="Good" xfId="2813" builtinId="26" customBuiltin="1"/>
    <cellStyle name="Good 2" xfId="2814" xr:uid="{00000000-0005-0000-0000-0000010B0000}"/>
    <cellStyle name="Good 2 2" xfId="2815" xr:uid="{00000000-0005-0000-0000-0000020B0000}"/>
    <cellStyle name="Good 2 2 2" xfId="2816" xr:uid="{00000000-0005-0000-0000-0000030B0000}"/>
    <cellStyle name="Good 2 2 3" xfId="2817" xr:uid="{00000000-0005-0000-0000-0000040B0000}"/>
    <cellStyle name="Good 2 3" xfId="2818" xr:uid="{00000000-0005-0000-0000-0000050B0000}"/>
    <cellStyle name="Good 2 4" xfId="2819" xr:uid="{00000000-0005-0000-0000-0000060B0000}"/>
    <cellStyle name="Good 2 5" xfId="2820" xr:uid="{00000000-0005-0000-0000-0000070B0000}"/>
    <cellStyle name="Good 3" xfId="2821" xr:uid="{00000000-0005-0000-0000-0000080B0000}"/>
    <cellStyle name="Good 3 2" xfId="2822" xr:uid="{00000000-0005-0000-0000-0000090B0000}"/>
    <cellStyle name="Good 3 3" xfId="2823" xr:uid="{00000000-0005-0000-0000-00000A0B0000}"/>
    <cellStyle name="Good 3 3 2" xfId="2824" xr:uid="{00000000-0005-0000-0000-00000B0B0000}"/>
    <cellStyle name="Good 4" xfId="2825" xr:uid="{00000000-0005-0000-0000-00000C0B0000}"/>
    <cellStyle name="Good 5" xfId="2826" xr:uid="{00000000-0005-0000-0000-00000D0B0000}"/>
    <cellStyle name="Heading 1" xfId="2827" builtinId="16" customBuiltin="1"/>
    <cellStyle name="Heading 1 2" xfId="2828" xr:uid="{00000000-0005-0000-0000-00000F0B0000}"/>
    <cellStyle name="Heading 1 2 2" xfId="2829" xr:uid="{00000000-0005-0000-0000-0000100B0000}"/>
    <cellStyle name="Heading 1 2 2 2" xfId="2830" xr:uid="{00000000-0005-0000-0000-0000110B0000}"/>
    <cellStyle name="Heading 1 2 3" xfId="2831" xr:uid="{00000000-0005-0000-0000-0000120B0000}"/>
    <cellStyle name="Heading 1 2 4" xfId="2832" xr:uid="{00000000-0005-0000-0000-0000130B0000}"/>
    <cellStyle name="Heading 1 2 4 2" xfId="2833" xr:uid="{00000000-0005-0000-0000-0000140B0000}"/>
    <cellStyle name="Heading 1 3" xfId="2834" xr:uid="{00000000-0005-0000-0000-0000150B0000}"/>
    <cellStyle name="Heading 1 3 2" xfId="2835" xr:uid="{00000000-0005-0000-0000-0000160B0000}"/>
    <cellStyle name="Heading 1 3 3" xfId="2836" xr:uid="{00000000-0005-0000-0000-0000170B0000}"/>
    <cellStyle name="Heading 1 3 4" xfId="2837" xr:uid="{00000000-0005-0000-0000-0000180B0000}"/>
    <cellStyle name="Heading 1 4" xfId="2838" xr:uid="{00000000-0005-0000-0000-0000190B0000}"/>
    <cellStyle name="Heading 1 4 2" xfId="2839" xr:uid="{00000000-0005-0000-0000-00001A0B0000}"/>
    <cellStyle name="Heading 2" xfId="2840" builtinId="17" customBuiltin="1"/>
    <cellStyle name="Heading 2 2" xfId="2841" xr:uid="{00000000-0005-0000-0000-00001C0B0000}"/>
    <cellStyle name="Heading 2 2 2" xfId="2842" xr:uid="{00000000-0005-0000-0000-00001D0B0000}"/>
    <cellStyle name="Heading 2 2 3" xfId="2843" xr:uid="{00000000-0005-0000-0000-00001E0B0000}"/>
    <cellStyle name="Heading 2 2 4" xfId="2844" xr:uid="{00000000-0005-0000-0000-00001F0B0000}"/>
    <cellStyle name="Heading 2 2 4 2" xfId="2845" xr:uid="{00000000-0005-0000-0000-0000200B0000}"/>
    <cellStyle name="Heading 2 3" xfId="2846" xr:uid="{00000000-0005-0000-0000-0000210B0000}"/>
    <cellStyle name="Heading 2 3 2" xfId="2847" xr:uid="{00000000-0005-0000-0000-0000220B0000}"/>
    <cellStyle name="Heading 2 3 3" xfId="2848" xr:uid="{00000000-0005-0000-0000-0000230B0000}"/>
    <cellStyle name="Heading 2 3 4" xfId="2849" xr:uid="{00000000-0005-0000-0000-0000240B0000}"/>
    <cellStyle name="Heading 2 4" xfId="2850" xr:uid="{00000000-0005-0000-0000-0000250B0000}"/>
    <cellStyle name="Heading 2 4 2" xfId="2851" xr:uid="{00000000-0005-0000-0000-0000260B0000}"/>
    <cellStyle name="Heading 3" xfId="2852" builtinId="18" customBuiltin="1"/>
    <cellStyle name="Heading 3 2" xfId="2853" xr:uid="{00000000-0005-0000-0000-0000280B0000}"/>
    <cellStyle name="Heading 3 2 2" xfId="2854" xr:uid="{00000000-0005-0000-0000-0000290B0000}"/>
    <cellStyle name="Heading 3 2 2 2" xfId="2855" xr:uid="{00000000-0005-0000-0000-00002A0B0000}"/>
    <cellStyle name="Heading 3 2 3" xfId="2856" xr:uid="{00000000-0005-0000-0000-00002B0B0000}"/>
    <cellStyle name="Heading 3 2 4" xfId="2857" xr:uid="{00000000-0005-0000-0000-00002C0B0000}"/>
    <cellStyle name="Heading 3 2 4 2" xfId="2858" xr:uid="{00000000-0005-0000-0000-00002D0B0000}"/>
    <cellStyle name="Heading 3 3" xfId="2859" xr:uid="{00000000-0005-0000-0000-00002E0B0000}"/>
    <cellStyle name="Heading 3 3 2" xfId="2860" xr:uid="{00000000-0005-0000-0000-00002F0B0000}"/>
    <cellStyle name="Heading 3 3 3" xfId="2861" xr:uid="{00000000-0005-0000-0000-0000300B0000}"/>
    <cellStyle name="Heading 3 3 4" xfId="2862" xr:uid="{00000000-0005-0000-0000-0000310B0000}"/>
    <cellStyle name="Heading 3 4" xfId="2863" xr:uid="{00000000-0005-0000-0000-0000320B0000}"/>
    <cellStyle name="Heading 3 4 2" xfId="2864" xr:uid="{00000000-0005-0000-0000-0000330B0000}"/>
    <cellStyle name="Heading 4" xfId="2865" builtinId="19" customBuiltin="1"/>
    <cellStyle name="Heading 4 2" xfId="2866" xr:uid="{00000000-0005-0000-0000-0000350B0000}"/>
    <cellStyle name="Heading 4 2 2" xfId="2867" xr:uid="{00000000-0005-0000-0000-0000360B0000}"/>
    <cellStyle name="Heading 4 2 2 2" xfId="2868" xr:uid="{00000000-0005-0000-0000-0000370B0000}"/>
    <cellStyle name="Heading 4 2 2 3" xfId="2869" xr:uid="{00000000-0005-0000-0000-0000380B0000}"/>
    <cellStyle name="Heading 4 2 3" xfId="2870" xr:uid="{00000000-0005-0000-0000-0000390B0000}"/>
    <cellStyle name="Heading 4 2 3 2" xfId="2871" xr:uid="{00000000-0005-0000-0000-00003A0B0000}"/>
    <cellStyle name="Heading 4 3" xfId="2872" xr:uid="{00000000-0005-0000-0000-00003B0B0000}"/>
    <cellStyle name="Heading 4 3 2" xfId="2873" xr:uid="{00000000-0005-0000-0000-00003C0B0000}"/>
    <cellStyle name="Heading 4 3 3" xfId="2874" xr:uid="{00000000-0005-0000-0000-00003D0B0000}"/>
    <cellStyle name="Heading 4 4" xfId="2875" xr:uid="{00000000-0005-0000-0000-00003E0B0000}"/>
    <cellStyle name="Hyperlink 2" xfId="2876" xr:uid="{00000000-0005-0000-0000-00003F0B0000}"/>
    <cellStyle name="Hyperlink 2 2" xfId="2877" xr:uid="{00000000-0005-0000-0000-0000400B0000}"/>
    <cellStyle name="Hyperlink 2 2 2" xfId="2878" xr:uid="{00000000-0005-0000-0000-0000410B0000}"/>
    <cellStyle name="Hyperlink 2 2 3" xfId="2879" xr:uid="{00000000-0005-0000-0000-0000420B0000}"/>
    <cellStyle name="Hyperlink 2 2 4" xfId="2880" xr:uid="{00000000-0005-0000-0000-0000430B0000}"/>
    <cellStyle name="Hyperlink 2 2 5" xfId="2881" xr:uid="{00000000-0005-0000-0000-0000440B0000}"/>
    <cellStyle name="Hyperlink 2 2 6" xfId="2882" xr:uid="{00000000-0005-0000-0000-0000450B0000}"/>
    <cellStyle name="Hyperlink 2 3" xfId="2883" xr:uid="{00000000-0005-0000-0000-0000460B0000}"/>
    <cellStyle name="Hyperlink 2 3 2" xfId="2884" xr:uid="{00000000-0005-0000-0000-0000470B0000}"/>
    <cellStyle name="Hyperlink 2 3 3" xfId="2885" xr:uid="{00000000-0005-0000-0000-0000480B0000}"/>
    <cellStyle name="Hyperlink 2 4" xfId="2886" xr:uid="{00000000-0005-0000-0000-0000490B0000}"/>
    <cellStyle name="Hyperlink 3" xfId="2887" xr:uid="{00000000-0005-0000-0000-00004A0B0000}"/>
    <cellStyle name="Hyperlink 3 2" xfId="2888" xr:uid="{00000000-0005-0000-0000-00004B0B0000}"/>
    <cellStyle name="Hyperlink 3 2 2" xfId="2889" xr:uid="{00000000-0005-0000-0000-00004C0B0000}"/>
    <cellStyle name="Hyperlink 3 3" xfId="2890" xr:uid="{00000000-0005-0000-0000-00004D0B0000}"/>
    <cellStyle name="Hyperlink 3 4" xfId="2891" xr:uid="{00000000-0005-0000-0000-00004E0B0000}"/>
    <cellStyle name="Hyperlink 4" xfId="2892" xr:uid="{00000000-0005-0000-0000-00004F0B0000}"/>
    <cellStyle name="Hyperlink 4 2" xfId="2893" xr:uid="{00000000-0005-0000-0000-0000500B0000}"/>
    <cellStyle name="Hyperlink 4 3" xfId="2894" xr:uid="{00000000-0005-0000-0000-0000510B0000}"/>
    <cellStyle name="Hyperlink 5" xfId="2895" xr:uid="{00000000-0005-0000-0000-0000520B0000}"/>
    <cellStyle name="Input" xfId="2896" builtinId="20" customBuiltin="1"/>
    <cellStyle name="Input 2" xfId="2897" xr:uid="{00000000-0005-0000-0000-0000540B0000}"/>
    <cellStyle name="Input 2 2" xfId="2898" xr:uid="{00000000-0005-0000-0000-0000550B0000}"/>
    <cellStyle name="Input 2 2 2" xfId="2899" xr:uid="{00000000-0005-0000-0000-0000560B0000}"/>
    <cellStyle name="Input 2 2 2 2" xfId="2900" xr:uid="{00000000-0005-0000-0000-0000570B0000}"/>
    <cellStyle name="Input 2 2 2 2 2" xfId="2901" xr:uid="{00000000-0005-0000-0000-0000580B0000}"/>
    <cellStyle name="Input 2 2 2 2 3" xfId="2902" xr:uid="{00000000-0005-0000-0000-0000590B0000}"/>
    <cellStyle name="Input 2 2 2 2 4" xfId="2903" xr:uid="{00000000-0005-0000-0000-00005A0B0000}"/>
    <cellStyle name="Input 2 2 2 2 5" xfId="2904" xr:uid="{00000000-0005-0000-0000-00005B0B0000}"/>
    <cellStyle name="Input 2 2 2 3" xfId="2905" xr:uid="{00000000-0005-0000-0000-00005C0B0000}"/>
    <cellStyle name="Input 2 2 3" xfId="2906" xr:uid="{00000000-0005-0000-0000-00005D0B0000}"/>
    <cellStyle name="Input 2 2 3 2" xfId="2907" xr:uid="{00000000-0005-0000-0000-00005E0B0000}"/>
    <cellStyle name="Input 2 2 3 3" xfId="2908" xr:uid="{00000000-0005-0000-0000-00005F0B0000}"/>
    <cellStyle name="Input 2 2 3 4" xfId="2909" xr:uid="{00000000-0005-0000-0000-0000600B0000}"/>
    <cellStyle name="Input 2 2 3 5" xfId="2910" xr:uid="{00000000-0005-0000-0000-0000610B0000}"/>
    <cellStyle name="Input 2 2 4" xfId="2911" xr:uid="{00000000-0005-0000-0000-0000620B0000}"/>
    <cellStyle name="Input 2 2 5" xfId="2912" xr:uid="{00000000-0005-0000-0000-0000630B0000}"/>
    <cellStyle name="Input 2 3" xfId="2913" xr:uid="{00000000-0005-0000-0000-0000640B0000}"/>
    <cellStyle name="Input 2 3 2" xfId="2914" xr:uid="{00000000-0005-0000-0000-0000650B0000}"/>
    <cellStyle name="Input 2 3 2 2" xfId="2915" xr:uid="{00000000-0005-0000-0000-0000660B0000}"/>
    <cellStyle name="Input 2 3 2 3" xfId="2916" xr:uid="{00000000-0005-0000-0000-0000670B0000}"/>
    <cellStyle name="Input 2 3 2 4" xfId="2917" xr:uid="{00000000-0005-0000-0000-0000680B0000}"/>
    <cellStyle name="Input 2 3 2 5" xfId="2918" xr:uid="{00000000-0005-0000-0000-0000690B0000}"/>
    <cellStyle name="Input 2 3 3" xfId="2919" xr:uid="{00000000-0005-0000-0000-00006A0B0000}"/>
    <cellStyle name="Input 2 3 4" xfId="2920" xr:uid="{00000000-0005-0000-0000-00006B0B0000}"/>
    <cellStyle name="Input 2 4" xfId="2921" xr:uid="{00000000-0005-0000-0000-00006C0B0000}"/>
    <cellStyle name="Input 2 4 2" xfId="2922" xr:uid="{00000000-0005-0000-0000-00006D0B0000}"/>
    <cellStyle name="Input 2 4 3" xfId="2923" xr:uid="{00000000-0005-0000-0000-00006E0B0000}"/>
    <cellStyle name="Input 2 4 4" xfId="2924" xr:uid="{00000000-0005-0000-0000-00006F0B0000}"/>
    <cellStyle name="Input 2 4 5" xfId="2925" xr:uid="{00000000-0005-0000-0000-0000700B0000}"/>
    <cellStyle name="Input 2 5" xfId="2926" xr:uid="{00000000-0005-0000-0000-0000710B0000}"/>
    <cellStyle name="Input 3" xfId="2927" xr:uid="{00000000-0005-0000-0000-0000720B0000}"/>
    <cellStyle name="Input 3 2" xfId="2928" xr:uid="{00000000-0005-0000-0000-0000730B0000}"/>
    <cellStyle name="Input 3 2 2" xfId="2929" xr:uid="{00000000-0005-0000-0000-0000740B0000}"/>
    <cellStyle name="Input 3 2 2 2" xfId="2930" xr:uid="{00000000-0005-0000-0000-0000750B0000}"/>
    <cellStyle name="Input 3 2 2 3" xfId="2931" xr:uid="{00000000-0005-0000-0000-0000760B0000}"/>
    <cellStyle name="Input 3 2 2 4" xfId="2932" xr:uid="{00000000-0005-0000-0000-0000770B0000}"/>
    <cellStyle name="Input 3 2 2 5" xfId="2933" xr:uid="{00000000-0005-0000-0000-0000780B0000}"/>
    <cellStyle name="Input 3 2 3" xfId="2934" xr:uid="{00000000-0005-0000-0000-0000790B0000}"/>
    <cellStyle name="Input 3 3" xfId="2935" xr:uid="{00000000-0005-0000-0000-00007A0B0000}"/>
    <cellStyle name="Input 3 3 2" xfId="2936" xr:uid="{00000000-0005-0000-0000-00007B0B0000}"/>
    <cellStyle name="Input 3 3 3" xfId="2937" xr:uid="{00000000-0005-0000-0000-00007C0B0000}"/>
    <cellStyle name="Input 3 3 4" xfId="2938" xr:uid="{00000000-0005-0000-0000-00007D0B0000}"/>
    <cellStyle name="Input 3 3 5" xfId="2939" xr:uid="{00000000-0005-0000-0000-00007E0B0000}"/>
    <cellStyle name="Input 3 4" xfId="2940" xr:uid="{00000000-0005-0000-0000-00007F0B0000}"/>
    <cellStyle name="Input 3 4 2" xfId="2941" xr:uid="{00000000-0005-0000-0000-0000800B0000}"/>
    <cellStyle name="Input 3 4 3" xfId="2942" xr:uid="{00000000-0005-0000-0000-0000810B0000}"/>
    <cellStyle name="Input 3 4 4" xfId="2943" xr:uid="{00000000-0005-0000-0000-0000820B0000}"/>
    <cellStyle name="Input 3 4 5" xfId="2944" xr:uid="{00000000-0005-0000-0000-0000830B0000}"/>
    <cellStyle name="Input 4" xfId="2945" xr:uid="{00000000-0005-0000-0000-0000840B0000}"/>
    <cellStyle name="input(0)" xfId="2946" xr:uid="{00000000-0005-0000-0000-0000850B0000}"/>
    <cellStyle name="Input(2)" xfId="2947" xr:uid="{00000000-0005-0000-0000-0000860B0000}"/>
    <cellStyle name="Labels" xfId="2948" xr:uid="{00000000-0005-0000-0000-0000870B0000}"/>
    <cellStyle name="Labels - Style3" xfId="2949" xr:uid="{00000000-0005-0000-0000-0000880B0000}"/>
    <cellStyle name="Labels - Style3 2" xfId="2950" xr:uid="{00000000-0005-0000-0000-0000890B0000}"/>
    <cellStyle name="Labels - Style3 3" xfId="2951" xr:uid="{00000000-0005-0000-0000-00008A0B0000}"/>
    <cellStyle name="Labels - Style3 4" xfId="2952" xr:uid="{00000000-0005-0000-0000-00008B0B0000}"/>
    <cellStyle name="Labels - Style3 5" xfId="2953" xr:uid="{00000000-0005-0000-0000-00008C0B0000}"/>
    <cellStyle name="Labels 2" xfId="2954" xr:uid="{00000000-0005-0000-0000-00008D0B0000}"/>
    <cellStyle name="Labels 2 2" xfId="2955" xr:uid="{00000000-0005-0000-0000-00008E0B0000}"/>
    <cellStyle name="Labels 3" xfId="2956" xr:uid="{00000000-0005-0000-0000-00008F0B0000}"/>
    <cellStyle name="Labels 4" xfId="2957" xr:uid="{00000000-0005-0000-0000-0000900B0000}"/>
    <cellStyle name="Labels 5" xfId="2958" xr:uid="{00000000-0005-0000-0000-0000910B0000}"/>
    <cellStyle name="Labels 6" xfId="2959" xr:uid="{00000000-0005-0000-0000-0000920B0000}"/>
    <cellStyle name="Labels 7" xfId="2960" xr:uid="{00000000-0005-0000-0000-0000930B0000}"/>
    <cellStyle name="Linked Cell" xfId="2961" builtinId="24" customBuiltin="1"/>
    <cellStyle name="Linked Cell 2" xfId="2962" xr:uid="{00000000-0005-0000-0000-0000950B0000}"/>
    <cellStyle name="Linked Cell 2 2" xfId="2963" xr:uid="{00000000-0005-0000-0000-0000960B0000}"/>
    <cellStyle name="Linked Cell 2 3" xfId="2964" xr:uid="{00000000-0005-0000-0000-0000970B0000}"/>
    <cellStyle name="Linked Cell 2 4" xfId="2965" xr:uid="{00000000-0005-0000-0000-0000980B0000}"/>
    <cellStyle name="Linked Cell 2 4 2" xfId="2966" xr:uid="{00000000-0005-0000-0000-0000990B0000}"/>
    <cellStyle name="Linked Cell 3" xfId="2967" xr:uid="{00000000-0005-0000-0000-00009A0B0000}"/>
    <cellStyle name="Linked Cell 3 2" xfId="2968" xr:uid="{00000000-0005-0000-0000-00009B0B0000}"/>
    <cellStyle name="Linked Cell 3 3" xfId="2969" xr:uid="{00000000-0005-0000-0000-00009C0B0000}"/>
    <cellStyle name="Linked Cell 4" xfId="2970" xr:uid="{00000000-0005-0000-0000-00009D0B0000}"/>
    <cellStyle name="Neutral" xfId="2971" builtinId="28" customBuiltin="1"/>
    <cellStyle name="Neutral 2" xfId="2972" xr:uid="{00000000-0005-0000-0000-00009F0B0000}"/>
    <cellStyle name="Neutral 2 2" xfId="2973" xr:uid="{00000000-0005-0000-0000-0000A00B0000}"/>
    <cellStyle name="Neutral 2 2 2" xfId="2974" xr:uid="{00000000-0005-0000-0000-0000A10B0000}"/>
    <cellStyle name="Neutral 2 3" xfId="2975" xr:uid="{00000000-0005-0000-0000-0000A20B0000}"/>
    <cellStyle name="Neutral 2 4" xfId="2976" xr:uid="{00000000-0005-0000-0000-0000A30B0000}"/>
    <cellStyle name="Neutral 2 4 2" xfId="2977" xr:uid="{00000000-0005-0000-0000-0000A40B0000}"/>
    <cellStyle name="Neutral 3" xfId="2978" xr:uid="{00000000-0005-0000-0000-0000A50B0000}"/>
    <cellStyle name="Neutral 3 2" xfId="2979" xr:uid="{00000000-0005-0000-0000-0000A60B0000}"/>
    <cellStyle name="Neutral 3 3" xfId="2980" xr:uid="{00000000-0005-0000-0000-0000A70B0000}"/>
    <cellStyle name="Neutral 4" xfId="2981" xr:uid="{00000000-0005-0000-0000-0000A80B0000}"/>
    <cellStyle name="New_normal" xfId="2982" xr:uid="{00000000-0005-0000-0000-0000A90B0000}"/>
    <cellStyle name="Normal" xfId="0" builtinId="0"/>
    <cellStyle name="Normal - Style1" xfId="2983" xr:uid="{00000000-0005-0000-0000-0000AB0B0000}"/>
    <cellStyle name="Normal - Style2" xfId="2984" xr:uid="{00000000-0005-0000-0000-0000AC0B0000}"/>
    <cellStyle name="Normal - Style3" xfId="2985" xr:uid="{00000000-0005-0000-0000-0000AD0B0000}"/>
    <cellStyle name="Normal - Style4" xfId="2986" xr:uid="{00000000-0005-0000-0000-0000AE0B0000}"/>
    <cellStyle name="Normal - Style5" xfId="2987" xr:uid="{00000000-0005-0000-0000-0000AF0B0000}"/>
    <cellStyle name="Normal - Style6" xfId="2988" xr:uid="{00000000-0005-0000-0000-0000B00B0000}"/>
    <cellStyle name="Normal - Style7" xfId="2989" xr:uid="{00000000-0005-0000-0000-0000B10B0000}"/>
    <cellStyle name="Normal - Style8" xfId="2990" xr:uid="{00000000-0005-0000-0000-0000B20B0000}"/>
    <cellStyle name="Normal 10" xfId="2991" xr:uid="{00000000-0005-0000-0000-0000B30B0000}"/>
    <cellStyle name="Normal 10 10" xfId="2992" xr:uid="{00000000-0005-0000-0000-0000B40B0000}"/>
    <cellStyle name="Normal 10 10 2" xfId="2993" xr:uid="{00000000-0005-0000-0000-0000B50B0000}"/>
    <cellStyle name="Normal 10 2" xfId="2994" xr:uid="{00000000-0005-0000-0000-0000B60B0000}"/>
    <cellStyle name="Normal 10 2 2" xfId="2995" xr:uid="{00000000-0005-0000-0000-0000B70B0000}"/>
    <cellStyle name="Normal 10 2 2 2" xfId="2996" xr:uid="{00000000-0005-0000-0000-0000B80B0000}"/>
    <cellStyle name="Normal 10 2 2 2 2" xfId="2997" xr:uid="{00000000-0005-0000-0000-0000B90B0000}"/>
    <cellStyle name="Normal 10 2 2 2 2 2" xfId="2998" xr:uid="{00000000-0005-0000-0000-0000BA0B0000}"/>
    <cellStyle name="Normal 10 2 2 2 2 2 2" xfId="2999" xr:uid="{00000000-0005-0000-0000-0000BB0B0000}"/>
    <cellStyle name="Normal 10 2 2 2 2 2 2 2" xfId="3000" xr:uid="{00000000-0005-0000-0000-0000BC0B0000}"/>
    <cellStyle name="Normal 10 2 2 2 2 2 2 2 2" xfId="3001" xr:uid="{00000000-0005-0000-0000-0000BD0B0000}"/>
    <cellStyle name="Normal 10 2 2 2 2 2 2 3" xfId="3002" xr:uid="{00000000-0005-0000-0000-0000BE0B0000}"/>
    <cellStyle name="Normal 10 2 2 2 2 2 3" xfId="3003" xr:uid="{00000000-0005-0000-0000-0000BF0B0000}"/>
    <cellStyle name="Normal 10 2 2 2 2 2 3 2" xfId="3004" xr:uid="{00000000-0005-0000-0000-0000C00B0000}"/>
    <cellStyle name="Normal 10 2 2 2 2 2 3 2 2" xfId="3005" xr:uid="{00000000-0005-0000-0000-0000C10B0000}"/>
    <cellStyle name="Normal 10 2 2 2 2 2 3 3" xfId="3006" xr:uid="{00000000-0005-0000-0000-0000C20B0000}"/>
    <cellStyle name="Normal 10 2 2 2 2 2 4" xfId="3007" xr:uid="{00000000-0005-0000-0000-0000C30B0000}"/>
    <cellStyle name="Normal 10 2 2 2 2 2 4 2" xfId="3008" xr:uid="{00000000-0005-0000-0000-0000C40B0000}"/>
    <cellStyle name="Normal 10 2 2 2 2 2 5" xfId="3009" xr:uid="{00000000-0005-0000-0000-0000C50B0000}"/>
    <cellStyle name="Normal 10 2 2 2 2 3" xfId="3010" xr:uid="{00000000-0005-0000-0000-0000C60B0000}"/>
    <cellStyle name="Normal 10 2 2 2 2 3 2" xfId="3011" xr:uid="{00000000-0005-0000-0000-0000C70B0000}"/>
    <cellStyle name="Normal 10 2 2 2 2 3 2 2" xfId="3012" xr:uid="{00000000-0005-0000-0000-0000C80B0000}"/>
    <cellStyle name="Normal 10 2 2 2 2 3 3" xfId="3013" xr:uid="{00000000-0005-0000-0000-0000C90B0000}"/>
    <cellStyle name="Normal 10 2 2 2 2 4" xfId="3014" xr:uid="{00000000-0005-0000-0000-0000CA0B0000}"/>
    <cellStyle name="Normal 10 2 2 2 2 4 2" xfId="3015" xr:uid="{00000000-0005-0000-0000-0000CB0B0000}"/>
    <cellStyle name="Normal 10 2 2 2 2 4 2 2" xfId="3016" xr:uid="{00000000-0005-0000-0000-0000CC0B0000}"/>
    <cellStyle name="Normal 10 2 2 2 2 4 3" xfId="3017" xr:uid="{00000000-0005-0000-0000-0000CD0B0000}"/>
    <cellStyle name="Normal 10 2 2 2 2 5" xfId="3018" xr:uid="{00000000-0005-0000-0000-0000CE0B0000}"/>
    <cellStyle name="Normal 10 2 2 2 2 5 2" xfId="3019" xr:uid="{00000000-0005-0000-0000-0000CF0B0000}"/>
    <cellStyle name="Normal 10 2 2 2 2 6" xfId="3020" xr:uid="{00000000-0005-0000-0000-0000D00B0000}"/>
    <cellStyle name="Normal 10 2 2 2 3" xfId="3021" xr:uid="{00000000-0005-0000-0000-0000D10B0000}"/>
    <cellStyle name="Normal 10 2 2 2 3 2" xfId="3022" xr:uid="{00000000-0005-0000-0000-0000D20B0000}"/>
    <cellStyle name="Normal 10 2 2 2 3 2 2" xfId="3023" xr:uid="{00000000-0005-0000-0000-0000D30B0000}"/>
    <cellStyle name="Normal 10 2 2 2 3 2 2 2" xfId="3024" xr:uid="{00000000-0005-0000-0000-0000D40B0000}"/>
    <cellStyle name="Normal 10 2 2 2 3 2 3" xfId="3025" xr:uid="{00000000-0005-0000-0000-0000D50B0000}"/>
    <cellStyle name="Normal 10 2 2 2 3 3" xfId="3026" xr:uid="{00000000-0005-0000-0000-0000D60B0000}"/>
    <cellStyle name="Normal 10 2 2 2 3 3 2" xfId="3027" xr:uid="{00000000-0005-0000-0000-0000D70B0000}"/>
    <cellStyle name="Normal 10 2 2 2 3 3 2 2" xfId="3028" xr:uid="{00000000-0005-0000-0000-0000D80B0000}"/>
    <cellStyle name="Normal 10 2 2 2 3 3 3" xfId="3029" xr:uid="{00000000-0005-0000-0000-0000D90B0000}"/>
    <cellStyle name="Normal 10 2 2 2 3 4" xfId="3030" xr:uid="{00000000-0005-0000-0000-0000DA0B0000}"/>
    <cellStyle name="Normal 10 2 2 2 3 4 2" xfId="3031" xr:uid="{00000000-0005-0000-0000-0000DB0B0000}"/>
    <cellStyle name="Normal 10 2 2 2 3 5" xfId="3032" xr:uid="{00000000-0005-0000-0000-0000DC0B0000}"/>
    <cellStyle name="Normal 10 2 2 2 4" xfId="3033" xr:uid="{00000000-0005-0000-0000-0000DD0B0000}"/>
    <cellStyle name="Normal 10 2 2 2 4 2" xfId="3034" xr:uid="{00000000-0005-0000-0000-0000DE0B0000}"/>
    <cellStyle name="Normal 10 2 2 2 4 2 2" xfId="3035" xr:uid="{00000000-0005-0000-0000-0000DF0B0000}"/>
    <cellStyle name="Normal 10 2 2 2 4 3" xfId="3036" xr:uid="{00000000-0005-0000-0000-0000E00B0000}"/>
    <cellStyle name="Normal 10 2 2 2 5" xfId="3037" xr:uid="{00000000-0005-0000-0000-0000E10B0000}"/>
    <cellStyle name="Normal 10 2 2 2 5 2" xfId="3038" xr:uid="{00000000-0005-0000-0000-0000E20B0000}"/>
    <cellStyle name="Normal 10 2 2 2 5 2 2" xfId="3039" xr:uid="{00000000-0005-0000-0000-0000E30B0000}"/>
    <cellStyle name="Normal 10 2 2 2 5 3" xfId="3040" xr:uid="{00000000-0005-0000-0000-0000E40B0000}"/>
    <cellStyle name="Normal 10 2 2 2 6" xfId="3041" xr:uid="{00000000-0005-0000-0000-0000E50B0000}"/>
    <cellStyle name="Normal 10 2 2 2 6 2" xfId="3042" xr:uid="{00000000-0005-0000-0000-0000E60B0000}"/>
    <cellStyle name="Normal 10 2 2 2 7" xfId="3043" xr:uid="{00000000-0005-0000-0000-0000E70B0000}"/>
    <cellStyle name="Normal 10 2 2 3" xfId="3044" xr:uid="{00000000-0005-0000-0000-0000E80B0000}"/>
    <cellStyle name="Normal 10 2 2 3 2" xfId="3045" xr:uid="{00000000-0005-0000-0000-0000E90B0000}"/>
    <cellStyle name="Normal 10 2 2 3 2 2" xfId="3046" xr:uid="{00000000-0005-0000-0000-0000EA0B0000}"/>
    <cellStyle name="Normal 10 2 2 3 2 2 2" xfId="3047" xr:uid="{00000000-0005-0000-0000-0000EB0B0000}"/>
    <cellStyle name="Normal 10 2 2 3 2 2 2 2" xfId="3048" xr:uid="{00000000-0005-0000-0000-0000EC0B0000}"/>
    <cellStyle name="Normal 10 2 2 3 2 2 3" xfId="3049" xr:uid="{00000000-0005-0000-0000-0000ED0B0000}"/>
    <cellStyle name="Normal 10 2 2 3 2 3" xfId="3050" xr:uid="{00000000-0005-0000-0000-0000EE0B0000}"/>
    <cellStyle name="Normal 10 2 2 3 2 3 2" xfId="3051" xr:uid="{00000000-0005-0000-0000-0000EF0B0000}"/>
    <cellStyle name="Normal 10 2 2 3 2 3 2 2" xfId="3052" xr:uid="{00000000-0005-0000-0000-0000F00B0000}"/>
    <cellStyle name="Normal 10 2 2 3 2 3 3" xfId="3053" xr:uid="{00000000-0005-0000-0000-0000F10B0000}"/>
    <cellStyle name="Normal 10 2 2 3 2 4" xfId="3054" xr:uid="{00000000-0005-0000-0000-0000F20B0000}"/>
    <cellStyle name="Normal 10 2 2 3 2 4 2" xfId="3055" xr:uid="{00000000-0005-0000-0000-0000F30B0000}"/>
    <cellStyle name="Normal 10 2 2 3 2 5" xfId="3056" xr:uid="{00000000-0005-0000-0000-0000F40B0000}"/>
    <cellStyle name="Normal 10 2 2 3 3" xfId="3057" xr:uid="{00000000-0005-0000-0000-0000F50B0000}"/>
    <cellStyle name="Normal 10 2 2 3 3 2" xfId="3058" xr:uid="{00000000-0005-0000-0000-0000F60B0000}"/>
    <cellStyle name="Normal 10 2 2 3 3 2 2" xfId="3059" xr:uid="{00000000-0005-0000-0000-0000F70B0000}"/>
    <cellStyle name="Normal 10 2 2 3 3 3" xfId="3060" xr:uid="{00000000-0005-0000-0000-0000F80B0000}"/>
    <cellStyle name="Normal 10 2 2 3 4" xfId="3061" xr:uid="{00000000-0005-0000-0000-0000F90B0000}"/>
    <cellStyle name="Normal 10 2 2 3 4 2" xfId="3062" xr:uid="{00000000-0005-0000-0000-0000FA0B0000}"/>
    <cellStyle name="Normal 10 2 2 3 4 2 2" xfId="3063" xr:uid="{00000000-0005-0000-0000-0000FB0B0000}"/>
    <cellStyle name="Normal 10 2 2 3 4 3" xfId="3064" xr:uid="{00000000-0005-0000-0000-0000FC0B0000}"/>
    <cellStyle name="Normal 10 2 2 3 5" xfId="3065" xr:uid="{00000000-0005-0000-0000-0000FD0B0000}"/>
    <cellStyle name="Normal 10 2 2 3 5 2" xfId="3066" xr:uid="{00000000-0005-0000-0000-0000FE0B0000}"/>
    <cellStyle name="Normal 10 2 2 3 6" xfId="3067" xr:uid="{00000000-0005-0000-0000-0000FF0B0000}"/>
    <cellStyle name="Normal 10 2 2 4" xfId="3068" xr:uid="{00000000-0005-0000-0000-0000000C0000}"/>
    <cellStyle name="Normal 10 2 2 4 2" xfId="3069" xr:uid="{00000000-0005-0000-0000-0000010C0000}"/>
    <cellStyle name="Normal 10 2 2 4 2 2" xfId="3070" xr:uid="{00000000-0005-0000-0000-0000020C0000}"/>
    <cellStyle name="Normal 10 2 2 4 2 2 2" xfId="3071" xr:uid="{00000000-0005-0000-0000-0000030C0000}"/>
    <cellStyle name="Normal 10 2 2 4 2 3" xfId="3072" xr:uid="{00000000-0005-0000-0000-0000040C0000}"/>
    <cellStyle name="Normal 10 2 2 4 3" xfId="3073" xr:uid="{00000000-0005-0000-0000-0000050C0000}"/>
    <cellStyle name="Normal 10 2 2 4 3 2" xfId="3074" xr:uid="{00000000-0005-0000-0000-0000060C0000}"/>
    <cellStyle name="Normal 10 2 2 4 3 2 2" xfId="3075" xr:uid="{00000000-0005-0000-0000-0000070C0000}"/>
    <cellStyle name="Normal 10 2 2 4 3 3" xfId="3076" xr:uid="{00000000-0005-0000-0000-0000080C0000}"/>
    <cellStyle name="Normal 10 2 2 4 4" xfId="3077" xr:uid="{00000000-0005-0000-0000-0000090C0000}"/>
    <cellStyle name="Normal 10 2 2 4 4 2" xfId="3078" xr:uid="{00000000-0005-0000-0000-00000A0C0000}"/>
    <cellStyle name="Normal 10 2 2 4 5" xfId="3079" xr:uid="{00000000-0005-0000-0000-00000B0C0000}"/>
    <cellStyle name="Normal 10 2 2 5" xfId="3080" xr:uid="{00000000-0005-0000-0000-00000C0C0000}"/>
    <cellStyle name="Normal 10 2 2 5 2" xfId="3081" xr:uid="{00000000-0005-0000-0000-00000D0C0000}"/>
    <cellStyle name="Normal 10 2 2 5 2 2" xfId="3082" xr:uid="{00000000-0005-0000-0000-00000E0C0000}"/>
    <cellStyle name="Normal 10 2 2 5 3" xfId="3083" xr:uid="{00000000-0005-0000-0000-00000F0C0000}"/>
    <cellStyle name="Normal 10 2 2 6" xfId="3084" xr:uid="{00000000-0005-0000-0000-0000100C0000}"/>
    <cellStyle name="Normal 10 2 2 6 2" xfId="3085" xr:uid="{00000000-0005-0000-0000-0000110C0000}"/>
    <cellStyle name="Normal 10 2 2 6 2 2" xfId="3086" xr:uid="{00000000-0005-0000-0000-0000120C0000}"/>
    <cellStyle name="Normal 10 2 2 6 3" xfId="3087" xr:uid="{00000000-0005-0000-0000-0000130C0000}"/>
    <cellStyle name="Normal 10 2 2 7" xfId="3088" xr:uid="{00000000-0005-0000-0000-0000140C0000}"/>
    <cellStyle name="Normal 10 2 2 7 2" xfId="3089" xr:uid="{00000000-0005-0000-0000-0000150C0000}"/>
    <cellStyle name="Normal 10 2 2 8" xfId="3090" xr:uid="{00000000-0005-0000-0000-0000160C0000}"/>
    <cellStyle name="Normal 10 2 3" xfId="3091" xr:uid="{00000000-0005-0000-0000-0000170C0000}"/>
    <cellStyle name="Normal 10 2 3 2" xfId="3092" xr:uid="{00000000-0005-0000-0000-0000180C0000}"/>
    <cellStyle name="Normal 10 2 3 2 2" xfId="3093" xr:uid="{00000000-0005-0000-0000-0000190C0000}"/>
    <cellStyle name="Normal 10 2 3 2 2 2" xfId="3094" xr:uid="{00000000-0005-0000-0000-00001A0C0000}"/>
    <cellStyle name="Normal 10 2 3 2 2 2 2" xfId="3095" xr:uid="{00000000-0005-0000-0000-00001B0C0000}"/>
    <cellStyle name="Normal 10 2 3 2 2 2 2 2" xfId="3096" xr:uid="{00000000-0005-0000-0000-00001C0C0000}"/>
    <cellStyle name="Normal 10 2 3 2 2 2 3" xfId="3097" xr:uid="{00000000-0005-0000-0000-00001D0C0000}"/>
    <cellStyle name="Normal 10 2 3 2 2 3" xfId="3098" xr:uid="{00000000-0005-0000-0000-00001E0C0000}"/>
    <cellStyle name="Normal 10 2 3 2 2 3 2" xfId="3099" xr:uid="{00000000-0005-0000-0000-00001F0C0000}"/>
    <cellStyle name="Normal 10 2 3 2 2 3 2 2" xfId="3100" xr:uid="{00000000-0005-0000-0000-0000200C0000}"/>
    <cellStyle name="Normal 10 2 3 2 2 3 3" xfId="3101" xr:uid="{00000000-0005-0000-0000-0000210C0000}"/>
    <cellStyle name="Normal 10 2 3 2 2 4" xfId="3102" xr:uid="{00000000-0005-0000-0000-0000220C0000}"/>
    <cellStyle name="Normal 10 2 3 2 2 4 2" xfId="3103" xr:uid="{00000000-0005-0000-0000-0000230C0000}"/>
    <cellStyle name="Normal 10 2 3 2 2 5" xfId="3104" xr:uid="{00000000-0005-0000-0000-0000240C0000}"/>
    <cellStyle name="Normal 10 2 3 2 3" xfId="3105" xr:uid="{00000000-0005-0000-0000-0000250C0000}"/>
    <cellStyle name="Normal 10 2 3 2 3 2" xfId="3106" xr:uid="{00000000-0005-0000-0000-0000260C0000}"/>
    <cellStyle name="Normal 10 2 3 2 3 2 2" xfId="3107" xr:uid="{00000000-0005-0000-0000-0000270C0000}"/>
    <cellStyle name="Normal 10 2 3 2 3 3" xfId="3108" xr:uid="{00000000-0005-0000-0000-0000280C0000}"/>
    <cellStyle name="Normal 10 2 3 2 4" xfId="3109" xr:uid="{00000000-0005-0000-0000-0000290C0000}"/>
    <cellStyle name="Normal 10 2 3 2 4 2" xfId="3110" xr:uid="{00000000-0005-0000-0000-00002A0C0000}"/>
    <cellStyle name="Normal 10 2 3 2 4 2 2" xfId="3111" xr:uid="{00000000-0005-0000-0000-00002B0C0000}"/>
    <cellStyle name="Normal 10 2 3 2 4 3" xfId="3112" xr:uid="{00000000-0005-0000-0000-00002C0C0000}"/>
    <cellStyle name="Normal 10 2 3 2 5" xfId="3113" xr:uid="{00000000-0005-0000-0000-00002D0C0000}"/>
    <cellStyle name="Normal 10 2 3 2 5 2" xfId="3114" xr:uid="{00000000-0005-0000-0000-00002E0C0000}"/>
    <cellStyle name="Normal 10 2 3 2 6" xfId="3115" xr:uid="{00000000-0005-0000-0000-00002F0C0000}"/>
    <cellStyle name="Normal 10 2 3 3" xfId="3116" xr:uid="{00000000-0005-0000-0000-0000300C0000}"/>
    <cellStyle name="Normal 10 2 3 3 2" xfId="3117" xr:uid="{00000000-0005-0000-0000-0000310C0000}"/>
    <cellStyle name="Normal 10 2 3 3 2 2" xfId="3118" xr:uid="{00000000-0005-0000-0000-0000320C0000}"/>
    <cellStyle name="Normal 10 2 3 3 2 2 2" xfId="3119" xr:uid="{00000000-0005-0000-0000-0000330C0000}"/>
    <cellStyle name="Normal 10 2 3 3 2 3" xfId="3120" xr:uid="{00000000-0005-0000-0000-0000340C0000}"/>
    <cellStyle name="Normal 10 2 3 3 3" xfId="3121" xr:uid="{00000000-0005-0000-0000-0000350C0000}"/>
    <cellStyle name="Normal 10 2 3 3 3 2" xfId="3122" xr:uid="{00000000-0005-0000-0000-0000360C0000}"/>
    <cellStyle name="Normal 10 2 3 3 3 2 2" xfId="3123" xr:uid="{00000000-0005-0000-0000-0000370C0000}"/>
    <cellStyle name="Normal 10 2 3 3 3 3" xfId="3124" xr:uid="{00000000-0005-0000-0000-0000380C0000}"/>
    <cellStyle name="Normal 10 2 3 3 4" xfId="3125" xr:uid="{00000000-0005-0000-0000-0000390C0000}"/>
    <cellStyle name="Normal 10 2 3 3 4 2" xfId="3126" xr:uid="{00000000-0005-0000-0000-00003A0C0000}"/>
    <cellStyle name="Normal 10 2 3 3 5" xfId="3127" xr:uid="{00000000-0005-0000-0000-00003B0C0000}"/>
    <cellStyle name="Normal 10 2 3 4" xfId="3128" xr:uid="{00000000-0005-0000-0000-00003C0C0000}"/>
    <cellStyle name="Normal 10 2 3 4 2" xfId="3129" xr:uid="{00000000-0005-0000-0000-00003D0C0000}"/>
    <cellStyle name="Normal 10 2 3 4 2 2" xfId="3130" xr:uid="{00000000-0005-0000-0000-00003E0C0000}"/>
    <cellStyle name="Normal 10 2 3 5" xfId="3131" xr:uid="{00000000-0005-0000-0000-00003F0C0000}"/>
    <cellStyle name="Normal 10 2 3 5 2" xfId="3132" xr:uid="{00000000-0005-0000-0000-0000400C0000}"/>
    <cellStyle name="Normal 10 2 3 5 2 2" xfId="3133" xr:uid="{00000000-0005-0000-0000-0000410C0000}"/>
    <cellStyle name="Normal 10 2 3 5 3" xfId="3134" xr:uid="{00000000-0005-0000-0000-0000420C0000}"/>
    <cellStyle name="Normal 10 2 3 6" xfId="3135" xr:uid="{00000000-0005-0000-0000-0000430C0000}"/>
    <cellStyle name="Normal 10 2 3 6 2" xfId="3136" xr:uid="{00000000-0005-0000-0000-0000440C0000}"/>
    <cellStyle name="Normal 10 2 4" xfId="3137" xr:uid="{00000000-0005-0000-0000-0000450C0000}"/>
    <cellStyle name="Normal 10 2 4 2" xfId="3138" xr:uid="{00000000-0005-0000-0000-0000460C0000}"/>
    <cellStyle name="Normal 10 2 4 2 2" xfId="3139" xr:uid="{00000000-0005-0000-0000-0000470C0000}"/>
    <cellStyle name="Normal 10 2 4 2 2 2" xfId="3140" xr:uid="{00000000-0005-0000-0000-0000480C0000}"/>
    <cellStyle name="Normal 10 2 4 2 2 2 2" xfId="3141" xr:uid="{00000000-0005-0000-0000-0000490C0000}"/>
    <cellStyle name="Normal 10 2 4 2 2 3" xfId="3142" xr:uid="{00000000-0005-0000-0000-00004A0C0000}"/>
    <cellStyle name="Normal 10 2 4 2 3" xfId="3143" xr:uid="{00000000-0005-0000-0000-00004B0C0000}"/>
    <cellStyle name="Normal 10 2 4 2 3 2" xfId="3144" xr:uid="{00000000-0005-0000-0000-00004C0C0000}"/>
    <cellStyle name="Normal 10 2 4 2 3 2 2" xfId="3145" xr:uid="{00000000-0005-0000-0000-00004D0C0000}"/>
    <cellStyle name="Normal 10 2 4 2 3 3" xfId="3146" xr:uid="{00000000-0005-0000-0000-00004E0C0000}"/>
    <cellStyle name="Normal 10 2 4 2 4" xfId="3147" xr:uid="{00000000-0005-0000-0000-00004F0C0000}"/>
    <cellStyle name="Normal 10 2 4 2 4 2" xfId="3148" xr:uid="{00000000-0005-0000-0000-0000500C0000}"/>
    <cellStyle name="Normal 10 2 4 3" xfId="3149" xr:uid="{00000000-0005-0000-0000-0000510C0000}"/>
    <cellStyle name="Normal 10 2 4 3 2" xfId="3150" xr:uid="{00000000-0005-0000-0000-0000520C0000}"/>
    <cellStyle name="Normal 10 2 4 3 2 2" xfId="3151" xr:uid="{00000000-0005-0000-0000-0000530C0000}"/>
    <cellStyle name="Normal 10 2 4 3 3" xfId="3152" xr:uid="{00000000-0005-0000-0000-0000540C0000}"/>
    <cellStyle name="Normal 10 2 4 4" xfId="3153" xr:uid="{00000000-0005-0000-0000-0000550C0000}"/>
    <cellStyle name="Normal 10 2 4 4 2" xfId="3154" xr:uid="{00000000-0005-0000-0000-0000560C0000}"/>
    <cellStyle name="Normal 10 2 4 4 2 2" xfId="3155" xr:uid="{00000000-0005-0000-0000-0000570C0000}"/>
    <cellStyle name="Normal 10 2 4 4 3" xfId="3156" xr:uid="{00000000-0005-0000-0000-0000580C0000}"/>
    <cellStyle name="Normal 10 2 4 5" xfId="3157" xr:uid="{00000000-0005-0000-0000-0000590C0000}"/>
    <cellStyle name="Normal 10 2 4 5 2" xfId="3158" xr:uid="{00000000-0005-0000-0000-00005A0C0000}"/>
    <cellStyle name="Normal 10 2 5" xfId="3159" xr:uid="{00000000-0005-0000-0000-00005B0C0000}"/>
    <cellStyle name="Normal 10 2 5 2" xfId="3160" xr:uid="{00000000-0005-0000-0000-00005C0C0000}"/>
    <cellStyle name="Normal 10 2 5 2 2" xfId="3161" xr:uid="{00000000-0005-0000-0000-00005D0C0000}"/>
    <cellStyle name="Normal 10 2 5 2 2 2" xfId="3162" xr:uid="{00000000-0005-0000-0000-00005E0C0000}"/>
    <cellStyle name="Normal 10 2 5 2 3" xfId="3163" xr:uid="{00000000-0005-0000-0000-00005F0C0000}"/>
    <cellStyle name="Normal 10 2 5 3" xfId="3164" xr:uid="{00000000-0005-0000-0000-0000600C0000}"/>
    <cellStyle name="Normal 10 2 5 3 2" xfId="3165" xr:uid="{00000000-0005-0000-0000-0000610C0000}"/>
    <cellStyle name="Normal 10 2 5 3 2 2" xfId="3166" xr:uid="{00000000-0005-0000-0000-0000620C0000}"/>
    <cellStyle name="Normal 10 2 5 3 3" xfId="3167" xr:uid="{00000000-0005-0000-0000-0000630C0000}"/>
    <cellStyle name="Normal 10 2 5 4" xfId="3168" xr:uid="{00000000-0005-0000-0000-0000640C0000}"/>
    <cellStyle name="Normal 10 2 5 4 2" xfId="3169" xr:uid="{00000000-0005-0000-0000-0000650C0000}"/>
    <cellStyle name="Normal 10 2 6" xfId="3170" xr:uid="{00000000-0005-0000-0000-0000660C0000}"/>
    <cellStyle name="Normal 10 2 6 2" xfId="3171" xr:uid="{00000000-0005-0000-0000-0000670C0000}"/>
    <cellStyle name="Normal 10 2 6 2 2" xfId="3172" xr:uid="{00000000-0005-0000-0000-0000680C0000}"/>
    <cellStyle name="Normal 10 2 7" xfId="3173" xr:uid="{00000000-0005-0000-0000-0000690C0000}"/>
    <cellStyle name="Normal 10 2 7 2" xfId="3174" xr:uid="{00000000-0005-0000-0000-00006A0C0000}"/>
    <cellStyle name="Normal 10 2 7 2 2" xfId="3175" xr:uid="{00000000-0005-0000-0000-00006B0C0000}"/>
    <cellStyle name="Normal 10 2 7 3" xfId="3176" xr:uid="{00000000-0005-0000-0000-00006C0C0000}"/>
    <cellStyle name="Normal 10 2 8" xfId="3177" xr:uid="{00000000-0005-0000-0000-00006D0C0000}"/>
    <cellStyle name="Normal 10 2 8 2" xfId="3178" xr:uid="{00000000-0005-0000-0000-00006E0C0000}"/>
    <cellStyle name="Normal 10 3" xfId="3179" xr:uid="{00000000-0005-0000-0000-00006F0C0000}"/>
    <cellStyle name="Normal 10 3 2" xfId="3180" xr:uid="{00000000-0005-0000-0000-0000700C0000}"/>
    <cellStyle name="Normal 10 3 2 2" xfId="3181" xr:uid="{00000000-0005-0000-0000-0000710C0000}"/>
    <cellStyle name="Normal 10 3 2 2 2" xfId="3182" xr:uid="{00000000-0005-0000-0000-0000720C0000}"/>
    <cellStyle name="Normal 10 3 2 2 2 2" xfId="3183" xr:uid="{00000000-0005-0000-0000-0000730C0000}"/>
    <cellStyle name="Normal 10 3 2 2 2 2 2" xfId="3184" xr:uid="{00000000-0005-0000-0000-0000740C0000}"/>
    <cellStyle name="Normal 10 3 2 2 2 2 2 2" xfId="3185" xr:uid="{00000000-0005-0000-0000-0000750C0000}"/>
    <cellStyle name="Normal 10 3 2 2 2 2 3" xfId="3186" xr:uid="{00000000-0005-0000-0000-0000760C0000}"/>
    <cellStyle name="Normal 10 3 2 2 2 3" xfId="3187" xr:uid="{00000000-0005-0000-0000-0000770C0000}"/>
    <cellStyle name="Normal 10 3 2 2 2 3 2" xfId="3188" xr:uid="{00000000-0005-0000-0000-0000780C0000}"/>
    <cellStyle name="Normal 10 3 2 2 2 3 2 2" xfId="3189" xr:uid="{00000000-0005-0000-0000-0000790C0000}"/>
    <cellStyle name="Normal 10 3 2 2 2 3 3" xfId="3190" xr:uid="{00000000-0005-0000-0000-00007A0C0000}"/>
    <cellStyle name="Normal 10 3 2 2 2 4" xfId="3191" xr:uid="{00000000-0005-0000-0000-00007B0C0000}"/>
    <cellStyle name="Normal 10 3 2 2 2 4 2" xfId="3192" xr:uid="{00000000-0005-0000-0000-00007C0C0000}"/>
    <cellStyle name="Normal 10 3 2 2 2 5" xfId="3193" xr:uid="{00000000-0005-0000-0000-00007D0C0000}"/>
    <cellStyle name="Normal 10 3 2 2 3" xfId="3194" xr:uid="{00000000-0005-0000-0000-00007E0C0000}"/>
    <cellStyle name="Normal 10 3 2 2 3 2" xfId="3195" xr:uid="{00000000-0005-0000-0000-00007F0C0000}"/>
    <cellStyle name="Normal 10 3 2 2 3 2 2" xfId="3196" xr:uid="{00000000-0005-0000-0000-0000800C0000}"/>
    <cellStyle name="Normal 10 3 2 2 3 3" xfId="3197" xr:uid="{00000000-0005-0000-0000-0000810C0000}"/>
    <cellStyle name="Normal 10 3 2 2 4" xfId="3198" xr:uid="{00000000-0005-0000-0000-0000820C0000}"/>
    <cellStyle name="Normal 10 3 2 2 4 2" xfId="3199" xr:uid="{00000000-0005-0000-0000-0000830C0000}"/>
    <cellStyle name="Normal 10 3 2 2 4 2 2" xfId="3200" xr:uid="{00000000-0005-0000-0000-0000840C0000}"/>
    <cellStyle name="Normal 10 3 2 2 4 3" xfId="3201" xr:uid="{00000000-0005-0000-0000-0000850C0000}"/>
    <cellStyle name="Normal 10 3 2 2 5" xfId="3202" xr:uid="{00000000-0005-0000-0000-0000860C0000}"/>
    <cellStyle name="Normal 10 3 2 2 5 2" xfId="3203" xr:uid="{00000000-0005-0000-0000-0000870C0000}"/>
    <cellStyle name="Normal 10 3 2 2 6" xfId="3204" xr:uid="{00000000-0005-0000-0000-0000880C0000}"/>
    <cellStyle name="Normal 10 3 2 3" xfId="3205" xr:uid="{00000000-0005-0000-0000-0000890C0000}"/>
    <cellStyle name="Normal 10 3 2 3 2" xfId="3206" xr:uid="{00000000-0005-0000-0000-00008A0C0000}"/>
    <cellStyle name="Normal 10 3 2 3 2 2" xfId="3207" xr:uid="{00000000-0005-0000-0000-00008B0C0000}"/>
    <cellStyle name="Normal 10 3 2 3 2 2 2" xfId="3208" xr:uid="{00000000-0005-0000-0000-00008C0C0000}"/>
    <cellStyle name="Normal 10 3 2 3 2 3" xfId="3209" xr:uid="{00000000-0005-0000-0000-00008D0C0000}"/>
    <cellStyle name="Normal 10 3 2 3 3" xfId="3210" xr:uid="{00000000-0005-0000-0000-00008E0C0000}"/>
    <cellStyle name="Normal 10 3 2 3 3 2" xfId="3211" xr:uid="{00000000-0005-0000-0000-00008F0C0000}"/>
    <cellStyle name="Normal 10 3 2 3 3 2 2" xfId="3212" xr:uid="{00000000-0005-0000-0000-0000900C0000}"/>
    <cellStyle name="Normal 10 3 2 3 3 3" xfId="3213" xr:uid="{00000000-0005-0000-0000-0000910C0000}"/>
    <cellStyle name="Normal 10 3 2 3 4" xfId="3214" xr:uid="{00000000-0005-0000-0000-0000920C0000}"/>
    <cellStyle name="Normal 10 3 2 3 4 2" xfId="3215" xr:uid="{00000000-0005-0000-0000-0000930C0000}"/>
    <cellStyle name="Normal 10 3 2 3 5" xfId="3216" xr:uid="{00000000-0005-0000-0000-0000940C0000}"/>
    <cellStyle name="Normal 10 3 2 4" xfId="3217" xr:uid="{00000000-0005-0000-0000-0000950C0000}"/>
    <cellStyle name="Normal 10 3 2 4 2" xfId="3218" xr:uid="{00000000-0005-0000-0000-0000960C0000}"/>
    <cellStyle name="Normal 10 3 2 4 2 2" xfId="3219" xr:uid="{00000000-0005-0000-0000-0000970C0000}"/>
    <cellStyle name="Normal 10 3 2 4 3" xfId="3220" xr:uid="{00000000-0005-0000-0000-0000980C0000}"/>
    <cellStyle name="Normal 10 3 2 5" xfId="3221" xr:uid="{00000000-0005-0000-0000-0000990C0000}"/>
    <cellStyle name="Normal 10 3 2 5 2" xfId="3222" xr:uid="{00000000-0005-0000-0000-00009A0C0000}"/>
    <cellStyle name="Normal 10 3 2 5 2 2" xfId="3223" xr:uid="{00000000-0005-0000-0000-00009B0C0000}"/>
    <cellStyle name="Normal 10 3 2 5 3" xfId="3224" xr:uid="{00000000-0005-0000-0000-00009C0C0000}"/>
    <cellStyle name="Normal 10 3 2 6" xfId="3225" xr:uid="{00000000-0005-0000-0000-00009D0C0000}"/>
    <cellStyle name="Normal 10 3 2 6 2" xfId="3226" xr:uid="{00000000-0005-0000-0000-00009E0C0000}"/>
    <cellStyle name="Normal 10 3 2 7" xfId="3227" xr:uid="{00000000-0005-0000-0000-00009F0C0000}"/>
    <cellStyle name="Normal 10 3 2 8" xfId="3228" xr:uid="{00000000-0005-0000-0000-0000A00C0000}"/>
    <cellStyle name="Normal 10 3 3" xfId="3229" xr:uid="{00000000-0005-0000-0000-0000A10C0000}"/>
    <cellStyle name="Normal 10 3 3 2" xfId="3230" xr:uid="{00000000-0005-0000-0000-0000A20C0000}"/>
    <cellStyle name="Normal 10 3 3 2 2" xfId="3231" xr:uid="{00000000-0005-0000-0000-0000A30C0000}"/>
    <cellStyle name="Normal 10 3 3 2 2 2" xfId="3232" xr:uid="{00000000-0005-0000-0000-0000A40C0000}"/>
    <cellStyle name="Normal 10 3 3 2 2 2 2" xfId="3233" xr:uid="{00000000-0005-0000-0000-0000A50C0000}"/>
    <cellStyle name="Normal 10 3 3 2 2 3" xfId="3234" xr:uid="{00000000-0005-0000-0000-0000A60C0000}"/>
    <cellStyle name="Normal 10 3 3 2 3" xfId="3235" xr:uid="{00000000-0005-0000-0000-0000A70C0000}"/>
    <cellStyle name="Normal 10 3 3 2 3 2" xfId="3236" xr:uid="{00000000-0005-0000-0000-0000A80C0000}"/>
    <cellStyle name="Normal 10 3 3 2 3 2 2" xfId="3237" xr:uid="{00000000-0005-0000-0000-0000A90C0000}"/>
    <cellStyle name="Normal 10 3 3 2 3 3" xfId="3238" xr:uid="{00000000-0005-0000-0000-0000AA0C0000}"/>
    <cellStyle name="Normal 10 3 3 2 4" xfId="3239" xr:uid="{00000000-0005-0000-0000-0000AB0C0000}"/>
    <cellStyle name="Normal 10 3 3 2 4 2" xfId="3240" xr:uid="{00000000-0005-0000-0000-0000AC0C0000}"/>
    <cellStyle name="Normal 10 3 3 2 5" xfId="3241" xr:uid="{00000000-0005-0000-0000-0000AD0C0000}"/>
    <cellStyle name="Normal 10 3 3 3" xfId="3242" xr:uid="{00000000-0005-0000-0000-0000AE0C0000}"/>
    <cellStyle name="Normal 10 3 3 3 2" xfId="3243" xr:uid="{00000000-0005-0000-0000-0000AF0C0000}"/>
    <cellStyle name="Normal 10 3 3 3 2 2" xfId="3244" xr:uid="{00000000-0005-0000-0000-0000B00C0000}"/>
    <cellStyle name="Normal 10 3 3 3 3" xfId="3245" xr:uid="{00000000-0005-0000-0000-0000B10C0000}"/>
    <cellStyle name="Normal 10 3 3 4" xfId="3246" xr:uid="{00000000-0005-0000-0000-0000B20C0000}"/>
    <cellStyle name="Normal 10 3 3 4 2" xfId="3247" xr:uid="{00000000-0005-0000-0000-0000B30C0000}"/>
    <cellStyle name="Normal 10 3 3 4 2 2" xfId="3248" xr:uid="{00000000-0005-0000-0000-0000B40C0000}"/>
    <cellStyle name="Normal 10 3 3 4 3" xfId="3249" xr:uid="{00000000-0005-0000-0000-0000B50C0000}"/>
    <cellStyle name="Normal 10 3 3 5" xfId="3250" xr:uid="{00000000-0005-0000-0000-0000B60C0000}"/>
    <cellStyle name="Normal 10 3 3 5 2" xfId="3251" xr:uid="{00000000-0005-0000-0000-0000B70C0000}"/>
    <cellStyle name="Normal 10 3 3 6" xfId="3252" xr:uid="{00000000-0005-0000-0000-0000B80C0000}"/>
    <cellStyle name="Normal 10 3 4" xfId="3253" xr:uid="{00000000-0005-0000-0000-0000B90C0000}"/>
    <cellStyle name="Normal 10 3 4 2" xfId="3254" xr:uid="{00000000-0005-0000-0000-0000BA0C0000}"/>
    <cellStyle name="Normal 10 3 4 2 2" xfId="3255" xr:uid="{00000000-0005-0000-0000-0000BB0C0000}"/>
    <cellStyle name="Normal 10 3 4 2 2 2" xfId="3256" xr:uid="{00000000-0005-0000-0000-0000BC0C0000}"/>
    <cellStyle name="Normal 10 3 4 2 3" xfId="3257" xr:uid="{00000000-0005-0000-0000-0000BD0C0000}"/>
    <cellStyle name="Normal 10 3 4 3" xfId="3258" xr:uid="{00000000-0005-0000-0000-0000BE0C0000}"/>
    <cellStyle name="Normal 10 3 4 3 2" xfId="3259" xr:uid="{00000000-0005-0000-0000-0000BF0C0000}"/>
    <cellStyle name="Normal 10 3 4 3 2 2" xfId="3260" xr:uid="{00000000-0005-0000-0000-0000C00C0000}"/>
    <cellStyle name="Normal 10 3 4 3 3" xfId="3261" xr:uid="{00000000-0005-0000-0000-0000C10C0000}"/>
    <cellStyle name="Normal 10 3 4 4" xfId="3262" xr:uid="{00000000-0005-0000-0000-0000C20C0000}"/>
    <cellStyle name="Normal 10 3 4 4 2" xfId="3263" xr:uid="{00000000-0005-0000-0000-0000C30C0000}"/>
    <cellStyle name="Normal 10 3 4 5" xfId="3264" xr:uid="{00000000-0005-0000-0000-0000C40C0000}"/>
    <cellStyle name="Normal 10 3 5" xfId="3265" xr:uid="{00000000-0005-0000-0000-0000C50C0000}"/>
    <cellStyle name="Normal 10 3 5 2" xfId="3266" xr:uid="{00000000-0005-0000-0000-0000C60C0000}"/>
    <cellStyle name="Normal 10 3 5 2 2" xfId="3267" xr:uid="{00000000-0005-0000-0000-0000C70C0000}"/>
    <cellStyle name="Normal 10 3 5 3" xfId="3268" xr:uid="{00000000-0005-0000-0000-0000C80C0000}"/>
    <cellStyle name="Normal 10 3 6" xfId="3269" xr:uid="{00000000-0005-0000-0000-0000C90C0000}"/>
    <cellStyle name="Normal 10 3 6 2" xfId="3270" xr:uid="{00000000-0005-0000-0000-0000CA0C0000}"/>
    <cellStyle name="Normal 10 3 6 2 2" xfId="3271" xr:uid="{00000000-0005-0000-0000-0000CB0C0000}"/>
    <cellStyle name="Normal 10 3 7" xfId="3272" xr:uid="{00000000-0005-0000-0000-0000CC0C0000}"/>
    <cellStyle name="Normal 10 3 7 2" xfId="3273" xr:uid="{00000000-0005-0000-0000-0000CD0C0000}"/>
    <cellStyle name="Normal 10 3 8" xfId="3274" xr:uid="{00000000-0005-0000-0000-0000CE0C0000}"/>
    <cellStyle name="Normal 10 4" xfId="3275" xr:uid="{00000000-0005-0000-0000-0000CF0C0000}"/>
    <cellStyle name="Normal 10 4 2" xfId="3276" xr:uid="{00000000-0005-0000-0000-0000D00C0000}"/>
    <cellStyle name="Normal 10 4 2 2" xfId="3277" xr:uid="{00000000-0005-0000-0000-0000D10C0000}"/>
    <cellStyle name="Normal 10 4 2 2 2" xfId="3278" xr:uid="{00000000-0005-0000-0000-0000D20C0000}"/>
    <cellStyle name="Normal 10 4 2 2 2 2" xfId="3279" xr:uid="{00000000-0005-0000-0000-0000D30C0000}"/>
    <cellStyle name="Normal 10 4 2 2 2 2 2" xfId="3280" xr:uid="{00000000-0005-0000-0000-0000D40C0000}"/>
    <cellStyle name="Normal 10 4 2 2 2 2 2 2" xfId="3281" xr:uid="{00000000-0005-0000-0000-0000D50C0000}"/>
    <cellStyle name="Normal 10 4 2 2 2 2 3" xfId="3282" xr:uid="{00000000-0005-0000-0000-0000D60C0000}"/>
    <cellStyle name="Normal 10 4 2 2 2 3" xfId="3283" xr:uid="{00000000-0005-0000-0000-0000D70C0000}"/>
    <cellStyle name="Normal 10 4 2 2 2 3 2" xfId="3284" xr:uid="{00000000-0005-0000-0000-0000D80C0000}"/>
    <cellStyle name="Normal 10 4 2 2 2 3 2 2" xfId="3285" xr:uid="{00000000-0005-0000-0000-0000D90C0000}"/>
    <cellStyle name="Normal 10 4 2 2 2 3 3" xfId="3286" xr:uid="{00000000-0005-0000-0000-0000DA0C0000}"/>
    <cellStyle name="Normal 10 4 2 2 2 4" xfId="3287" xr:uid="{00000000-0005-0000-0000-0000DB0C0000}"/>
    <cellStyle name="Normal 10 4 2 2 2 4 2" xfId="3288" xr:uid="{00000000-0005-0000-0000-0000DC0C0000}"/>
    <cellStyle name="Normal 10 4 2 2 2 5" xfId="3289" xr:uid="{00000000-0005-0000-0000-0000DD0C0000}"/>
    <cellStyle name="Normal 10 4 2 2 3" xfId="3290" xr:uid="{00000000-0005-0000-0000-0000DE0C0000}"/>
    <cellStyle name="Normal 10 4 2 2 3 2" xfId="3291" xr:uid="{00000000-0005-0000-0000-0000DF0C0000}"/>
    <cellStyle name="Normal 10 4 2 2 3 2 2" xfId="3292" xr:uid="{00000000-0005-0000-0000-0000E00C0000}"/>
    <cellStyle name="Normal 10 4 2 2 3 3" xfId="3293" xr:uid="{00000000-0005-0000-0000-0000E10C0000}"/>
    <cellStyle name="Normal 10 4 2 2 4" xfId="3294" xr:uid="{00000000-0005-0000-0000-0000E20C0000}"/>
    <cellStyle name="Normal 10 4 2 2 4 2" xfId="3295" xr:uid="{00000000-0005-0000-0000-0000E30C0000}"/>
    <cellStyle name="Normal 10 4 2 2 4 2 2" xfId="3296" xr:uid="{00000000-0005-0000-0000-0000E40C0000}"/>
    <cellStyle name="Normal 10 4 2 2 4 3" xfId="3297" xr:uid="{00000000-0005-0000-0000-0000E50C0000}"/>
    <cellStyle name="Normal 10 4 2 2 5" xfId="3298" xr:uid="{00000000-0005-0000-0000-0000E60C0000}"/>
    <cellStyle name="Normal 10 4 2 2 5 2" xfId="3299" xr:uid="{00000000-0005-0000-0000-0000E70C0000}"/>
    <cellStyle name="Normal 10 4 2 2 6" xfId="3300" xr:uid="{00000000-0005-0000-0000-0000E80C0000}"/>
    <cellStyle name="Normal 10 4 2 3" xfId="3301" xr:uid="{00000000-0005-0000-0000-0000E90C0000}"/>
    <cellStyle name="Normal 10 4 2 3 2" xfId="3302" xr:uid="{00000000-0005-0000-0000-0000EA0C0000}"/>
    <cellStyle name="Normal 10 4 2 3 2 2" xfId="3303" xr:uid="{00000000-0005-0000-0000-0000EB0C0000}"/>
    <cellStyle name="Normal 10 4 2 3 2 2 2" xfId="3304" xr:uid="{00000000-0005-0000-0000-0000EC0C0000}"/>
    <cellStyle name="Normal 10 4 2 3 2 3" xfId="3305" xr:uid="{00000000-0005-0000-0000-0000ED0C0000}"/>
    <cellStyle name="Normal 10 4 2 3 3" xfId="3306" xr:uid="{00000000-0005-0000-0000-0000EE0C0000}"/>
    <cellStyle name="Normal 10 4 2 3 3 2" xfId="3307" xr:uid="{00000000-0005-0000-0000-0000EF0C0000}"/>
    <cellStyle name="Normal 10 4 2 3 3 2 2" xfId="3308" xr:uid="{00000000-0005-0000-0000-0000F00C0000}"/>
    <cellStyle name="Normal 10 4 2 3 3 3" xfId="3309" xr:uid="{00000000-0005-0000-0000-0000F10C0000}"/>
    <cellStyle name="Normal 10 4 2 3 4" xfId="3310" xr:uid="{00000000-0005-0000-0000-0000F20C0000}"/>
    <cellStyle name="Normal 10 4 2 3 4 2" xfId="3311" xr:uid="{00000000-0005-0000-0000-0000F30C0000}"/>
    <cellStyle name="Normal 10 4 2 3 5" xfId="3312" xr:uid="{00000000-0005-0000-0000-0000F40C0000}"/>
    <cellStyle name="Normal 10 4 2 4" xfId="3313" xr:uid="{00000000-0005-0000-0000-0000F50C0000}"/>
    <cellStyle name="Normal 10 4 2 4 2" xfId="3314" xr:uid="{00000000-0005-0000-0000-0000F60C0000}"/>
    <cellStyle name="Normal 10 4 2 4 2 2" xfId="3315" xr:uid="{00000000-0005-0000-0000-0000F70C0000}"/>
    <cellStyle name="Normal 10 4 2 4 3" xfId="3316" xr:uid="{00000000-0005-0000-0000-0000F80C0000}"/>
    <cellStyle name="Normal 10 4 2 5" xfId="3317" xr:uid="{00000000-0005-0000-0000-0000F90C0000}"/>
    <cellStyle name="Normal 10 4 2 5 2" xfId="3318" xr:uid="{00000000-0005-0000-0000-0000FA0C0000}"/>
    <cellStyle name="Normal 10 4 2 5 2 2" xfId="3319" xr:uid="{00000000-0005-0000-0000-0000FB0C0000}"/>
    <cellStyle name="Normal 10 4 2 5 3" xfId="3320" xr:uid="{00000000-0005-0000-0000-0000FC0C0000}"/>
    <cellStyle name="Normal 10 4 2 6" xfId="3321" xr:uid="{00000000-0005-0000-0000-0000FD0C0000}"/>
    <cellStyle name="Normal 10 4 2 6 2" xfId="3322" xr:uid="{00000000-0005-0000-0000-0000FE0C0000}"/>
    <cellStyle name="Normal 10 4 2 7" xfId="3323" xr:uid="{00000000-0005-0000-0000-0000FF0C0000}"/>
    <cellStyle name="Normal 10 4 3" xfId="3324" xr:uid="{00000000-0005-0000-0000-0000000D0000}"/>
    <cellStyle name="Normal 10 4 3 2" xfId="3325" xr:uid="{00000000-0005-0000-0000-0000010D0000}"/>
    <cellStyle name="Normal 10 4 3 2 2" xfId="3326" xr:uid="{00000000-0005-0000-0000-0000020D0000}"/>
    <cellStyle name="Normal 10 4 3 2 2 2" xfId="3327" xr:uid="{00000000-0005-0000-0000-0000030D0000}"/>
    <cellStyle name="Normal 10 4 3 2 2 2 2" xfId="3328" xr:uid="{00000000-0005-0000-0000-0000040D0000}"/>
    <cellStyle name="Normal 10 4 3 2 2 3" xfId="3329" xr:uid="{00000000-0005-0000-0000-0000050D0000}"/>
    <cellStyle name="Normal 10 4 3 2 3" xfId="3330" xr:uid="{00000000-0005-0000-0000-0000060D0000}"/>
    <cellStyle name="Normal 10 4 3 2 3 2" xfId="3331" xr:uid="{00000000-0005-0000-0000-0000070D0000}"/>
    <cellStyle name="Normal 10 4 3 2 3 2 2" xfId="3332" xr:uid="{00000000-0005-0000-0000-0000080D0000}"/>
    <cellStyle name="Normal 10 4 3 2 3 3" xfId="3333" xr:uid="{00000000-0005-0000-0000-0000090D0000}"/>
    <cellStyle name="Normal 10 4 3 2 4" xfId="3334" xr:uid="{00000000-0005-0000-0000-00000A0D0000}"/>
    <cellStyle name="Normal 10 4 3 2 4 2" xfId="3335" xr:uid="{00000000-0005-0000-0000-00000B0D0000}"/>
    <cellStyle name="Normal 10 4 3 2 5" xfId="3336" xr:uid="{00000000-0005-0000-0000-00000C0D0000}"/>
    <cellStyle name="Normal 10 4 3 3" xfId="3337" xr:uid="{00000000-0005-0000-0000-00000D0D0000}"/>
    <cellStyle name="Normal 10 4 3 3 2" xfId="3338" xr:uid="{00000000-0005-0000-0000-00000E0D0000}"/>
    <cellStyle name="Normal 10 4 3 3 2 2" xfId="3339" xr:uid="{00000000-0005-0000-0000-00000F0D0000}"/>
    <cellStyle name="Normal 10 4 3 3 3" xfId="3340" xr:uid="{00000000-0005-0000-0000-0000100D0000}"/>
    <cellStyle name="Normal 10 4 3 4" xfId="3341" xr:uid="{00000000-0005-0000-0000-0000110D0000}"/>
    <cellStyle name="Normal 10 4 3 4 2" xfId="3342" xr:uid="{00000000-0005-0000-0000-0000120D0000}"/>
    <cellStyle name="Normal 10 4 3 4 2 2" xfId="3343" xr:uid="{00000000-0005-0000-0000-0000130D0000}"/>
    <cellStyle name="Normal 10 4 3 4 3" xfId="3344" xr:uid="{00000000-0005-0000-0000-0000140D0000}"/>
    <cellStyle name="Normal 10 4 3 5" xfId="3345" xr:uid="{00000000-0005-0000-0000-0000150D0000}"/>
    <cellStyle name="Normal 10 4 3 5 2" xfId="3346" xr:uid="{00000000-0005-0000-0000-0000160D0000}"/>
    <cellStyle name="Normal 10 4 3 6" xfId="3347" xr:uid="{00000000-0005-0000-0000-0000170D0000}"/>
    <cellStyle name="Normal 10 4 4" xfId="3348" xr:uid="{00000000-0005-0000-0000-0000180D0000}"/>
    <cellStyle name="Normal 10 4 4 2" xfId="3349" xr:uid="{00000000-0005-0000-0000-0000190D0000}"/>
    <cellStyle name="Normal 10 4 4 2 2" xfId="3350" xr:uid="{00000000-0005-0000-0000-00001A0D0000}"/>
    <cellStyle name="Normal 10 4 4 2 2 2" xfId="3351" xr:uid="{00000000-0005-0000-0000-00001B0D0000}"/>
    <cellStyle name="Normal 10 4 4 2 3" xfId="3352" xr:uid="{00000000-0005-0000-0000-00001C0D0000}"/>
    <cellStyle name="Normal 10 4 4 3" xfId="3353" xr:uid="{00000000-0005-0000-0000-00001D0D0000}"/>
    <cellStyle name="Normal 10 4 4 3 2" xfId="3354" xr:uid="{00000000-0005-0000-0000-00001E0D0000}"/>
    <cellStyle name="Normal 10 4 4 3 2 2" xfId="3355" xr:uid="{00000000-0005-0000-0000-00001F0D0000}"/>
    <cellStyle name="Normal 10 4 4 3 3" xfId="3356" xr:uid="{00000000-0005-0000-0000-0000200D0000}"/>
    <cellStyle name="Normal 10 4 4 4" xfId="3357" xr:uid="{00000000-0005-0000-0000-0000210D0000}"/>
    <cellStyle name="Normal 10 4 4 4 2" xfId="3358" xr:uid="{00000000-0005-0000-0000-0000220D0000}"/>
    <cellStyle name="Normal 10 4 4 5" xfId="3359" xr:uid="{00000000-0005-0000-0000-0000230D0000}"/>
    <cellStyle name="Normal 10 4 5" xfId="3360" xr:uid="{00000000-0005-0000-0000-0000240D0000}"/>
    <cellStyle name="Normal 10 4 5 2" xfId="3361" xr:uid="{00000000-0005-0000-0000-0000250D0000}"/>
    <cellStyle name="Normal 10 4 5 2 2" xfId="3362" xr:uid="{00000000-0005-0000-0000-0000260D0000}"/>
    <cellStyle name="Normal 10 4 5 3" xfId="3363" xr:uid="{00000000-0005-0000-0000-0000270D0000}"/>
    <cellStyle name="Normal 10 4 6" xfId="3364" xr:uid="{00000000-0005-0000-0000-0000280D0000}"/>
    <cellStyle name="Normal 10 4 6 2" xfId="3365" xr:uid="{00000000-0005-0000-0000-0000290D0000}"/>
    <cellStyle name="Normal 10 4 6 2 2" xfId="3366" xr:uid="{00000000-0005-0000-0000-00002A0D0000}"/>
    <cellStyle name="Normal 10 4 6 3" xfId="3367" xr:uid="{00000000-0005-0000-0000-00002B0D0000}"/>
    <cellStyle name="Normal 10 4 7" xfId="3368" xr:uid="{00000000-0005-0000-0000-00002C0D0000}"/>
    <cellStyle name="Normal 10 4 7 2" xfId="3369" xr:uid="{00000000-0005-0000-0000-00002D0D0000}"/>
    <cellStyle name="Normal 10 4 8" xfId="3370" xr:uid="{00000000-0005-0000-0000-00002E0D0000}"/>
    <cellStyle name="Normal 10 5" xfId="3371" xr:uid="{00000000-0005-0000-0000-00002F0D0000}"/>
    <cellStyle name="Normal 10 5 2" xfId="3372" xr:uid="{00000000-0005-0000-0000-0000300D0000}"/>
    <cellStyle name="Normal 10 5 2 2" xfId="3373" xr:uid="{00000000-0005-0000-0000-0000310D0000}"/>
    <cellStyle name="Normal 10 5 2 2 2" xfId="3374" xr:uid="{00000000-0005-0000-0000-0000320D0000}"/>
    <cellStyle name="Normal 10 5 2 2 2 2" xfId="3375" xr:uid="{00000000-0005-0000-0000-0000330D0000}"/>
    <cellStyle name="Normal 10 5 2 2 2 2 2" xfId="3376" xr:uid="{00000000-0005-0000-0000-0000340D0000}"/>
    <cellStyle name="Normal 10 5 2 2 2 3" xfId="3377" xr:uid="{00000000-0005-0000-0000-0000350D0000}"/>
    <cellStyle name="Normal 10 5 2 2 3" xfId="3378" xr:uid="{00000000-0005-0000-0000-0000360D0000}"/>
    <cellStyle name="Normal 10 5 2 2 3 2" xfId="3379" xr:uid="{00000000-0005-0000-0000-0000370D0000}"/>
    <cellStyle name="Normal 10 5 2 2 3 2 2" xfId="3380" xr:uid="{00000000-0005-0000-0000-0000380D0000}"/>
    <cellStyle name="Normal 10 5 2 2 3 3" xfId="3381" xr:uid="{00000000-0005-0000-0000-0000390D0000}"/>
    <cellStyle name="Normal 10 5 2 2 4" xfId="3382" xr:uid="{00000000-0005-0000-0000-00003A0D0000}"/>
    <cellStyle name="Normal 10 5 2 2 4 2" xfId="3383" xr:uid="{00000000-0005-0000-0000-00003B0D0000}"/>
    <cellStyle name="Normal 10 5 2 2 5" xfId="3384" xr:uid="{00000000-0005-0000-0000-00003C0D0000}"/>
    <cellStyle name="Normal 10 5 2 3" xfId="3385" xr:uid="{00000000-0005-0000-0000-00003D0D0000}"/>
    <cellStyle name="Normal 10 5 2 3 2" xfId="3386" xr:uid="{00000000-0005-0000-0000-00003E0D0000}"/>
    <cellStyle name="Normal 10 5 2 3 2 2" xfId="3387" xr:uid="{00000000-0005-0000-0000-00003F0D0000}"/>
    <cellStyle name="Normal 10 5 2 3 3" xfId="3388" xr:uid="{00000000-0005-0000-0000-0000400D0000}"/>
    <cellStyle name="Normal 10 5 2 4" xfId="3389" xr:uid="{00000000-0005-0000-0000-0000410D0000}"/>
    <cellStyle name="Normal 10 5 2 4 2" xfId="3390" xr:uid="{00000000-0005-0000-0000-0000420D0000}"/>
    <cellStyle name="Normal 10 5 2 4 2 2" xfId="3391" xr:uid="{00000000-0005-0000-0000-0000430D0000}"/>
    <cellStyle name="Normal 10 5 2 4 3" xfId="3392" xr:uid="{00000000-0005-0000-0000-0000440D0000}"/>
    <cellStyle name="Normal 10 5 2 5" xfId="3393" xr:uid="{00000000-0005-0000-0000-0000450D0000}"/>
    <cellStyle name="Normal 10 5 2 5 2" xfId="3394" xr:uid="{00000000-0005-0000-0000-0000460D0000}"/>
    <cellStyle name="Normal 10 5 2 6" xfId="3395" xr:uid="{00000000-0005-0000-0000-0000470D0000}"/>
    <cellStyle name="Normal 10 5 3" xfId="3396" xr:uid="{00000000-0005-0000-0000-0000480D0000}"/>
    <cellStyle name="Normal 10 5 3 2" xfId="3397" xr:uid="{00000000-0005-0000-0000-0000490D0000}"/>
    <cellStyle name="Normal 10 5 3 2 2" xfId="3398" xr:uid="{00000000-0005-0000-0000-00004A0D0000}"/>
    <cellStyle name="Normal 10 5 3 2 2 2" xfId="3399" xr:uid="{00000000-0005-0000-0000-00004B0D0000}"/>
    <cellStyle name="Normal 10 5 3 2 3" xfId="3400" xr:uid="{00000000-0005-0000-0000-00004C0D0000}"/>
    <cellStyle name="Normal 10 5 3 3" xfId="3401" xr:uid="{00000000-0005-0000-0000-00004D0D0000}"/>
    <cellStyle name="Normal 10 5 3 3 2" xfId="3402" xr:uid="{00000000-0005-0000-0000-00004E0D0000}"/>
    <cellStyle name="Normal 10 5 3 3 2 2" xfId="3403" xr:uid="{00000000-0005-0000-0000-00004F0D0000}"/>
    <cellStyle name="Normal 10 5 3 3 3" xfId="3404" xr:uid="{00000000-0005-0000-0000-0000500D0000}"/>
    <cellStyle name="Normal 10 5 3 4" xfId="3405" xr:uid="{00000000-0005-0000-0000-0000510D0000}"/>
    <cellStyle name="Normal 10 5 3 4 2" xfId="3406" xr:uid="{00000000-0005-0000-0000-0000520D0000}"/>
    <cellStyle name="Normal 10 5 3 5" xfId="3407" xr:uid="{00000000-0005-0000-0000-0000530D0000}"/>
    <cellStyle name="Normal 10 5 4" xfId="3408" xr:uid="{00000000-0005-0000-0000-0000540D0000}"/>
    <cellStyle name="Normal 10 5 4 2" xfId="3409" xr:uid="{00000000-0005-0000-0000-0000550D0000}"/>
    <cellStyle name="Normal 10 5 4 2 2" xfId="3410" xr:uid="{00000000-0005-0000-0000-0000560D0000}"/>
    <cellStyle name="Normal 10 5 4 3" xfId="3411" xr:uid="{00000000-0005-0000-0000-0000570D0000}"/>
    <cellStyle name="Normal 10 5 5" xfId="3412" xr:uid="{00000000-0005-0000-0000-0000580D0000}"/>
    <cellStyle name="Normal 10 5 5 2" xfId="3413" xr:uid="{00000000-0005-0000-0000-0000590D0000}"/>
    <cellStyle name="Normal 10 5 5 2 2" xfId="3414" xr:uid="{00000000-0005-0000-0000-00005A0D0000}"/>
    <cellStyle name="Normal 10 5 5 3" xfId="3415" xr:uid="{00000000-0005-0000-0000-00005B0D0000}"/>
    <cellStyle name="Normal 10 5 6" xfId="3416" xr:uid="{00000000-0005-0000-0000-00005C0D0000}"/>
    <cellStyle name="Normal 10 5 6 2" xfId="3417" xr:uid="{00000000-0005-0000-0000-00005D0D0000}"/>
    <cellStyle name="Normal 10 5 7" xfId="3418" xr:uid="{00000000-0005-0000-0000-00005E0D0000}"/>
    <cellStyle name="Normal 10 6" xfId="3419" xr:uid="{00000000-0005-0000-0000-00005F0D0000}"/>
    <cellStyle name="Normal 10 6 2" xfId="3420" xr:uid="{00000000-0005-0000-0000-0000600D0000}"/>
    <cellStyle name="Normal 10 6 2 2" xfId="3421" xr:uid="{00000000-0005-0000-0000-0000610D0000}"/>
    <cellStyle name="Normal 10 6 2 2 2" xfId="3422" xr:uid="{00000000-0005-0000-0000-0000620D0000}"/>
    <cellStyle name="Normal 10 6 2 2 2 2" xfId="3423" xr:uid="{00000000-0005-0000-0000-0000630D0000}"/>
    <cellStyle name="Normal 10 6 2 2 3" xfId="3424" xr:uid="{00000000-0005-0000-0000-0000640D0000}"/>
    <cellStyle name="Normal 10 6 2 3" xfId="3425" xr:uid="{00000000-0005-0000-0000-0000650D0000}"/>
    <cellStyle name="Normal 10 6 2 3 2" xfId="3426" xr:uid="{00000000-0005-0000-0000-0000660D0000}"/>
    <cellStyle name="Normal 10 6 2 3 2 2" xfId="3427" xr:uid="{00000000-0005-0000-0000-0000670D0000}"/>
    <cellStyle name="Normal 10 6 2 3 3" xfId="3428" xr:uid="{00000000-0005-0000-0000-0000680D0000}"/>
    <cellStyle name="Normal 10 6 2 4" xfId="3429" xr:uid="{00000000-0005-0000-0000-0000690D0000}"/>
    <cellStyle name="Normal 10 6 2 4 2" xfId="3430" xr:uid="{00000000-0005-0000-0000-00006A0D0000}"/>
    <cellStyle name="Normal 10 6 2 5" xfId="3431" xr:uid="{00000000-0005-0000-0000-00006B0D0000}"/>
    <cellStyle name="Normal 10 6 3" xfId="3432" xr:uid="{00000000-0005-0000-0000-00006C0D0000}"/>
    <cellStyle name="Normal 10 6 3 2" xfId="3433" xr:uid="{00000000-0005-0000-0000-00006D0D0000}"/>
    <cellStyle name="Normal 10 6 3 2 2" xfId="3434" xr:uid="{00000000-0005-0000-0000-00006E0D0000}"/>
    <cellStyle name="Normal 10 6 3 3" xfId="3435" xr:uid="{00000000-0005-0000-0000-00006F0D0000}"/>
    <cellStyle name="Normal 10 6 4" xfId="3436" xr:uid="{00000000-0005-0000-0000-0000700D0000}"/>
    <cellStyle name="Normal 10 6 4 2" xfId="3437" xr:uid="{00000000-0005-0000-0000-0000710D0000}"/>
    <cellStyle name="Normal 10 6 4 2 2" xfId="3438" xr:uid="{00000000-0005-0000-0000-0000720D0000}"/>
    <cellStyle name="Normal 10 6 4 3" xfId="3439" xr:uid="{00000000-0005-0000-0000-0000730D0000}"/>
    <cellStyle name="Normal 10 6 5" xfId="3440" xr:uid="{00000000-0005-0000-0000-0000740D0000}"/>
    <cellStyle name="Normal 10 6 5 2" xfId="3441" xr:uid="{00000000-0005-0000-0000-0000750D0000}"/>
    <cellStyle name="Normal 10 6 6" xfId="3442" xr:uid="{00000000-0005-0000-0000-0000760D0000}"/>
    <cellStyle name="Normal 10 7" xfId="3443" xr:uid="{00000000-0005-0000-0000-0000770D0000}"/>
    <cellStyle name="Normal 10 7 2" xfId="3444" xr:uid="{00000000-0005-0000-0000-0000780D0000}"/>
    <cellStyle name="Normal 10 7 2 2" xfId="3445" xr:uid="{00000000-0005-0000-0000-0000790D0000}"/>
    <cellStyle name="Normal 10 7 2 2 2" xfId="3446" xr:uid="{00000000-0005-0000-0000-00007A0D0000}"/>
    <cellStyle name="Normal 10 7 2 3" xfId="3447" xr:uid="{00000000-0005-0000-0000-00007B0D0000}"/>
    <cellStyle name="Normal 10 7 3" xfId="3448" xr:uid="{00000000-0005-0000-0000-00007C0D0000}"/>
    <cellStyle name="Normal 10 7 3 2" xfId="3449" xr:uid="{00000000-0005-0000-0000-00007D0D0000}"/>
    <cellStyle name="Normal 10 7 3 2 2" xfId="3450" xr:uid="{00000000-0005-0000-0000-00007E0D0000}"/>
    <cellStyle name="Normal 10 7 3 3" xfId="3451" xr:uid="{00000000-0005-0000-0000-00007F0D0000}"/>
    <cellStyle name="Normal 10 7 4" xfId="3452" xr:uid="{00000000-0005-0000-0000-0000800D0000}"/>
    <cellStyle name="Normal 10 7 4 2" xfId="3453" xr:uid="{00000000-0005-0000-0000-0000810D0000}"/>
    <cellStyle name="Normal 10 7 5" xfId="3454" xr:uid="{00000000-0005-0000-0000-0000820D0000}"/>
    <cellStyle name="Normal 10 8" xfId="3455" xr:uid="{00000000-0005-0000-0000-0000830D0000}"/>
    <cellStyle name="Normal 10 8 2" xfId="3456" xr:uid="{00000000-0005-0000-0000-0000840D0000}"/>
    <cellStyle name="Normal 10 8 2 2" xfId="3457" xr:uid="{00000000-0005-0000-0000-0000850D0000}"/>
    <cellStyle name="Normal 10 9" xfId="3458" xr:uid="{00000000-0005-0000-0000-0000860D0000}"/>
    <cellStyle name="Normal 10 9 2" xfId="3459" xr:uid="{00000000-0005-0000-0000-0000870D0000}"/>
    <cellStyle name="Normal 10 9 2 2" xfId="3460" xr:uid="{00000000-0005-0000-0000-0000880D0000}"/>
    <cellStyle name="Normal 10_2112 DF Schedule" xfId="3461" xr:uid="{00000000-0005-0000-0000-0000890D0000}"/>
    <cellStyle name="Normal 100" xfId="3462" xr:uid="{00000000-0005-0000-0000-00008A0D0000}"/>
    <cellStyle name="Normal 100 2" xfId="3463" xr:uid="{00000000-0005-0000-0000-00008B0D0000}"/>
    <cellStyle name="Normal 100 2 2" xfId="3464" xr:uid="{00000000-0005-0000-0000-00008C0D0000}"/>
    <cellStyle name="Normal 100 3" xfId="3465" xr:uid="{00000000-0005-0000-0000-00008D0D0000}"/>
    <cellStyle name="Normal 101" xfId="3466" xr:uid="{00000000-0005-0000-0000-00008E0D0000}"/>
    <cellStyle name="Normal 101 2" xfId="3467" xr:uid="{00000000-0005-0000-0000-00008F0D0000}"/>
    <cellStyle name="Normal 101 2 2" xfId="3468" xr:uid="{00000000-0005-0000-0000-0000900D0000}"/>
    <cellStyle name="Normal 102" xfId="3469" xr:uid="{00000000-0005-0000-0000-0000910D0000}"/>
    <cellStyle name="Normal 102 2" xfId="3470" xr:uid="{00000000-0005-0000-0000-0000920D0000}"/>
    <cellStyle name="Normal 102 2 2" xfId="3471" xr:uid="{00000000-0005-0000-0000-0000930D0000}"/>
    <cellStyle name="Normal 103" xfId="3472" xr:uid="{00000000-0005-0000-0000-0000940D0000}"/>
    <cellStyle name="Normal 103 2" xfId="3473" xr:uid="{00000000-0005-0000-0000-0000950D0000}"/>
    <cellStyle name="Normal 103 2 2" xfId="3474" xr:uid="{00000000-0005-0000-0000-0000960D0000}"/>
    <cellStyle name="Normal 104" xfId="3475" xr:uid="{00000000-0005-0000-0000-0000970D0000}"/>
    <cellStyle name="Normal 104 2" xfId="3476" xr:uid="{00000000-0005-0000-0000-0000980D0000}"/>
    <cellStyle name="Normal 104 2 2" xfId="3477" xr:uid="{00000000-0005-0000-0000-0000990D0000}"/>
    <cellStyle name="Normal 105" xfId="3478" xr:uid="{00000000-0005-0000-0000-00009A0D0000}"/>
    <cellStyle name="Normal 105 2" xfId="3479" xr:uid="{00000000-0005-0000-0000-00009B0D0000}"/>
    <cellStyle name="Normal 105 2 2" xfId="3480" xr:uid="{00000000-0005-0000-0000-00009C0D0000}"/>
    <cellStyle name="Normal 106" xfId="3481" xr:uid="{00000000-0005-0000-0000-00009D0D0000}"/>
    <cellStyle name="Normal 107" xfId="3482" xr:uid="{00000000-0005-0000-0000-00009E0D0000}"/>
    <cellStyle name="Normal 107 2" xfId="3483" xr:uid="{00000000-0005-0000-0000-00009F0D0000}"/>
    <cellStyle name="Normal 107 2 2" xfId="3484" xr:uid="{00000000-0005-0000-0000-0000A00D0000}"/>
    <cellStyle name="Normal 108" xfId="3485" xr:uid="{00000000-0005-0000-0000-0000A10D0000}"/>
    <cellStyle name="Normal 108 2" xfId="3486" xr:uid="{00000000-0005-0000-0000-0000A20D0000}"/>
    <cellStyle name="Normal 108 2 2" xfId="3487" xr:uid="{00000000-0005-0000-0000-0000A30D0000}"/>
    <cellStyle name="Normal 109" xfId="3488" xr:uid="{00000000-0005-0000-0000-0000A40D0000}"/>
    <cellStyle name="Normal 109 2" xfId="3489" xr:uid="{00000000-0005-0000-0000-0000A50D0000}"/>
    <cellStyle name="Normal 109 2 2" xfId="3490" xr:uid="{00000000-0005-0000-0000-0000A60D0000}"/>
    <cellStyle name="Normal 109 3" xfId="3491" xr:uid="{00000000-0005-0000-0000-0000A70D0000}"/>
    <cellStyle name="Normal 109 3 2" xfId="3492" xr:uid="{00000000-0005-0000-0000-0000A80D0000}"/>
    <cellStyle name="Normal 109 4" xfId="3493" xr:uid="{00000000-0005-0000-0000-0000A90D0000}"/>
    <cellStyle name="Normal 11" xfId="3494" xr:uid="{00000000-0005-0000-0000-0000AA0D0000}"/>
    <cellStyle name="Normal 11 10" xfId="3495" xr:uid="{00000000-0005-0000-0000-0000AB0D0000}"/>
    <cellStyle name="Normal 11 10 2" xfId="3496" xr:uid="{00000000-0005-0000-0000-0000AC0D0000}"/>
    <cellStyle name="Normal 11 11" xfId="3497" xr:uid="{00000000-0005-0000-0000-0000AD0D0000}"/>
    <cellStyle name="Normal 11 11 2" xfId="3498" xr:uid="{00000000-0005-0000-0000-0000AE0D0000}"/>
    <cellStyle name="Normal 11 12" xfId="3499" xr:uid="{00000000-0005-0000-0000-0000AF0D0000}"/>
    <cellStyle name="Normal 11 2" xfId="3500" xr:uid="{00000000-0005-0000-0000-0000B00D0000}"/>
    <cellStyle name="Normal 11 2 2" xfId="3501" xr:uid="{00000000-0005-0000-0000-0000B10D0000}"/>
    <cellStyle name="Normal 11 2 2 2" xfId="3502" xr:uid="{00000000-0005-0000-0000-0000B20D0000}"/>
    <cellStyle name="Normal 11 2 2 2 2" xfId="3503" xr:uid="{00000000-0005-0000-0000-0000B30D0000}"/>
    <cellStyle name="Normal 11 2 2 2 2 2" xfId="3504" xr:uid="{00000000-0005-0000-0000-0000B40D0000}"/>
    <cellStyle name="Normal 11 2 2 2 2 2 2" xfId="3505" xr:uid="{00000000-0005-0000-0000-0000B50D0000}"/>
    <cellStyle name="Normal 11 2 2 2 2 2 2 2" xfId="3506" xr:uid="{00000000-0005-0000-0000-0000B60D0000}"/>
    <cellStyle name="Normal 11 2 2 2 2 2 2 2 2" xfId="3507" xr:uid="{00000000-0005-0000-0000-0000B70D0000}"/>
    <cellStyle name="Normal 11 2 2 2 2 2 2 3" xfId="3508" xr:uid="{00000000-0005-0000-0000-0000B80D0000}"/>
    <cellStyle name="Normal 11 2 2 2 2 2 3" xfId="3509" xr:uid="{00000000-0005-0000-0000-0000B90D0000}"/>
    <cellStyle name="Normal 11 2 2 2 2 2 3 2" xfId="3510" xr:uid="{00000000-0005-0000-0000-0000BA0D0000}"/>
    <cellStyle name="Normal 11 2 2 2 2 2 3 2 2" xfId="3511" xr:uid="{00000000-0005-0000-0000-0000BB0D0000}"/>
    <cellStyle name="Normal 11 2 2 2 2 2 3 3" xfId="3512" xr:uid="{00000000-0005-0000-0000-0000BC0D0000}"/>
    <cellStyle name="Normal 11 2 2 2 2 2 4" xfId="3513" xr:uid="{00000000-0005-0000-0000-0000BD0D0000}"/>
    <cellStyle name="Normal 11 2 2 2 2 2 4 2" xfId="3514" xr:uid="{00000000-0005-0000-0000-0000BE0D0000}"/>
    <cellStyle name="Normal 11 2 2 2 2 2 5" xfId="3515" xr:uid="{00000000-0005-0000-0000-0000BF0D0000}"/>
    <cellStyle name="Normal 11 2 2 2 2 3" xfId="3516" xr:uid="{00000000-0005-0000-0000-0000C00D0000}"/>
    <cellStyle name="Normal 11 2 2 2 2 3 2" xfId="3517" xr:uid="{00000000-0005-0000-0000-0000C10D0000}"/>
    <cellStyle name="Normal 11 2 2 2 2 3 2 2" xfId="3518" xr:uid="{00000000-0005-0000-0000-0000C20D0000}"/>
    <cellStyle name="Normal 11 2 2 2 2 3 3" xfId="3519" xr:uid="{00000000-0005-0000-0000-0000C30D0000}"/>
    <cellStyle name="Normal 11 2 2 2 2 4" xfId="3520" xr:uid="{00000000-0005-0000-0000-0000C40D0000}"/>
    <cellStyle name="Normal 11 2 2 2 2 4 2" xfId="3521" xr:uid="{00000000-0005-0000-0000-0000C50D0000}"/>
    <cellStyle name="Normal 11 2 2 2 2 4 2 2" xfId="3522" xr:uid="{00000000-0005-0000-0000-0000C60D0000}"/>
    <cellStyle name="Normal 11 2 2 2 2 4 3" xfId="3523" xr:uid="{00000000-0005-0000-0000-0000C70D0000}"/>
    <cellStyle name="Normal 11 2 2 2 2 5" xfId="3524" xr:uid="{00000000-0005-0000-0000-0000C80D0000}"/>
    <cellStyle name="Normal 11 2 2 2 2 5 2" xfId="3525" xr:uid="{00000000-0005-0000-0000-0000C90D0000}"/>
    <cellStyle name="Normal 11 2 2 2 2 6" xfId="3526" xr:uid="{00000000-0005-0000-0000-0000CA0D0000}"/>
    <cellStyle name="Normal 11 2 2 2 3" xfId="3527" xr:uid="{00000000-0005-0000-0000-0000CB0D0000}"/>
    <cellStyle name="Normal 11 2 2 2 3 2" xfId="3528" xr:uid="{00000000-0005-0000-0000-0000CC0D0000}"/>
    <cellStyle name="Normal 11 2 2 2 3 2 2" xfId="3529" xr:uid="{00000000-0005-0000-0000-0000CD0D0000}"/>
    <cellStyle name="Normal 11 2 2 2 3 2 2 2" xfId="3530" xr:uid="{00000000-0005-0000-0000-0000CE0D0000}"/>
    <cellStyle name="Normal 11 2 2 2 3 2 3" xfId="3531" xr:uid="{00000000-0005-0000-0000-0000CF0D0000}"/>
    <cellStyle name="Normal 11 2 2 2 3 3" xfId="3532" xr:uid="{00000000-0005-0000-0000-0000D00D0000}"/>
    <cellStyle name="Normal 11 2 2 2 3 3 2" xfId="3533" xr:uid="{00000000-0005-0000-0000-0000D10D0000}"/>
    <cellStyle name="Normal 11 2 2 2 3 3 2 2" xfId="3534" xr:uid="{00000000-0005-0000-0000-0000D20D0000}"/>
    <cellStyle name="Normal 11 2 2 2 3 3 3" xfId="3535" xr:uid="{00000000-0005-0000-0000-0000D30D0000}"/>
    <cellStyle name="Normal 11 2 2 2 3 4" xfId="3536" xr:uid="{00000000-0005-0000-0000-0000D40D0000}"/>
    <cellStyle name="Normal 11 2 2 2 3 4 2" xfId="3537" xr:uid="{00000000-0005-0000-0000-0000D50D0000}"/>
    <cellStyle name="Normal 11 2 2 2 3 5" xfId="3538" xr:uid="{00000000-0005-0000-0000-0000D60D0000}"/>
    <cellStyle name="Normal 11 2 2 2 4" xfId="3539" xr:uid="{00000000-0005-0000-0000-0000D70D0000}"/>
    <cellStyle name="Normal 11 2 2 2 4 2" xfId="3540" xr:uid="{00000000-0005-0000-0000-0000D80D0000}"/>
    <cellStyle name="Normal 11 2 2 2 4 2 2" xfId="3541" xr:uid="{00000000-0005-0000-0000-0000D90D0000}"/>
    <cellStyle name="Normal 11 2 2 2 4 3" xfId="3542" xr:uid="{00000000-0005-0000-0000-0000DA0D0000}"/>
    <cellStyle name="Normal 11 2 2 2 5" xfId="3543" xr:uid="{00000000-0005-0000-0000-0000DB0D0000}"/>
    <cellStyle name="Normal 11 2 2 2 5 2" xfId="3544" xr:uid="{00000000-0005-0000-0000-0000DC0D0000}"/>
    <cellStyle name="Normal 11 2 2 2 5 2 2" xfId="3545" xr:uid="{00000000-0005-0000-0000-0000DD0D0000}"/>
    <cellStyle name="Normal 11 2 2 2 5 3" xfId="3546" xr:uid="{00000000-0005-0000-0000-0000DE0D0000}"/>
    <cellStyle name="Normal 11 2 2 2 6" xfId="3547" xr:uid="{00000000-0005-0000-0000-0000DF0D0000}"/>
    <cellStyle name="Normal 11 2 2 2 6 2" xfId="3548" xr:uid="{00000000-0005-0000-0000-0000E00D0000}"/>
    <cellStyle name="Normal 11 2 2 3" xfId="3549" xr:uid="{00000000-0005-0000-0000-0000E10D0000}"/>
    <cellStyle name="Normal 11 2 2 3 2" xfId="3550" xr:uid="{00000000-0005-0000-0000-0000E20D0000}"/>
    <cellStyle name="Normal 11 2 2 3 2 2" xfId="3551" xr:uid="{00000000-0005-0000-0000-0000E30D0000}"/>
    <cellStyle name="Normal 11 2 2 3 2 2 2" xfId="3552" xr:uid="{00000000-0005-0000-0000-0000E40D0000}"/>
    <cellStyle name="Normal 11 2 2 3 2 2 2 2" xfId="3553" xr:uid="{00000000-0005-0000-0000-0000E50D0000}"/>
    <cellStyle name="Normal 11 2 2 3 2 2 3" xfId="3554" xr:uid="{00000000-0005-0000-0000-0000E60D0000}"/>
    <cellStyle name="Normal 11 2 2 3 2 3" xfId="3555" xr:uid="{00000000-0005-0000-0000-0000E70D0000}"/>
    <cellStyle name="Normal 11 2 2 3 2 3 2" xfId="3556" xr:uid="{00000000-0005-0000-0000-0000E80D0000}"/>
    <cellStyle name="Normal 11 2 2 3 2 3 2 2" xfId="3557" xr:uid="{00000000-0005-0000-0000-0000E90D0000}"/>
    <cellStyle name="Normal 11 2 2 3 2 3 3" xfId="3558" xr:uid="{00000000-0005-0000-0000-0000EA0D0000}"/>
    <cellStyle name="Normal 11 2 2 3 2 4" xfId="3559" xr:uid="{00000000-0005-0000-0000-0000EB0D0000}"/>
    <cellStyle name="Normal 11 2 2 3 2 4 2" xfId="3560" xr:uid="{00000000-0005-0000-0000-0000EC0D0000}"/>
    <cellStyle name="Normal 11 2 2 3 2 5" xfId="3561" xr:uid="{00000000-0005-0000-0000-0000ED0D0000}"/>
    <cellStyle name="Normal 11 2 2 3 3" xfId="3562" xr:uid="{00000000-0005-0000-0000-0000EE0D0000}"/>
    <cellStyle name="Normal 11 2 2 3 3 2" xfId="3563" xr:uid="{00000000-0005-0000-0000-0000EF0D0000}"/>
    <cellStyle name="Normal 11 2 2 3 3 2 2" xfId="3564" xr:uid="{00000000-0005-0000-0000-0000F00D0000}"/>
    <cellStyle name="Normal 11 2 2 3 3 3" xfId="3565" xr:uid="{00000000-0005-0000-0000-0000F10D0000}"/>
    <cellStyle name="Normal 11 2 2 3 4" xfId="3566" xr:uid="{00000000-0005-0000-0000-0000F20D0000}"/>
    <cellStyle name="Normal 11 2 2 3 4 2" xfId="3567" xr:uid="{00000000-0005-0000-0000-0000F30D0000}"/>
    <cellStyle name="Normal 11 2 2 3 4 2 2" xfId="3568" xr:uid="{00000000-0005-0000-0000-0000F40D0000}"/>
    <cellStyle name="Normal 11 2 2 3 4 3" xfId="3569" xr:uid="{00000000-0005-0000-0000-0000F50D0000}"/>
    <cellStyle name="Normal 11 2 2 3 5" xfId="3570" xr:uid="{00000000-0005-0000-0000-0000F60D0000}"/>
    <cellStyle name="Normal 11 2 2 3 5 2" xfId="3571" xr:uid="{00000000-0005-0000-0000-0000F70D0000}"/>
    <cellStyle name="Normal 11 2 2 3 6" xfId="3572" xr:uid="{00000000-0005-0000-0000-0000F80D0000}"/>
    <cellStyle name="Normal 11 2 2 4" xfId="3573" xr:uid="{00000000-0005-0000-0000-0000F90D0000}"/>
    <cellStyle name="Normal 11 2 2 4 2" xfId="3574" xr:uid="{00000000-0005-0000-0000-0000FA0D0000}"/>
    <cellStyle name="Normal 11 2 2 4 2 2" xfId="3575" xr:uid="{00000000-0005-0000-0000-0000FB0D0000}"/>
    <cellStyle name="Normal 11 2 2 4 2 2 2" xfId="3576" xr:uid="{00000000-0005-0000-0000-0000FC0D0000}"/>
    <cellStyle name="Normal 11 2 2 4 2 3" xfId="3577" xr:uid="{00000000-0005-0000-0000-0000FD0D0000}"/>
    <cellStyle name="Normal 11 2 2 4 3" xfId="3578" xr:uid="{00000000-0005-0000-0000-0000FE0D0000}"/>
    <cellStyle name="Normal 11 2 2 4 3 2" xfId="3579" xr:uid="{00000000-0005-0000-0000-0000FF0D0000}"/>
    <cellStyle name="Normal 11 2 2 4 3 2 2" xfId="3580" xr:uid="{00000000-0005-0000-0000-0000000E0000}"/>
    <cellStyle name="Normal 11 2 2 4 3 3" xfId="3581" xr:uid="{00000000-0005-0000-0000-0000010E0000}"/>
    <cellStyle name="Normal 11 2 2 4 4" xfId="3582" xr:uid="{00000000-0005-0000-0000-0000020E0000}"/>
    <cellStyle name="Normal 11 2 2 4 4 2" xfId="3583" xr:uid="{00000000-0005-0000-0000-0000030E0000}"/>
    <cellStyle name="Normal 11 2 2 4 5" xfId="3584" xr:uid="{00000000-0005-0000-0000-0000040E0000}"/>
    <cellStyle name="Normal 11 2 2 5" xfId="3585" xr:uid="{00000000-0005-0000-0000-0000050E0000}"/>
    <cellStyle name="Normal 11 2 2 5 2" xfId="3586" xr:uid="{00000000-0005-0000-0000-0000060E0000}"/>
    <cellStyle name="Normal 11 2 2 5 2 2" xfId="3587" xr:uid="{00000000-0005-0000-0000-0000070E0000}"/>
    <cellStyle name="Normal 11 2 2 5 3" xfId="3588" xr:uid="{00000000-0005-0000-0000-0000080E0000}"/>
    <cellStyle name="Normal 11 2 2 6" xfId="3589" xr:uid="{00000000-0005-0000-0000-0000090E0000}"/>
    <cellStyle name="Normal 11 2 2 6 2" xfId="3590" xr:uid="{00000000-0005-0000-0000-00000A0E0000}"/>
    <cellStyle name="Normal 11 2 2 6 2 2" xfId="3591" xr:uid="{00000000-0005-0000-0000-00000B0E0000}"/>
    <cellStyle name="Normal 11 2 2 6 3" xfId="3592" xr:uid="{00000000-0005-0000-0000-00000C0E0000}"/>
    <cellStyle name="Normal 11 2 2 7" xfId="3593" xr:uid="{00000000-0005-0000-0000-00000D0E0000}"/>
    <cellStyle name="Normal 11 2 2 7 2" xfId="3594" xr:uid="{00000000-0005-0000-0000-00000E0E0000}"/>
    <cellStyle name="Normal 11 2 3" xfId="3595" xr:uid="{00000000-0005-0000-0000-00000F0E0000}"/>
    <cellStyle name="Normal 11 2 3 2" xfId="3596" xr:uid="{00000000-0005-0000-0000-0000100E0000}"/>
    <cellStyle name="Normal 11 2 3 2 2" xfId="3597" xr:uid="{00000000-0005-0000-0000-0000110E0000}"/>
    <cellStyle name="Normal 11 2 3 2 2 2" xfId="3598" xr:uid="{00000000-0005-0000-0000-0000120E0000}"/>
    <cellStyle name="Normal 11 2 3 2 2 2 2" xfId="3599" xr:uid="{00000000-0005-0000-0000-0000130E0000}"/>
    <cellStyle name="Normal 11 2 3 2 2 2 2 2" xfId="3600" xr:uid="{00000000-0005-0000-0000-0000140E0000}"/>
    <cellStyle name="Normal 11 2 3 2 2 2 3" xfId="3601" xr:uid="{00000000-0005-0000-0000-0000150E0000}"/>
    <cellStyle name="Normal 11 2 3 2 2 3" xfId="3602" xr:uid="{00000000-0005-0000-0000-0000160E0000}"/>
    <cellStyle name="Normal 11 2 3 2 2 3 2" xfId="3603" xr:uid="{00000000-0005-0000-0000-0000170E0000}"/>
    <cellStyle name="Normal 11 2 3 2 2 3 2 2" xfId="3604" xr:uid="{00000000-0005-0000-0000-0000180E0000}"/>
    <cellStyle name="Normal 11 2 3 2 2 3 3" xfId="3605" xr:uid="{00000000-0005-0000-0000-0000190E0000}"/>
    <cellStyle name="Normal 11 2 3 2 2 4" xfId="3606" xr:uid="{00000000-0005-0000-0000-00001A0E0000}"/>
    <cellStyle name="Normal 11 2 3 2 2 4 2" xfId="3607" xr:uid="{00000000-0005-0000-0000-00001B0E0000}"/>
    <cellStyle name="Normal 11 2 3 2 2 5" xfId="3608" xr:uid="{00000000-0005-0000-0000-00001C0E0000}"/>
    <cellStyle name="Normal 11 2 3 2 3" xfId="3609" xr:uid="{00000000-0005-0000-0000-00001D0E0000}"/>
    <cellStyle name="Normal 11 2 3 2 3 2" xfId="3610" xr:uid="{00000000-0005-0000-0000-00001E0E0000}"/>
    <cellStyle name="Normal 11 2 3 2 3 2 2" xfId="3611" xr:uid="{00000000-0005-0000-0000-00001F0E0000}"/>
    <cellStyle name="Normal 11 2 3 2 3 3" xfId="3612" xr:uid="{00000000-0005-0000-0000-0000200E0000}"/>
    <cellStyle name="Normal 11 2 3 2 4" xfId="3613" xr:uid="{00000000-0005-0000-0000-0000210E0000}"/>
    <cellStyle name="Normal 11 2 3 2 4 2" xfId="3614" xr:uid="{00000000-0005-0000-0000-0000220E0000}"/>
    <cellStyle name="Normal 11 2 3 2 4 2 2" xfId="3615" xr:uid="{00000000-0005-0000-0000-0000230E0000}"/>
    <cellStyle name="Normal 11 2 3 2 4 3" xfId="3616" xr:uid="{00000000-0005-0000-0000-0000240E0000}"/>
    <cellStyle name="Normal 11 2 3 2 5" xfId="3617" xr:uid="{00000000-0005-0000-0000-0000250E0000}"/>
    <cellStyle name="Normal 11 2 3 2 5 2" xfId="3618" xr:uid="{00000000-0005-0000-0000-0000260E0000}"/>
    <cellStyle name="Normal 11 2 3 2 6" xfId="3619" xr:uid="{00000000-0005-0000-0000-0000270E0000}"/>
    <cellStyle name="Normal 11 2 3 3" xfId="3620" xr:uid="{00000000-0005-0000-0000-0000280E0000}"/>
    <cellStyle name="Normal 11 2 3 3 2" xfId="3621" xr:uid="{00000000-0005-0000-0000-0000290E0000}"/>
    <cellStyle name="Normal 11 2 3 3 2 2" xfId="3622" xr:uid="{00000000-0005-0000-0000-00002A0E0000}"/>
    <cellStyle name="Normal 11 2 3 3 2 2 2" xfId="3623" xr:uid="{00000000-0005-0000-0000-00002B0E0000}"/>
    <cellStyle name="Normal 11 2 3 3 2 3" xfId="3624" xr:uid="{00000000-0005-0000-0000-00002C0E0000}"/>
    <cellStyle name="Normal 11 2 3 3 3" xfId="3625" xr:uid="{00000000-0005-0000-0000-00002D0E0000}"/>
    <cellStyle name="Normal 11 2 3 3 3 2" xfId="3626" xr:uid="{00000000-0005-0000-0000-00002E0E0000}"/>
    <cellStyle name="Normal 11 2 3 3 3 2 2" xfId="3627" xr:uid="{00000000-0005-0000-0000-00002F0E0000}"/>
    <cellStyle name="Normal 11 2 3 3 3 3" xfId="3628" xr:uid="{00000000-0005-0000-0000-0000300E0000}"/>
    <cellStyle name="Normal 11 2 3 3 4" xfId="3629" xr:uid="{00000000-0005-0000-0000-0000310E0000}"/>
    <cellStyle name="Normal 11 2 3 3 4 2" xfId="3630" xr:uid="{00000000-0005-0000-0000-0000320E0000}"/>
    <cellStyle name="Normal 11 2 3 3 5" xfId="3631" xr:uid="{00000000-0005-0000-0000-0000330E0000}"/>
    <cellStyle name="Normal 11 2 3 4" xfId="3632" xr:uid="{00000000-0005-0000-0000-0000340E0000}"/>
    <cellStyle name="Normal 11 2 3 4 2" xfId="3633" xr:uid="{00000000-0005-0000-0000-0000350E0000}"/>
    <cellStyle name="Normal 11 2 3 4 2 2" xfId="3634" xr:uid="{00000000-0005-0000-0000-0000360E0000}"/>
    <cellStyle name="Normal 11 2 3 4 3" xfId="3635" xr:uid="{00000000-0005-0000-0000-0000370E0000}"/>
    <cellStyle name="Normal 11 2 3 5" xfId="3636" xr:uid="{00000000-0005-0000-0000-0000380E0000}"/>
    <cellStyle name="Normal 11 2 3 5 2" xfId="3637" xr:uid="{00000000-0005-0000-0000-0000390E0000}"/>
    <cellStyle name="Normal 11 2 3 5 2 2" xfId="3638" xr:uid="{00000000-0005-0000-0000-00003A0E0000}"/>
    <cellStyle name="Normal 11 2 3 5 3" xfId="3639" xr:uid="{00000000-0005-0000-0000-00003B0E0000}"/>
    <cellStyle name="Normal 11 2 3 6" xfId="3640" xr:uid="{00000000-0005-0000-0000-00003C0E0000}"/>
    <cellStyle name="Normal 11 2 3 6 2" xfId="3641" xr:uid="{00000000-0005-0000-0000-00003D0E0000}"/>
    <cellStyle name="Normal 11 2 4" xfId="3642" xr:uid="{00000000-0005-0000-0000-00003E0E0000}"/>
    <cellStyle name="Normal 11 2 4 2" xfId="3643" xr:uid="{00000000-0005-0000-0000-00003F0E0000}"/>
    <cellStyle name="Normal 11 2 4 2 2" xfId="3644" xr:uid="{00000000-0005-0000-0000-0000400E0000}"/>
    <cellStyle name="Normal 11 2 4 2 2 2" xfId="3645" xr:uid="{00000000-0005-0000-0000-0000410E0000}"/>
    <cellStyle name="Normal 11 2 4 2 2 2 2" xfId="3646" xr:uid="{00000000-0005-0000-0000-0000420E0000}"/>
    <cellStyle name="Normal 11 2 4 2 2 3" xfId="3647" xr:uid="{00000000-0005-0000-0000-0000430E0000}"/>
    <cellStyle name="Normal 11 2 4 2 3" xfId="3648" xr:uid="{00000000-0005-0000-0000-0000440E0000}"/>
    <cellStyle name="Normal 11 2 4 2 3 2" xfId="3649" xr:uid="{00000000-0005-0000-0000-0000450E0000}"/>
    <cellStyle name="Normal 11 2 4 2 3 2 2" xfId="3650" xr:uid="{00000000-0005-0000-0000-0000460E0000}"/>
    <cellStyle name="Normal 11 2 4 2 3 3" xfId="3651" xr:uid="{00000000-0005-0000-0000-0000470E0000}"/>
    <cellStyle name="Normal 11 2 4 2 4" xfId="3652" xr:uid="{00000000-0005-0000-0000-0000480E0000}"/>
    <cellStyle name="Normal 11 2 4 2 4 2" xfId="3653" xr:uid="{00000000-0005-0000-0000-0000490E0000}"/>
    <cellStyle name="Normal 11 2 4 2 5" xfId="3654" xr:uid="{00000000-0005-0000-0000-00004A0E0000}"/>
    <cellStyle name="Normal 11 2 4 3" xfId="3655" xr:uid="{00000000-0005-0000-0000-00004B0E0000}"/>
    <cellStyle name="Normal 11 2 4 3 2" xfId="3656" xr:uid="{00000000-0005-0000-0000-00004C0E0000}"/>
    <cellStyle name="Normal 11 2 4 3 2 2" xfId="3657" xr:uid="{00000000-0005-0000-0000-00004D0E0000}"/>
    <cellStyle name="Normal 11 2 4 3 3" xfId="3658" xr:uid="{00000000-0005-0000-0000-00004E0E0000}"/>
    <cellStyle name="Normal 11 2 4 4" xfId="3659" xr:uid="{00000000-0005-0000-0000-00004F0E0000}"/>
    <cellStyle name="Normal 11 2 4 4 2" xfId="3660" xr:uid="{00000000-0005-0000-0000-0000500E0000}"/>
    <cellStyle name="Normal 11 2 4 4 2 2" xfId="3661" xr:uid="{00000000-0005-0000-0000-0000510E0000}"/>
    <cellStyle name="Normal 11 2 4 4 3" xfId="3662" xr:uid="{00000000-0005-0000-0000-0000520E0000}"/>
    <cellStyle name="Normal 11 2 4 5" xfId="3663" xr:uid="{00000000-0005-0000-0000-0000530E0000}"/>
    <cellStyle name="Normal 11 2 4 5 2" xfId="3664" xr:uid="{00000000-0005-0000-0000-0000540E0000}"/>
    <cellStyle name="Normal 11 2 4 6" xfId="3665" xr:uid="{00000000-0005-0000-0000-0000550E0000}"/>
    <cellStyle name="Normal 11 2 5" xfId="3666" xr:uid="{00000000-0005-0000-0000-0000560E0000}"/>
    <cellStyle name="Normal 11 2 5 2" xfId="3667" xr:uid="{00000000-0005-0000-0000-0000570E0000}"/>
    <cellStyle name="Normal 11 2 5 2 2" xfId="3668" xr:uid="{00000000-0005-0000-0000-0000580E0000}"/>
    <cellStyle name="Normal 11 2 5 2 2 2" xfId="3669" xr:uid="{00000000-0005-0000-0000-0000590E0000}"/>
    <cellStyle name="Normal 11 2 5 2 3" xfId="3670" xr:uid="{00000000-0005-0000-0000-00005A0E0000}"/>
    <cellStyle name="Normal 11 2 5 3" xfId="3671" xr:uid="{00000000-0005-0000-0000-00005B0E0000}"/>
    <cellStyle name="Normal 11 2 5 3 2" xfId="3672" xr:uid="{00000000-0005-0000-0000-00005C0E0000}"/>
    <cellStyle name="Normal 11 2 5 3 2 2" xfId="3673" xr:uid="{00000000-0005-0000-0000-00005D0E0000}"/>
    <cellStyle name="Normal 11 2 5 3 3" xfId="3674" xr:uid="{00000000-0005-0000-0000-00005E0E0000}"/>
    <cellStyle name="Normal 11 2 5 4" xfId="3675" xr:uid="{00000000-0005-0000-0000-00005F0E0000}"/>
    <cellStyle name="Normal 11 2 5 4 2" xfId="3676" xr:uid="{00000000-0005-0000-0000-0000600E0000}"/>
    <cellStyle name="Normal 11 2 5 5" xfId="3677" xr:uid="{00000000-0005-0000-0000-0000610E0000}"/>
    <cellStyle name="Normal 11 2 6" xfId="3678" xr:uid="{00000000-0005-0000-0000-0000620E0000}"/>
    <cellStyle name="Normal 11 2 6 2" xfId="3679" xr:uid="{00000000-0005-0000-0000-0000630E0000}"/>
    <cellStyle name="Normal 11 2 6 2 2" xfId="3680" xr:uid="{00000000-0005-0000-0000-0000640E0000}"/>
    <cellStyle name="Normal 11 2 6 3" xfId="3681" xr:uid="{00000000-0005-0000-0000-0000650E0000}"/>
    <cellStyle name="Normal 11 2 7" xfId="3682" xr:uid="{00000000-0005-0000-0000-0000660E0000}"/>
    <cellStyle name="Normal 11 2 7 2" xfId="3683" xr:uid="{00000000-0005-0000-0000-0000670E0000}"/>
    <cellStyle name="Normal 11 2 7 2 2" xfId="3684" xr:uid="{00000000-0005-0000-0000-0000680E0000}"/>
    <cellStyle name="Normal 11 2 8" xfId="3685" xr:uid="{00000000-0005-0000-0000-0000690E0000}"/>
    <cellStyle name="Normal 11 2 8 2" xfId="3686" xr:uid="{00000000-0005-0000-0000-00006A0E0000}"/>
    <cellStyle name="Normal 11 2 9" xfId="3687" xr:uid="{00000000-0005-0000-0000-00006B0E0000}"/>
    <cellStyle name="Normal 11 3" xfId="3688" xr:uid="{00000000-0005-0000-0000-00006C0E0000}"/>
    <cellStyle name="Normal 11 3 2" xfId="3689" xr:uid="{00000000-0005-0000-0000-00006D0E0000}"/>
    <cellStyle name="Normal 11 3 2 2" xfId="3690" xr:uid="{00000000-0005-0000-0000-00006E0E0000}"/>
    <cellStyle name="Normal 11 3 2 2 2" xfId="3691" xr:uid="{00000000-0005-0000-0000-00006F0E0000}"/>
    <cellStyle name="Normal 11 3 2 2 2 2" xfId="3692" xr:uid="{00000000-0005-0000-0000-0000700E0000}"/>
    <cellStyle name="Normal 11 3 2 2 2 2 2" xfId="3693" xr:uid="{00000000-0005-0000-0000-0000710E0000}"/>
    <cellStyle name="Normal 11 3 2 2 2 2 2 2" xfId="3694" xr:uid="{00000000-0005-0000-0000-0000720E0000}"/>
    <cellStyle name="Normal 11 3 2 2 2 2 3" xfId="3695" xr:uid="{00000000-0005-0000-0000-0000730E0000}"/>
    <cellStyle name="Normal 11 3 2 2 2 3" xfId="3696" xr:uid="{00000000-0005-0000-0000-0000740E0000}"/>
    <cellStyle name="Normal 11 3 2 2 2 3 2" xfId="3697" xr:uid="{00000000-0005-0000-0000-0000750E0000}"/>
    <cellStyle name="Normal 11 3 2 2 2 3 2 2" xfId="3698" xr:uid="{00000000-0005-0000-0000-0000760E0000}"/>
    <cellStyle name="Normal 11 3 2 2 2 3 3" xfId="3699" xr:uid="{00000000-0005-0000-0000-0000770E0000}"/>
    <cellStyle name="Normal 11 3 2 2 2 4" xfId="3700" xr:uid="{00000000-0005-0000-0000-0000780E0000}"/>
    <cellStyle name="Normal 11 3 2 2 2 4 2" xfId="3701" xr:uid="{00000000-0005-0000-0000-0000790E0000}"/>
    <cellStyle name="Normal 11 3 2 2 2 5" xfId="3702" xr:uid="{00000000-0005-0000-0000-00007A0E0000}"/>
    <cellStyle name="Normal 11 3 2 2 3" xfId="3703" xr:uid="{00000000-0005-0000-0000-00007B0E0000}"/>
    <cellStyle name="Normal 11 3 2 2 3 2" xfId="3704" xr:uid="{00000000-0005-0000-0000-00007C0E0000}"/>
    <cellStyle name="Normal 11 3 2 2 3 2 2" xfId="3705" xr:uid="{00000000-0005-0000-0000-00007D0E0000}"/>
    <cellStyle name="Normal 11 3 2 2 3 3" xfId="3706" xr:uid="{00000000-0005-0000-0000-00007E0E0000}"/>
    <cellStyle name="Normal 11 3 2 2 4" xfId="3707" xr:uid="{00000000-0005-0000-0000-00007F0E0000}"/>
    <cellStyle name="Normal 11 3 2 2 4 2" xfId="3708" xr:uid="{00000000-0005-0000-0000-0000800E0000}"/>
    <cellStyle name="Normal 11 3 2 2 4 2 2" xfId="3709" xr:uid="{00000000-0005-0000-0000-0000810E0000}"/>
    <cellStyle name="Normal 11 3 2 2 4 3" xfId="3710" xr:uid="{00000000-0005-0000-0000-0000820E0000}"/>
    <cellStyle name="Normal 11 3 2 2 5" xfId="3711" xr:uid="{00000000-0005-0000-0000-0000830E0000}"/>
    <cellStyle name="Normal 11 3 2 2 5 2" xfId="3712" xr:uid="{00000000-0005-0000-0000-0000840E0000}"/>
    <cellStyle name="Normal 11 3 2 2 6" xfId="3713" xr:uid="{00000000-0005-0000-0000-0000850E0000}"/>
    <cellStyle name="Normal 11 3 2 3" xfId="3714" xr:uid="{00000000-0005-0000-0000-0000860E0000}"/>
    <cellStyle name="Normal 11 3 2 3 2" xfId="3715" xr:uid="{00000000-0005-0000-0000-0000870E0000}"/>
    <cellStyle name="Normal 11 3 2 3 2 2" xfId="3716" xr:uid="{00000000-0005-0000-0000-0000880E0000}"/>
    <cellStyle name="Normal 11 3 2 3 2 2 2" xfId="3717" xr:uid="{00000000-0005-0000-0000-0000890E0000}"/>
    <cellStyle name="Normal 11 3 2 3 2 3" xfId="3718" xr:uid="{00000000-0005-0000-0000-00008A0E0000}"/>
    <cellStyle name="Normal 11 3 2 3 3" xfId="3719" xr:uid="{00000000-0005-0000-0000-00008B0E0000}"/>
    <cellStyle name="Normal 11 3 2 3 3 2" xfId="3720" xr:uid="{00000000-0005-0000-0000-00008C0E0000}"/>
    <cellStyle name="Normal 11 3 2 3 3 2 2" xfId="3721" xr:uid="{00000000-0005-0000-0000-00008D0E0000}"/>
    <cellStyle name="Normal 11 3 2 3 3 3" xfId="3722" xr:uid="{00000000-0005-0000-0000-00008E0E0000}"/>
    <cellStyle name="Normal 11 3 2 3 4" xfId="3723" xr:uid="{00000000-0005-0000-0000-00008F0E0000}"/>
    <cellStyle name="Normal 11 3 2 3 4 2" xfId="3724" xr:uid="{00000000-0005-0000-0000-0000900E0000}"/>
    <cellStyle name="Normal 11 3 2 3 5" xfId="3725" xr:uid="{00000000-0005-0000-0000-0000910E0000}"/>
    <cellStyle name="Normal 11 3 2 4" xfId="3726" xr:uid="{00000000-0005-0000-0000-0000920E0000}"/>
    <cellStyle name="Normal 11 3 2 4 2" xfId="3727" xr:uid="{00000000-0005-0000-0000-0000930E0000}"/>
    <cellStyle name="Normal 11 3 2 4 2 2" xfId="3728" xr:uid="{00000000-0005-0000-0000-0000940E0000}"/>
    <cellStyle name="Normal 11 3 2 4 3" xfId="3729" xr:uid="{00000000-0005-0000-0000-0000950E0000}"/>
    <cellStyle name="Normal 11 3 2 5" xfId="3730" xr:uid="{00000000-0005-0000-0000-0000960E0000}"/>
    <cellStyle name="Normal 11 3 2 5 2" xfId="3731" xr:uid="{00000000-0005-0000-0000-0000970E0000}"/>
    <cellStyle name="Normal 11 3 2 5 2 2" xfId="3732" xr:uid="{00000000-0005-0000-0000-0000980E0000}"/>
    <cellStyle name="Normal 11 3 2 5 3" xfId="3733" xr:uid="{00000000-0005-0000-0000-0000990E0000}"/>
    <cellStyle name="Normal 11 3 2 6" xfId="3734" xr:uid="{00000000-0005-0000-0000-00009A0E0000}"/>
    <cellStyle name="Normal 11 3 2 6 2" xfId="3735" xr:uid="{00000000-0005-0000-0000-00009B0E0000}"/>
    <cellStyle name="Normal 11 3 2 7" xfId="3736" xr:uid="{00000000-0005-0000-0000-00009C0E0000}"/>
    <cellStyle name="Normal 11 3 3" xfId="3737" xr:uid="{00000000-0005-0000-0000-00009D0E0000}"/>
    <cellStyle name="Normal 11 3 3 2" xfId="3738" xr:uid="{00000000-0005-0000-0000-00009E0E0000}"/>
    <cellStyle name="Normal 11 3 3 2 2" xfId="3739" xr:uid="{00000000-0005-0000-0000-00009F0E0000}"/>
    <cellStyle name="Normal 11 3 3 2 2 2" xfId="3740" xr:uid="{00000000-0005-0000-0000-0000A00E0000}"/>
    <cellStyle name="Normal 11 3 3 2 2 2 2" xfId="3741" xr:uid="{00000000-0005-0000-0000-0000A10E0000}"/>
    <cellStyle name="Normal 11 3 3 2 2 3" xfId="3742" xr:uid="{00000000-0005-0000-0000-0000A20E0000}"/>
    <cellStyle name="Normal 11 3 3 2 3" xfId="3743" xr:uid="{00000000-0005-0000-0000-0000A30E0000}"/>
    <cellStyle name="Normal 11 3 3 2 3 2" xfId="3744" xr:uid="{00000000-0005-0000-0000-0000A40E0000}"/>
    <cellStyle name="Normal 11 3 3 2 3 2 2" xfId="3745" xr:uid="{00000000-0005-0000-0000-0000A50E0000}"/>
    <cellStyle name="Normal 11 3 3 2 3 3" xfId="3746" xr:uid="{00000000-0005-0000-0000-0000A60E0000}"/>
    <cellStyle name="Normal 11 3 3 2 4" xfId="3747" xr:uid="{00000000-0005-0000-0000-0000A70E0000}"/>
    <cellStyle name="Normal 11 3 3 2 4 2" xfId="3748" xr:uid="{00000000-0005-0000-0000-0000A80E0000}"/>
    <cellStyle name="Normal 11 3 3 2 5" xfId="3749" xr:uid="{00000000-0005-0000-0000-0000A90E0000}"/>
    <cellStyle name="Normal 11 3 3 3" xfId="3750" xr:uid="{00000000-0005-0000-0000-0000AA0E0000}"/>
    <cellStyle name="Normal 11 3 3 3 2" xfId="3751" xr:uid="{00000000-0005-0000-0000-0000AB0E0000}"/>
    <cellStyle name="Normal 11 3 3 3 2 2" xfId="3752" xr:uid="{00000000-0005-0000-0000-0000AC0E0000}"/>
    <cellStyle name="Normal 11 3 3 3 3" xfId="3753" xr:uid="{00000000-0005-0000-0000-0000AD0E0000}"/>
    <cellStyle name="Normal 11 3 3 4" xfId="3754" xr:uid="{00000000-0005-0000-0000-0000AE0E0000}"/>
    <cellStyle name="Normal 11 3 3 4 2" xfId="3755" xr:uid="{00000000-0005-0000-0000-0000AF0E0000}"/>
    <cellStyle name="Normal 11 3 3 4 2 2" xfId="3756" xr:uid="{00000000-0005-0000-0000-0000B00E0000}"/>
    <cellStyle name="Normal 11 3 3 4 3" xfId="3757" xr:uid="{00000000-0005-0000-0000-0000B10E0000}"/>
    <cellStyle name="Normal 11 3 3 5" xfId="3758" xr:uid="{00000000-0005-0000-0000-0000B20E0000}"/>
    <cellStyle name="Normal 11 3 3 5 2" xfId="3759" xr:uid="{00000000-0005-0000-0000-0000B30E0000}"/>
    <cellStyle name="Normal 11 3 3 6" xfId="3760" xr:uid="{00000000-0005-0000-0000-0000B40E0000}"/>
    <cellStyle name="Normal 11 3 4" xfId="3761" xr:uid="{00000000-0005-0000-0000-0000B50E0000}"/>
    <cellStyle name="Normal 11 3 4 2" xfId="3762" xr:uid="{00000000-0005-0000-0000-0000B60E0000}"/>
    <cellStyle name="Normal 11 3 4 2 2" xfId="3763" xr:uid="{00000000-0005-0000-0000-0000B70E0000}"/>
    <cellStyle name="Normal 11 3 4 2 2 2" xfId="3764" xr:uid="{00000000-0005-0000-0000-0000B80E0000}"/>
    <cellStyle name="Normal 11 3 4 2 3" xfId="3765" xr:uid="{00000000-0005-0000-0000-0000B90E0000}"/>
    <cellStyle name="Normal 11 3 4 3" xfId="3766" xr:uid="{00000000-0005-0000-0000-0000BA0E0000}"/>
    <cellStyle name="Normal 11 3 4 3 2" xfId="3767" xr:uid="{00000000-0005-0000-0000-0000BB0E0000}"/>
    <cellStyle name="Normal 11 3 4 3 2 2" xfId="3768" xr:uid="{00000000-0005-0000-0000-0000BC0E0000}"/>
    <cellStyle name="Normal 11 3 4 3 3" xfId="3769" xr:uid="{00000000-0005-0000-0000-0000BD0E0000}"/>
    <cellStyle name="Normal 11 3 4 4" xfId="3770" xr:uid="{00000000-0005-0000-0000-0000BE0E0000}"/>
    <cellStyle name="Normal 11 3 4 4 2" xfId="3771" xr:uid="{00000000-0005-0000-0000-0000BF0E0000}"/>
    <cellStyle name="Normal 11 3 5" xfId="3772" xr:uid="{00000000-0005-0000-0000-0000C00E0000}"/>
    <cellStyle name="Normal 11 3 5 2" xfId="3773" xr:uid="{00000000-0005-0000-0000-0000C10E0000}"/>
    <cellStyle name="Normal 11 3 5 2 2" xfId="3774" xr:uid="{00000000-0005-0000-0000-0000C20E0000}"/>
    <cellStyle name="Normal 11 3 5 3" xfId="3775" xr:uid="{00000000-0005-0000-0000-0000C30E0000}"/>
    <cellStyle name="Normal 11 3 6" xfId="3776" xr:uid="{00000000-0005-0000-0000-0000C40E0000}"/>
    <cellStyle name="Normal 11 3 6 2" xfId="3777" xr:uid="{00000000-0005-0000-0000-0000C50E0000}"/>
    <cellStyle name="Normal 11 3 6 2 2" xfId="3778" xr:uid="{00000000-0005-0000-0000-0000C60E0000}"/>
    <cellStyle name="Normal 11 3 6 3" xfId="3779" xr:uid="{00000000-0005-0000-0000-0000C70E0000}"/>
    <cellStyle name="Normal 11 3 7" xfId="3780" xr:uid="{00000000-0005-0000-0000-0000C80E0000}"/>
    <cellStyle name="Normal 11 3 7 2" xfId="3781" xr:uid="{00000000-0005-0000-0000-0000C90E0000}"/>
    <cellStyle name="Normal 11 3 8" xfId="3782" xr:uid="{00000000-0005-0000-0000-0000CA0E0000}"/>
    <cellStyle name="Normal 11 3 9" xfId="3783" xr:uid="{00000000-0005-0000-0000-0000CB0E0000}"/>
    <cellStyle name="Normal 11 4" xfId="3784" xr:uid="{00000000-0005-0000-0000-0000CC0E0000}"/>
    <cellStyle name="Normal 11 4 2" xfId="3785" xr:uid="{00000000-0005-0000-0000-0000CD0E0000}"/>
    <cellStyle name="Normal 11 4 2 2" xfId="3786" xr:uid="{00000000-0005-0000-0000-0000CE0E0000}"/>
    <cellStyle name="Normal 11 4 2 2 2" xfId="3787" xr:uid="{00000000-0005-0000-0000-0000CF0E0000}"/>
    <cellStyle name="Normal 11 4 2 2 2 2" xfId="3788" xr:uid="{00000000-0005-0000-0000-0000D00E0000}"/>
    <cellStyle name="Normal 11 4 2 2 2 2 2" xfId="3789" xr:uid="{00000000-0005-0000-0000-0000D10E0000}"/>
    <cellStyle name="Normal 11 4 2 2 2 2 2 2" xfId="3790" xr:uid="{00000000-0005-0000-0000-0000D20E0000}"/>
    <cellStyle name="Normal 11 4 2 2 2 2 3" xfId="3791" xr:uid="{00000000-0005-0000-0000-0000D30E0000}"/>
    <cellStyle name="Normal 11 4 2 2 2 3" xfId="3792" xr:uid="{00000000-0005-0000-0000-0000D40E0000}"/>
    <cellStyle name="Normal 11 4 2 2 2 3 2" xfId="3793" xr:uid="{00000000-0005-0000-0000-0000D50E0000}"/>
    <cellStyle name="Normal 11 4 2 2 2 3 2 2" xfId="3794" xr:uid="{00000000-0005-0000-0000-0000D60E0000}"/>
    <cellStyle name="Normal 11 4 2 2 2 3 3" xfId="3795" xr:uid="{00000000-0005-0000-0000-0000D70E0000}"/>
    <cellStyle name="Normal 11 4 2 2 2 4" xfId="3796" xr:uid="{00000000-0005-0000-0000-0000D80E0000}"/>
    <cellStyle name="Normal 11 4 2 2 2 4 2" xfId="3797" xr:uid="{00000000-0005-0000-0000-0000D90E0000}"/>
    <cellStyle name="Normal 11 4 2 2 2 5" xfId="3798" xr:uid="{00000000-0005-0000-0000-0000DA0E0000}"/>
    <cellStyle name="Normal 11 4 2 2 3" xfId="3799" xr:uid="{00000000-0005-0000-0000-0000DB0E0000}"/>
    <cellStyle name="Normal 11 4 2 2 3 2" xfId="3800" xr:uid="{00000000-0005-0000-0000-0000DC0E0000}"/>
    <cellStyle name="Normal 11 4 2 2 3 2 2" xfId="3801" xr:uid="{00000000-0005-0000-0000-0000DD0E0000}"/>
    <cellStyle name="Normal 11 4 2 2 3 3" xfId="3802" xr:uid="{00000000-0005-0000-0000-0000DE0E0000}"/>
    <cellStyle name="Normal 11 4 2 2 4" xfId="3803" xr:uid="{00000000-0005-0000-0000-0000DF0E0000}"/>
    <cellStyle name="Normal 11 4 2 2 4 2" xfId="3804" xr:uid="{00000000-0005-0000-0000-0000E00E0000}"/>
    <cellStyle name="Normal 11 4 2 2 4 2 2" xfId="3805" xr:uid="{00000000-0005-0000-0000-0000E10E0000}"/>
    <cellStyle name="Normal 11 4 2 2 4 3" xfId="3806" xr:uid="{00000000-0005-0000-0000-0000E20E0000}"/>
    <cellStyle name="Normal 11 4 2 2 5" xfId="3807" xr:uid="{00000000-0005-0000-0000-0000E30E0000}"/>
    <cellStyle name="Normal 11 4 2 2 5 2" xfId="3808" xr:uid="{00000000-0005-0000-0000-0000E40E0000}"/>
    <cellStyle name="Normal 11 4 2 2 6" xfId="3809" xr:uid="{00000000-0005-0000-0000-0000E50E0000}"/>
    <cellStyle name="Normal 11 4 2 3" xfId="3810" xr:uid="{00000000-0005-0000-0000-0000E60E0000}"/>
    <cellStyle name="Normal 11 4 2 3 2" xfId="3811" xr:uid="{00000000-0005-0000-0000-0000E70E0000}"/>
    <cellStyle name="Normal 11 4 2 3 2 2" xfId="3812" xr:uid="{00000000-0005-0000-0000-0000E80E0000}"/>
    <cellStyle name="Normal 11 4 2 3 2 2 2" xfId="3813" xr:uid="{00000000-0005-0000-0000-0000E90E0000}"/>
    <cellStyle name="Normal 11 4 2 3 2 3" xfId="3814" xr:uid="{00000000-0005-0000-0000-0000EA0E0000}"/>
    <cellStyle name="Normal 11 4 2 3 3" xfId="3815" xr:uid="{00000000-0005-0000-0000-0000EB0E0000}"/>
    <cellStyle name="Normal 11 4 2 3 3 2" xfId="3816" xr:uid="{00000000-0005-0000-0000-0000EC0E0000}"/>
    <cellStyle name="Normal 11 4 2 3 3 2 2" xfId="3817" xr:uid="{00000000-0005-0000-0000-0000ED0E0000}"/>
    <cellStyle name="Normal 11 4 2 3 3 3" xfId="3818" xr:uid="{00000000-0005-0000-0000-0000EE0E0000}"/>
    <cellStyle name="Normal 11 4 2 3 4" xfId="3819" xr:uid="{00000000-0005-0000-0000-0000EF0E0000}"/>
    <cellStyle name="Normal 11 4 2 3 4 2" xfId="3820" xr:uid="{00000000-0005-0000-0000-0000F00E0000}"/>
    <cellStyle name="Normal 11 4 2 3 5" xfId="3821" xr:uid="{00000000-0005-0000-0000-0000F10E0000}"/>
    <cellStyle name="Normal 11 4 2 4" xfId="3822" xr:uid="{00000000-0005-0000-0000-0000F20E0000}"/>
    <cellStyle name="Normal 11 4 2 4 2" xfId="3823" xr:uid="{00000000-0005-0000-0000-0000F30E0000}"/>
    <cellStyle name="Normal 11 4 2 4 2 2" xfId="3824" xr:uid="{00000000-0005-0000-0000-0000F40E0000}"/>
    <cellStyle name="Normal 11 4 2 4 3" xfId="3825" xr:uid="{00000000-0005-0000-0000-0000F50E0000}"/>
    <cellStyle name="Normal 11 4 2 5" xfId="3826" xr:uid="{00000000-0005-0000-0000-0000F60E0000}"/>
    <cellStyle name="Normal 11 4 2 5 2" xfId="3827" xr:uid="{00000000-0005-0000-0000-0000F70E0000}"/>
    <cellStyle name="Normal 11 4 2 5 2 2" xfId="3828" xr:uid="{00000000-0005-0000-0000-0000F80E0000}"/>
    <cellStyle name="Normal 11 4 2 5 3" xfId="3829" xr:uid="{00000000-0005-0000-0000-0000F90E0000}"/>
    <cellStyle name="Normal 11 4 2 6" xfId="3830" xr:uid="{00000000-0005-0000-0000-0000FA0E0000}"/>
    <cellStyle name="Normal 11 4 2 6 2" xfId="3831" xr:uid="{00000000-0005-0000-0000-0000FB0E0000}"/>
    <cellStyle name="Normal 11 4 2 7" xfId="3832" xr:uid="{00000000-0005-0000-0000-0000FC0E0000}"/>
    <cellStyle name="Normal 11 4 3" xfId="3833" xr:uid="{00000000-0005-0000-0000-0000FD0E0000}"/>
    <cellStyle name="Normal 11 4 3 2" xfId="3834" xr:uid="{00000000-0005-0000-0000-0000FE0E0000}"/>
    <cellStyle name="Normal 11 4 3 2 2" xfId="3835" xr:uid="{00000000-0005-0000-0000-0000FF0E0000}"/>
    <cellStyle name="Normal 11 4 3 2 2 2" xfId="3836" xr:uid="{00000000-0005-0000-0000-0000000F0000}"/>
    <cellStyle name="Normal 11 4 3 2 2 2 2" xfId="3837" xr:uid="{00000000-0005-0000-0000-0000010F0000}"/>
    <cellStyle name="Normal 11 4 3 2 2 3" xfId="3838" xr:uid="{00000000-0005-0000-0000-0000020F0000}"/>
    <cellStyle name="Normal 11 4 3 2 3" xfId="3839" xr:uid="{00000000-0005-0000-0000-0000030F0000}"/>
    <cellStyle name="Normal 11 4 3 2 3 2" xfId="3840" xr:uid="{00000000-0005-0000-0000-0000040F0000}"/>
    <cellStyle name="Normal 11 4 3 2 3 2 2" xfId="3841" xr:uid="{00000000-0005-0000-0000-0000050F0000}"/>
    <cellStyle name="Normal 11 4 3 2 3 3" xfId="3842" xr:uid="{00000000-0005-0000-0000-0000060F0000}"/>
    <cellStyle name="Normal 11 4 3 2 4" xfId="3843" xr:uid="{00000000-0005-0000-0000-0000070F0000}"/>
    <cellStyle name="Normal 11 4 3 2 4 2" xfId="3844" xr:uid="{00000000-0005-0000-0000-0000080F0000}"/>
    <cellStyle name="Normal 11 4 3 2 5" xfId="3845" xr:uid="{00000000-0005-0000-0000-0000090F0000}"/>
    <cellStyle name="Normal 11 4 3 3" xfId="3846" xr:uid="{00000000-0005-0000-0000-00000A0F0000}"/>
    <cellStyle name="Normal 11 4 3 3 2" xfId="3847" xr:uid="{00000000-0005-0000-0000-00000B0F0000}"/>
    <cellStyle name="Normal 11 4 3 3 2 2" xfId="3848" xr:uid="{00000000-0005-0000-0000-00000C0F0000}"/>
    <cellStyle name="Normal 11 4 3 3 3" xfId="3849" xr:uid="{00000000-0005-0000-0000-00000D0F0000}"/>
    <cellStyle name="Normal 11 4 3 4" xfId="3850" xr:uid="{00000000-0005-0000-0000-00000E0F0000}"/>
    <cellStyle name="Normal 11 4 3 4 2" xfId="3851" xr:uid="{00000000-0005-0000-0000-00000F0F0000}"/>
    <cellStyle name="Normal 11 4 3 4 2 2" xfId="3852" xr:uid="{00000000-0005-0000-0000-0000100F0000}"/>
    <cellStyle name="Normal 11 4 3 4 3" xfId="3853" xr:uid="{00000000-0005-0000-0000-0000110F0000}"/>
    <cellStyle name="Normal 11 4 3 5" xfId="3854" xr:uid="{00000000-0005-0000-0000-0000120F0000}"/>
    <cellStyle name="Normal 11 4 3 5 2" xfId="3855" xr:uid="{00000000-0005-0000-0000-0000130F0000}"/>
    <cellStyle name="Normal 11 4 3 6" xfId="3856" xr:uid="{00000000-0005-0000-0000-0000140F0000}"/>
    <cellStyle name="Normal 11 4 4" xfId="3857" xr:uid="{00000000-0005-0000-0000-0000150F0000}"/>
    <cellStyle name="Normal 11 4 4 2" xfId="3858" xr:uid="{00000000-0005-0000-0000-0000160F0000}"/>
    <cellStyle name="Normal 11 4 4 2 2" xfId="3859" xr:uid="{00000000-0005-0000-0000-0000170F0000}"/>
    <cellStyle name="Normal 11 4 4 2 2 2" xfId="3860" xr:uid="{00000000-0005-0000-0000-0000180F0000}"/>
    <cellStyle name="Normal 11 4 4 2 3" xfId="3861" xr:uid="{00000000-0005-0000-0000-0000190F0000}"/>
    <cellStyle name="Normal 11 4 4 3" xfId="3862" xr:uid="{00000000-0005-0000-0000-00001A0F0000}"/>
    <cellStyle name="Normal 11 4 4 3 2" xfId="3863" xr:uid="{00000000-0005-0000-0000-00001B0F0000}"/>
    <cellStyle name="Normal 11 4 4 3 2 2" xfId="3864" xr:uid="{00000000-0005-0000-0000-00001C0F0000}"/>
    <cellStyle name="Normal 11 4 4 3 3" xfId="3865" xr:uid="{00000000-0005-0000-0000-00001D0F0000}"/>
    <cellStyle name="Normal 11 4 4 4" xfId="3866" xr:uid="{00000000-0005-0000-0000-00001E0F0000}"/>
    <cellStyle name="Normal 11 4 4 4 2" xfId="3867" xr:uid="{00000000-0005-0000-0000-00001F0F0000}"/>
    <cellStyle name="Normal 11 4 4 5" xfId="3868" xr:uid="{00000000-0005-0000-0000-0000200F0000}"/>
    <cellStyle name="Normal 11 4 5" xfId="3869" xr:uid="{00000000-0005-0000-0000-0000210F0000}"/>
    <cellStyle name="Normal 11 4 5 2" xfId="3870" xr:uid="{00000000-0005-0000-0000-0000220F0000}"/>
    <cellStyle name="Normal 11 4 5 2 2" xfId="3871" xr:uid="{00000000-0005-0000-0000-0000230F0000}"/>
    <cellStyle name="Normal 11 4 5 3" xfId="3872" xr:uid="{00000000-0005-0000-0000-0000240F0000}"/>
    <cellStyle name="Normal 11 4 6" xfId="3873" xr:uid="{00000000-0005-0000-0000-0000250F0000}"/>
    <cellStyle name="Normal 11 4 6 2" xfId="3874" xr:uid="{00000000-0005-0000-0000-0000260F0000}"/>
    <cellStyle name="Normal 11 4 6 2 2" xfId="3875" xr:uid="{00000000-0005-0000-0000-0000270F0000}"/>
    <cellStyle name="Normal 11 4 6 3" xfId="3876" xr:uid="{00000000-0005-0000-0000-0000280F0000}"/>
    <cellStyle name="Normal 11 4 7" xfId="3877" xr:uid="{00000000-0005-0000-0000-0000290F0000}"/>
    <cellStyle name="Normal 11 4 7 2" xfId="3878" xr:uid="{00000000-0005-0000-0000-00002A0F0000}"/>
    <cellStyle name="Normal 11 4 8" xfId="3879" xr:uid="{00000000-0005-0000-0000-00002B0F0000}"/>
    <cellStyle name="Normal 11 5" xfId="3880" xr:uid="{00000000-0005-0000-0000-00002C0F0000}"/>
    <cellStyle name="Normal 11 5 10" xfId="3881" xr:uid="{00000000-0005-0000-0000-00002D0F0000}"/>
    <cellStyle name="Normal 11 5 10 2" xfId="3882" xr:uid="{00000000-0005-0000-0000-00002E0F0000}"/>
    <cellStyle name="Normal 11 5 10 2 2" xfId="3883" xr:uid="{00000000-0005-0000-0000-00002F0F0000}"/>
    <cellStyle name="Normal 11 5 10 3" xfId="3884" xr:uid="{00000000-0005-0000-0000-0000300F0000}"/>
    <cellStyle name="Normal 11 5 10 3 2" xfId="3885" xr:uid="{00000000-0005-0000-0000-0000310F0000}"/>
    <cellStyle name="Normal 11 5 10 4" xfId="3886" xr:uid="{00000000-0005-0000-0000-0000320F0000}"/>
    <cellStyle name="Normal 11 5 11" xfId="3887" xr:uid="{00000000-0005-0000-0000-0000330F0000}"/>
    <cellStyle name="Normal 11 5 11 2" xfId="3888" xr:uid="{00000000-0005-0000-0000-0000340F0000}"/>
    <cellStyle name="Normal 11 5 11 2 2" xfId="3889" xr:uid="{00000000-0005-0000-0000-0000350F0000}"/>
    <cellStyle name="Normal 11 5 11 3" xfId="3890" xr:uid="{00000000-0005-0000-0000-0000360F0000}"/>
    <cellStyle name="Normal 11 5 12" xfId="3891" xr:uid="{00000000-0005-0000-0000-0000370F0000}"/>
    <cellStyle name="Normal 11 5 12 2" xfId="3892" xr:uid="{00000000-0005-0000-0000-0000380F0000}"/>
    <cellStyle name="Normal 11 5 12 2 2" xfId="3893" xr:uid="{00000000-0005-0000-0000-0000390F0000}"/>
    <cellStyle name="Normal 11 5 12 3" xfId="3894" xr:uid="{00000000-0005-0000-0000-00003A0F0000}"/>
    <cellStyle name="Normal 11 5 13" xfId="3895" xr:uid="{00000000-0005-0000-0000-00003B0F0000}"/>
    <cellStyle name="Normal 11 5 13 2" xfId="3896" xr:uid="{00000000-0005-0000-0000-00003C0F0000}"/>
    <cellStyle name="Normal 11 5 14" xfId="3897" xr:uid="{00000000-0005-0000-0000-00003D0F0000}"/>
    <cellStyle name="Normal 11 5 14 2" xfId="3898" xr:uid="{00000000-0005-0000-0000-00003E0F0000}"/>
    <cellStyle name="Normal 11 5 15" xfId="3899" xr:uid="{00000000-0005-0000-0000-00003F0F0000}"/>
    <cellStyle name="Normal 11 5 15 2" xfId="3900" xr:uid="{00000000-0005-0000-0000-0000400F0000}"/>
    <cellStyle name="Normal 11 5 16" xfId="3901" xr:uid="{00000000-0005-0000-0000-0000410F0000}"/>
    <cellStyle name="Normal 11 5 16 2" xfId="3902" xr:uid="{00000000-0005-0000-0000-0000420F0000}"/>
    <cellStyle name="Normal 11 5 17" xfId="3903" xr:uid="{00000000-0005-0000-0000-0000430F0000}"/>
    <cellStyle name="Normal 11 5 17 2" xfId="3904" xr:uid="{00000000-0005-0000-0000-0000440F0000}"/>
    <cellStyle name="Normal 11 5 18" xfId="3905" xr:uid="{00000000-0005-0000-0000-0000450F0000}"/>
    <cellStyle name="Normal 11 5 18 2" xfId="3906" xr:uid="{00000000-0005-0000-0000-0000460F0000}"/>
    <cellStyle name="Normal 11 5 19" xfId="3907" xr:uid="{00000000-0005-0000-0000-0000470F0000}"/>
    <cellStyle name="Normal 11 5 19 2" xfId="3908" xr:uid="{00000000-0005-0000-0000-0000480F0000}"/>
    <cellStyle name="Normal 11 5 19 2 2" xfId="3909" xr:uid="{00000000-0005-0000-0000-0000490F0000}"/>
    <cellStyle name="Normal 11 5 19 3" xfId="3910" xr:uid="{00000000-0005-0000-0000-00004A0F0000}"/>
    <cellStyle name="Normal 11 5 19 3 2" xfId="3911" xr:uid="{00000000-0005-0000-0000-00004B0F0000}"/>
    <cellStyle name="Normal 11 5 19 4" xfId="3912" xr:uid="{00000000-0005-0000-0000-00004C0F0000}"/>
    <cellStyle name="Normal 11 5 19 4 2" xfId="3913" xr:uid="{00000000-0005-0000-0000-00004D0F0000}"/>
    <cellStyle name="Normal 11 5 19 5" xfId="3914" xr:uid="{00000000-0005-0000-0000-00004E0F0000}"/>
    <cellStyle name="Normal 11 5 19 5 2" xfId="3915" xr:uid="{00000000-0005-0000-0000-00004F0F0000}"/>
    <cellStyle name="Normal 11 5 19 6" xfId="3916" xr:uid="{00000000-0005-0000-0000-0000500F0000}"/>
    <cellStyle name="Normal 11 5 19 6 2" xfId="3917" xr:uid="{00000000-0005-0000-0000-0000510F0000}"/>
    <cellStyle name="Normal 11 5 19 7" xfId="3918" xr:uid="{00000000-0005-0000-0000-0000520F0000}"/>
    <cellStyle name="Normal 11 5 2" xfId="3919" xr:uid="{00000000-0005-0000-0000-0000530F0000}"/>
    <cellStyle name="Normal 11 5 2 2" xfId="3920" xr:uid="{00000000-0005-0000-0000-0000540F0000}"/>
    <cellStyle name="Normal 11 5 2 2 2" xfId="3921" xr:uid="{00000000-0005-0000-0000-0000550F0000}"/>
    <cellStyle name="Normal 11 5 2 2 2 2" xfId="3922" xr:uid="{00000000-0005-0000-0000-0000560F0000}"/>
    <cellStyle name="Normal 11 5 2 2 2 2 2" xfId="3923" xr:uid="{00000000-0005-0000-0000-0000570F0000}"/>
    <cellStyle name="Normal 11 5 2 2 2 3" xfId="3924" xr:uid="{00000000-0005-0000-0000-0000580F0000}"/>
    <cellStyle name="Normal 11 5 2 2 3" xfId="3925" xr:uid="{00000000-0005-0000-0000-0000590F0000}"/>
    <cellStyle name="Normal 11 5 2 2 3 2" xfId="3926" xr:uid="{00000000-0005-0000-0000-00005A0F0000}"/>
    <cellStyle name="Normal 11 5 2 2 3 2 2" xfId="3927" xr:uid="{00000000-0005-0000-0000-00005B0F0000}"/>
    <cellStyle name="Normal 11 5 2 2 3 3" xfId="3928" xr:uid="{00000000-0005-0000-0000-00005C0F0000}"/>
    <cellStyle name="Normal 11 5 2 2 4" xfId="3929" xr:uid="{00000000-0005-0000-0000-00005D0F0000}"/>
    <cellStyle name="Normal 11 5 2 2 4 2" xfId="3930" xr:uid="{00000000-0005-0000-0000-00005E0F0000}"/>
    <cellStyle name="Normal 11 5 2 2 5" xfId="3931" xr:uid="{00000000-0005-0000-0000-00005F0F0000}"/>
    <cellStyle name="Normal 11 5 2 2 5 2" xfId="3932" xr:uid="{00000000-0005-0000-0000-0000600F0000}"/>
    <cellStyle name="Normal 11 5 2 2 6" xfId="3933" xr:uid="{00000000-0005-0000-0000-0000610F0000}"/>
    <cellStyle name="Normal 11 5 2 3" xfId="3934" xr:uid="{00000000-0005-0000-0000-0000620F0000}"/>
    <cellStyle name="Normal 11 5 2 3 2" xfId="3935" xr:uid="{00000000-0005-0000-0000-0000630F0000}"/>
    <cellStyle name="Normal 11 5 2 3 2 2" xfId="3936" xr:uid="{00000000-0005-0000-0000-0000640F0000}"/>
    <cellStyle name="Normal 11 5 2 3 3" xfId="3937" xr:uid="{00000000-0005-0000-0000-0000650F0000}"/>
    <cellStyle name="Normal 11 5 2 3 3 2" xfId="3938" xr:uid="{00000000-0005-0000-0000-0000660F0000}"/>
    <cellStyle name="Normal 11 5 2 3 4" xfId="3939" xr:uid="{00000000-0005-0000-0000-0000670F0000}"/>
    <cellStyle name="Normal 11 5 2 4" xfId="3940" xr:uid="{00000000-0005-0000-0000-0000680F0000}"/>
    <cellStyle name="Normal 11 5 2 4 2" xfId="3941" xr:uid="{00000000-0005-0000-0000-0000690F0000}"/>
    <cellStyle name="Normal 11 5 2 4 2 2" xfId="3942" xr:uid="{00000000-0005-0000-0000-00006A0F0000}"/>
    <cellStyle name="Normal 11 5 2 4 3" xfId="3943" xr:uid="{00000000-0005-0000-0000-00006B0F0000}"/>
    <cellStyle name="Normal 11 5 2 4 3 2" xfId="3944" xr:uid="{00000000-0005-0000-0000-00006C0F0000}"/>
    <cellStyle name="Normal 11 5 2 4 4" xfId="3945" xr:uid="{00000000-0005-0000-0000-00006D0F0000}"/>
    <cellStyle name="Normal 11 5 2 5" xfId="3946" xr:uid="{00000000-0005-0000-0000-00006E0F0000}"/>
    <cellStyle name="Normal 11 5 2 5 2" xfId="3947" xr:uid="{00000000-0005-0000-0000-00006F0F0000}"/>
    <cellStyle name="Normal 11 5 2 6" xfId="3948" xr:uid="{00000000-0005-0000-0000-0000700F0000}"/>
    <cellStyle name="Normal 11 5 2 6 2" xfId="3949" xr:uid="{00000000-0005-0000-0000-0000710F0000}"/>
    <cellStyle name="Normal 11 5 2 7" xfId="3950" xr:uid="{00000000-0005-0000-0000-0000720F0000}"/>
    <cellStyle name="Normal 11 5 20" xfId="3951" xr:uid="{00000000-0005-0000-0000-0000730F0000}"/>
    <cellStyle name="Normal 11 5 20 2" xfId="3952" xr:uid="{00000000-0005-0000-0000-0000740F0000}"/>
    <cellStyle name="Normal 11 5 21" xfId="3953" xr:uid="{00000000-0005-0000-0000-0000750F0000}"/>
    <cellStyle name="Normal 11 5 21 2" xfId="3954" xr:uid="{00000000-0005-0000-0000-0000760F0000}"/>
    <cellStyle name="Normal 11 5 22" xfId="3955" xr:uid="{00000000-0005-0000-0000-0000770F0000}"/>
    <cellStyle name="Normal 11 5 22 2" xfId="3956" xr:uid="{00000000-0005-0000-0000-0000780F0000}"/>
    <cellStyle name="Normal 11 5 23" xfId="3957" xr:uid="{00000000-0005-0000-0000-0000790F0000}"/>
    <cellStyle name="Normal 11 5 23 2" xfId="3958" xr:uid="{00000000-0005-0000-0000-00007A0F0000}"/>
    <cellStyle name="Normal 11 5 24" xfId="3959" xr:uid="{00000000-0005-0000-0000-00007B0F0000}"/>
    <cellStyle name="Normal 11 5 24 2" xfId="3960" xr:uid="{00000000-0005-0000-0000-00007C0F0000}"/>
    <cellStyle name="Normal 11 5 25" xfId="3961" xr:uid="{00000000-0005-0000-0000-00007D0F0000}"/>
    <cellStyle name="Normal 11 5 25 2" xfId="3962" xr:uid="{00000000-0005-0000-0000-00007E0F0000}"/>
    <cellStyle name="Normal 11 5 26" xfId="3963" xr:uid="{00000000-0005-0000-0000-00007F0F0000}"/>
    <cellStyle name="Normal 11 5 26 2" xfId="3964" xr:uid="{00000000-0005-0000-0000-0000800F0000}"/>
    <cellStyle name="Normal 11 5 27" xfId="3965" xr:uid="{00000000-0005-0000-0000-0000810F0000}"/>
    <cellStyle name="Normal 11 5 27 2" xfId="3966" xr:uid="{00000000-0005-0000-0000-0000820F0000}"/>
    <cellStyle name="Normal 11 5 28" xfId="3967" xr:uid="{00000000-0005-0000-0000-0000830F0000}"/>
    <cellStyle name="Normal 11 5 28 2" xfId="3968" xr:uid="{00000000-0005-0000-0000-0000840F0000}"/>
    <cellStyle name="Normal 11 5 29" xfId="3969" xr:uid="{00000000-0005-0000-0000-0000850F0000}"/>
    <cellStyle name="Normal 11 5 3" xfId="3970" xr:uid="{00000000-0005-0000-0000-0000860F0000}"/>
    <cellStyle name="Normal 11 5 3 2" xfId="3971" xr:uid="{00000000-0005-0000-0000-0000870F0000}"/>
    <cellStyle name="Normal 11 5 3 2 2" xfId="3972" xr:uid="{00000000-0005-0000-0000-0000880F0000}"/>
    <cellStyle name="Normal 11 5 3 2 2 2" xfId="3973" xr:uid="{00000000-0005-0000-0000-0000890F0000}"/>
    <cellStyle name="Normal 11 5 3 2 2 2 2" xfId="3974" xr:uid="{00000000-0005-0000-0000-00008A0F0000}"/>
    <cellStyle name="Normal 11 5 3 2 2 3" xfId="3975" xr:uid="{00000000-0005-0000-0000-00008B0F0000}"/>
    <cellStyle name="Normal 11 5 3 2 2 3 2" xfId="3976" xr:uid="{00000000-0005-0000-0000-00008C0F0000}"/>
    <cellStyle name="Normal 11 5 3 2 2 4" xfId="3977" xr:uid="{00000000-0005-0000-0000-00008D0F0000}"/>
    <cellStyle name="Normal 11 5 3 2 3" xfId="3978" xr:uid="{00000000-0005-0000-0000-00008E0F0000}"/>
    <cellStyle name="Normal 11 5 3 2 3 2" xfId="3979" xr:uid="{00000000-0005-0000-0000-00008F0F0000}"/>
    <cellStyle name="Normal 11 5 3 2 3 2 2" xfId="3980" xr:uid="{00000000-0005-0000-0000-0000900F0000}"/>
    <cellStyle name="Normal 11 5 3 2 3 3" xfId="3981" xr:uid="{00000000-0005-0000-0000-0000910F0000}"/>
    <cellStyle name="Normal 11 5 3 2 3 3 2" xfId="3982" xr:uid="{00000000-0005-0000-0000-0000920F0000}"/>
    <cellStyle name="Normal 11 5 3 2 3 4" xfId="3983" xr:uid="{00000000-0005-0000-0000-0000930F0000}"/>
    <cellStyle name="Normal 11 5 3 2 4" xfId="3984" xr:uid="{00000000-0005-0000-0000-0000940F0000}"/>
    <cellStyle name="Normal 11 5 3 2 4 2" xfId="3985" xr:uid="{00000000-0005-0000-0000-0000950F0000}"/>
    <cellStyle name="Normal 11 5 3 2 5" xfId="3986" xr:uid="{00000000-0005-0000-0000-0000960F0000}"/>
    <cellStyle name="Normal 11 5 3 2 5 2" xfId="3987" xr:uid="{00000000-0005-0000-0000-0000970F0000}"/>
    <cellStyle name="Normal 11 5 3 2 6" xfId="3988" xr:uid="{00000000-0005-0000-0000-0000980F0000}"/>
    <cellStyle name="Normal 11 5 3 3" xfId="3989" xr:uid="{00000000-0005-0000-0000-0000990F0000}"/>
    <cellStyle name="Normal 11 5 3 3 2" xfId="3990" xr:uid="{00000000-0005-0000-0000-00009A0F0000}"/>
    <cellStyle name="Normal 11 5 3 3 2 2" xfId="3991" xr:uid="{00000000-0005-0000-0000-00009B0F0000}"/>
    <cellStyle name="Normal 11 5 3 3 3" xfId="3992" xr:uid="{00000000-0005-0000-0000-00009C0F0000}"/>
    <cellStyle name="Normal 11 5 3 3 3 2" xfId="3993" xr:uid="{00000000-0005-0000-0000-00009D0F0000}"/>
    <cellStyle name="Normal 11 5 3 3 4" xfId="3994" xr:uid="{00000000-0005-0000-0000-00009E0F0000}"/>
    <cellStyle name="Normal 11 5 3 3 4 2" xfId="3995" xr:uid="{00000000-0005-0000-0000-00009F0F0000}"/>
    <cellStyle name="Normal 11 5 3 3 5" xfId="3996" xr:uid="{00000000-0005-0000-0000-0000A00F0000}"/>
    <cellStyle name="Normal 11 5 3 3 5 2" xfId="3997" xr:uid="{00000000-0005-0000-0000-0000A10F0000}"/>
    <cellStyle name="Normal 11 5 3 3 6" xfId="3998" xr:uid="{00000000-0005-0000-0000-0000A20F0000}"/>
    <cellStyle name="Normal 11 5 3 4" xfId="3999" xr:uid="{00000000-0005-0000-0000-0000A30F0000}"/>
    <cellStyle name="Normal 11 5 3 4 2" xfId="4000" xr:uid="{00000000-0005-0000-0000-0000A40F0000}"/>
    <cellStyle name="Normal 11 5 3 4 2 2" xfId="4001" xr:uid="{00000000-0005-0000-0000-0000A50F0000}"/>
    <cellStyle name="Normal 11 5 3 4 3" xfId="4002" xr:uid="{00000000-0005-0000-0000-0000A60F0000}"/>
    <cellStyle name="Normal 11 5 3 4 3 2" xfId="4003" xr:uid="{00000000-0005-0000-0000-0000A70F0000}"/>
    <cellStyle name="Normal 11 5 3 4 4" xfId="4004" xr:uid="{00000000-0005-0000-0000-0000A80F0000}"/>
    <cellStyle name="Normal 11 5 3 5" xfId="4005" xr:uid="{00000000-0005-0000-0000-0000A90F0000}"/>
    <cellStyle name="Normal 11 5 3 5 2" xfId="4006" xr:uid="{00000000-0005-0000-0000-0000AA0F0000}"/>
    <cellStyle name="Normal 11 5 3 5 2 2" xfId="4007" xr:uid="{00000000-0005-0000-0000-0000AB0F0000}"/>
    <cellStyle name="Normal 11 5 3 5 3" xfId="4008" xr:uid="{00000000-0005-0000-0000-0000AC0F0000}"/>
    <cellStyle name="Normal 11 5 3 5 3 2" xfId="4009" xr:uid="{00000000-0005-0000-0000-0000AD0F0000}"/>
    <cellStyle name="Normal 11 5 3 5 4" xfId="4010" xr:uid="{00000000-0005-0000-0000-0000AE0F0000}"/>
    <cellStyle name="Normal 11 5 3 6" xfId="4011" xr:uid="{00000000-0005-0000-0000-0000AF0F0000}"/>
    <cellStyle name="Normal 11 5 3 6 2" xfId="4012" xr:uid="{00000000-0005-0000-0000-0000B00F0000}"/>
    <cellStyle name="Normal 11 5 3 7" xfId="4013" xr:uid="{00000000-0005-0000-0000-0000B10F0000}"/>
    <cellStyle name="Normal 11 5 3 7 2" xfId="4014" xr:uid="{00000000-0005-0000-0000-0000B20F0000}"/>
    <cellStyle name="Normal 11 5 3 8" xfId="4015" xr:uid="{00000000-0005-0000-0000-0000B30F0000}"/>
    <cellStyle name="Normal 11 5 4" xfId="4016" xr:uid="{00000000-0005-0000-0000-0000B40F0000}"/>
    <cellStyle name="Normal 11 5 4 2" xfId="4017" xr:uid="{00000000-0005-0000-0000-0000B50F0000}"/>
    <cellStyle name="Normal 11 5 4 2 2" xfId="4018" xr:uid="{00000000-0005-0000-0000-0000B60F0000}"/>
    <cellStyle name="Normal 11 5 4 2 2 2" xfId="4019" xr:uid="{00000000-0005-0000-0000-0000B70F0000}"/>
    <cellStyle name="Normal 11 5 4 2 3" xfId="4020" xr:uid="{00000000-0005-0000-0000-0000B80F0000}"/>
    <cellStyle name="Normal 11 5 4 2 3 2" xfId="4021" xr:uid="{00000000-0005-0000-0000-0000B90F0000}"/>
    <cellStyle name="Normal 11 5 4 2 4" xfId="4022" xr:uid="{00000000-0005-0000-0000-0000BA0F0000}"/>
    <cellStyle name="Normal 11 5 4 2 4 2" xfId="4023" xr:uid="{00000000-0005-0000-0000-0000BB0F0000}"/>
    <cellStyle name="Normal 11 5 4 2 5" xfId="4024" xr:uid="{00000000-0005-0000-0000-0000BC0F0000}"/>
    <cellStyle name="Normal 11 5 4 2 5 2" xfId="4025" xr:uid="{00000000-0005-0000-0000-0000BD0F0000}"/>
    <cellStyle name="Normal 11 5 4 2 6" xfId="4026" xr:uid="{00000000-0005-0000-0000-0000BE0F0000}"/>
    <cellStyle name="Normal 11 5 4 3" xfId="4027" xr:uid="{00000000-0005-0000-0000-0000BF0F0000}"/>
    <cellStyle name="Normal 11 5 4 3 2" xfId="4028" xr:uid="{00000000-0005-0000-0000-0000C00F0000}"/>
    <cellStyle name="Normal 11 5 4 3 2 2" xfId="4029" xr:uid="{00000000-0005-0000-0000-0000C10F0000}"/>
    <cellStyle name="Normal 11 5 4 3 3" xfId="4030" xr:uid="{00000000-0005-0000-0000-0000C20F0000}"/>
    <cellStyle name="Normal 11 5 4 3 3 2" xfId="4031" xr:uid="{00000000-0005-0000-0000-0000C30F0000}"/>
    <cellStyle name="Normal 11 5 4 3 4" xfId="4032" xr:uid="{00000000-0005-0000-0000-0000C40F0000}"/>
    <cellStyle name="Normal 11 5 4 4" xfId="4033" xr:uid="{00000000-0005-0000-0000-0000C50F0000}"/>
    <cellStyle name="Normal 11 5 4 4 2" xfId="4034" xr:uid="{00000000-0005-0000-0000-0000C60F0000}"/>
    <cellStyle name="Normal 11 5 4 4 2 2" xfId="4035" xr:uid="{00000000-0005-0000-0000-0000C70F0000}"/>
    <cellStyle name="Normal 11 5 4 4 3" xfId="4036" xr:uid="{00000000-0005-0000-0000-0000C80F0000}"/>
    <cellStyle name="Normal 11 5 4 4 3 2" xfId="4037" xr:uid="{00000000-0005-0000-0000-0000C90F0000}"/>
    <cellStyle name="Normal 11 5 4 4 4" xfId="4038" xr:uid="{00000000-0005-0000-0000-0000CA0F0000}"/>
    <cellStyle name="Normal 11 5 4 5" xfId="4039" xr:uid="{00000000-0005-0000-0000-0000CB0F0000}"/>
    <cellStyle name="Normal 11 5 4 5 2" xfId="4040" xr:uid="{00000000-0005-0000-0000-0000CC0F0000}"/>
    <cellStyle name="Normal 11 5 4 6" xfId="4041" xr:uid="{00000000-0005-0000-0000-0000CD0F0000}"/>
    <cellStyle name="Normal 11 5 4 6 2" xfId="4042" xr:uid="{00000000-0005-0000-0000-0000CE0F0000}"/>
    <cellStyle name="Normal 11 5 4 7" xfId="4043" xr:uid="{00000000-0005-0000-0000-0000CF0F0000}"/>
    <cellStyle name="Normal 11 5 5" xfId="4044" xr:uid="{00000000-0005-0000-0000-0000D00F0000}"/>
    <cellStyle name="Normal 11 5 5 2" xfId="4045" xr:uid="{00000000-0005-0000-0000-0000D10F0000}"/>
    <cellStyle name="Normal 11 5 5 2 2" xfId="4046" xr:uid="{00000000-0005-0000-0000-0000D20F0000}"/>
    <cellStyle name="Normal 11 5 5 2 2 2" xfId="4047" xr:uid="{00000000-0005-0000-0000-0000D30F0000}"/>
    <cellStyle name="Normal 11 5 5 2 3" xfId="4048" xr:uid="{00000000-0005-0000-0000-0000D40F0000}"/>
    <cellStyle name="Normal 11 5 5 2 3 2" xfId="4049" xr:uid="{00000000-0005-0000-0000-0000D50F0000}"/>
    <cellStyle name="Normal 11 5 5 2 4" xfId="4050" xr:uid="{00000000-0005-0000-0000-0000D60F0000}"/>
    <cellStyle name="Normal 11 5 5 2 4 2" xfId="4051" xr:uid="{00000000-0005-0000-0000-0000D70F0000}"/>
    <cellStyle name="Normal 11 5 5 2 5" xfId="4052" xr:uid="{00000000-0005-0000-0000-0000D80F0000}"/>
    <cellStyle name="Normal 11 5 5 2 5 2" xfId="4053" xr:uid="{00000000-0005-0000-0000-0000D90F0000}"/>
    <cellStyle name="Normal 11 5 5 2 6" xfId="4054" xr:uid="{00000000-0005-0000-0000-0000DA0F0000}"/>
    <cellStyle name="Normal 11 5 5 3" xfId="4055" xr:uid="{00000000-0005-0000-0000-0000DB0F0000}"/>
    <cellStyle name="Normal 11 5 5 3 2" xfId="4056" xr:uid="{00000000-0005-0000-0000-0000DC0F0000}"/>
    <cellStyle name="Normal 11 5 5 3 2 2" xfId="4057" xr:uid="{00000000-0005-0000-0000-0000DD0F0000}"/>
    <cellStyle name="Normal 11 5 5 3 3" xfId="4058" xr:uid="{00000000-0005-0000-0000-0000DE0F0000}"/>
    <cellStyle name="Normal 11 5 5 3 3 2" xfId="4059" xr:uid="{00000000-0005-0000-0000-0000DF0F0000}"/>
    <cellStyle name="Normal 11 5 5 3 4" xfId="4060" xr:uid="{00000000-0005-0000-0000-0000E00F0000}"/>
    <cellStyle name="Normal 11 5 5 4" xfId="4061" xr:uid="{00000000-0005-0000-0000-0000E10F0000}"/>
    <cellStyle name="Normal 11 5 5 4 2" xfId="4062" xr:uid="{00000000-0005-0000-0000-0000E20F0000}"/>
    <cellStyle name="Normal 11 5 5 4 2 2" xfId="4063" xr:uid="{00000000-0005-0000-0000-0000E30F0000}"/>
    <cellStyle name="Normal 11 5 5 4 3" xfId="4064" xr:uid="{00000000-0005-0000-0000-0000E40F0000}"/>
    <cellStyle name="Normal 11 5 5 4 3 2" xfId="4065" xr:uid="{00000000-0005-0000-0000-0000E50F0000}"/>
    <cellStyle name="Normal 11 5 5 4 4" xfId="4066" xr:uid="{00000000-0005-0000-0000-0000E60F0000}"/>
    <cellStyle name="Normal 11 5 5 5" xfId="4067" xr:uid="{00000000-0005-0000-0000-0000E70F0000}"/>
    <cellStyle name="Normal 11 5 5 5 2" xfId="4068" xr:uid="{00000000-0005-0000-0000-0000E80F0000}"/>
    <cellStyle name="Normal 11 5 5 6" xfId="4069" xr:uid="{00000000-0005-0000-0000-0000E90F0000}"/>
    <cellStyle name="Normal 11 5 5 6 2" xfId="4070" xr:uid="{00000000-0005-0000-0000-0000EA0F0000}"/>
    <cellStyle name="Normal 11 5 5 7" xfId="4071" xr:uid="{00000000-0005-0000-0000-0000EB0F0000}"/>
    <cellStyle name="Normal 11 5 6" xfId="4072" xr:uid="{00000000-0005-0000-0000-0000EC0F0000}"/>
    <cellStyle name="Normal 11 5 6 2" xfId="4073" xr:uid="{00000000-0005-0000-0000-0000ED0F0000}"/>
    <cellStyle name="Normal 11 5 6 2 2" xfId="4074" xr:uid="{00000000-0005-0000-0000-0000EE0F0000}"/>
    <cellStyle name="Normal 11 5 6 2 2 2" xfId="4075" xr:uid="{00000000-0005-0000-0000-0000EF0F0000}"/>
    <cellStyle name="Normal 11 5 6 2 3" xfId="4076" xr:uid="{00000000-0005-0000-0000-0000F00F0000}"/>
    <cellStyle name="Normal 11 5 6 2 3 2" xfId="4077" xr:uid="{00000000-0005-0000-0000-0000F10F0000}"/>
    <cellStyle name="Normal 11 5 6 2 4" xfId="4078" xr:uid="{00000000-0005-0000-0000-0000F20F0000}"/>
    <cellStyle name="Normal 11 5 6 2 4 2" xfId="4079" xr:uid="{00000000-0005-0000-0000-0000F30F0000}"/>
    <cellStyle name="Normal 11 5 6 2 5" xfId="4080" xr:uid="{00000000-0005-0000-0000-0000F40F0000}"/>
    <cellStyle name="Normal 11 5 6 2 5 2" xfId="4081" xr:uid="{00000000-0005-0000-0000-0000F50F0000}"/>
    <cellStyle name="Normal 11 5 6 2 6" xfId="4082" xr:uid="{00000000-0005-0000-0000-0000F60F0000}"/>
    <cellStyle name="Normal 11 5 6 3" xfId="4083" xr:uid="{00000000-0005-0000-0000-0000F70F0000}"/>
    <cellStyle name="Normal 11 5 6 3 2" xfId="4084" xr:uid="{00000000-0005-0000-0000-0000F80F0000}"/>
    <cellStyle name="Normal 11 5 6 3 2 2" xfId="4085" xr:uid="{00000000-0005-0000-0000-0000F90F0000}"/>
    <cellStyle name="Normal 11 5 6 3 3" xfId="4086" xr:uid="{00000000-0005-0000-0000-0000FA0F0000}"/>
    <cellStyle name="Normal 11 5 6 3 3 2" xfId="4087" xr:uid="{00000000-0005-0000-0000-0000FB0F0000}"/>
    <cellStyle name="Normal 11 5 6 3 4" xfId="4088" xr:uid="{00000000-0005-0000-0000-0000FC0F0000}"/>
    <cellStyle name="Normal 11 5 6 4" xfId="4089" xr:uid="{00000000-0005-0000-0000-0000FD0F0000}"/>
    <cellStyle name="Normal 11 5 6 4 2" xfId="4090" xr:uid="{00000000-0005-0000-0000-0000FE0F0000}"/>
    <cellStyle name="Normal 11 5 6 4 2 2" xfId="4091" xr:uid="{00000000-0005-0000-0000-0000FF0F0000}"/>
    <cellStyle name="Normal 11 5 6 4 3" xfId="4092" xr:uid="{00000000-0005-0000-0000-000000100000}"/>
    <cellStyle name="Normal 11 5 6 4 3 2" xfId="4093" xr:uid="{00000000-0005-0000-0000-000001100000}"/>
    <cellStyle name="Normal 11 5 6 4 4" xfId="4094" xr:uid="{00000000-0005-0000-0000-000002100000}"/>
    <cellStyle name="Normal 11 5 6 5" xfId="4095" xr:uid="{00000000-0005-0000-0000-000003100000}"/>
    <cellStyle name="Normal 11 5 6 5 2" xfId="4096" xr:uid="{00000000-0005-0000-0000-000004100000}"/>
    <cellStyle name="Normal 11 5 6 5 2 2" xfId="4097" xr:uid="{00000000-0005-0000-0000-000005100000}"/>
    <cellStyle name="Normal 11 5 6 5 3" xfId="4098" xr:uid="{00000000-0005-0000-0000-000006100000}"/>
    <cellStyle name="Normal 11 5 6 6" xfId="4099" xr:uid="{00000000-0005-0000-0000-000007100000}"/>
    <cellStyle name="Normal 11 5 6 6 2" xfId="4100" xr:uid="{00000000-0005-0000-0000-000008100000}"/>
    <cellStyle name="Normal 11 5 6 7" xfId="4101" xr:uid="{00000000-0005-0000-0000-000009100000}"/>
    <cellStyle name="Normal 11 5 6 7 2" xfId="4102" xr:uid="{00000000-0005-0000-0000-00000A100000}"/>
    <cellStyle name="Normal 11 5 6 8" xfId="4103" xr:uid="{00000000-0005-0000-0000-00000B100000}"/>
    <cellStyle name="Normal 11 5 7" xfId="4104" xr:uid="{00000000-0005-0000-0000-00000C100000}"/>
    <cellStyle name="Normal 11 5 7 2" xfId="4105" xr:uid="{00000000-0005-0000-0000-00000D100000}"/>
    <cellStyle name="Normal 11 5 7 2 2" xfId="4106" xr:uid="{00000000-0005-0000-0000-00000E100000}"/>
    <cellStyle name="Normal 11 5 7 2 2 2" xfId="4107" xr:uid="{00000000-0005-0000-0000-00000F100000}"/>
    <cellStyle name="Normal 11 5 7 2 3" xfId="4108" xr:uid="{00000000-0005-0000-0000-000010100000}"/>
    <cellStyle name="Normal 11 5 7 2 3 2" xfId="4109" xr:uid="{00000000-0005-0000-0000-000011100000}"/>
    <cellStyle name="Normal 11 5 7 2 4" xfId="4110" xr:uid="{00000000-0005-0000-0000-000012100000}"/>
    <cellStyle name="Normal 11 5 7 3" xfId="4111" xr:uid="{00000000-0005-0000-0000-000013100000}"/>
    <cellStyle name="Normal 11 5 7 3 2" xfId="4112" xr:uid="{00000000-0005-0000-0000-000014100000}"/>
    <cellStyle name="Normal 11 5 7 3 2 2" xfId="4113" xr:uid="{00000000-0005-0000-0000-000015100000}"/>
    <cellStyle name="Normal 11 5 7 3 3" xfId="4114" xr:uid="{00000000-0005-0000-0000-000016100000}"/>
    <cellStyle name="Normal 11 5 7 3 3 2" xfId="4115" xr:uid="{00000000-0005-0000-0000-000017100000}"/>
    <cellStyle name="Normal 11 5 7 3 4" xfId="4116" xr:uid="{00000000-0005-0000-0000-000018100000}"/>
    <cellStyle name="Normal 11 5 7 4" xfId="4117" xr:uid="{00000000-0005-0000-0000-000019100000}"/>
    <cellStyle name="Normal 11 5 7 4 2" xfId="4118" xr:uid="{00000000-0005-0000-0000-00001A100000}"/>
    <cellStyle name="Normal 11 5 7 4 2 2" xfId="4119" xr:uid="{00000000-0005-0000-0000-00001B100000}"/>
    <cellStyle name="Normal 11 5 7 4 3" xfId="4120" xr:uid="{00000000-0005-0000-0000-00001C100000}"/>
    <cellStyle name="Normal 11 5 7 5" xfId="4121" xr:uid="{00000000-0005-0000-0000-00001D100000}"/>
    <cellStyle name="Normal 11 5 7 5 2" xfId="4122" xr:uid="{00000000-0005-0000-0000-00001E100000}"/>
    <cellStyle name="Normal 11 5 7 6" xfId="4123" xr:uid="{00000000-0005-0000-0000-00001F100000}"/>
    <cellStyle name="Normal 11 5 7 6 2" xfId="4124" xr:uid="{00000000-0005-0000-0000-000020100000}"/>
    <cellStyle name="Normal 11 5 7 7" xfId="4125" xr:uid="{00000000-0005-0000-0000-000021100000}"/>
    <cellStyle name="Normal 11 5 8" xfId="4126" xr:uid="{00000000-0005-0000-0000-000022100000}"/>
    <cellStyle name="Normal 11 5 8 2" xfId="4127" xr:uid="{00000000-0005-0000-0000-000023100000}"/>
    <cellStyle name="Normal 11 5 8 2 2" xfId="4128" xr:uid="{00000000-0005-0000-0000-000024100000}"/>
    <cellStyle name="Normal 11 5 8 3" xfId="4129" xr:uid="{00000000-0005-0000-0000-000025100000}"/>
    <cellStyle name="Normal 11 5 8 3 2" xfId="4130" xr:uid="{00000000-0005-0000-0000-000026100000}"/>
    <cellStyle name="Normal 11 5 8 4" xfId="4131" xr:uid="{00000000-0005-0000-0000-000027100000}"/>
    <cellStyle name="Normal 11 5 8 4 2" xfId="4132" xr:uid="{00000000-0005-0000-0000-000028100000}"/>
    <cellStyle name="Normal 11 5 8 5" xfId="4133" xr:uid="{00000000-0005-0000-0000-000029100000}"/>
    <cellStyle name="Normal 11 5 8 5 2" xfId="4134" xr:uid="{00000000-0005-0000-0000-00002A100000}"/>
    <cellStyle name="Normal 11 5 8 6" xfId="4135" xr:uid="{00000000-0005-0000-0000-00002B100000}"/>
    <cellStyle name="Normal 11 5 9" xfId="4136" xr:uid="{00000000-0005-0000-0000-00002C100000}"/>
    <cellStyle name="Normal 11 5 9 2" xfId="4137" xr:uid="{00000000-0005-0000-0000-00002D100000}"/>
    <cellStyle name="Normal 11 5 9 2 2" xfId="4138" xr:uid="{00000000-0005-0000-0000-00002E100000}"/>
    <cellStyle name="Normal 11 5 9 3" xfId="4139" xr:uid="{00000000-0005-0000-0000-00002F100000}"/>
    <cellStyle name="Normal 11 5 9 3 2" xfId="4140" xr:uid="{00000000-0005-0000-0000-000030100000}"/>
    <cellStyle name="Normal 11 5 9 4" xfId="4141" xr:uid="{00000000-0005-0000-0000-000031100000}"/>
    <cellStyle name="Normal 11 5_10070" xfId="4142" xr:uid="{00000000-0005-0000-0000-000032100000}"/>
    <cellStyle name="Normal 11 6" xfId="4143" xr:uid="{00000000-0005-0000-0000-000033100000}"/>
    <cellStyle name="Normal 11 6 2" xfId="4144" xr:uid="{00000000-0005-0000-0000-000034100000}"/>
    <cellStyle name="Normal 11 6 2 2" xfId="4145" xr:uid="{00000000-0005-0000-0000-000035100000}"/>
    <cellStyle name="Normal 11 6 2 2 2" xfId="4146" xr:uid="{00000000-0005-0000-0000-000036100000}"/>
    <cellStyle name="Normal 11 6 2 2 2 2" xfId="4147" xr:uid="{00000000-0005-0000-0000-000037100000}"/>
    <cellStyle name="Normal 11 6 2 2 3" xfId="4148" xr:uid="{00000000-0005-0000-0000-000038100000}"/>
    <cellStyle name="Normal 11 6 2 3" xfId="4149" xr:uid="{00000000-0005-0000-0000-000039100000}"/>
    <cellStyle name="Normal 11 6 2 3 2" xfId="4150" xr:uid="{00000000-0005-0000-0000-00003A100000}"/>
    <cellStyle name="Normal 11 6 2 3 2 2" xfId="4151" xr:uid="{00000000-0005-0000-0000-00003B100000}"/>
    <cellStyle name="Normal 11 6 2 3 3" xfId="4152" xr:uid="{00000000-0005-0000-0000-00003C100000}"/>
    <cellStyle name="Normal 11 6 2 4" xfId="4153" xr:uid="{00000000-0005-0000-0000-00003D100000}"/>
    <cellStyle name="Normal 11 6 2 4 2" xfId="4154" xr:uid="{00000000-0005-0000-0000-00003E100000}"/>
    <cellStyle name="Normal 11 6 2 5" xfId="4155" xr:uid="{00000000-0005-0000-0000-00003F100000}"/>
    <cellStyle name="Normal 11 6 3" xfId="4156" xr:uid="{00000000-0005-0000-0000-000040100000}"/>
    <cellStyle name="Normal 11 6 3 2" xfId="4157" xr:uid="{00000000-0005-0000-0000-000041100000}"/>
    <cellStyle name="Normal 11 6 3 2 2" xfId="4158" xr:uid="{00000000-0005-0000-0000-000042100000}"/>
    <cellStyle name="Normal 11 6 3 3" xfId="4159" xr:uid="{00000000-0005-0000-0000-000043100000}"/>
    <cellStyle name="Normal 11 6 3 3 2" xfId="4160" xr:uid="{00000000-0005-0000-0000-000044100000}"/>
    <cellStyle name="Normal 11 6 3 4" xfId="4161" xr:uid="{00000000-0005-0000-0000-000045100000}"/>
    <cellStyle name="Normal 11 6 4" xfId="4162" xr:uid="{00000000-0005-0000-0000-000046100000}"/>
    <cellStyle name="Normal 11 6 4 2" xfId="4163" xr:uid="{00000000-0005-0000-0000-000047100000}"/>
    <cellStyle name="Normal 11 6 4 2 2" xfId="4164" xr:uid="{00000000-0005-0000-0000-000048100000}"/>
    <cellStyle name="Normal 11 6 4 3" xfId="4165" xr:uid="{00000000-0005-0000-0000-000049100000}"/>
    <cellStyle name="Normal 11 6 5" xfId="4166" xr:uid="{00000000-0005-0000-0000-00004A100000}"/>
    <cellStyle name="Normal 11 6 5 2" xfId="4167" xr:uid="{00000000-0005-0000-0000-00004B100000}"/>
    <cellStyle name="Normal 11 6 6" xfId="4168" xr:uid="{00000000-0005-0000-0000-00004C100000}"/>
    <cellStyle name="Normal 11 7" xfId="4169" xr:uid="{00000000-0005-0000-0000-00004D100000}"/>
    <cellStyle name="Normal 11 7 2" xfId="4170" xr:uid="{00000000-0005-0000-0000-00004E100000}"/>
    <cellStyle name="Normal 11 7 2 2" xfId="4171" xr:uid="{00000000-0005-0000-0000-00004F100000}"/>
    <cellStyle name="Normal 11 7 2 2 2" xfId="4172" xr:uid="{00000000-0005-0000-0000-000050100000}"/>
    <cellStyle name="Normal 11 7 2 3" xfId="4173" xr:uid="{00000000-0005-0000-0000-000051100000}"/>
    <cellStyle name="Normal 11 7 3" xfId="4174" xr:uid="{00000000-0005-0000-0000-000052100000}"/>
    <cellStyle name="Normal 11 7 3 2" xfId="4175" xr:uid="{00000000-0005-0000-0000-000053100000}"/>
    <cellStyle name="Normal 11 7 3 2 2" xfId="4176" xr:uid="{00000000-0005-0000-0000-000054100000}"/>
    <cellStyle name="Normal 11 7 3 3" xfId="4177" xr:uid="{00000000-0005-0000-0000-000055100000}"/>
    <cellStyle name="Normal 11 7 4" xfId="4178" xr:uid="{00000000-0005-0000-0000-000056100000}"/>
    <cellStyle name="Normal 11 7 4 2" xfId="4179" xr:uid="{00000000-0005-0000-0000-000057100000}"/>
    <cellStyle name="Normal 11 7 5" xfId="4180" xr:uid="{00000000-0005-0000-0000-000058100000}"/>
    <cellStyle name="Normal 11 7 5 2" xfId="4181" xr:uid="{00000000-0005-0000-0000-000059100000}"/>
    <cellStyle name="Normal 11 7 6" xfId="4182" xr:uid="{00000000-0005-0000-0000-00005A100000}"/>
    <cellStyle name="Normal 11 8" xfId="4183" xr:uid="{00000000-0005-0000-0000-00005B100000}"/>
    <cellStyle name="Normal 11 8 2" xfId="4184" xr:uid="{00000000-0005-0000-0000-00005C100000}"/>
    <cellStyle name="Normal 11 8 2 2" xfId="4185" xr:uid="{00000000-0005-0000-0000-00005D100000}"/>
    <cellStyle name="Normal 11 8 3" xfId="4186" xr:uid="{00000000-0005-0000-0000-00005E100000}"/>
    <cellStyle name="Normal 11 8 3 2" xfId="4187" xr:uid="{00000000-0005-0000-0000-00005F100000}"/>
    <cellStyle name="Normal 11 8 4" xfId="4188" xr:uid="{00000000-0005-0000-0000-000060100000}"/>
    <cellStyle name="Normal 11 9" xfId="4189" xr:uid="{00000000-0005-0000-0000-000061100000}"/>
    <cellStyle name="Normal 11 9 2" xfId="4190" xr:uid="{00000000-0005-0000-0000-000062100000}"/>
    <cellStyle name="Normal 11 9 2 2" xfId="4191" xr:uid="{00000000-0005-0000-0000-000063100000}"/>
    <cellStyle name="Normal 11 9 3" xfId="4192" xr:uid="{00000000-0005-0000-0000-000064100000}"/>
    <cellStyle name="Normal 11_2180" xfId="4193" xr:uid="{00000000-0005-0000-0000-000065100000}"/>
    <cellStyle name="Normal 110" xfId="4194" xr:uid="{00000000-0005-0000-0000-000066100000}"/>
    <cellStyle name="Normal 110 2" xfId="4195" xr:uid="{00000000-0005-0000-0000-000067100000}"/>
    <cellStyle name="Normal 110 2 2" xfId="4196" xr:uid="{00000000-0005-0000-0000-000068100000}"/>
    <cellStyle name="Normal 111" xfId="4197" xr:uid="{00000000-0005-0000-0000-000069100000}"/>
    <cellStyle name="Normal 111 2" xfId="4198" xr:uid="{00000000-0005-0000-0000-00006A100000}"/>
    <cellStyle name="Normal 111 2 2" xfId="4199" xr:uid="{00000000-0005-0000-0000-00006B100000}"/>
    <cellStyle name="Normal 111 3" xfId="4200" xr:uid="{00000000-0005-0000-0000-00006C100000}"/>
    <cellStyle name="Normal 111 4" xfId="4201" xr:uid="{00000000-0005-0000-0000-00006D100000}"/>
    <cellStyle name="Normal 112" xfId="4202" xr:uid="{00000000-0005-0000-0000-00006E100000}"/>
    <cellStyle name="Normal 112 2" xfId="4203" xr:uid="{00000000-0005-0000-0000-00006F100000}"/>
    <cellStyle name="Normal 112 2 2" xfId="4204" xr:uid="{00000000-0005-0000-0000-000070100000}"/>
    <cellStyle name="Normal 112 3" xfId="4205" xr:uid="{00000000-0005-0000-0000-000071100000}"/>
    <cellStyle name="Normal 112 4" xfId="4206" xr:uid="{00000000-0005-0000-0000-000072100000}"/>
    <cellStyle name="Normal 113" xfId="4207" xr:uid="{00000000-0005-0000-0000-000073100000}"/>
    <cellStyle name="Normal 113 2" xfId="4208" xr:uid="{00000000-0005-0000-0000-000074100000}"/>
    <cellStyle name="Normal 113 3" xfId="4209" xr:uid="{00000000-0005-0000-0000-000075100000}"/>
    <cellStyle name="Normal 113 3 2" xfId="4210" xr:uid="{00000000-0005-0000-0000-000076100000}"/>
    <cellStyle name="Normal 113 4" xfId="4211" xr:uid="{00000000-0005-0000-0000-000077100000}"/>
    <cellStyle name="Normal 113 5" xfId="4212" xr:uid="{00000000-0005-0000-0000-000078100000}"/>
    <cellStyle name="Normal 114" xfId="4213" xr:uid="{00000000-0005-0000-0000-000079100000}"/>
    <cellStyle name="Normal 114 2" xfId="4214" xr:uid="{00000000-0005-0000-0000-00007A100000}"/>
    <cellStyle name="Normal 114 2 2" xfId="4215" xr:uid="{00000000-0005-0000-0000-00007B100000}"/>
    <cellStyle name="Normal 114 3" xfId="4216" xr:uid="{00000000-0005-0000-0000-00007C100000}"/>
    <cellStyle name="Normal 115" xfId="4217" xr:uid="{00000000-0005-0000-0000-00007D100000}"/>
    <cellStyle name="Normal 115 2" xfId="4218" xr:uid="{00000000-0005-0000-0000-00007E100000}"/>
    <cellStyle name="Normal 116" xfId="4219" xr:uid="{00000000-0005-0000-0000-00007F100000}"/>
    <cellStyle name="Normal 116 2" xfId="4220" xr:uid="{00000000-0005-0000-0000-000080100000}"/>
    <cellStyle name="Normal 117" xfId="4221" xr:uid="{00000000-0005-0000-0000-000081100000}"/>
    <cellStyle name="Normal 117 2" xfId="4222" xr:uid="{00000000-0005-0000-0000-000082100000}"/>
    <cellStyle name="Normal 117 3" xfId="4223" xr:uid="{00000000-0005-0000-0000-000083100000}"/>
    <cellStyle name="Normal 118" xfId="4224" xr:uid="{00000000-0005-0000-0000-000084100000}"/>
    <cellStyle name="Normal 118 2" xfId="4225" xr:uid="{00000000-0005-0000-0000-000085100000}"/>
    <cellStyle name="Normal 118 3" xfId="4226" xr:uid="{00000000-0005-0000-0000-000086100000}"/>
    <cellStyle name="Normal 119" xfId="4227" xr:uid="{00000000-0005-0000-0000-000087100000}"/>
    <cellStyle name="Normal 119 2" xfId="4228" xr:uid="{00000000-0005-0000-0000-000088100000}"/>
    <cellStyle name="Normal 12" xfId="4229" xr:uid="{00000000-0005-0000-0000-000089100000}"/>
    <cellStyle name="Normal 12 10" xfId="4230" xr:uid="{00000000-0005-0000-0000-00008A100000}"/>
    <cellStyle name="Normal 12 10 2" xfId="4231" xr:uid="{00000000-0005-0000-0000-00008B100000}"/>
    <cellStyle name="Normal 12 11" xfId="4232" xr:uid="{00000000-0005-0000-0000-00008C100000}"/>
    <cellStyle name="Normal 12 2" xfId="4233" xr:uid="{00000000-0005-0000-0000-00008D100000}"/>
    <cellStyle name="Normal 12 2 2" xfId="4234" xr:uid="{00000000-0005-0000-0000-00008E100000}"/>
    <cellStyle name="Normal 12 2 2 2" xfId="4235" xr:uid="{00000000-0005-0000-0000-00008F100000}"/>
    <cellStyle name="Normal 12 2 2 2 2" xfId="4236" xr:uid="{00000000-0005-0000-0000-000090100000}"/>
    <cellStyle name="Normal 12 2 2 2 2 2" xfId="4237" xr:uid="{00000000-0005-0000-0000-000091100000}"/>
    <cellStyle name="Normal 12 2 2 2 2 2 2" xfId="4238" xr:uid="{00000000-0005-0000-0000-000092100000}"/>
    <cellStyle name="Normal 12 2 2 2 2 2 2 2" xfId="4239" xr:uid="{00000000-0005-0000-0000-000093100000}"/>
    <cellStyle name="Normal 12 2 2 2 2 2 2 2 2" xfId="4240" xr:uid="{00000000-0005-0000-0000-000094100000}"/>
    <cellStyle name="Normal 12 2 2 2 2 2 2 3" xfId="4241" xr:uid="{00000000-0005-0000-0000-000095100000}"/>
    <cellStyle name="Normal 12 2 2 2 2 2 3" xfId="4242" xr:uid="{00000000-0005-0000-0000-000096100000}"/>
    <cellStyle name="Normal 12 2 2 2 2 2 3 2" xfId="4243" xr:uid="{00000000-0005-0000-0000-000097100000}"/>
    <cellStyle name="Normal 12 2 2 2 2 2 3 2 2" xfId="4244" xr:uid="{00000000-0005-0000-0000-000098100000}"/>
    <cellStyle name="Normal 12 2 2 2 2 2 3 3" xfId="4245" xr:uid="{00000000-0005-0000-0000-000099100000}"/>
    <cellStyle name="Normal 12 2 2 2 2 2 4" xfId="4246" xr:uid="{00000000-0005-0000-0000-00009A100000}"/>
    <cellStyle name="Normal 12 2 2 2 2 2 4 2" xfId="4247" xr:uid="{00000000-0005-0000-0000-00009B100000}"/>
    <cellStyle name="Normal 12 2 2 2 2 2 5" xfId="4248" xr:uid="{00000000-0005-0000-0000-00009C100000}"/>
    <cellStyle name="Normal 12 2 2 2 2 3" xfId="4249" xr:uid="{00000000-0005-0000-0000-00009D100000}"/>
    <cellStyle name="Normal 12 2 2 2 2 3 2" xfId="4250" xr:uid="{00000000-0005-0000-0000-00009E100000}"/>
    <cellStyle name="Normal 12 2 2 2 2 3 2 2" xfId="4251" xr:uid="{00000000-0005-0000-0000-00009F100000}"/>
    <cellStyle name="Normal 12 2 2 2 2 3 3" xfId="4252" xr:uid="{00000000-0005-0000-0000-0000A0100000}"/>
    <cellStyle name="Normal 12 2 2 2 2 4" xfId="4253" xr:uid="{00000000-0005-0000-0000-0000A1100000}"/>
    <cellStyle name="Normal 12 2 2 2 2 4 2" xfId="4254" xr:uid="{00000000-0005-0000-0000-0000A2100000}"/>
    <cellStyle name="Normal 12 2 2 2 2 4 2 2" xfId="4255" xr:uid="{00000000-0005-0000-0000-0000A3100000}"/>
    <cellStyle name="Normal 12 2 2 2 2 4 3" xfId="4256" xr:uid="{00000000-0005-0000-0000-0000A4100000}"/>
    <cellStyle name="Normal 12 2 2 2 2 5" xfId="4257" xr:uid="{00000000-0005-0000-0000-0000A5100000}"/>
    <cellStyle name="Normal 12 2 2 2 2 5 2" xfId="4258" xr:uid="{00000000-0005-0000-0000-0000A6100000}"/>
    <cellStyle name="Normal 12 2 2 2 2 6" xfId="4259" xr:uid="{00000000-0005-0000-0000-0000A7100000}"/>
    <cellStyle name="Normal 12 2 2 2 3" xfId="4260" xr:uid="{00000000-0005-0000-0000-0000A8100000}"/>
    <cellStyle name="Normal 12 2 2 2 3 2" xfId="4261" xr:uid="{00000000-0005-0000-0000-0000A9100000}"/>
    <cellStyle name="Normal 12 2 2 2 3 2 2" xfId="4262" xr:uid="{00000000-0005-0000-0000-0000AA100000}"/>
    <cellStyle name="Normal 12 2 2 2 3 2 2 2" xfId="4263" xr:uid="{00000000-0005-0000-0000-0000AB100000}"/>
    <cellStyle name="Normal 12 2 2 2 3 2 3" xfId="4264" xr:uid="{00000000-0005-0000-0000-0000AC100000}"/>
    <cellStyle name="Normal 12 2 2 2 3 3" xfId="4265" xr:uid="{00000000-0005-0000-0000-0000AD100000}"/>
    <cellStyle name="Normal 12 2 2 2 3 3 2" xfId="4266" xr:uid="{00000000-0005-0000-0000-0000AE100000}"/>
    <cellStyle name="Normal 12 2 2 2 3 3 2 2" xfId="4267" xr:uid="{00000000-0005-0000-0000-0000AF100000}"/>
    <cellStyle name="Normal 12 2 2 2 3 3 3" xfId="4268" xr:uid="{00000000-0005-0000-0000-0000B0100000}"/>
    <cellStyle name="Normal 12 2 2 2 3 4" xfId="4269" xr:uid="{00000000-0005-0000-0000-0000B1100000}"/>
    <cellStyle name="Normal 12 2 2 2 3 4 2" xfId="4270" xr:uid="{00000000-0005-0000-0000-0000B2100000}"/>
    <cellStyle name="Normal 12 2 2 2 3 5" xfId="4271" xr:uid="{00000000-0005-0000-0000-0000B3100000}"/>
    <cellStyle name="Normal 12 2 2 2 4" xfId="4272" xr:uid="{00000000-0005-0000-0000-0000B4100000}"/>
    <cellStyle name="Normal 12 2 2 2 4 2" xfId="4273" xr:uid="{00000000-0005-0000-0000-0000B5100000}"/>
    <cellStyle name="Normal 12 2 2 2 4 2 2" xfId="4274" xr:uid="{00000000-0005-0000-0000-0000B6100000}"/>
    <cellStyle name="Normal 12 2 2 2 4 3" xfId="4275" xr:uid="{00000000-0005-0000-0000-0000B7100000}"/>
    <cellStyle name="Normal 12 2 2 2 5" xfId="4276" xr:uid="{00000000-0005-0000-0000-0000B8100000}"/>
    <cellStyle name="Normal 12 2 2 2 5 2" xfId="4277" xr:uid="{00000000-0005-0000-0000-0000B9100000}"/>
    <cellStyle name="Normal 12 2 2 2 5 2 2" xfId="4278" xr:uid="{00000000-0005-0000-0000-0000BA100000}"/>
    <cellStyle name="Normal 12 2 2 2 5 3" xfId="4279" xr:uid="{00000000-0005-0000-0000-0000BB100000}"/>
    <cellStyle name="Normal 12 2 2 2 6" xfId="4280" xr:uid="{00000000-0005-0000-0000-0000BC100000}"/>
    <cellStyle name="Normal 12 2 2 2 6 2" xfId="4281" xr:uid="{00000000-0005-0000-0000-0000BD100000}"/>
    <cellStyle name="Normal 12 2 2 3" xfId="4282" xr:uid="{00000000-0005-0000-0000-0000BE100000}"/>
    <cellStyle name="Normal 12 2 2 3 2" xfId="4283" xr:uid="{00000000-0005-0000-0000-0000BF100000}"/>
    <cellStyle name="Normal 12 2 2 3 2 2" xfId="4284" xr:uid="{00000000-0005-0000-0000-0000C0100000}"/>
    <cellStyle name="Normal 12 2 2 3 2 2 2" xfId="4285" xr:uid="{00000000-0005-0000-0000-0000C1100000}"/>
    <cellStyle name="Normal 12 2 2 3 2 2 2 2" xfId="4286" xr:uid="{00000000-0005-0000-0000-0000C2100000}"/>
    <cellStyle name="Normal 12 2 2 3 2 2 3" xfId="4287" xr:uid="{00000000-0005-0000-0000-0000C3100000}"/>
    <cellStyle name="Normal 12 2 2 3 2 3" xfId="4288" xr:uid="{00000000-0005-0000-0000-0000C4100000}"/>
    <cellStyle name="Normal 12 2 2 3 2 3 2" xfId="4289" xr:uid="{00000000-0005-0000-0000-0000C5100000}"/>
    <cellStyle name="Normal 12 2 2 3 2 3 2 2" xfId="4290" xr:uid="{00000000-0005-0000-0000-0000C6100000}"/>
    <cellStyle name="Normal 12 2 2 3 2 3 3" xfId="4291" xr:uid="{00000000-0005-0000-0000-0000C7100000}"/>
    <cellStyle name="Normal 12 2 2 3 2 4" xfId="4292" xr:uid="{00000000-0005-0000-0000-0000C8100000}"/>
    <cellStyle name="Normal 12 2 2 3 2 4 2" xfId="4293" xr:uid="{00000000-0005-0000-0000-0000C9100000}"/>
    <cellStyle name="Normal 12 2 2 3 2 5" xfId="4294" xr:uid="{00000000-0005-0000-0000-0000CA100000}"/>
    <cellStyle name="Normal 12 2 2 3 3" xfId="4295" xr:uid="{00000000-0005-0000-0000-0000CB100000}"/>
    <cellStyle name="Normal 12 2 2 3 3 2" xfId="4296" xr:uid="{00000000-0005-0000-0000-0000CC100000}"/>
    <cellStyle name="Normal 12 2 2 3 3 2 2" xfId="4297" xr:uid="{00000000-0005-0000-0000-0000CD100000}"/>
    <cellStyle name="Normal 12 2 2 3 3 3" xfId="4298" xr:uid="{00000000-0005-0000-0000-0000CE100000}"/>
    <cellStyle name="Normal 12 2 2 3 4" xfId="4299" xr:uid="{00000000-0005-0000-0000-0000CF100000}"/>
    <cellStyle name="Normal 12 2 2 3 4 2" xfId="4300" xr:uid="{00000000-0005-0000-0000-0000D0100000}"/>
    <cellStyle name="Normal 12 2 2 3 4 2 2" xfId="4301" xr:uid="{00000000-0005-0000-0000-0000D1100000}"/>
    <cellStyle name="Normal 12 2 2 3 4 3" xfId="4302" xr:uid="{00000000-0005-0000-0000-0000D2100000}"/>
    <cellStyle name="Normal 12 2 2 3 5" xfId="4303" xr:uid="{00000000-0005-0000-0000-0000D3100000}"/>
    <cellStyle name="Normal 12 2 2 3 5 2" xfId="4304" xr:uid="{00000000-0005-0000-0000-0000D4100000}"/>
    <cellStyle name="Normal 12 2 2 3 6" xfId="4305" xr:uid="{00000000-0005-0000-0000-0000D5100000}"/>
    <cellStyle name="Normal 12 2 2 4" xfId="4306" xr:uid="{00000000-0005-0000-0000-0000D6100000}"/>
    <cellStyle name="Normal 12 2 2 4 2" xfId="4307" xr:uid="{00000000-0005-0000-0000-0000D7100000}"/>
    <cellStyle name="Normal 12 2 2 4 2 2" xfId="4308" xr:uid="{00000000-0005-0000-0000-0000D8100000}"/>
    <cellStyle name="Normal 12 2 2 4 2 2 2" xfId="4309" xr:uid="{00000000-0005-0000-0000-0000D9100000}"/>
    <cellStyle name="Normal 12 2 2 4 2 3" xfId="4310" xr:uid="{00000000-0005-0000-0000-0000DA100000}"/>
    <cellStyle name="Normal 12 2 2 4 3" xfId="4311" xr:uid="{00000000-0005-0000-0000-0000DB100000}"/>
    <cellStyle name="Normal 12 2 2 4 3 2" xfId="4312" xr:uid="{00000000-0005-0000-0000-0000DC100000}"/>
    <cellStyle name="Normal 12 2 2 4 3 2 2" xfId="4313" xr:uid="{00000000-0005-0000-0000-0000DD100000}"/>
    <cellStyle name="Normal 12 2 2 4 3 3" xfId="4314" xr:uid="{00000000-0005-0000-0000-0000DE100000}"/>
    <cellStyle name="Normal 12 2 2 4 4" xfId="4315" xr:uid="{00000000-0005-0000-0000-0000DF100000}"/>
    <cellStyle name="Normal 12 2 2 4 4 2" xfId="4316" xr:uid="{00000000-0005-0000-0000-0000E0100000}"/>
    <cellStyle name="Normal 12 2 2 4 5" xfId="4317" xr:uid="{00000000-0005-0000-0000-0000E1100000}"/>
    <cellStyle name="Normal 12 2 2 5" xfId="4318" xr:uid="{00000000-0005-0000-0000-0000E2100000}"/>
    <cellStyle name="Normal 12 2 2 5 2" xfId="4319" xr:uid="{00000000-0005-0000-0000-0000E3100000}"/>
    <cellStyle name="Normal 12 2 2 5 2 2" xfId="4320" xr:uid="{00000000-0005-0000-0000-0000E4100000}"/>
    <cellStyle name="Normal 12 2 2 5 3" xfId="4321" xr:uid="{00000000-0005-0000-0000-0000E5100000}"/>
    <cellStyle name="Normal 12 2 2 6" xfId="4322" xr:uid="{00000000-0005-0000-0000-0000E6100000}"/>
    <cellStyle name="Normal 12 2 2 6 2" xfId="4323" xr:uid="{00000000-0005-0000-0000-0000E7100000}"/>
    <cellStyle name="Normal 12 2 2 6 2 2" xfId="4324" xr:uid="{00000000-0005-0000-0000-0000E8100000}"/>
    <cellStyle name="Normal 12 2 2 6 3" xfId="4325" xr:uid="{00000000-0005-0000-0000-0000E9100000}"/>
    <cellStyle name="Normal 12 2 2 7" xfId="4326" xr:uid="{00000000-0005-0000-0000-0000EA100000}"/>
    <cellStyle name="Normal 12 2 2 7 2" xfId="4327" xr:uid="{00000000-0005-0000-0000-0000EB100000}"/>
    <cellStyle name="Normal 12 2 2 8" xfId="4328" xr:uid="{00000000-0005-0000-0000-0000EC100000}"/>
    <cellStyle name="Normal 12 2 3" xfId="4329" xr:uid="{00000000-0005-0000-0000-0000ED100000}"/>
    <cellStyle name="Normal 12 2 3 2" xfId="4330" xr:uid="{00000000-0005-0000-0000-0000EE100000}"/>
    <cellStyle name="Normal 12 2 3 2 2" xfId="4331" xr:uid="{00000000-0005-0000-0000-0000EF100000}"/>
    <cellStyle name="Normal 12 2 3 2 2 2" xfId="4332" xr:uid="{00000000-0005-0000-0000-0000F0100000}"/>
    <cellStyle name="Normal 12 2 3 2 2 2 2" xfId="4333" xr:uid="{00000000-0005-0000-0000-0000F1100000}"/>
    <cellStyle name="Normal 12 2 3 2 2 2 2 2" xfId="4334" xr:uid="{00000000-0005-0000-0000-0000F2100000}"/>
    <cellStyle name="Normal 12 2 3 2 2 2 3" xfId="4335" xr:uid="{00000000-0005-0000-0000-0000F3100000}"/>
    <cellStyle name="Normal 12 2 3 2 2 3" xfId="4336" xr:uid="{00000000-0005-0000-0000-0000F4100000}"/>
    <cellStyle name="Normal 12 2 3 2 2 3 2" xfId="4337" xr:uid="{00000000-0005-0000-0000-0000F5100000}"/>
    <cellStyle name="Normal 12 2 3 2 2 3 2 2" xfId="4338" xr:uid="{00000000-0005-0000-0000-0000F6100000}"/>
    <cellStyle name="Normal 12 2 3 2 2 3 3" xfId="4339" xr:uid="{00000000-0005-0000-0000-0000F7100000}"/>
    <cellStyle name="Normal 12 2 3 2 2 4" xfId="4340" xr:uid="{00000000-0005-0000-0000-0000F8100000}"/>
    <cellStyle name="Normal 12 2 3 2 2 4 2" xfId="4341" xr:uid="{00000000-0005-0000-0000-0000F9100000}"/>
    <cellStyle name="Normal 12 2 3 2 2 5" xfId="4342" xr:uid="{00000000-0005-0000-0000-0000FA100000}"/>
    <cellStyle name="Normal 12 2 3 2 3" xfId="4343" xr:uid="{00000000-0005-0000-0000-0000FB100000}"/>
    <cellStyle name="Normal 12 2 3 2 3 2" xfId="4344" xr:uid="{00000000-0005-0000-0000-0000FC100000}"/>
    <cellStyle name="Normal 12 2 3 2 3 2 2" xfId="4345" xr:uid="{00000000-0005-0000-0000-0000FD100000}"/>
    <cellStyle name="Normal 12 2 3 2 3 3" xfId="4346" xr:uid="{00000000-0005-0000-0000-0000FE100000}"/>
    <cellStyle name="Normal 12 2 3 2 4" xfId="4347" xr:uid="{00000000-0005-0000-0000-0000FF100000}"/>
    <cellStyle name="Normal 12 2 3 2 4 2" xfId="4348" xr:uid="{00000000-0005-0000-0000-000000110000}"/>
    <cellStyle name="Normal 12 2 3 2 4 2 2" xfId="4349" xr:uid="{00000000-0005-0000-0000-000001110000}"/>
    <cellStyle name="Normal 12 2 3 2 4 3" xfId="4350" xr:uid="{00000000-0005-0000-0000-000002110000}"/>
    <cellStyle name="Normal 12 2 3 2 5" xfId="4351" xr:uid="{00000000-0005-0000-0000-000003110000}"/>
    <cellStyle name="Normal 12 2 3 2 5 2" xfId="4352" xr:uid="{00000000-0005-0000-0000-000004110000}"/>
    <cellStyle name="Normal 12 2 3 2 6" xfId="4353" xr:uid="{00000000-0005-0000-0000-000005110000}"/>
    <cellStyle name="Normal 12 2 3 3" xfId="4354" xr:uid="{00000000-0005-0000-0000-000006110000}"/>
    <cellStyle name="Normal 12 2 3 3 2" xfId="4355" xr:uid="{00000000-0005-0000-0000-000007110000}"/>
    <cellStyle name="Normal 12 2 3 3 2 2" xfId="4356" xr:uid="{00000000-0005-0000-0000-000008110000}"/>
    <cellStyle name="Normal 12 2 3 3 2 2 2" xfId="4357" xr:uid="{00000000-0005-0000-0000-000009110000}"/>
    <cellStyle name="Normal 12 2 3 3 2 3" xfId="4358" xr:uid="{00000000-0005-0000-0000-00000A110000}"/>
    <cellStyle name="Normal 12 2 3 3 3" xfId="4359" xr:uid="{00000000-0005-0000-0000-00000B110000}"/>
    <cellStyle name="Normal 12 2 3 3 3 2" xfId="4360" xr:uid="{00000000-0005-0000-0000-00000C110000}"/>
    <cellStyle name="Normal 12 2 3 3 3 2 2" xfId="4361" xr:uid="{00000000-0005-0000-0000-00000D110000}"/>
    <cellStyle name="Normal 12 2 3 3 3 3" xfId="4362" xr:uid="{00000000-0005-0000-0000-00000E110000}"/>
    <cellStyle name="Normal 12 2 3 3 4" xfId="4363" xr:uid="{00000000-0005-0000-0000-00000F110000}"/>
    <cellStyle name="Normal 12 2 3 3 4 2" xfId="4364" xr:uid="{00000000-0005-0000-0000-000010110000}"/>
    <cellStyle name="Normal 12 2 3 3 5" xfId="4365" xr:uid="{00000000-0005-0000-0000-000011110000}"/>
    <cellStyle name="Normal 12 2 3 4" xfId="4366" xr:uid="{00000000-0005-0000-0000-000012110000}"/>
    <cellStyle name="Normal 12 2 3 4 2" xfId="4367" xr:uid="{00000000-0005-0000-0000-000013110000}"/>
    <cellStyle name="Normal 12 2 3 4 2 2" xfId="4368" xr:uid="{00000000-0005-0000-0000-000014110000}"/>
    <cellStyle name="Normal 12 2 3 4 3" xfId="4369" xr:uid="{00000000-0005-0000-0000-000015110000}"/>
    <cellStyle name="Normal 12 2 3 5" xfId="4370" xr:uid="{00000000-0005-0000-0000-000016110000}"/>
    <cellStyle name="Normal 12 2 3 5 2" xfId="4371" xr:uid="{00000000-0005-0000-0000-000017110000}"/>
    <cellStyle name="Normal 12 2 3 5 2 2" xfId="4372" xr:uid="{00000000-0005-0000-0000-000018110000}"/>
    <cellStyle name="Normal 12 2 3 5 3" xfId="4373" xr:uid="{00000000-0005-0000-0000-000019110000}"/>
    <cellStyle name="Normal 12 2 3 6" xfId="4374" xr:uid="{00000000-0005-0000-0000-00001A110000}"/>
    <cellStyle name="Normal 12 2 3 6 2" xfId="4375" xr:uid="{00000000-0005-0000-0000-00001B110000}"/>
    <cellStyle name="Normal 12 2 3 7" xfId="4376" xr:uid="{00000000-0005-0000-0000-00001C110000}"/>
    <cellStyle name="Normal 12 2 4" xfId="4377" xr:uid="{00000000-0005-0000-0000-00001D110000}"/>
    <cellStyle name="Normal 12 2 4 2" xfId="4378" xr:uid="{00000000-0005-0000-0000-00001E110000}"/>
    <cellStyle name="Normal 12 2 4 2 2" xfId="4379" xr:uid="{00000000-0005-0000-0000-00001F110000}"/>
    <cellStyle name="Normal 12 2 4 2 2 2" xfId="4380" xr:uid="{00000000-0005-0000-0000-000020110000}"/>
    <cellStyle name="Normal 12 2 4 2 2 2 2" xfId="4381" xr:uid="{00000000-0005-0000-0000-000021110000}"/>
    <cellStyle name="Normal 12 2 4 2 2 3" xfId="4382" xr:uid="{00000000-0005-0000-0000-000022110000}"/>
    <cellStyle name="Normal 12 2 4 2 3" xfId="4383" xr:uid="{00000000-0005-0000-0000-000023110000}"/>
    <cellStyle name="Normal 12 2 4 2 3 2" xfId="4384" xr:uid="{00000000-0005-0000-0000-000024110000}"/>
    <cellStyle name="Normal 12 2 4 2 3 2 2" xfId="4385" xr:uid="{00000000-0005-0000-0000-000025110000}"/>
    <cellStyle name="Normal 12 2 4 2 3 3" xfId="4386" xr:uid="{00000000-0005-0000-0000-000026110000}"/>
    <cellStyle name="Normal 12 2 4 2 4" xfId="4387" xr:uid="{00000000-0005-0000-0000-000027110000}"/>
    <cellStyle name="Normal 12 2 4 2 4 2" xfId="4388" xr:uid="{00000000-0005-0000-0000-000028110000}"/>
    <cellStyle name="Normal 12 2 4 2 5" xfId="4389" xr:uid="{00000000-0005-0000-0000-000029110000}"/>
    <cellStyle name="Normal 12 2 4 3" xfId="4390" xr:uid="{00000000-0005-0000-0000-00002A110000}"/>
    <cellStyle name="Normal 12 2 4 3 2" xfId="4391" xr:uid="{00000000-0005-0000-0000-00002B110000}"/>
    <cellStyle name="Normal 12 2 4 3 2 2" xfId="4392" xr:uid="{00000000-0005-0000-0000-00002C110000}"/>
    <cellStyle name="Normal 12 2 4 3 3" xfId="4393" xr:uid="{00000000-0005-0000-0000-00002D110000}"/>
    <cellStyle name="Normal 12 2 4 4" xfId="4394" xr:uid="{00000000-0005-0000-0000-00002E110000}"/>
    <cellStyle name="Normal 12 2 4 4 2" xfId="4395" xr:uid="{00000000-0005-0000-0000-00002F110000}"/>
    <cellStyle name="Normal 12 2 4 4 2 2" xfId="4396" xr:uid="{00000000-0005-0000-0000-000030110000}"/>
    <cellStyle name="Normal 12 2 4 4 3" xfId="4397" xr:uid="{00000000-0005-0000-0000-000031110000}"/>
    <cellStyle name="Normal 12 2 4 5" xfId="4398" xr:uid="{00000000-0005-0000-0000-000032110000}"/>
    <cellStyle name="Normal 12 2 4 5 2" xfId="4399" xr:uid="{00000000-0005-0000-0000-000033110000}"/>
    <cellStyle name="Normal 12 2 4 6" xfId="4400" xr:uid="{00000000-0005-0000-0000-000034110000}"/>
    <cellStyle name="Normal 12 2 5" xfId="4401" xr:uid="{00000000-0005-0000-0000-000035110000}"/>
    <cellStyle name="Normal 12 2 5 2" xfId="4402" xr:uid="{00000000-0005-0000-0000-000036110000}"/>
    <cellStyle name="Normal 12 2 5 2 2" xfId="4403" xr:uid="{00000000-0005-0000-0000-000037110000}"/>
    <cellStyle name="Normal 12 2 5 2 2 2" xfId="4404" xr:uid="{00000000-0005-0000-0000-000038110000}"/>
    <cellStyle name="Normal 12 2 5 2 3" xfId="4405" xr:uid="{00000000-0005-0000-0000-000039110000}"/>
    <cellStyle name="Normal 12 2 5 3" xfId="4406" xr:uid="{00000000-0005-0000-0000-00003A110000}"/>
    <cellStyle name="Normal 12 2 5 3 2" xfId="4407" xr:uid="{00000000-0005-0000-0000-00003B110000}"/>
    <cellStyle name="Normal 12 2 5 3 2 2" xfId="4408" xr:uid="{00000000-0005-0000-0000-00003C110000}"/>
    <cellStyle name="Normal 12 2 5 3 3" xfId="4409" xr:uid="{00000000-0005-0000-0000-00003D110000}"/>
    <cellStyle name="Normal 12 2 5 4" xfId="4410" xr:uid="{00000000-0005-0000-0000-00003E110000}"/>
    <cellStyle name="Normal 12 2 5 4 2" xfId="4411" xr:uid="{00000000-0005-0000-0000-00003F110000}"/>
    <cellStyle name="Normal 12 2 5 5" xfId="4412" xr:uid="{00000000-0005-0000-0000-000040110000}"/>
    <cellStyle name="Normal 12 2 6" xfId="4413" xr:uid="{00000000-0005-0000-0000-000041110000}"/>
    <cellStyle name="Normal 12 2 6 2" xfId="4414" xr:uid="{00000000-0005-0000-0000-000042110000}"/>
    <cellStyle name="Normal 12 2 6 2 2" xfId="4415" xr:uid="{00000000-0005-0000-0000-000043110000}"/>
    <cellStyle name="Normal 12 2 6 3" xfId="4416" xr:uid="{00000000-0005-0000-0000-000044110000}"/>
    <cellStyle name="Normal 12 2 7" xfId="4417" xr:uid="{00000000-0005-0000-0000-000045110000}"/>
    <cellStyle name="Normal 12 2 7 2" xfId="4418" xr:uid="{00000000-0005-0000-0000-000046110000}"/>
    <cellStyle name="Normal 12 2 7 2 2" xfId="4419" xr:uid="{00000000-0005-0000-0000-000047110000}"/>
    <cellStyle name="Normal 12 2 7 3" xfId="4420" xr:uid="{00000000-0005-0000-0000-000048110000}"/>
    <cellStyle name="Normal 12 2 8" xfId="4421" xr:uid="{00000000-0005-0000-0000-000049110000}"/>
    <cellStyle name="Normal 12 2 8 2" xfId="4422" xr:uid="{00000000-0005-0000-0000-00004A110000}"/>
    <cellStyle name="Normal 12 3" xfId="4423" xr:uid="{00000000-0005-0000-0000-00004B110000}"/>
    <cellStyle name="Normal 12 3 2" xfId="4424" xr:uid="{00000000-0005-0000-0000-00004C110000}"/>
    <cellStyle name="Normal 12 3 2 2" xfId="4425" xr:uid="{00000000-0005-0000-0000-00004D110000}"/>
    <cellStyle name="Normal 12 3 2 2 2" xfId="4426" xr:uid="{00000000-0005-0000-0000-00004E110000}"/>
    <cellStyle name="Normal 12 3 2 2 2 2" xfId="4427" xr:uid="{00000000-0005-0000-0000-00004F110000}"/>
    <cellStyle name="Normal 12 3 2 2 2 2 2" xfId="4428" xr:uid="{00000000-0005-0000-0000-000050110000}"/>
    <cellStyle name="Normal 12 3 2 2 2 2 2 2" xfId="4429" xr:uid="{00000000-0005-0000-0000-000051110000}"/>
    <cellStyle name="Normal 12 3 2 2 2 2 3" xfId="4430" xr:uid="{00000000-0005-0000-0000-000052110000}"/>
    <cellStyle name="Normal 12 3 2 2 2 3" xfId="4431" xr:uid="{00000000-0005-0000-0000-000053110000}"/>
    <cellStyle name="Normal 12 3 2 2 2 3 2" xfId="4432" xr:uid="{00000000-0005-0000-0000-000054110000}"/>
    <cellStyle name="Normal 12 3 2 2 2 3 2 2" xfId="4433" xr:uid="{00000000-0005-0000-0000-000055110000}"/>
    <cellStyle name="Normal 12 3 2 2 2 3 3" xfId="4434" xr:uid="{00000000-0005-0000-0000-000056110000}"/>
    <cellStyle name="Normal 12 3 2 2 2 4" xfId="4435" xr:uid="{00000000-0005-0000-0000-000057110000}"/>
    <cellStyle name="Normal 12 3 2 2 2 4 2" xfId="4436" xr:uid="{00000000-0005-0000-0000-000058110000}"/>
    <cellStyle name="Normal 12 3 2 2 2 5" xfId="4437" xr:uid="{00000000-0005-0000-0000-000059110000}"/>
    <cellStyle name="Normal 12 3 2 2 3" xfId="4438" xr:uid="{00000000-0005-0000-0000-00005A110000}"/>
    <cellStyle name="Normal 12 3 2 2 3 2" xfId="4439" xr:uid="{00000000-0005-0000-0000-00005B110000}"/>
    <cellStyle name="Normal 12 3 2 2 3 2 2" xfId="4440" xr:uid="{00000000-0005-0000-0000-00005C110000}"/>
    <cellStyle name="Normal 12 3 2 2 3 3" xfId="4441" xr:uid="{00000000-0005-0000-0000-00005D110000}"/>
    <cellStyle name="Normal 12 3 2 2 4" xfId="4442" xr:uid="{00000000-0005-0000-0000-00005E110000}"/>
    <cellStyle name="Normal 12 3 2 2 4 2" xfId="4443" xr:uid="{00000000-0005-0000-0000-00005F110000}"/>
    <cellStyle name="Normal 12 3 2 2 4 2 2" xfId="4444" xr:uid="{00000000-0005-0000-0000-000060110000}"/>
    <cellStyle name="Normal 12 3 2 2 4 3" xfId="4445" xr:uid="{00000000-0005-0000-0000-000061110000}"/>
    <cellStyle name="Normal 12 3 2 2 5" xfId="4446" xr:uid="{00000000-0005-0000-0000-000062110000}"/>
    <cellStyle name="Normal 12 3 2 2 5 2" xfId="4447" xr:uid="{00000000-0005-0000-0000-000063110000}"/>
    <cellStyle name="Normal 12 3 2 3" xfId="4448" xr:uid="{00000000-0005-0000-0000-000064110000}"/>
    <cellStyle name="Normal 12 3 2 3 2" xfId="4449" xr:uid="{00000000-0005-0000-0000-000065110000}"/>
    <cellStyle name="Normal 12 3 2 3 2 2" xfId="4450" xr:uid="{00000000-0005-0000-0000-000066110000}"/>
    <cellStyle name="Normal 12 3 2 3 2 2 2" xfId="4451" xr:uid="{00000000-0005-0000-0000-000067110000}"/>
    <cellStyle name="Normal 12 3 2 3 2 3" xfId="4452" xr:uid="{00000000-0005-0000-0000-000068110000}"/>
    <cellStyle name="Normal 12 3 2 3 3" xfId="4453" xr:uid="{00000000-0005-0000-0000-000069110000}"/>
    <cellStyle name="Normal 12 3 2 3 3 2" xfId="4454" xr:uid="{00000000-0005-0000-0000-00006A110000}"/>
    <cellStyle name="Normal 12 3 2 3 3 2 2" xfId="4455" xr:uid="{00000000-0005-0000-0000-00006B110000}"/>
    <cellStyle name="Normal 12 3 2 3 3 3" xfId="4456" xr:uid="{00000000-0005-0000-0000-00006C110000}"/>
    <cellStyle name="Normal 12 3 2 3 4" xfId="4457" xr:uid="{00000000-0005-0000-0000-00006D110000}"/>
    <cellStyle name="Normal 12 3 2 3 4 2" xfId="4458" xr:uid="{00000000-0005-0000-0000-00006E110000}"/>
    <cellStyle name="Normal 12 3 2 3 5" xfId="4459" xr:uid="{00000000-0005-0000-0000-00006F110000}"/>
    <cellStyle name="Normal 12 3 2 4" xfId="4460" xr:uid="{00000000-0005-0000-0000-000070110000}"/>
    <cellStyle name="Normal 12 3 2 4 2" xfId="4461" xr:uid="{00000000-0005-0000-0000-000071110000}"/>
    <cellStyle name="Normal 12 3 2 4 2 2" xfId="4462" xr:uid="{00000000-0005-0000-0000-000072110000}"/>
    <cellStyle name="Normal 12 3 2 4 3" xfId="4463" xr:uid="{00000000-0005-0000-0000-000073110000}"/>
    <cellStyle name="Normal 12 3 2 5" xfId="4464" xr:uid="{00000000-0005-0000-0000-000074110000}"/>
    <cellStyle name="Normal 12 3 2 5 2" xfId="4465" xr:uid="{00000000-0005-0000-0000-000075110000}"/>
    <cellStyle name="Normal 12 3 2 5 2 2" xfId="4466" xr:uid="{00000000-0005-0000-0000-000076110000}"/>
    <cellStyle name="Normal 12 3 2 5 3" xfId="4467" xr:uid="{00000000-0005-0000-0000-000077110000}"/>
    <cellStyle name="Normal 12 3 2 6" xfId="4468" xr:uid="{00000000-0005-0000-0000-000078110000}"/>
    <cellStyle name="Normal 12 3 2 6 2" xfId="4469" xr:uid="{00000000-0005-0000-0000-000079110000}"/>
    <cellStyle name="Normal 12 3 2 7" xfId="4470" xr:uid="{00000000-0005-0000-0000-00007A110000}"/>
    <cellStyle name="Normal 12 3 3" xfId="4471" xr:uid="{00000000-0005-0000-0000-00007B110000}"/>
    <cellStyle name="Normal 12 3 3 2" xfId="4472" xr:uid="{00000000-0005-0000-0000-00007C110000}"/>
    <cellStyle name="Normal 12 3 3 2 2" xfId="4473" xr:uid="{00000000-0005-0000-0000-00007D110000}"/>
    <cellStyle name="Normal 12 3 3 2 2 2" xfId="4474" xr:uid="{00000000-0005-0000-0000-00007E110000}"/>
    <cellStyle name="Normal 12 3 3 2 2 2 2" xfId="4475" xr:uid="{00000000-0005-0000-0000-00007F110000}"/>
    <cellStyle name="Normal 12 3 3 2 2 3" xfId="4476" xr:uid="{00000000-0005-0000-0000-000080110000}"/>
    <cellStyle name="Normal 12 3 3 2 3" xfId="4477" xr:uid="{00000000-0005-0000-0000-000081110000}"/>
    <cellStyle name="Normal 12 3 3 2 3 2" xfId="4478" xr:uid="{00000000-0005-0000-0000-000082110000}"/>
    <cellStyle name="Normal 12 3 3 2 3 2 2" xfId="4479" xr:uid="{00000000-0005-0000-0000-000083110000}"/>
    <cellStyle name="Normal 12 3 3 2 3 3" xfId="4480" xr:uid="{00000000-0005-0000-0000-000084110000}"/>
    <cellStyle name="Normal 12 3 3 2 4" xfId="4481" xr:uid="{00000000-0005-0000-0000-000085110000}"/>
    <cellStyle name="Normal 12 3 3 2 4 2" xfId="4482" xr:uid="{00000000-0005-0000-0000-000086110000}"/>
    <cellStyle name="Normal 12 3 3 2 5" xfId="4483" xr:uid="{00000000-0005-0000-0000-000087110000}"/>
    <cellStyle name="Normal 12 3 3 3" xfId="4484" xr:uid="{00000000-0005-0000-0000-000088110000}"/>
    <cellStyle name="Normal 12 3 3 3 2" xfId="4485" xr:uid="{00000000-0005-0000-0000-000089110000}"/>
    <cellStyle name="Normal 12 3 3 3 2 2" xfId="4486" xr:uid="{00000000-0005-0000-0000-00008A110000}"/>
    <cellStyle name="Normal 12 3 3 3 3" xfId="4487" xr:uid="{00000000-0005-0000-0000-00008B110000}"/>
    <cellStyle name="Normal 12 3 3 4" xfId="4488" xr:uid="{00000000-0005-0000-0000-00008C110000}"/>
    <cellStyle name="Normal 12 3 3 4 2" xfId="4489" xr:uid="{00000000-0005-0000-0000-00008D110000}"/>
    <cellStyle name="Normal 12 3 3 4 2 2" xfId="4490" xr:uid="{00000000-0005-0000-0000-00008E110000}"/>
    <cellStyle name="Normal 12 3 3 4 3" xfId="4491" xr:uid="{00000000-0005-0000-0000-00008F110000}"/>
    <cellStyle name="Normal 12 3 3 5" xfId="4492" xr:uid="{00000000-0005-0000-0000-000090110000}"/>
    <cellStyle name="Normal 12 3 3 5 2" xfId="4493" xr:uid="{00000000-0005-0000-0000-000091110000}"/>
    <cellStyle name="Normal 12 3 3 6" xfId="4494" xr:uid="{00000000-0005-0000-0000-000092110000}"/>
    <cellStyle name="Normal 12 3 4" xfId="4495" xr:uid="{00000000-0005-0000-0000-000093110000}"/>
    <cellStyle name="Normal 12 3 4 2" xfId="4496" xr:uid="{00000000-0005-0000-0000-000094110000}"/>
    <cellStyle name="Normal 12 3 4 2 2" xfId="4497" xr:uid="{00000000-0005-0000-0000-000095110000}"/>
    <cellStyle name="Normal 12 3 4 2 2 2" xfId="4498" xr:uid="{00000000-0005-0000-0000-000096110000}"/>
    <cellStyle name="Normal 12 3 4 2 3" xfId="4499" xr:uid="{00000000-0005-0000-0000-000097110000}"/>
    <cellStyle name="Normal 12 3 4 3" xfId="4500" xr:uid="{00000000-0005-0000-0000-000098110000}"/>
    <cellStyle name="Normal 12 3 4 3 2" xfId="4501" xr:uid="{00000000-0005-0000-0000-000099110000}"/>
    <cellStyle name="Normal 12 3 4 3 2 2" xfId="4502" xr:uid="{00000000-0005-0000-0000-00009A110000}"/>
    <cellStyle name="Normal 12 3 4 3 3" xfId="4503" xr:uid="{00000000-0005-0000-0000-00009B110000}"/>
    <cellStyle name="Normal 12 3 4 4" xfId="4504" xr:uid="{00000000-0005-0000-0000-00009C110000}"/>
    <cellStyle name="Normal 12 3 4 4 2" xfId="4505" xr:uid="{00000000-0005-0000-0000-00009D110000}"/>
    <cellStyle name="Normal 12 3 4 5" xfId="4506" xr:uid="{00000000-0005-0000-0000-00009E110000}"/>
    <cellStyle name="Normal 12 3 5" xfId="4507" xr:uid="{00000000-0005-0000-0000-00009F110000}"/>
    <cellStyle name="Normal 12 3 5 2" xfId="4508" xr:uid="{00000000-0005-0000-0000-0000A0110000}"/>
    <cellStyle name="Normal 12 3 5 2 2" xfId="4509" xr:uid="{00000000-0005-0000-0000-0000A1110000}"/>
    <cellStyle name="Normal 12 3 5 3" xfId="4510" xr:uid="{00000000-0005-0000-0000-0000A2110000}"/>
    <cellStyle name="Normal 12 3 6" xfId="4511" xr:uid="{00000000-0005-0000-0000-0000A3110000}"/>
    <cellStyle name="Normal 12 3 6 2" xfId="4512" xr:uid="{00000000-0005-0000-0000-0000A4110000}"/>
    <cellStyle name="Normal 12 3 6 2 2" xfId="4513" xr:uid="{00000000-0005-0000-0000-0000A5110000}"/>
    <cellStyle name="Normal 12 3 6 3" xfId="4514" xr:uid="{00000000-0005-0000-0000-0000A6110000}"/>
    <cellStyle name="Normal 12 3 7" xfId="4515" xr:uid="{00000000-0005-0000-0000-0000A7110000}"/>
    <cellStyle name="Normal 12 3 7 2" xfId="4516" xr:uid="{00000000-0005-0000-0000-0000A8110000}"/>
    <cellStyle name="Normal 12 3 8" xfId="4517" xr:uid="{00000000-0005-0000-0000-0000A9110000}"/>
    <cellStyle name="Normal 12 3 9" xfId="4518" xr:uid="{00000000-0005-0000-0000-0000AA110000}"/>
    <cellStyle name="Normal 12 4" xfId="4519" xr:uid="{00000000-0005-0000-0000-0000AB110000}"/>
    <cellStyle name="Normal 12 4 2" xfId="4520" xr:uid="{00000000-0005-0000-0000-0000AC110000}"/>
    <cellStyle name="Normal 12 4 2 2" xfId="4521" xr:uid="{00000000-0005-0000-0000-0000AD110000}"/>
    <cellStyle name="Normal 12 4 2 2 2" xfId="4522" xr:uid="{00000000-0005-0000-0000-0000AE110000}"/>
    <cellStyle name="Normal 12 4 2 2 2 2" xfId="4523" xr:uid="{00000000-0005-0000-0000-0000AF110000}"/>
    <cellStyle name="Normal 12 4 2 2 2 2 2" xfId="4524" xr:uid="{00000000-0005-0000-0000-0000B0110000}"/>
    <cellStyle name="Normal 12 4 2 2 2 2 2 2" xfId="4525" xr:uid="{00000000-0005-0000-0000-0000B1110000}"/>
    <cellStyle name="Normal 12 4 2 2 2 2 3" xfId="4526" xr:uid="{00000000-0005-0000-0000-0000B2110000}"/>
    <cellStyle name="Normal 12 4 2 2 2 3" xfId="4527" xr:uid="{00000000-0005-0000-0000-0000B3110000}"/>
    <cellStyle name="Normal 12 4 2 2 2 3 2" xfId="4528" xr:uid="{00000000-0005-0000-0000-0000B4110000}"/>
    <cellStyle name="Normal 12 4 2 2 2 3 2 2" xfId="4529" xr:uid="{00000000-0005-0000-0000-0000B5110000}"/>
    <cellStyle name="Normal 12 4 2 2 2 3 3" xfId="4530" xr:uid="{00000000-0005-0000-0000-0000B6110000}"/>
    <cellStyle name="Normal 12 4 2 2 2 4" xfId="4531" xr:uid="{00000000-0005-0000-0000-0000B7110000}"/>
    <cellStyle name="Normal 12 4 2 2 2 4 2" xfId="4532" xr:uid="{00000000-0005-0000-0000-0000B8110000}"/>
    <cellStyle name="Normal 12 4 2 2 2 5" xfId="4533" xr:uid="{00000000-0005-0000-0000-0000B9110000}"/>
    <cellStyle name="Normal 12 4 2 2 3" xfId="4534" xr:uid="{00000000-0005-0000-0000-0000BA110000}"/>
    <cellStyle name="Normal 12 4 2 2 3 2" xfId="4535" xr:uid="{00000000-0005-0000-0000-0000BB110000}"/>
    <cellStyle name="Normal 12 4 2 2 3 2 2" xfId="4536" xr:uid="{00000000-0005-0000-0000-0000BC110000}"/>
    <cellStyle name="Normal 12 4 2 2 3 3" xfId="4537" xr:uid="{00000000-0005-0000-0000-0000BD110000}"/>
    <cellStyle name="Normal 12 4 2 2 4" xfId="4538" xr:uid="{00000000-0005-0000-0000-0000BE110000}"/>
    <cellStyle name="Normal 12 4 2 2 4 2" xfId="4539" xr:uid="{00000000-0005-0000-0000-0000BF110000}"/>
    <cellStyle name="Normal 12 4 2 2 4 2 2" xfId="4540" xr:uid="{00000000-0005-0000-0000-0000C0110000}"/>
    <cellStyle name="Normal 12 4 2 2 4 3" xfId="4541" xr:uid="{00000000-0005-0000-0000-0000C1110000}"/>
    <cellStyle name="Normal 12 4 2 2 5" xfId="4542" xr:uid="{00000000-0005-0000-0000-0000C2110000}"/>
    <cellStyle name="Normal 12 4 2 2 5 2" xfId="4543" xr:uid="{00000000-0005-0000-0000-0000C3110000}"/>
    <cellStyle name="Normal 12 4 2 2 6" xfId="4544" xr:uid="{00000000-0005-0000-0000-0000C4110000}"/>
    <cellStyle name="Normal 12 4 2 3" xfId="4545" xr:uid="{00000000-0005-0000-0000-0000C5110000}"/>
    <cellStyle name="Normal 12 4 2 3 2" xfId="4546" xr:uid="{00000000-0005-0000-0000-0000C6110000}"/>
    <cellStyle name="Normal 12 4 2 3 2 2" xfId="4547" xr:uid="{00000000-0005-0000-0000-0000C7110000}"/>
    <cellStyle name="Normal 12 4 2 3 2 2 2" xfId="4548" xr:uid="{00000000-0005-0000-0000-0000C8110000}"/>
    <cellStyle name="Normal 12 4 2 3 2 3" xfId="4549" xr:uid="{00000000-0005-0000-0000-0000C9110000}"/>
    <cellStyle name="Normal 12 4 2 3 3" xfId="4550" xr:uid="{00000000-0005-0000-0000-0000CA110000}"/>
    <cellStyle name="Normal 12 4 2 3 3 2" xfId="4551" xr:uid="{00000000-0005-0000-0000-0000CB110000}"/>
    <cellStyle name="Normal 12 4 2 3 3 2 2" xfId="4552" xr:uid="{00000000-0005-0000-0000-0000CC110000}"/>
    <cellStyle name="Normal 12 4 2 3 3 3" xfId="4553" xr:uid="{00000000-0005-0000-0000-0000CD110000}"/>
    <cellStyle name="Normal 12 4 2 3 4" xfId="4554" xr:uid="{00000000-0005-0000-0000-0000CE110000}"/>
    <cellStyle name="Normal 12 4 2 3 4 2" xfId="4555" xr:uid="{00000000-0005-0000-0000-0000CF110000}"/>
    <cellStyle name="Normal 12 4 2 3 5" xfId="4556" xr:uid="{00000000-0005-0000-0000-0000D0110000}"/>
    <cellStyle name="Normal 12 4 2 4" xfId="4557" xr:uid="{00000000-0005-0000-0000-0000D1110000}"/>
    <cellStyle name="Normal 12 4 2 4 2" xfId="4558" xr:uid="{00000000-0005-0000-0000-0000D2110000}"/>
    <cellStyle name="Normal 12 4 2 4 2 2" xfId="4559" xr:uid="{00000000-0005-0000-0000-0000D3110000}"/>
    <cellStyle name="Normal 12 4 2 4 3" xfId="4560" xr:uid="{00000000-0005-0000-0000-0000D4110000}"/>
    <cellStyle name="Normal 12 4 2 5" xfId="4561" xr:uid="{00000000-0005-0000-0000-0000D5110000}"/>
    <cellStyle name="Normal 12 4 2 5 2" xfId="4562" xr:uid="{00000000-0005-0000-0000-0000D6110000}"/>
    <cellStyle name="Normal 12 4 2 5 2 2" xfId="4563" xr:uid="{00000000-0005-0000-0000-0000D7110000}"/>
    <cellStyle name="Normal 12 4 2 5 3" xfId="4564" xr:uid="{00000000-0005-0000-0000-0000D8110000}"/>
    <cellStyle name="Normal 12 4 2 6" xfId="4565" xr:uid="{00000000-0005-0000-0000-0000D9110000}"/>
    <cellStyle name="Normal 12 4 2 6 2" xfId="4566" xr:uid="{00000000-0005-0000-0000-0000DA110000}"/>
    <cellStyle name="Normal 12 4 2 7" xfId="4567" xr:uid="{00000000-0005-0000-0000-0000DB110000}"/>
    <cellStyle name="Normal 12 4 3" xfId="4568" xr:uid="{00000000-0005-0000-0000-0000DC110000}"/>
    <cellStyle name="Normal 12 4 3 2" xfId="4569" xr:uid="{00000000-0005-0000-0000-0000DD110000}"/>
    <cellStyle name="Normal 12 4 3 2 2" xfId="4570" xr:uid="{00000000-0005-0000-0000-0000DE110000}"/>
    <cellStyle name="Normal 12 4 3 2 2 2" xfId="4571" xr:uid="{00000000-0005-0000-0000-0000DF110000}"/>
    <cellStyle name="Normal 12 4 3 2 2 2 2" xfId="4572" xr:uid="{00000000-0005-0000-0000-0000E0110000}"/>
    <cellStyle name="Normal 12 4 3 2 2 3" xfId="4573" xr:uid="{00000000-0005-0000-0000-0000E1110000}"/>
    <cellStyle name="Normal 12 4 3 2 3" xfId="4574" xr:uid="{00000000-0005-0000-0000-0000E2110000}"/>
    <cellStyle name="Normal 12 4 3 2 3 2" xfId="4575" xr:uid="{00000000-0005-0000-0000-0000E3110000}"/>
    <cellStyle name="Normal 12 4 3 2 3 2 2" xfId="4576" xr:uid="{00000000-0005-0000-0000-0000E4110000}"/>
    <cellStyle name="Normal 12 4 3 2 3 3" xfId="4577" xr:uid="{00000000-0005-0000-0000-0000E5110000}"/>
    <cellStyle name="Normal 12 4 3 2 4" xfId="4578" xr:uid="{00000000-0005-0000-0000-0000E6110000}"/>
    <cellStyle name="Normal 12 4 3 2 4 2" xfId="4579" xr:uid="{00000000-0005-0000-0000-0000E7110000}"/>
    <cellStyle name="Normal 12 4 3 2 5" xfId="4580" xr:uid="{00000000-0005-0000-0000-0000E8110000}"/>
    <cellStyle name="Normal 12 4 3 3" xfId="4581" xr:uid="{00000000-0005-0000-0000-0000E9110000}"/>
    <cellStyle name="Normal 12 4 3 3 2" xfId="4582" xr:uid="{00000000-0005-0000-0000-0000EA110000}"/>
    <cellStyle name="Normal 12 4 3 3 2 2" xfId="4583" xr:uid="{00000000-0005-0000-0000-0000EB110000}"/>
    <cellStyle name="Normal 12 4 3 3 3" xfId="4584" xr:uid="{00000000-0005-0000-0000-0000EC110000}"/>
    <cellStyle name="Normal 12 4 3 4" xfId="4585" xr:uid="{00000000-0005-0000-0000-0000ED110000}"/>
    <cellStyle name="Normal 12 4 3 4 2" xfId="4586" xr:uid="{00000000-0005-0000-0000-0000EE110000}"/>
    <cellStyle name="Normal 12 4 3 4 2 2" xfId="4587" xr:uid="{00000000-0005-0000-0000-0000EF110000}"/>
    <cellStyle name="Normal 12 4 3 4 3" xfId="4588" xr:uid="{00000000-0005-0000-0000-0000F0110000}"/>
    <cellStyle name="Normal 12 4 3 5" xfId="4589" xr:uid="{00000000-0005-0000-0000-0000F1110000}"/>
    <cellStyle name="Normal 12 4 3 5 2" xfId="4590" xr:uid="{00000000-0005-0000-0000-0000F2110000}"/>
    <cellStyle name="Normal 12 4 3 6" xfId="4591" xr:uid="{00000000-0005-0000-0000-0000F3110000}"/>
    <cellStyle name="Normal 12 4 4" xfId="4592" xr:uid="{00000000-0005-0000-0000-0000F4110000}"/>
    <cellStyle name="Normal 12 4 4 2" xfId="4593" xr:uid="{00000000-0005-0000-0000-0000F5110000}"/>
    <cellStyle name="Normal 12 4 4 2 2" xfId="4594" xr:uid="{00000000-0005-0000-0000-0000F6110000}"/>
    <cellStyle name="Normal 12 4 4 2 2 2" xfId="4595" xr:uid="{00000000-0005-0000-0000-0000F7110000}"/>
    <cellStyle name="Normal 12 4 4 2 3" xfId="4596" xr:uid="{00000000-0005-0000-0000-0000F8110000}"/>
    <cellStyle name="Normal 12 4 4 3" xfId="4597" xr:uid="{00000000-0005-0000-0000-0000F9110000}"/>
    <cellStyle name="Normal 12 4 4 3 2" xfId="4598" xr:uid="{00000000-0005-0000-0000-0000FA110000}"/>
    <cellStyle name="Normal 12 4 4 3 2 2" xfId="4599" xr:uid="{00000000-0005-0000-0000-0000FB110000}"/>
    <cellStyle name="Normal 12 4 4 3 3" xfId="4600" xr:uid="{00000000-0005-0000-0000-0000FC110000}"/>
    <cellStyle name="Normal 12 4 4 4" xfId="4601" xr:uid="{00000000-0005-0000-0000-0000FD110000}"/>
    <cellStyle name="Normal 12 4 4 4 2" xfId="4602" xr:uid="{00000000-0005-0000-0000-0000FE110000}"/>
    <cellStyle name="Normal 12 4 4 5" xfId="4603" xr:uid="{00000000-0005-0000-0000-0000FF110000}"/>
    <cellStyle name="Normal 12 4 5" xfId="4604" xr:uid="{00000000-0005-0000-0000-000000120000}"/>
    <cellStyle name="Normal 12 4 5 2" xfId="4605" xr:uid="{00000000-0005-0000-0000-000001120000}"/>
    <cellStyle name="Normal 12 4 5 2 2" xfId="4606" xr:uid="{00000000-0005-0000-0000-000002120000}"/>
    <cellStyle name="Normal 12 4 5 3" xfId="4607" xr:uid="{00000000-0005-0000-0000-000003120000}"/>
    <cellStyle name="Normal 12 4 6" xfId="4608" xr:uid="{00000000-0005-0000-0000-000004120000}"/>
    <cellStyle name="Normal 12 4 6 2" xfId="4609" xr:uid="{00000000-0005-0000-0000-000005120000}"/>
    <cellStyle name="Normal 12 4 6 2 2" xfId="4610" xr:uid="{00000000-0005-0000-0000-000006120000}"/>
    <cellStyle name="Normal 12 4 6 3" xfId="4611" xr:uid="{00000000-0005-0000-0000-000007120000}"/>
    <cellStyle name="Normal 12 4 7" xfId="4612" xr:uid="{00000000-0005-0000-0000-000008120000}"/>
    <cellStyle name="Normal 12 4 7 2" xfId="4613" xr:uid="{00000000-0005-0000-0000-000009120000}"/>
    <cellStyle name="Normal 12 5" xfId="4614" xr:uid="{00000000-0005-0000-0000-00000A120000}"/>
    <cellStyle name="Normal 12 5 2" xfId="4615" xr:uid="{00000000-0005-0000-0000-00000B120000}"/>
    <cellStyle name="Normal 12 5 2 2" xfId="4616" xr:uid="{00000000-0005-0000-0000-00000C120000}"/>
    <cellStyle name="Normal 12 5 2 2 2" xfId="4617" xr:uid="{00000000-0005-0000-0000-00000D120000}"/>
    <cellStyle name="Normal 12 5 2 2 2 2" xfId="4618" xr:uid="{00000000-0005-0000-0000-00000E120000}"/>
    <cellStyle name="Normal 12 5 2 2 2 2 2" xfId="4619" xr:uid="{00000000-0005-0000-0000-00000F120000}"/>
    <cellStyle name="Normal 12 5 2 2 2 3" xfId="4620" xr:uid="{00000000-0005-0000-0000-000010120000}"/>
    <cellStyle name="Normal 12 5 2 2 3" xfId="4621" xr:uid="{00000000-0005-0000-0000-000011120000}"/>
    <cellStyle name="Normal 12 5 2 2 3 2" xfId="4622" xr:uid="{00000000-0005-0000-0000-000012120000}"/>
    <cellStyle name="Normal 12 5 2 2 3 2 2" xfId="4623" xr:uid="{00000000-0005-0000-0000-000013120000}"/>
    <cellStyle name="Normal 12 5 2 2 3 3" xfId="4624" xr:uid="{00000000-0005-0000-0000-000014120000}"/>
    <cellStyle name="Normal 12 5 2 2 4" xfId="4625" xr:uid="{00000000-0005-0000-0000-000015120000}"/>
    <cellStyle name="Normal 12 5 2 2 4 2" xfId="4626" xr:uid="{00000000-0005-0000-0000-000016120000}"/>
    <cellStyle name="Normal 12 5 2 2 5" xfId="4627" xr:uid="{00000000-0005-0000-0000-000017120000}"/>
    <cellStyle name="Normal 12 5 2 3" xfId="4628" xr:uid="{00000000-0005-0000-0000-000018120000}"/>
    <cellStyle name="Normal 12 5 2 3 2" xfId="4629" xr:uid="{00000000-0005-0000-0000-000019120000}"/>
    <cellStyle name="Normal 12 5 2 3 2 2" xfId="4630" xr:uid="{00000000-0005-0000-0000-00001A120000}"/>
    <cellStyle name="Normal 12 5 2 3 3" xfId="4631" xr:uid="{00000000-0005-0000-0000-00001B120000}"/>
    <cellStyle name="Normal 12 5 2 4" xfId="4632" xr:uid="{00000000-0005-0000-0000-00001C120000}"/>
    <cellStyle name="Normal 12 5 2 4 2" xfId="4633" xr:uid="{00000000-0005-0000-0000-00001D120000}"/>
    <cellStyle name="Normal 12 5 2 4 2 2" xfId="4634" xr:uid="{00000000-0005-0000-0000-00001E120000}"/>
    <cellStyle name="Normal 12 5 2 4 3" xfId="4635" xr:uid="{00000000-0005-0000-0000-00001F120000}"/>
    <cellStyle name="Normal 12 5 2 5" xfId="4636" xr:uid="{00000000-0005-0000-0000-000020120000}"/>
    <cellStyle name="Normal 12 5 2 5 2" xfId="4637" xr:uid="{00000000-0005-0000-0000-000021120000}"/>
    <cellStyle name="Normal 12 5 2 6" xfId="4638" xr:uid="{00000000-0005-0000-0000-000022120000}"/>
    <cellStyle name="Normal 12 5 3" xfId="4639" xr:uid="{00000000-0005-0000-0000-000023120000}"/>
    <cellStyle name="Normal 12 5 3 2" xfId="4640" xr:uid="{00000000-0005-0000-0000-000024120000}"/>
    <cellStyle name="Normal 12 5 3 2 2" xfId="4641" xr:uid="{00000000-0005-0000-0000-000025120000}"/>
    <cellStyle name="Normal 12 5 3 2 2 2" xfId="4642" xr:uid="{00000000-0005-0000-0000-000026120000}"/>
    <cellStyle name="Normal 12 5 3 2 3" xfId="4643" xr:uid="{00000000-0005-0000-0000-000027120000}"/>
    <cellStyle name="Normal 12 5 3 3" xfId="4644" xr:uid="{00000000-0005-0000-0000-000028120000}"/>
    <cellStyle name="Normal 12 5 3 3 2" xfId="4645" xr:uid="{00000000-0005-0000-0000-000029120000}"/>
    <cellStyle name="Normal 12 5 3 3 2 2" xfId="4646" xr:uid="{00000000-0005-0000-0000-00002A120000}"/>
    <cellStyle name="Normal 12 5 3 3 3" xfId="4647" xr:uid="{00000000-0005-0000-0000-00002B120000}"/>
    <cellStyle name="Normal 12 5 3 4" xfId="4648" xr:uid="{00000000-0005-0000-0000-00002C120000}"/>
    <cellStyle name="Normal 12 5 3 4 2" xfId="4649" xr:uid="{00000000-0005-0000-0000-00002D120000}"/>
    <cellStyle name="Normal 12 5 3 5" xfId="4650" xr:uid="{00000000-0005-0000-0000-00002E120000}"/>
    <cellStyle name="Normal 12 5 4" xfId="4651" xr:uid="{00000000-0005-0000-0000-00002F120000}"/>
    <cellStyle name="Normal 12 5 4 2" xfId="4652" xr:uid="{00000000-0005-0000-0000-000030120000}"/>
    <cellStyle name="Normal 12 5 4 2 2" xfId="4653" xr:uid="{00000000-0005-0000-0000-000031120000}"/>
    <cellStyle name="Normal 12 5 4 3" xfId="4654" xr:uid="{00000000-0005-0000-0000-000032120000}"/>
    <cellStyle name="Normal 12 5 5" xfId="4655" xr:uid="{00000000-0005-0000-0000-000033120000}"/>
    <cellStyle name="Normal 12 5 5 2" xfId="4656" xr:uid="{00000000-0005-0000-0000-000034120000}"/>
    <cellStyle name="Normal 12 5 5 2 2" xfId="4657" xr:uid="{00000000-0005-0000-0000-000035120000}"/>
    <cellStyle name="Normal 12 5 5 3" xfId="4658" xr:uid="{00000000-0005-0000-0000-000036120000}"/>
    <cellStyle name="Normal 12 5 6" xfId="4659" xr:uid="{00000000-0005-0000-0000-000037120000}"/>
    <cellStyle name="Normal 12 5 6 2" xfId="4660" xr:uid="{00000000-0005-0000-0000-000038120000}"/>
    <cellStyle name="Normal 12 5 7" xfId="4661" xr:uid="{00000000-0005-0000-0000-000039120000}"/>
    <cellStyle name="Normal 12 6" xfId="4662" xr:uid="{00000000-0005-0000-0000-00003A120000}"/>
    <cellStyle name="Normal 12 6 2" xfId="4663" xr:uid="{00000000-0005-0000-0000-00003B120000}"/>
    <cellStyle name="Normal 12 6 2 2" xfId="4664" xr:uid="{00000000-0005-0000-0000-00003C120000}"/>
    <cellStyle name="Normal 12 6 2 2 2" xfId="4665" xr:uid="{00000000-0005-0000-0000-00003D120000}"/>
    <cellStyle name="Normal 12 6 2 2 2 2" xfId="4666" xr:uid="{00000000-0005-0000-0000-00003E120000}"/>
    <cellStyle name="Normal 12 6 2 2 3" xfId="4667" xr:uid="{00000000-0005-0000-0000-00003F120000}"/>
    <cellStyle name="Normal 12 6 2 3" xfId="4668" xr:uid="{00000000-0005-0000-0000-000040120000}"/>
    <cellStyle name="Normal 12 6 2 3 2" xfId="4669" xr:uid="{00000000-0005-0000-0000-000041120000}"/>
    <cellStyle name="Normal 12 6 2 3 2 2" xfId="4670" xr:uid="{00000000-0005-0000-0000-000042120000}"/>
    <cellStyle name="Normal 12 6 2 3 3" xfId="4671" xr:uid="{00000000-0005-0000-0000-000043120000}"/>
    <cellStyle name="Normal 12 6 2 4" xfId="4672" xr:uid="{00000000-0005-0000-0000-000044120000}"/>
    <cellStyle name="Normal 12 6 2 4 2" xfId="4673" xr:uid="{00000000-0005-0000-0000-000045120000}"/>
    <cellStyle name="Normal 12 6 2 5" xfId="4674" xr:uid="{00000000-0005-0000-0000-000046120000}"/>
    <cellStyle name="Normal 12 6 3" xfId="4675" xr:uid="{00000000-0005-0000-0000-000047120000}"/>
    <cellStyle name="Normal 12 6 3 2" xfId="4676" xr:uid="{00000000-0005-0000-0000-000048120000}"/>
    <cellStyle name="Normal 12 6 3 2 2" xfId="4677" xr:uid="{00000000-0005-0000-0000-000049120000}"/>
    <cellStyle name="Normal 12 6 3 3" xfId="4678" xr:uid="{00000000-0005-0000-0000-00004A120000}"/>
    <cellStyle name="Normal 12 6 4" xfId="4679" xr:uid="{00000000-0005-0000-0000-00004B120000}"/>
    <cellStyle name="Normal 12 6 4 2" xfId="4680" xr:uid="{00000000-0005-0000-0000-00004C120000}"/>
    <cellStyle name="Normal 12 6 4 2 2" xfId="4681" xr:uid="{00000000-0005-0000-0000-00004D120000}"/>
    <cellStyle name="Normal 12 6 4 3" xfId="4682" xr:uid="{00000000-0005-0000-0000-00004E120000}"/>
    <cellStyle name="Normal 12 6 5" xfId="4683" xr:uid="{00000000-0005-0000-0000-00004F120000}"/>
    <cellStyle name="Normal 12 6 5 2" xfId="4684" xr:uid="{00000000-0005-0000-0000-000050120000}"/>
    <cellStyle name="Normal 12 6 6" xfId="4685" xr:uid="{00000000-0005-0000-0000-000051120000}"/>
    <cellStyle name="Normal 12 6 7" xfId="4686" xr:uid="{00000000-0005-0000-0000-000052120000}"/>
    <cellStyle name="Normal 12 7" xfId="4687" xr:uid="{00000000-0005-0000-0000-000053120000}"/>
    <cellStyle name="Normal 12 7 2" xfId="4688" xr:uid="{00000000-0005-0000-0000-000054120000}"/>
    <cellStyle name="Normal 12 7 2 2" xfId="4689" xr:uid="{00000000-0005-0000-0000-000055120000}"/>
    <cellStyle name="Normal 12 7 2 2 2" xfId="4690" xr:uid="{00000000-0005-0000-0000-000056120000}"/>
    <cellStyle name="Normal 12 7 2 3" xfId="4691" xr:uid="{00000000-0005-0000-0000-000057120000}"/>
    <cellStyle name="Normal 12 7 3" xfId="4692" xr:uid="{00000000-0005-0000-0000-000058120000}"/>
    <cellStyle name="Normal 12 7 3 2" xfId="4693" xr:uid="{00000000-0005-0000-0000-000059120000}"/>
    <cellStyle name="Normal 12 7 3 2 2" xfId="4694" xr:uid="{00000000-0005-0000-0000-00005A120000}"/>
    <cellStyle name="Normal 12 7 3 3" xfId="4695" xr:uid="{00000000-0005-0000-0000-00005B120000}"/>
    <cellStyle name="Normal 12 7 4" xfId="4696" xr:uid="{00000000-0005-0000-0000-00005C120000}"/>
    <cellStyle name="Normal 12 7 4 2" xfId="4697" xr:uid="{00000000-0005-0000-0000-00005D120000}"/>
    <cellStyle name="Normal 12 8" xfId="4698" xr:uid="{00000000-0005-0000-0000-00005E120000}"/>
    <cellStyle name="Normal 12 8 2" xfId="4699" xr:uid="{00000000-0005-0000-0000-00005F120000}"/>
    <cellStyle name="Normal 12 8 2 2" xfId="4700" xr:uid="{00000000-0005-0000-0000-000060120000}"/>
    <cellStyle name="Normal 12 9" xfId="4701" xr:uid="{00000000-0005-0000-0000-000061120000}"/>
    <cellStyle name="Normal 12 9 2" xfId="4702" xr:uid="{00000000-0005-0000-0000-000062120000}"/>
    <cellStyle name="Normal 12 9 2 2" xfId="4703" xr:uid="{00000000-0005-0000-0000-000063120000}"/>
    <cellStyle name="Normal 12 9 3" xfId="4704" xr:uid="{00000000-0005-0000-0000-000064120000}"/>
    <cellStyle name="Normal 12_2180" xfId="4705" xr:uid="{00000000-0005-0000-0000-000065120000}"/>
    <cellStyle name="Normal 120" xfId="4706" xr:uid="{00000000-0005-0000-0000-000066120000}"/>
    <cellStyle name="Normal 120 2" xfId="4707" xr:uid="{00000000-0005-0000-0000-000067120000}"/>
    <cellStyle name="Normal 121" xfId="4708" xr:uid="{00000000-0005-0000-0000-000068120000}"/>
    <cellStyle name="Normal 121 2" xfId="4709" xr:uid="{00000000-0005-0000-0000-000069120000}"/>
    <cellStyle name="Normal 122" xfId="4710" xr:uid="{00000000-0005-0000-0000-00006A120000}"/>
    <cellStyle name="Normal 122 2" xfId="4711" xr:uid="{00000000-0005-0000-0000-00006B120000}"/>
    <cellStyle name="Normal 123" xfId="4712" xr:uid="{00000000-0005-0000-0000-00006C120000}"/>
    <cellStyle name="Normal 123 2" xfId="4713" xr:uid="{00000000-0005-0000-0000-00006D120000}"/>
    <cellStyle name="Normal 124" xfId="4714" xr:uid="{00000000-0005-0000-0000-00006E120000}"/>
    <cellStyle name="Normal 124 2" xfId="4715" xr:uid="{00000000-0005-0000-0000-00006F120000}"/>
    <cellStyle name="Normal 125" xfId="4716" xr:uid="{00000000-0005-0000-0000-000070120000}"/>
    <cellStyle name="Normal 125 2" xfId="4717" xr:uid="{00000000-0005-0000-0000-000071120000}"/>
    <cellStyle name="Normal 126" xfId="4718" xr:uid="{00000000-0005-0000-0000-000072120000}"/>
    <cellStyle name="Normal 126 2" xfId="4719" xr:uid="{00000000-0005-0000-0000-000073120000}"/>
    <cellStyle name="Normal 127" xfId="4720" xr:uid="{00000000-0005-0000-0000-000074120000}"/>
    <cellStyle name="Normal 127 2" xfId="4721" xr:uid="{00000000-0005-0000-0000-000075120000}"/>
    <cellStyle name="Normal 128" xfId="4722" xr:uid="{00000000-0005-0000-0000-000076120000}"/>
    <cellStyle name="Normal 128 2" xfId="4723" xr:uid="{00000000-0005-0000-0000-000077120000}"/>
    <cellStyle name="Normal 128 3" xfId="4724" xr:uid="{00000000-0005-0000-0000-000078120000}"/>
    <cellStyle name="Normal 129" xfId="4725" xr:uid="{00000000-0005-0000-0000-000079120000}"/>
    <cellStyle name="Normal 129 2" xfId="4726" xr:uid="{00000000-0005-0000-0000-00007A120000}"/>
    <cellStyle name="Normal 13" xfId="4727" xr:uid="{00000000-0005-0000-0000-00007B120000}"/>
    <cellStyle name="Normal 13 10" xfId="4728" xr:uid="{00000000-0005-0000-0000-00007C120000}"/>
    <cellStyle name="Normal 13 10 2" xfId="4729" xr:uid="{00000000-0005-0000-0000-00007D120000}"/>
    <cellStyle name="Normal 13 11" xfId="4730" xr:uid="{00000000-0005-0000-0000-00007E120000}"/>
    <cellStyle name="Normal 13 12" xfId="4731" xr:uid="{00000000-0005-0000-0000-00007F120000}"/>
    <cellStyle name="Normal 13 2" xfId="4732" xr:uid="{00000000-0005-0000-0000-000080120000}"/>
    <cellStyle name="Normal 13 2 2" xfId="4733" xr:uid="{00000000-0005-0000-0000-000081120000}"/>
    <cellStyle name="Normal 13 2 2 2" xfId="4734" xr:uid="{00000000-0005-0000-0000-000082120000}"/>
    <cellStyle name="Normal 13 2 2 2 2" xfId="4735" xr:uid="{00000000-0005-0000-0000-000083120000}"/>
    <cellStyle name="Normal 13 2 2 2 2 2" xfId="4736" xr:uid="{00000000-0005-0000-0000-000084120000}"/>
    <cellStyle name="Normal 13 2 2 2 2 2 2" xfId="4737" xr:uid="{00000000-0005-0000-0000-000085120000}"/>
    <cellStyle name="Normal 13 2 2 2 2 2 2 2" xfId="4738" xr:uid="{00000000-0005-0000-0000-000086120000}"/>
    <cellStyle name="Normal 13 2 2 2 2 2 2 2 2" xfId="4739" xr:uid="{00000000-0005-0000-0000-000087120000}"/>
    <cellStyle name="Normal 13 2 2 2 2 2 2 3" xfId="4740" xr:uid="{00000000-0005-0000-0000-000088120000}"/>
    <cellStyle name="Normal 13 2 2 2 2 2 3" xfId="4741" xr:uid="{00000000-0005-0000-0000-000089120000}"/>
    <cellStyle name="Normal 13 2 2 2 2 2 3 2" xfId="4742" xr:uid="{00000000-0005-0000-0000-00008A120000}"/>
    <cellStyle name="Normal 13 2 2 2 2 2 3 2 2" xfId="4743" xr:uid="{00000000-0005-0000-0000-00008B120000}"/>
    <cellStyle name="Normal 13 2 2 2 2 2 3 3" xfId="4744" xr:uid="{00000000-0005-0000-0000-00008C120000}"/>
    <cellStyle name="Normal 13 2 2 2 2 2 4" xfId="4745" xr:uid="{00000000-0005-0000-0000-00008D120000}"/>
    <cellStyle name="Normal 13 2 2 2 2 2 4 2" xfId="4746" xr:uid="{00000000-0005-0000-0000-00008E120000}"/>
    <cellStyle name="Normal 13 2 2 2 2 2 5" xfId="4747" xr:uid="{00000000-0005-0000-0000-00008F120000}"/>
    <cellStyle name="Normal 13 2 2 2 2 3" xfId="4748" xr:uid="{00000000-0005-0000-0000-000090120000}"/>
    <cellStyle name="Normal 13 2 2 2 2 3 2" xfId="4749" xr:uid="{00000000-0005-0000-0000-000091120000}"/>
    <cellStyle name="Normal 13 2 2 2 2 3 2 2" xfId="4750" xr:uid="{00000000-0005-0000-0000-000092120000}"/>
    <cellStyle name="Normal 13 2 2 2 2 3 3" xfId="4751" xr:uid="{00000000-0005-0000-0000-000093120000}"/>
    <cellStyle name="Normal 13 2 2 2 2 4" xfId="4752" xr:uid="{00000000-0005-0000-0000-000094120000}"/>
    <cellStyle name="Normal 13 2 2 2 2 4 2" xfId="4753" xr:uid="{00000000-0005-0000-0000-000095120000}"/>
    <cellStyle name="Normal 13 2 2 2 2 4 2 2" xfId="4754" xr:uid="{00000000-0005-0000-0000-000096120000}"/>
    <cellStyle name="Normal 13 2 2 2 2 4 3" xfId="4755" xr:uid="{00000000-0005-0000-0000-000097120000}"/>
    <cellStyle name="Normal 13 2 2 2 2 5" xfId="4756" xr:uid="{00000000-0005-0000-0000-000098120000}"/>
    <cellStyle name="Normal 13 2 2 2 2 5 2" xfId="4757" xr:uid="{00000000-0005-0000-0000-000099120000}"/>
    <cellStyle name="Normal 13 2 2 2 2 6" xfId="4758" xr:uid="{00000000-0005-0000-0000-00009A120000}"/>
    <cellStyle name="Normal 13 2 2 2 3" xfId="4759" xr:uid="{00000000-0005-0000-0000-00009B120000}"/>
    <cellStyle name="Normal 13 2 2 2 3 2" xfId="4760" xr:uid="{00000000-0005-0000-0000-00009C120000}"/>
    <cellStyle name="Normal 13 2 2 2 3 2 2" xfId="4761" xr:uid="{00000000-0005-0000-0000-00009D120000}"/>
    <cellStyle name="Normal 13 2 2 2 3 2 2 2" xfId="4762" xr:uid="{00000000-0005-0000-0000-00009E120000}"/>
    <cellStyle name="Normal 13 2 2 2 3 2 3" xfId="4763" xr:uid="{00000000-0005-0000-0000-00009F120000}"/>
    <cellStyle name="Normal 13 2 2 2 3 3" xfId="4764" xr:uid="{00000000-0005-0000-0000-0000A0120000}"/>
    <cellStyle name="Normal 13 2 2 2 3 3 2" xfId="4765" xr:uid="{00000000-0005-0000-0000-0000A1120000}"/>
    <cellStyle name="Normal 13 2 2 2 3 3 2 2" xfId="4766" xr:uid="{00000000-0005-0000-0000-0000A2120000}"/>
    <cellStyle name="Normal 13 2 2 2 3 3 3" xfId="4767" xr:uid="{00000000-0005-0000-0000-0000A3120000}"/>
    <cellStyle name="Normal 13 2 2 2 3 4" xfId="4768" xr:uid="{00000000-0005-0000-0000-0000A4120000}"/>
    <cellStyle name="Normal 13 2 2 2 3 4 2" xfId="4769" xr:uid="{00000000-0005-0000-0000-0000A5120000}"/>
    <cellStyle name="Normal 13 2 2 2 3 5" xfId="4770" xr:uid="{00000000-0005-0000-0000-0000A6120000}"/>
    <cellStyle name="Normal 13 2 2 2 4" xfId="4771" xr:uid="{00000000-0005-0000-0000-0000A7120000}"/>
    <cellStyle name="Normal 13 2 2 2 4 2" xfId="4772" xr:uid="{00000000-0005-0000-0000-0000A8120000}"/>
    <cellStyle name="Normal 13 2 2 2 4 2 2" xfId="4773" xr:uid="{00000000-0005-0000-0000-0000A9120000}"/>
    <cellStyle name="Normal 13 2 2 2 4 3" xfId="4774" xr:uid="{00000000-0005-0000-0000-0000AA120000}"/>
    <cellStyle name="Normal 13 2 2 2 5" xfId="4775" xr:uid="{00000000-0005-0000-0000-0000AB120000}"/>
    <cellStyle name="Normal 13 2 2 2 5 2" xfId="4776" xr:uid="{00000000-0005-0000-0000-0000AC120000}"/>
    <cellStyle name="Normal 13 2 2 2 5 2 2" xfId="4777" xr:uid="{00000000-0005-0000-0000-0000AD120000}"/>
    <cellStyle name="Normal 13 2 2 2 5 3" xfId="4778" xr:uid="{00000000-0005-0000-0000-0000AE120000}"/>
    <cellStyle name="Normal 13 2 2 2 6" xfId="4779" xr:uid="{00000000-0005-0000-0000-0000AF120000}"/>
    <cellStyle name="Normal 13 2 2 2 6 2" xfId="4780" xr:uid="{00000000-0005-0000-0000-0000B0120000}"/>
    <cellStyle name="Normal 13 2 2 3" xfId="4781" xr:uid="{00000000-0005-0000-0000-0000B1120000}"/>
    <cellStyle name="Normal 13 2 2 3 2" xfId="4782" xr:uid="{00000000-0005-0000-0000-0000B2120000}"/>
    <cellStyle name="Normal 13 2 2 3 2 2" xfId="4783" xr:uid="{00000000-0005-0000-0000-0000B3120000}"/>
    <cellStyle name="Normal 13 2 2 3 2 2 2" xfId="4784" xr:uid="{00000000-0005-0000-0000-0000B4120000}"/>
    <cellStyle name="Normal 13 2 2 3 2 2 2 2" xfId="4785" xr:uid="{00000000-0005-0000-0000-0000B5120000}"/>
    <cellStyle name="Normal 13 2 2 3 2 2 3" xfId="4786" xr:uid="{00000000-0005-0000-0000-0000B6120000}"/>
    <cellStyle name="Normal 13 2 2 3 2 3" xfId="4787" xr:uid="{00000000-0005-0000-0000-0000B7120000}"/>
    <cellStyle name="Normal 13 2 2 3 2 3 2" xfId="4788" xr:uid="{00000000-0005-0000-0000-0000B8120000}"/>
    <cellStyle name="Normal 13 2 2 3 2 3 2 2" xfId="4789" xr:uid="{00000000-0005-0000-0000-0000B9120000}"/>
    <cellStyle name="Normal 13 2 2 3 2 3 3" xfId="4790" xr:uid="{00000000-0005-0000-0000-0000BA120000}"/>
    <cellStyle name="Normal 13 2 2 3 2 4" xfId="4791" xr:uid="{00000000-0005-0000-0000-0000BB120000}"/>
    <cellStyle name="Normal 13 2 2 3 2 4 2" xfId="4792" xr:uid="{00000000-0005-0000-0000-0000BC120000}"/>
    <cellStyle name="Normal 13 2 2 3 2 5" xfId="4793" xr:uid="{00000000-0005-0000-0000-0000BD120000}"/>
    <cellStyle name="Normal 13 2 2 3 3" xfId="4794" xr:uid="{00000000-0005-0000-0000-0000BE120000}"/>
    <cellStyle name="Normal 13 2 2 3 3 2" xfId="4795" xr:uid="{00000000-0005-0000-0000-0000BF120000}"/>
    <cellStyle name="Normal 13 2 2 3 3 2 2" xfId="4796" xr:uid="{00000000-0005-0000-0000-0000C0120000}"/>
    <cellStyle name="Normal 13 2 2 3 3 3" xfId="4797" xr:uid="{00000000-0005-0000-0000-0000C1120000}"/>
    <cellStyle name="Normal 13 2 2 3 4" xfId="4798" xr:uid="{00000000-0005-0000-0000-0000C2120000}"/>
    <cellStyle name="Normal 13 2 2 3 4 2" xfId="4799" xr:uid="{00000000-0005-0000-0000-0000C3120000}"/>
    <cellStyle name="Normal 13 2 2 3 4 2 2" xfId="4800" xr:uid="{00000000-0005-0000-0000-0000C4120000}"/>
    <cellStyle name="Normal 13 2 2 3 4 3" xfId="4801" xr:uid="{00000000-0005-0000-0000-0000C5120000}"/>
    <cellStyle name="Normal 13 2 2 3 5" xfId="4802" xr:uid="{00000000-0005-0000-0000-0000C6120000}"/>
    <cellStyle name="Normal 13 2 2 3 5 2" xfId="4803" xr:uid="{00000000-0005-0000-0000-0000C7120000}"/>
    <cellStyle name="Normal 13 2 2 4" xfId="4804" xr:uid="{00000000-0005-0000-0000-0000C8120000}"/>
    <cellStyle name="Normal 13 2 2 4 2" xfId="4805" xr:uid="{00000000-0005-0000-0000-0000C9120000}"/>
    <cellStyle name="Normal 13 2 2 4 2 2" xfId="4806" xr:uid="{00000000-0005-0000-0000-0000CA120000}"/>
    <cellStyle name="Normal 13 2 2 4 2 2 2" xfId="4807" xr:uid="{00000000-0005-0000-0000-0000CB120000}"/>
    <cellStyle name="Normal 13 2 2 4 2 3" xfId="4808" xr:uid="{00000000-0005-0000-0000-0000CC120000}"/>
    <cellStyle name="Normal 13 2 2 4 3" xfId="4809" xr:uid="{00000000-0005-0000-0000-0000CD120000}"/>
    <cellStyle name="Normal 13 2 2 4 3 2" xfId="4810" xr:uid="{00000000-0005-0000-0000-0000CE120000}"/>
    <cellStyle name="Normal 13 2 2 4 3 2 2" xfId="4811" xr:uid="{00000000-0005-0000-0000-0000CF120000}"/>
    <cellStyle name="Normal 13 2 2 4 3 3" xfId="4812" xr:uid="{00000000-0005-0000-0000-0000D0120000}"/>
    <cellStyle name="Normal 13 2 2 4 4" xfId="4813" xr:uid="{00000000-0005-0000-0000-0000D1120000}"/>
    <cellStyle name="Normal 13 2 2 4 4 2" xfId="4814" xr:uid="{00000000-0005-0000-0000-0000D2120000}"/>
    <cellStyle name="Normal 13 2 2 4 5" xfId="4815" xr:uid="{00000000-0005-0000-0000-0000D3120000}"/>
    <cellStyle name="Normal 13 2 2 5" xfId="4816" xr:uid="{00000000-0005-0000-0000-0000D4120000}"/>
    <cellStyle name="Normal 13 2 2 5 2" xfId="4817" xr:uid="{00000000-0005-0000-0000-0000D5120000}"/>
    <cellStyle name="Normal 13 2 2 5 2 2" xfId="4818" xr:uid="{00000000-0005-0000-0000-0000D6120000}"/>
    <cellStyle name="Normal 13 2 2 5 3" xfId="4819" xr:uid="{00000000-0005-0000-0000-0000D7120000}"/>
    <cellStyle name="Normal 13 2 2 6" xfId="4820" xr:uid="{00000000-0005-0000-0000-0000D8120000}"/>
    <cellStyle name="Normal 13 2 2 6 2" xfId="4821" xr:uid="{00000000-0005-0000-0000-0000D9120000}"/>
    <cellStyle name="Normal 13 2 2 6 2 2" xfId="4822" xr:uid="{00000000-0005-0000-0000-0000DA120000}"/>
    <cellStyle name="Normal 13 2 2 6 3" xfId="4823" xr:uid="{00000000-0005-0000-0000-0000DB120000}"/>
    <cellStyle name="Normal 13 2 2 7" xfId="4824" xr:uid="{00000000-0005-0000-0000-0000DC120000}"/>
    <cellStyle name="Normal 13 2 2 7 2" xfId="4825" xr:uid="{00000000-0005-0000-0000-0000DD120000}"/>
    <cellStyle name="Normal 13 2 2 8" xfId="4826" xr:uid="{00000000-0005-0000-0000-0000DE120000}"/>
    <cellStyle name="Normal 13 2 2 9" xfId="4827" xr:uid="{00000000-0005-0000-0000-0000DF120000}"/>
    <cellStyle name="Normal 13 2 3" xfId="4828" xr:uid="{00000000-0005-0000-0000-0000E0120000}"/>
    <cellStyle name="Normal 13 2 3 2" xfId="4829" xr:uid="{00000000-0005-0000-0000-0000E1120000}"/>
    <cellStyle name="Normal 13 2 3 2 2" xfId="4830" xr:uid="{00000000-0005-0000-0000-0000E2120000}"/>
    <cellStyle name="Normal 13 2 3 2 2 2" xfId="4831" xr:uid="{00000000-0005-0000-0000-0000E3120000}"/>
    <cellStyle name="Normal 13 2 3 2 2 2 2" xfId="4832" xr:uid="{00000000-0005-0000-0000-0000E4120000}"/>
    <cellStyle name="Normal 13 2 3 2 2 2 2 2" xfId="4833" xr:uid="{00000000-0005-0000-0000-0000E5120000}"/>
    <cellStyle name="Normal 13 2 3 2 2 2 3" xfId="4834" xr:uid="{00000000-0005-0000-0000-0000E6120000}"/>
    <cellStyle name="Normal 13 2 3 2 2 3" xfId="4835" xr:uid="{00000000-0005-0000-0000-0000E7120000}"/>
    <cellStyle name="Normal 13 2 3 2 2 3 2" xfId="4836" xr:uid="{00000000-0005-0000-0000-0000E8120000}"/>
    <cellStyle name="Normal 13 2 3 2 2 3 2 2" xfId="4837" xr:uid="{00000000-0005-0000-0000-0000E9120000}"/>
    <cellStyle name="Normal 13 2 3 2 2 3 3" xfId="4838" xr:uid="{00000000-0005-0000-0000-0000EA120000}"/>
    <cellStyle name="Normal 13 2 3 2 2 4" xfId="4839" xr:uid="{00000000-0005-0000-0000-0000EB120000}"/>
    <cellStyle name="Normal 13 2 3 2 2 4 2" xfId="4840" xr:uid="{00000000-0005-0000-0000-0000EC120000}"/>
    <cellStyle name="Normal 13 2 3 2 2 5" xfId="4841" xr:uid="{00000000-0005-0000-0000-0000ED120000}"/>
    <cellStyle name="Normal 13 2 3 2 3" xfId="4842" xr:uid="{00000000-0005-0000-0000-0000EE120000}"/>
    <cellStyle name="Normal 13 2 3 2 3 2" xfId="4843" xr:uid="{00000000-0005-0000-0000-0000EF120000}"/>
    <cellStyle name="Normal 13 2 3 2 3 2 2" xfId="4844" xr:uid="{00000000-0005-0000-0000-0000F0120000}"/>
    <cellStyle name="Normal 13 2 3 2 3 3" xfId="4845" xr:uid="{00000000-0005-0000-0000-0000F1120000}"/>
    <cellStyle name="Normal 13 2 3 2 4" xfId="4846" xr:uid="{00000000-0005-0000-0000-0000F2120000}"/>
    <cellStyle name="Normal 13 2 3 2 4 2" xfId="4847" xr:uid="{00000000-0005-0000-0000-0000F3120000}"/>
    <cellStyle name="Normal 13 2 3 2 4 2 2" xfId="4848" xr:uid="{00000000-0005-0000-0000-0000F4120000}"/>
    <cellStyle name="Normal 13 2 3 2 4 3" xfId="4849" xr:uid="{00000000-0005-0000-0000-0000F5120000}"/>
    <cellStyle name="Normal 13 2 3 2 5" xfId="4850" xr:uid="{00000000-0005-0000-0000-0000F6120000}"/>
    <cellStyle name="Normal 13 2 3 2 5 2" xfId="4851" xr:uid="{00000000-0005-0000-0000-0000F7120000}"/>
    <cellStyle name="Normal 13 2 3 2 6" xfId="4852" xr:uid="{00000000-0005-0000-0000-0000F8120000}"/>
    <cellStyle name="Normal 13 2 3 3" xfId="4853" xr:uid="{00000000-0005-0000-0000-0000F9120000}"/>
    <cellStyle name="Normal 13 2 3 3 2" xfId="4854" xr:uid="{00000000-0005-0000-0000-0000FA120000}"/>
    <cellStyle name="Normal 13 2 3 3 2 2" xfId="4855" xr:uid="{00000000-0005-0000-0000-0000FB120000}"/>
    <cellStyle name="Normal 13 2 3 3 2 2 2" xfId="4856" xr:uid="{00000000-0005-0000-0000-0000FC120000}"/>
    <cellStyle name="Normal 13 2 3 3 2 3" xfId="4857" xr:uid="{00000000-0005-0000-0000-0000FD120000}"/>
    <cellStyle name="Normal 13 2 3 3 3" xfId="4858" xr:uid="{00000000-0005-0000-0000-0000FE120000}"/>
    <cellStyle name="Normal 13 2 3 3 3 2" xfId="4859" xr:uid="{00000000-0005-0000-0000-0000FF120000}"/>
    <cellStyle name="Normal 13 2 3 3 3 2 2" xfId="4860" xr:uid="{00000000-0005-0000-0000-000000130000}"/>
    <cellStyle name="Normal 13 2 3 3 3 3" xfId="4861" xr:uid="{00000000-0005-0000-0000-000001130000}"/>
    <cellStyle name="Normal 13 2 3 3 4" xfId="4862" xr:uid="{00000000-0005-0000-0000-000002130000}"/>
    <cellStyle name="Normal 13 2 3 3 4 2" xfId="4863" xr:uid="{00000000-0005-0000-0000-000003130000}"/>
    <cellStyle name="Normal 13 2 3 3 5" xfId="4864" xr:uid="{00000000-0005-0000-0000-000004130000}"/>
    <cellStyle name="Normal 13 2 3 4" xfId="4865" xr:uid="{00000000-0005-0000-0000-000005130000}"/>
    <cellStyle name="Normal 13 2 3 4 2" xfId="4866" xr:uid="{00000000-0005-0000-0000-000006130000}"/>
    <cellStyle name="Normal 13 2 3 4 2 2" xfId="4867" xr:uid="{00000000-0005-0000-0000-000007130000}"/>
    <cellStyle name="Normal 13 2 3 4 3" xfId="4868" xr:uid="{00000000-0005-0000-0000-000008130000}"/>
    <cellStyle name="Normal 13 2 3 5" xfId="4869" xr:uid="{00000000-0005-0000-0000-000009130000}"/>
    <cellStyle name="Normal 13 2 3 5 2" xfId="4870" xr:uid="{00000000-0005-0000-0000-00000A130000}"/>
    <cellStyle name="Normal 13 2 3 5 2 2" xfId="4871" xr:uid="{00000000-0005-0000-0000-00000B130000}"/>
    <cellStyle name="Normal 13 2 3 5 3" xfId="4872" xr:uid="{00000000-0005-0000-0000-00000C130000}"/>
    <cellStyle name="Normal 13 2 3 6" xfId="4873" xr:uid="{00000000-0005-0000-0000-00000D130000}"/>
    <cellStyle name="Normal 13 2 3 6 2" xfId="4874" xr:uid="{00000000-0005-0000-0000-00000E130000}"/>
    <cellStyle name="Normal 13 2 3 7" xfId="4875" xr:uid="{00000000-0005-0000-0000-00000F130000}"/>
    <cellStyle name="Normal 13 2 3 8" xfId="4876" xr:uid="{00000000-0005-0000-0000-000010130000}"/>
    <cellStyle name="Normal 13 2 4" xfId="4877" xr:uid="{00000000-0005-0000-0000-000011130000}"/>
    <cellStyle name="Normal 13 2 4 2" xfId="4878" xr:uid="{00000000-0005-0000-0000-000012130000}"/>
    <cellStyle name="Normal 13 2 4 2 2" xfId="4879" xr:uid="{00000000-0005-0000-0000-000013130000}"/>
    <cellStyle name="Normal 13 2 4 2 2 2" xfId="4880" xr:uid="{00000000-0005-0000-0000-000014130000}"/>
    <cellStyle name="Normal 13 2 4 2 2 2 2" xfId="4881" xr:uid="{00000000-0005-0000-0000-000015130000}"/>
    <cellStyle name="Normal 13 2 4 2 2 3" xfId="4882" xr:uid="{00000000-0005-0000-0000-000016130000}"/>
    <cellStyle name="Normal 13 2 4 2 3" xfId="4883" xr:uid="{00000000-0005-0000-0000-000017130000}"/>
    <cellStyle name="Normal 13 2 4 2 3 2" xfId="4884" xr:uid="{00000000-0005-0000-0000-000018130000}"/>
    <cellStyle name="Normal 13 2 4 2 3 2 2" xfId="4885" xr:uid="{00000000-0005-0000-0000-000019130000}"/>
    <cellStyle name="Normal 13 2 4 2 3 3" xfId="4886" xr:uid="{00000000-0005-0000-0000-00001A130000}"/>
    <cellStyle name="Normal 13 2 4 2 4" xfId="4887" xr:uid="{00000000-0005-0000-0000-00001B130000}"/>
    <cellStyle name="Normal 13 2 4 2 4 2" xfId="4888" xr:uid="{00000000-0005-0000-0000-00001C130000}"/>
    <cellStyle name="Normal 13 2 4 2 5" xfId="4889" xr:uid="{00000000-0005-0000-0000-00001D130000}"/>
    <cellStyle name="Normal 13 2 4 3" xfId="4890" xr:uid="{00000000-0005-0000-0000-00001E130000}"/>
    <cellStyle name="Normal 13 2 4 3 2" xfId="4891" xr:uid="{00000000-0005-0000-0000-00001F130000}"/>
    <cellStyle name="Normal 13 2 4 3 2 2" xfId="4892" xr:uid="{00000000-0005-0000-0000-000020130000}"/>
    <cellStyle name="Normal 13 2 4 3 3" xfId="4893" xr:uid="{00000000-0005-0000-0000-000021130000}"/>
    <cellStyle name="Normal 13 2 4 4" xfId="4894" xr:uid="{00000000-0005-0000-0000-000022130000}"/>
    <cellStyle name="Normal 13 2 4 4 2" xfId="4895" xr:uid="{00000000-0005-0000-0000-000023130000}"/>
    <cellStyle name="Normal 13 2 4 4 2 2" xfId="4896" xr:uid="{00000000-0005-0000-0000-000024130000}"/>
    <cellStyle name="Normal 13 2 4 4 3" xfId="4897" xr:uid="{00000000-0005-0000-0000-000025130000}"/>
    <cellStyle name="Normal 13 2 4 5" xfId="4898" xr:uid="{00000000-0005-0000-0000-000026130000}"/>
    <cellStyle name="Normal 13 2 4 5 2" xfId="4899" xr:uid="{00000000-0005-0000-0000-000027130000}"/>
    <cellStyle name="Normal 13 2 4 6" xfId="4900" xr:uid="{00000000-0005-0000-0000-000028130000}"/>
    <cellStyle name="Normal 13 2 5" xfId="4901" xr:uid="{00000000-0005-0000-0000-000029130000}"/>
    <cellStyle name="Normal 13 2 5 2" xfId="4902" xr:uid="{00000000-0005-0000-0000-00002A130000}"/>
    <cellStyle name="Normal 13 2 5 2 2" xfId="4903" xr:uid="{00000000-0005-0000-0000-00002B130000}"/>
    <cellStyle name="Normal 13 2 5 2 2 2" xfId="4904" xr:uid="{00000000-0005-0000-0000-00002C130000}"/>
    <cellStyle name="Normal 13 2 5 2 3" xfId="4905" xr:uid="{00000000-0005-0000-0000-00002D130000}"/>
    <cellStyle name="Normal 13 2 5 3" xfId="4906" xr:uid="{00000000-0005-0000-0000-00002E130000}"/>
    <cellStyle name="Normal 13 2 5 3 2" xfId="4907" xr:uid="{00000000-0005-0000-0000-00002F130000}"/>
    <cellStyle name="Normal 13 2 5 3 2 2" xfId="4908" xr:uid="{00000000-0005-0000-0000-000030130000}"/>
    <cellStyle name="Normal 13 2 5 3 3" xfId="4909" xr:uid="{00000000-0005-0000-0000-000031130000}"/>
    <cellStyle name="Normal 13 2 5 4" xfId="4910" xr:uid="{00000000-0005-0000-0000-000032130000}"/>
    <cellStyle name="Normal 13 2 5 4 2" xfId="4911" xr:uid="{00000000-0005-0000-0000-000033130000}"/>
    <cellStyle name="Normal 13 2 5 5" xfId="4912" xr:uid="{00000000-0005-0000-0000-000034130000}"/>
    <cellStyle name="Normal 13 2 6" xfId="4913" xr:uid="{00000000-0005-0000-0000-000035130000}"/>
    <cellStyle name="Normal 13 2 6 2" xfId="4914" xr:uid="{00000000-0005-0000-0000-000036130000}"/>
    <cellStyle name="Normal 13 2 6 2 2" xfId="4915" xr:uid="{00000000-0005-0000-0000-000037130000}"/>
    <cellStyle name="Normal 13 2 6 3" xfId="4916" xr:uid="{00000000-0005-0000-0000-000038130000}"/>
    <cellStyle name="Normal 13 2 7" xfId="4917" xr:uid="{00000000-0005-0000-0000-000039130000}"/>
    <cellStyle name="Normal 13 2 7 2" xfId="4918" xr:uid="{00000000-0005-0000-0000-00003A130000}"/>
    <cellStyle name="Normal 13 2 7 2 2" xfId="4919" xr:uid="{00000000-0005-0000-0000-00003B130000}"/>
    <cellStyle name="Normal 13 2 7 3" xfId="4920" xr:uid="{00000000-0005-0000-0000-00003C130000}"/>
    <cellStyle name="Normal 13 2 8" xfId="4921" xr:uid="{00000000-0005-0000-0000-00003D130000}"/>
    <cellStyle name="Normal 13 2 8 2" xfId="4922" xr:uid="{00000000-0005-0000-0000-00003E130000}"/>
    <cellStyle name="Normal 13 3" xfId="4923" xr:uid="{00000000-0005-0000-0000-00003F130000}"/>
    <cellStyle name="Normal 13 3 2" xfId="4924" xr:uid="{00000000-0005-0000-0000-000040130000}"/>
    <cellStyle name="Normal 13 3 2 2" xfId="4925" xr:uid="{00000000-0005-0000-0000-000041130000}"/>
    <cellStyle name="Normal 13 3 2 2 2" xfId="4926" xr:uid="{00000000-0005-0000-0000-000042130000}"/>
    <cellStyle name="Normal 13 3 2 2 2 2" xfId="4927" xr:uid="{00000000-0005-0000-0000-000043130000}"/>
    <cellStyle name="Normal 13 3 2 2 2 2 2" xfId="4928" xr:uid="{00000000-0005-0000-0000-000044130000}"/>
    <cellStyle name="Normal 13 3 2 2 2 2 2 2" xfId="4929" xr:uid="{00000000-0005-0000-0000-000045130000}"/>
    <cellStyle name="Normal 13 3 2 2 2 2 3" xfId="4930" xr:uid="{00000000-0005-0000-0000-000046130000}"/>
    <cellStyle name="Normal 13 3 2 2 2 3" xfId="4931" xr:uid="{00000000-0005-0000-0000-000047130000}"/>
    <cellStyle name="Normal 13 3 2 2 2 3 2" xfId="4932" xr:uid="{00000000-0005-0000-0000-000048130000}"/>
    <cellStyle name="Normal 13 3 2 2 2 3 2 2" xfId="4933" xr:uid="{00000000-0005-0000-0000-000049130000}"/>
    <cellStyle name="Normal 13 3 2 2 2 3 3" xfId="4934" xr:uid="{00000000-0005-0000-0000-00004A130000}"/>
    <cellStyle name="Normal 13 3 2 2 2 4" xfId="4935" xr:uid="{00000000-0005-0000-0000-00004B130000}"/>
    <cellStyle name="Normal 13 3 2 2 2 4 2" xfId="4936" xr:uid="{00000000-0005-0000-0000-00004C130000}"/>
    <cellStyle name="Normal 13 3 2 2 2 5" xfId="4937" xr:uid="{00000000-0005-0000-0000-00004D130000}"/>
    <cellStyle name="Normal 13 3 2 2 3" xfId="4938" xr:uid="{00000000-0005-0000-0000-00004E130000}"/>
    <cellStyle name="Normal 13 3 2 2 3 2" xfId="4939" xr:uid="{00000000-0005-0000-0000-00004F130000}"/>
    <cellStyle name="Normal 13 3 2 2 3 2 2" xfId="4940" xr:uid="{00000000-0005-0000-0000-000050130000}"/>
    <cellStyle name="Normal 13 3 2 2 3 3" xfId="4941" xr:uid="{00000000-0005-0000-0000-000051130000}"/>
    <cellStyle name="Normal 13 3 2 2 4" xfId="4942" xr:uid="{00000000-0005-0000-0000-000052130000}"/>
    <cellStyle name="Normal 13 3 2 2 4 2" xfId="4943" xr:uid="{00000000-0005-0000-0000-000053130000}"/>
    <cellStyle name="Normal 13 3 2 2 4 2 2" xfId="4944" xr:uid="{00000000-0005-0000-0000-000054130000}"/>
    <cellStyle name="Normal 13 3 2 2 4 3" xfId="4945" xr:uid="{00000000-0005-0000-0000-000055130000}"/>
    <cellStyle name="Normal 13 3 2 2 5" xfId="4946" xr:uid="{00000000-0005-0000-0000-000056130000}"/>
    <cellStyle name="Normal 13 3 2 2 5 2" xfId="4947" xr:uid="{00000000-0005-0000-0000-000057130000}"/>
    <cellStyle name="Normal 13 3 2 2 6" xfId="4948" xr:uid="{00000000-0005-0000-0000-000058130000}"/>
    <cellStyle name="Normal 13 3 2 3" xfId="4949" xr:uid="{00000000-0005-0000-0000-000059130000}"/>
    <cellStyle name="Normal 13 3 2 3 2" xfId="4950" xr:uid="{00000000-0005-0000-0000-00005A130000}"/>
    <cellStyle name="Normal 13 3 2 3 2 2" xfId="4951" xr:uid="{00000000-0005-0000-0000-00005B130000}"/>
    <cellStyle name="Normal 13 3 2 3 2 2 2" xfId="4952" xr:uid="{00000000-0005-0000-0000-00005C130000}"/>
    <cellStyle name="Normal 13 3 2 3 2 3" xfId="4953" xr:uid="{00000000-0005-0000-0000-00005D130000}"/>
    <cellStyle name="Normal 13 3 2 3 3" xfId="4954" xr:uid="{00000000-0005-0000-0000-00005E130000}"/>
    <cellStyle name="Normal 13 3 2 3 3 2" xfId="4955" xr:uid="{00000000-0005-0000-0000-00005F130000}"/>
    <cellStyle name="Normal 13 3 2 3 3 2 2" xfId="4956" xr:uid="{00000000-0005-0000-0000-000060130000}"/>
    <cellStyle name="Normal 13 3 2 3 3 3" xfId="4957" xr:uid="{00000000-0005-0000-0000-000061130000}"/>
    <cellStyle name="Normal 13 3 2 3 4" xfId="4958" xr:uid="{00000000-0005-0000-0000-000062130000}"/>
    <cellStyle name="Normal 13 3 2 3 4 2" xfId="4959" xr:uid="{00000000-0005-0000-0000-000063130000}"/>
    <cellStyle name="Normal 13 3 2 3 5" xfId="4960" xr:uid="{00000000-0005-0000-0000-000064130000}"/>
    <cellStyle name="Normal 13 3 2 4" xfId="4961" xr:uid="{00000000-0005-0000-0000-000065130000}"/>
    <cellStyle name="Normal 13 3 2 4 2" xfId="4962" xr:uid="{00000000-0005-0000-0000-000066130000}"/>
    <cellStyle name="Normal 13 3 2 4 2 2" xfId="4963" xr:uid="{00000000-0005-0000-0000-000067130000}"/>
    <cellStyle name="Normal 13 3 2 4 3" xfId="4964" xr:uid="{00000000-0005-0000-0000-000068130000}"/>
    <cellStyle name="Normal 13 3 2 5" xfId="4965" xr:uid="{00000000-0005-0000-0000-000069130000}"/>
    <cellStyle name="Normal 13 3 2 5 2" xfId="4966" xr:uid="{00000000-0005-0000-0000-00006A130000}"/>
    <cellStyle name="Normal 13 3 2 5 2 2" xfId="4967" xr:uid="{00000000-0005-0000-0000-00006B130000}"/>
    <cellStyle name="Normal 13 3 2 5 3" xfId="4968" xr:uid="{00000000-0005-0000-0000-00006C130000}"/>
    <cellStyle name="Normal 13 3 2 6" xfId="4969" xr:uid="{00000000-0005-0000-0000-00006D130000}"/>
    <cellStyle name="Normal 13 3 2 6 2" xfId="4970" xr:uid="{00000000-0005-0000-0000-00006E130000}"/>
    <cellStyle name="Normal 13 3 2 7" xfId="4971" xr:uid="{00000000-0005-0000-0000-00006F130000}"/>
    <cellStyle name="Normal 13 3 3" xfId="4972" xr:uid="{00000000-0005-0000-0000-000070130000}"/>
    <cellStyle name="Normal 13 3 3 2" xfId="4973" xr:uid="{00000000-0005-0000-0000-000071130000}"/>
    <cellStyle name="Normal 13 3 3 2 2" xfId="4974" xr:uid="{00000000-0005-0000-0000-000072130000}"/>
    <cellStyle name="Normal 13 3 3 2 2 2" xfId="4975" xr:uid="{00000000-0005-0000-0000-000073130000}"/>
    <cellStyle name="Normal 13 3 3 2 2 2 2" xfId="4976" xr:uid="{00000000-0005-0000-0000-000074130000}"/>
    <cellStyle name="Normal 13 3 3 2 2 3" xfId="4977" xr:uid="{00000000-0005-0000-0000-000075130000}"/>
    <cellStyle name="Normal 13 3 3 2 3" xfId="4978" xr:uid="{00000000-0005-0000-0000-000076130000}"/>
    <cellStyle name="Normal 13 3 3 2 3 2" xfId="4979" xr:uid="{00000000-0005-0000-0000-000077130000}"/>
    <cellStyle name="Normal 13 3 3 2 3 2 2" xfId="4980" xr:uid="{00000000-0005-0000-0000-000078130000}"/>
    <cellStyle name="Normal 13 3 3 2 3 3" xfId="4981" xr:uid="{00000000-0005-0000-0000-000079130000}"/>
    <cellStyle name="Normal 13 3 3 2 4" xfId="4982" xr:uid="{00000000-0005-0000-0000-00007A130000}"/>
    <cellStyle name="Normal 13 3 3 2 4 2" xfId="4983" xr:uid="{00000000-0005-0000-0000-00007B130000}"/>
    <cellStyle name="Normal 13 3 3 2 5" xfId="4984" xr:uid="{00000000-0005-0000-0000-00007C130000}"/>
    <cellStyle name="Normal 13 3 3 3" xfId="4985" xr:uid="{00000000-0005-0000-0000-00007D130000}"/>
    <cellStyle name="Normal 13 3 3 3 2" xfId="4986" xr:uid="{00000000-0005-0000-0000-00007E130000}"/>
    <cellStyle name="Normal 13 3 3 3 2 2" xfId="4987" xr:uid="{00000000-0005-0000-0000-00007F130000}"/>
    <cellStyle name="Normal 13 3 3 3 3" xfId="4988" xr:uid="{00000000-0005-0000-0000-000080130000}"/>
    <cellStyle name="Normal 13 3 3 4" xfId="4989" xr:uid="{00000000-0005-0000-0000-000081130000}"/>
    <cellStyle name="Normal 13 3 3 4 2" xfId="4990" xr:uid="{00000000-0005-0000-0000-000082130000}"/>
    <cellStyle name="Normal 13 3 3 4 2 2" xfId="4991" xr:uid="{00000000-0005-0000-0000-000083130000}"/>
    <cellStyle name="Normal 13 3 3 4 3" xfId="4992" xr:uid="{00000000-0005-0000-0000-000084130000}"/>
    <cellStyle name="Normal 13 3 3 5" xfId="4993" xr:uid="{00000000-0005-0000-0000-000085130000}"/>
    <cellStyle name="Normal 13 3 3 5 2" xfId="4994" xr:uid="{00000000-0005-0000-0000-000086130000}"/>
    <cellStyle name="Normal 13 3 3 6" xfId="4995" xr:uid="{00000000-0005-0000-0000-000087130000}"/>
    <cellStyle name="Normal 13 3 4" xfId="4996" xr:uid="{00000000-0005-0000-0000-000088130000}"/>
    <cellStyle name="Normal 13 3 4 2" xfId="4997" xr:uid="{00000000-0005-0000-0000-000089130000}"/>
    <cellStyle name="Normal 13 3 4 2 2" xfId="4998" xr:uid="{00000000-0005-0000-0000-00008A130000}"/>
    <cellStyle name="Normal 13 3 4 2 2 2" xfId="4999" xr:uid="{00000000-0005-0000-0000-00008B130000}"/>
    <cellStyle name="Normal 13 3 4 2 3" xfId="5000" xr:uid="{00000000-0005-0000-0000-00008C130000}"/>
    <cellStyle name="Normal 13 3 4 3" xfId="5001" xr:uid="{00000000-0005-0000-0000-00008D130000}"/>
    <cellStyle name="Normal 13 3 4 3 2" xfId="5002" xr:uid="{00000000-0005-0000-0000-00008E130000}"/>
    <cellStyle name="Normal 13 3 4 3 2 2" xfId="5003" xr:uid="{00000000-0005-0000-0000-00008F130000}"/>
    <cellStyle name="Normal 13 3 4 3 3" xfId="5004" xr:uid="{00000000-0005-0000-0000-000090130000}"/>
    <cellStyle name="Normal 13 3 4 4" xfId="5005" xr:uid="{00000000-0005-0000-0000-000091130000}"/>
    <cellStyle name="Normal 13 3 4 4 2" xfId="5006" xr:uid="{00000000-0005-0000-0000-000092130000}"/>
    <cellStyle name="Normal 13 3 4 5" xfId="5007" xr:uid="{00000000-0005-0000-0000-000093130000}"/>
    <cellStyle name="Normal 13 3 5" xfId="5008" xr:uid="{00000000-0005-0000-0000-000094130000}"/>
    <cellStyle name="Normal 13 3 5 2" xfId="5009" xr:uid="{00000000-0005-0000-0000-000095130000}"/>
    <cellStyle name="Normal 13 3 5 2 2" xfId="5010" xr:uid="{00000000-0005-0000-0000-000096130000}"/>
    <cellStyle name="Normal 13 3 5 3" xfId="5011" xr:uid="{00000000-0005-0000-0000-000097130000}"/>
    <cellStyle name="Normal 13 3 6" xfId="5012" xr:uid="{00000000-0005-0000-0000-000098130000}"/>
    <cellStyle name="Normal 13 3 6 2" xfId="5013" xr:uid="{00000000-0005-0000-0000-000099130000}"/>
    <cellStyle name="Normal 13 3 6 2 2" xfId="5014" xr:uid="{00000000-0005-0000-0000-00009A130000}"/>
    <cellStyle name="Normal 13 3 6 3" xfId="5015" xr:uid="{00000000-0005-0000-0000-00009B130000}"/>
    <cellStyle name="Normal 13 3 7" xfId="5016" xr:uid="{00000000-0005-0000-0000-00009C130000}"/>
    <cellStyle name="Normal 13 3 7 2" xfId="5017" xr:uid="{00000000-0005-0000-0000-00009D130000}"/>
    <cellStyle name="Normal 13 3 8" xfId="5018" xr:uid="{00000000-0005-0000-0000-00009E130000}"/>
    <cellStyle name="Normal 13 3 9" xfId="5019" xr:uid="{00000000-0005-0000-0000-00009F130000}"/>
    <cellStyle name="Normal 13 4" xfId="5020" xr:uid="{00000000-0005-0000-0000-0000A0130000}"/>
    <cellStyle name="Normal 13 4 2" xfId="5021" xr:uid="{00000000-0005-0000-0000-0000A1130000}"/>
    <cellStyle name="Normal 13 4 2 2" xfId="5022" xr:uid="{00000000-0005-0000-0000-0000A2130000}"/>
    <cellStyle name="Normal 13 4 2 2 2" xfId="5023" xr:uid="{00000000-0005-0000-0000-0000A3130000}"/>
    <cellStyle name="Normal 13 4 2 2 2 2" xfId="5024" xr:uid="{00000000-0005-0000-0000-0000A4130000}"/>
    <cellStyle name="Normal 13 4 2 2 2 2 2" xfId="5025" xr:uid="{00000000-0005-0000-0000-0000A5130000}"/>
    <cellStyle name="Normal 13 4 2 2 2 2 2 2" xfId="5026" xr:uid="{00000000-0005-0000-0000-0000A6130000}"/>
    <cellStyle name="Normal 13 4 2 2 2 2 3" xfId="5027" xr:uid="{00000000-0005-0000-0000-0000A7130000}"/>
    <cellStyle name="Normal 13 4 2 2 2 3" xfId="5028" xr:uid="{00000000-0005-0000-0000-0000A8130000}"/>
    <cellStyle name="Normal 13 4 2 2 2 3 2" xfId="5029" xr:uid="{00000000-0005-0000-0000-0000A9130000}"/>
    <cellStyle name="Normal 13 4 2 2 2 3 2 2" xfId="5030" xr:uid="{00000000-0005-0000-0000-0000AA130000}"/>
    <cellStyle name="Normal 13 4 2 2 2 3 3" xfId="5031" xr:uid="{00000000-0005-0000-0000-0000AB130000}"/>
    <cellStyle name="Normal 13 4 2 2 2 4" xfId="5032" xr:uid="{00000000-0005-0000-0000-0000AC130000}"/>
    <cellStyle name="Normal 13 4 2 2 2 4 2" xfId="5033" xr:uid="{00000000-0005-0000-0000-0000AD130000}"/>
    <cellStyle name="Normal 13 4 2 2 2 5" xfId="5034" xr:uid="{00000000-0005-0000-0000-0000AE130000}"/>
    <cellStyle name="Normal 13 4 2 2 3" xfId="5035" xr:uid="{00000000-0005-0000-0000-0000AF130000}"/>
    <cellStyle name="Normal 13 4 2 2 3 2" xfId="5036" xr:uid="{00000000-0005-0000-0000-0000B0130000}"/>
    <cellStyle name="Normal 13 4 2 2 3 2 2" xfId="5037" xr:uid="{00000000-0005-0000-0000-0000B1130000}"/>
    <cellStyle name="Normal 13 4 2 2 3 3" xfId="5038" xr:uid="{00000000-0005-0000-0000-0000B2130000}"/>
    <cellStyle name="Normal 13 4 2 2 4" xfId="5039" xr:uid="{00000000-0005-0000-0000-0000B3130000}"/>
    <cellStyle name="Normal 13 4 2 2 4 2" xfId="5040" xr:uid="{00000000-0005-0000-0000-0000B4130000}"/>
    <cellStyle name="Normal 13 4 2 2 4 2 2" xfId="5041" xr:uid="{00000000-0005-0000-0000-0000B5130000}"/>
    <cellStyle name="Normal 13 4 2 2 4 3" xfId="5042" xr:uid="{00000000-0005-0000-0000-0000B6130000}"/>
    <cellStyle name="Normal 13 4 2 2 5" xfId="5043" xr:uid="{00000000-0005-0000-0000-0000B7130000}"/>
    <cellStyle name="Normal 13 4 2 2 5 2" xfId="5044" xr:uid="{00000000-0005-0000-0000-0000B8130000}"/>
    <cellStyle name="Normal 13 4 2 2 6" xfId="5045" xr:uid="{00000000-0005-0000-0000-0000B9130000}"/>
    <cellStyle name="Normal 13 4 2 3" xfId="5046" xr:uid="{00000000-0005-0000-0000-0000BA130000}"/>
    <cellStyle name="Normal 13 4 2 3 2" xfId="5047" xr:uid="{00000000-0005-0000-0000-0000BB130000}"/>
    <cellStyle name="Normal 13 4 2 3 2 2" xfId="5048" xr:uid="{00000000-0005-0000-0000-0000BC130000}"/>
    <cellStyle name="Normal 13 4 2 3 2 2 2" xfId="5049" xr:uid="{00000000-0005-0000-0000-0000BD130000}"/>
    <cellStyle name="Normal 13 4 2 3 2 3" xfId="5050" xr:uid="{00000000-0005-0000-0000-0000BE130000}"/>
    <cellStyle name="Normal 13 4 2 3 3" xfId="5051" xr:uid="{00000000-0005-0000-0000-0000BF130000}"/>
    <cellStyle name="Normal 13 4 2 3 3 2" xfId="5052" xr:uid="{00000000-0005-0000-0000-0000C0130000}"/>
    <cellStyle name="Normal 13 4 2 3 3 2 2" xfId="5053" xr:uid="{00000000-0005-0000-0000-0000C1130000}"/>
    <cellStyle name="Normal 13 4 2 3 3 3" xfId="5054" xr:uid="{00000000-0005-0000-0000-0000C2130000}"/>
    <cellStyle name="Normal 13 4 2 3 4" xfId="5055" xr:uid="{00000000-0005-0000-0000-0000C3130000}"/>
    <cellStyle name="Normal 13 4 2 3 4 2" xfId="5056" xr:uid="{00000000-0005-0000-0000-0000C4130000}"/>
    <cellStyle name="Normal 13 4 2 3 5" xfId="5057" xr:uid="{00000000-0005-0000-0000-0000C5130000}"/>
    <cellStyle name="Normal 13 4 2 4" xfId="5058" xr:uid="{00000000-0005-0000-0000-0000C6130000}"/>
    <cellStyle name="Normal 13 4 2 4 2" xfId="5059" xr:uid="{00000000-0005-0000-0000-0000C7130000}"/>
    <cellStyle name="Normal 13 4 2 4 2 2" xfId="5060" xr:uid="{00000000-0005-0000-0000-0000C8130000}"/>
    <cellStyle name="Normal 13 4 2 4 3" xfId="5061" xr:uid="{00000000-0005-0000-0000-0000C9130000}"/>
    <cellStyle name="Normal 13 4 2 5" xfId="5062" xr:uid="{00000000-0005-0000-0000-0000CA130000}"/>
    <cellStyle name="Normal 13 4 2 5 2" xfId="5063" xr:uid="{00000000-0005-0000-0000-0000CB130000}"/>
    <cellStyle name="Normal 13 4 2 5 2 2" xfId="5064" xr:uid="{00000000-0005-0000-0000-0000CC130000}"/>
    <cellStyle name="Normal 13 4 2 5 3" xfId="5065" xr:uid="{00000000-0005-0000-0000-0000CD130000}"/>
    <cellStyle name="Normal 13 4 2 6" xfId="5066" xr:uid="{00000000-0005-0000-0000-0000CE130000}"/>
    <cellStyle name="Normal 13 4 2 6 2" xfId="5067" xr:uid="{00000000-0005-0000-0000-0000CF130000}"/>
    <cellStyle name="Normal 13 4 2 7" xfId="5068" xr:uid="{00000000-0005-0000-0000-0000D0130000}"/>
    <cellStyle name="Normal 13 4 3" xfId="5069" xr:uid="{00000000-0005-0000-0000-0000D1130000}"/>
    <cellStyle name="Normal 13 4 3 2" xfId="5070" xr:uid="{00000000-0005-0000-0000-0000D2130000}"/>
    <cellStyle name="Normal 13 4 3 2 2" xfId="5071" xr:uid="{00000000-0005-0000-0000-0000D3130000}"/>
    <cellStyle name="Normal 13 4 3 2 2 2" xfId="5072" xr:uid="{00000000-0005-0000-0000-0000D4130000}"/>
    <cellStyle name="Normal 13 4 3 2 2 2 2" xfId="5073" xr:uid="{00000000-0005-0000-0000-0000D5130000}"/>
    <cellStyle name="Normal 13 4 3 2 2 3" xfId="5074" xr:uid="{00000000-0005-0000-0000-0000D6130000}"/>
    <cellStyle name="Normal 13 4 3 2 3" xfId="5075" xr:uid="{00000000-0005-0000-0000-0000D7130000}"/>
    <cellStyle name="Normal 13 4 3 2 3 2" xfId="5076" xr:uid="{00000000-0005-0000-0000-0000D8130000}"/>
    <cellStyle name="Normal 13 4 3 2 3 2 2" xfId="5077" xr:uid="{00000000-0005-0000-0000-0000D9130000}"/>
    <cellStyle name="Normal 13 4 3 2 3 3" xfId="5078" xr:uid="{00000000-0005-0000-0000-0000DA130000}"/>
    <cellStyle name="Normal 13 4 3 2 4" xfId="5079" xr:uid="{00000000-0005-0000-0000-0000DB130000}"/>
    <cellStyle name="Normal 13 4 3 2 4 2" xfId="5080" xr:uid="{00000000-0005-0000-0000-0000DC130000}"/>
    <cellStyle name="Normal 13 4 3 2 5" xfId="5081" xr:uid="{00000000-0005-0000-0000-0000DD130000}"/>
    <cellStyle name="Normal 13 4 3 3" xfId="5082" xr:uid="{00000000-0005-0000-0000-0000DE130000}"/>
    <cellStyle name="Normal 13 4 3 3 2" xfId="5083" xr:uid="{00000000-0005-0000-0000-0000DF130000}"/>
    <cellStyle name="Normal 13 4 3 3 2 2" xfId="5084" xr:uid="{00000000-0005-0000-0000-0000E0130000}"/>
    <cellStyle name="Normal 13 4 3 3 3" xfId="5085" xr:uid="{00000000-0005-0000-0000-0000E1130000}"/>
    <cellStyle name="Normal 13 4 3 4" xfId="5086" xr:uid="{00000000-0005-0000-0000-0000E2130000}"/>
    <cellStyle name="Normal 13 4 3 4 2" xfId="5087" xr:uid="{00000000-0005-0000-0000-0000E3130000}"/>
    <cellStyle name="Normal 13 4 3 4 2 2" xfId="5088" xr:uid="{00000000-0005-0000-0000-0000E4130000}"/>
    <cellStyle name="Normal 13 4 3 4 3" xfId="5089" xr:uid="{00000000-0005-0000-0000-0000E5130000}"/>
    <cellStyle name="Normal 13 4 3 5" xfId="5090" xr:uid="{00000000-0005-0000-0000-0000E6130000}"/>
    <cellStyle name="Normal 13 4 3 5 2" xfId="5091" xr:uid="{00000000-0005-0000-0000-0000E7130000}"/>
    <cellStyle name="Normal 13 4 3 6" xfId="5092" xr:uid="{00000000-0005-0000-0000-0000E8130000}"/>
    <cellStyle name="Normal 13 4 4" xfId="5093" xr:uid="{00000000-0005-0000-0000-0000E9130000}"/>
    <cellStyle name="Normal 13 4 4 2" xfId="5094" xr:uid="{00000000-0005-0000-0000-0000EA130000}"/>
    <cellStyle name="Normal 13 4 4 2 2" xfId="5095" xr:uid="{00000000-0005-0000-0000-0000EB130000}"/>
    <cellStyle name="Normal 13 4 4 2 2 2" xfId="5096" xr:uid="{00000000-0005-0000-0000-0000EC130000}"/>
    <cellStyle name="Normal 13 4 4 2 3" xfId="5097" xr:uid="{00000000-0005-0000-0000-0000ED130000}"/>
    <cellStyle name="Normal 13 4 4 3" xfId="5098" xr:uid="{00000000-0005-0000-0000-0000EE130000}"/>
    <cellStyle name="Normal 13 4 4 3 2" xfId="5099" xr:uid="{00000000-0005-0000-0000-0000EF130000}"/>
    <cellStyle name="Normal 13 4 4 3 2 2" xfId="5100" xr:uid="{00000000-0005-0000-0000-0000F0130000}"/>
    <cellStyle name="Normal 13 4 4 3 3" xfId="5101" xr:uid="{00000000-0005-0000-0000-0000F1130000}"/>
    <cellStyle name="Normal 13 4 4 4" xfId="5102" xr:uid="{00000000-0005-0000-0000-0000F2130000}"/>
    <cellStyle name="Normal 13 4 4 4 2" xfId="5103" xr:uid="{00000000-0005-0000-0000-0000F3130000}"/>
    <cellStyle name="Normal 13 4 4 5" xfId="5104" xr:uid="{00000000-0005-0000-0000-0000F4130000}"/>
    <cellStyle name="Normal 13 4 5" xfId="5105" xr:uid="{00000000-0005-0000-0000-0000F5130000}"/>
    <cellStyle name="Normal 13 4 5 2" xfId="5106" xr:uid="{00000000-0005-0000-0000-0000F6130000}"/>
    <cellStyle name="Normal 13 4 5 2 2" xfId="5107" xr:uid="{00000000-0005-0000-0000-0000F7130000}"/>
    <cellStyle name="Normal 13 4 5 3" xfId="5108" xr:uid="{00000000-0005-0000-0000-0000F8130000}"/>
    <cellStyle name="Normal 13 4 6" xfId="5109" xr:uid="{00000000-0005-0000-0000-0000F9130000}"/>
    <cellStyle name="Normal 13 4 6 2" xfId="5110" xr:uid="{00000000-0005-0000-0000-0000FA130000}"/>
    <cellStyle name="Normal 13 4 6 2 2" xfId="5111" xr:uid="{00000000-0005-0000-0000-0000FB130000}"/>
    <cellStyle name="Normal 13 4 6 3" xfId="5112" xr:uid="{00000000-0005-0000-0000-0000FC130000}"/>
    <cellStyle name="Normal 13 4 7" xfId="5113" xr:uid="{00000000-0005-0000-0000-0000FD130000}"/>
    <cellStyle name="Normal 13 4 7 2" xfId="5114" xr:uid="{00000000-0005-0000-0000-0000FE130000}"/>
    <cellStyle name="Normal 13 5" xfId="5115" xr:uid="{00000000-0005-0000-0000-0000FF130000}"/>
    <cellStyle name="Normal 13 5 2" xfId="5116" xr:uid="{00000000-0005-0000-0000-000000140000}"/>
    <cellStyle name="Normal 13 5 2 2" xfId="5117" xr:uid="{00000000-0005-0000-0000-000001140000}"/>
    <cellStyle name="Normal 13 5 2 2 2" xfId="5118" xr:uid="{00000000-0005-0000-0000-000002140000}"/>
    <cellStyle name="Normal 13 5 2 2 2 2" xfId="5119" xr:uid="{00000000-0005-0000-0000-000003140000}"/>
    <cellStyle name="Normal 13 5 2 2 2 2 2" xfId="5120" xr:uid="{00000000-0005-0000-0000-000004140000}"/>
    <cellStyle name="Normal 13 5 2 2 2 3" xfId="5121" xr:uid="{00000000-0005-0000-0000-000005140000}"/>
    <cellStyle name="Normal 13 5 2 2 3" xfId="5122" xr:uid="{00000000-0005-0000-0000-000006140000}"/>
    <cellStyle name="Normal 13 5 2 2 3 2" xfId="5123" xr:uid="{00000000-0005-0000-0000-000007140000}"/>
    <cellStyle name="Normal 13 5 2 2 3 2 2" xfId="5124" xr:uid="{00000000-0005-0000-0000-000008140000}"/>
    <cellStyle name="Normal 13 5 2 2 3 3" xfId="5125" xr:uid="{00000000-0005-0000-0000-000009140000}"/>
    <cellStyle name="Normal 13 5 2 2 4" xfId="5126" xr:uid="{00000000-0005-0000-0000-00000A140000}"/>
    <cellStyle name="Normal 13 5 2 2 4 2" xfId="5127" xr:uid="{00000000-0005-0000-0000-00000B140000}"/>
    <cellStyle name="Normal 13 5 2 2 5" xfId="5128" xr:uid="{00000000-0005-0000-0000-00000C140000}"/>
    <cellStyle name="Normal 13 5 2 3" xfId="5129" xr:uid="{00000000-0005-0000-0000-00000D140000}"/>
    <cellStyle name="Normal 13 5 2 3 2" xfId="5130" xr:uid="{00000000-0005-0000-0000-00000E140000}"/>
    <cellStyle name="Normal 13 5 2 3 2 2" xfId="5131" xr:uid="{00000000-0005-0000-0000-00000F140000}"/>
    <cellStyle name="Normal 13 5 2 3 3" xfId="5132" xr:uid="{00000000-0005-0000-0000-000010140000}"/>
    <cellStyle name="Normal 13 5 2 4" xfId="5133" xr:uid="{00000000-0005-0000-0000-000011140000}"/>
    <cellStyle name="Normal 13 5 2 4 2" xfId="5134" xr:uid="{00000000-0005-0000-0000-000012140000}"/>
    <cellStyle name="Normal 13 5 2 4 2 2" xfId="5135" xr:uid="{00000000-0005-0000-0000-000013140000}"/>
    <cellStyle name="Normal 13 5 2 4 3" xfId="5136" xr:uid="{00000000-0005-0000-0000-000014140000}"/>
    <cellStyle name="Normal 13 5 2 5" xfId="5137" xr:uid="{00000000-0005-0000-0000-000015140000}"/>
    <cellStyle name="Normal 13 5 2 5 2" xfId="5138" xr:uid="{00000000-0005-0000-0000-000016140000}"/>
    <cellStyle name="Normal 13 5 2 6" xfId="5139" xr:uid="{00000000-0005-0000-0000-000017140000}"/>
    <cellStyle name="Normal 13 5 3" xfId="5140" xr:uid="{00000000-0005-0000-0000-000018140000}"/>
    <cellStyle name="Normal 13 5 3 2" xfId="5141" xr:uid="{00000000-0005-0000-0000-000019140000}"/>
    <cellStyle name="Normal 13 5 3 2 2" xfId="5142" xr:uid="{00000000-0005-0000-0000-00001A140000}"/>
    <cellStyle name="Normal 13 5 3 2 2 2" xfId="5143" xr:uid="{00000000-0005-0000-0000-00001B140000}"/>
    <cellStyle name="Normal 13 5 3 2 3" xfId="5144" xr:uid="{00000000-0005-0000-0000-00001C140000}"/>
    <cellStyle name="Normal 13 5 3 3" xfId="5145" xr:uid="{00000000-0005-0000-0000-00001D140000}"/>
    <cellStyle name="Normal 13 5 3 3 2" xfId="5146" xr:uid="{00000000-0005-0000-0000-00001E140000}"/>
    <cellStyle name="Normal 13 5 3 3 2 2" xfId="5147" xr:uid="{00000000-0005-0000-0000-00001F140000}"/>
    <cellStyle name="Normal 13 5 3 3 3" xfId="5148" xr:uid="{00000000-0005-0000-0000-000020140000}"/>
    <cellStyle name="Normal 13 5 3 4" xfId="5149" xr:uid="{00000000-0005-0000-0000-000021140000}"/>
    <cellStyle name="Normal 13 5 3 4 2" xfId="5150" xr:uid="{00000000-0005-0000-0000-000022140000}"/>
    <cellStyle name="Normal 13 5 3 5" xfId="5151" xr:uid="{00000000-0005-0000-0000-000023140000}"/>
    <cellStyle name="Normal 13 5 4" xfId="5152" xr:uid="{00000000-0005-0000-0000-000024140000}"/>
    <cellStyle name="Normal 13 5 4 2" xfId="5153" xr:uid="{00000000-0005-0000-0000-000025140000}"/>
    <cellStyle name="Normal 13 5 4 2 2" xfId="5154" xr:uid="{00000000-0005-0000-0000-000026140000}"/>
    <cellStyle name="Normal 13 5 4 3" xfId="5155" xr:uid="{00000000-0005-0000-0000-000027140000}"/>
    <cellStyle name="Normal 13 5 5" xfId="5156" xr:uid="{00000000-0005-0000-0000-000028140000}"/>
    <cellStyle name="Normal 13 5 5 2" xfId="5157" xr:uid="{00000000-0005-0000-0000-000029140000}"/>
    <cellStyle name="Normal 13 5 5 2 2" xfId="5158" xr:uid="{00000000-0005-0000-0000-00002A140000}"/>
    <cellStyle name="Normal 13 5 5 3" xfId="5159" xr:uid="{00000000-0005-0000-0000-00002B140000}"/>
    <cellStyle name="Normal 13 5 6" xfId="5160" xr:uid="{00000000-0005-0000-0000-00002C140000}"/>
    <cellStyle name="Normal 13 5 6 2" xfId="5161" xr:uid="{00000000-0005-0000-0000-00002D140000}"/>
    <cellStyle name="Normal 13 5 7" xfId="5162" xr:uid="{00000000-0005-0000-0000-00002E140000}"/>
    <cellStyle name="Normal 13 6" xfId="5163" xr:uid="{00000000-0005-0000-0000-00002F140000}"/>
    <cellStyle name="Normal 13 6 2" xfId="5164" xr:uid="{00000000-0005-0000-0000-000030140000}"/>
    <cellStyle name="Normal 13 6 2 2" xfId="5165" xr:uid="{00000000-0005-0000-0000-000031140000}"/>
    <cellStyle name="Normal 13 6 2 2 2" xfId="5166" xr:uid="{00000000-0005-0000-0000-000032140000}"/>
    <cellStyle name="Normal 13 6 2 2 2 2" xfId="5167" xr:uid="{00000000-0005-0000-0000-000033140000}"/>
    <cellStyle name="Normal 13 6 2 2 3" xfId="5168" xr:uid="{00000000-0005-0000-0000-000034140000}"/>
    <cellStyle name="Normal 13 6 2 3" xfId="5169" xr:uid="{00000000-0005-0000-0000-000035140000}"/>
    <cellStyle name="Normal 13 6 2 3 2" xfId="5170" xr:uid="{00000000-0005-0000-0000-000036140000}"/>
    <cellStyle name="Normal 13 6 2 3 2 2" xfId="5171" xr:uid="{00000000-0005-0000-0000-000037140000}"/>
    <cellStyle name="Normal 13 6 2 3 3" xfId="5172" xr:uid="{00000000-0005-0000-0000-000038140000}"/>
    <cellStyle name="Normal 13 6 2 4" xfId="5173" xr:uid="{00000000-0005-0000-0000-000039140000}"/>
    <cellStyle name="Normal 13 6 2 4 2" xfId="5174" xr:uid="{00000000-0005-0000-0000-00003A140000}"/>
    <cellStyle name="Normal 13 6 2 5" xfId="5175" xr:uid="{00000000-0005-0000-0000-00003B140000}"/>
    <cellStyle name="Normal 13 6 3" xfId="5176" xr:uid="{00000000-0005-0000-0000-00003C140000}"/>
    <cellStyle name="Normal 13 6 3 2" xfId="5177" xr:uid="{00000000-0005-0000-0000-00003D140000}"/>
    <cellStyle name="Normal 13 6 3 2 2" xfId="5178" xr:uid="{00000000-0005-0000-0000-00003E140000}"/>
    <cellStyle name="Normal 13 6 3 3" xfId="5179" xr:uid="{00000000-0005-0000-0000-00003F140000}"/>
    <cellStyle name="Normal 13 6 4" xfId="5180" xr:uid="{00000000-0005-0000-0000-000040140000}"/>
    <cellStyle name="Normal 13 6 4 2" xfId="5181" xr:uid="{00000000-0005-0000-0000-000041140000}"/>
    <cellStyle name="Normal 13 6 4 2 2" xfId="5182" xr:uid="{00000000-0005-0000-0000-000042140000}"/>
    <cellStyle name="Normal 13 6 4 3" xfId="5183" xr:uid="{00000000-0005-0000-0000-000043140000}"/>
    <cellStyle name="Normal 13 6 5" xfId="5184" xr:uid="{00000000-0005-0000-0000-000044140000}"/>
    <cellStyle name="Normal 13 6 5 2" xfId="5185" xr:uid="{00000000-0005-0000-0000-000045140000}"/>
    <cellStyle name="Normal 13 6 6" xfId="5186" xr:uid="{00000000-0005-0000-0000-000046140000}"/>
    <cellStyle name="Normal 13 6 7" xfId="5187" xr:uid="{00000000-0005-0000-0000-000047140000}"/>
    <cellStyle name="Normal 13 7" xfId="5188" xr:uid="{00000000-0005-0000-0000-000048140000}"/>
    <cellStyle name="Normal 13 7 2" xfId="5189" xr:uid="{00000000-0005-0000-0000-000049140000}"/>
    <cellStyle name="Normal 13 7 2 2" xfId="5190" xr:uid="{00000000-0005-0000-0000-00004A140000}"/>
    <cellStyle name="Normal 13 7 2 2 2" xfId="5191" xr:uid="{00000000-0005-0000-0000-00004B140000}"/>
    <cellStyle name="Normal 13 7 2 3" xfId="5192" xr:uid="{00000000-0005-0000-0000-00004C140000}"/>
    <cellStyle name="Normal 13 7 3" xfId="5193" xr:uid="{00000000-0005-0000-0000-00004D140000}"/>
    <cellStyle name="Normal 13 7 3 2" xfId="5194" xr:uid="{00000000-0005-0000-0000-00004E140000}"/>
    <cellStyle name="Normal 13 7 3 2 2" xfId="5195" xr:uid="{00000000-0005-0000-0000-00004F140000}"/>
    <cellStyle name="Normal 13 7 3 3" xfId="5196" xr:uid="{00000000-0005-0000-0000-000050140000}"/>
    <cellStyle name="Normal 13 7 4" xfId="5197" xr:uid="{00000000-0005-0000-0000-000051140000}"/>
    <cellStyle name="Normal 13 7 4 2" xfId="5198" xr:uid="{00000000-0005-0000-0000-000052140000}"/>
    <cellStyle name="Normal 13 7 5" xfId="5199" xr:uid="{00000000-0005-0000-0000-000053140000}"/>
    <cellStyle name="Normal 13 8" xfId="5200" xr:uid="{00000000-0005-0000-0000-000054140000}"/>
    <cellStyle name="Normal 13 8 2" xfId="5201" xr:uid="{00000000-0005-0000-0000-000055140000}"/>
    <cellStyle name="Normal 13 8 2 2" xfId="5202" xr:uid="{00000000-0005-0000-0000-000056140000}"/>
    <cellStyle name="Normal 13 8 3" xfId="5203" xr:uid="{00000000-0005-0000-0000-000057140000}"/>
    <cellStyle name="Normal 13 9" xfId="5204" xr:uid="{00000000-0005-0000-0000-000058140000}"/>
    <cellStyle name="Normal 13 9 2" xfId="5205" xr:uid="{00000000-0005-0000-0000-000059140000}"/>
    <cellStyle name="Normal 13 9 2 2" xfId="5206" xr:uid="{00000000-0005-0000-0000-00005A140000}"/>
    <cellStyle name="Normal 13 9 3" xfId="5207" xr:uid="{00000000-0005-0000-0000-00005B140000}"/>
    <cellStyle name="Normal 13_Recycling Tons" xfId="5208" xr:uid="{00000000-0005-0000-0000-00005C140000}"/>
    <cellStyle name="Normal 130" xfId="5209" xr:uid="{00000000-0005-0000-0000-00005D140000}"/>
    <cellStyle name="Normal 131" xfId="5210" xr:uid="{00000000-0005-0000-0000-00005E140000}"/>
    <cellStyle name="Normal 132" xfId="5211" xr:uid="{00000000-0005-0000-0000-00005F140000}"/>
    <cellStyle name="Normal 133" xfId="5212" xr:uid="{00000000-0005-0000-0000-000060140000}"/>
    <cellStyle name="Normal 134" xfId="5213" xr:uid="{00000000-0005-0000-0000-000061140000}"/>
    <cellStyle name="Normal 135" xfId="5214" xr:uid="{00000000-0005-0000-0000-000062140000}"/>
    <cellStyle name="Normal 136" xfId="5215" xr:uid="{00000000-0005-0000-0000-000063140000}"/>
    <cellStyle name="Normal 137" xfId="5216" xr:uid="{00000000-0005-0000-0000-000064140000}"/>
    <cellStyle name="Normal 138" xfId="5217" xr:uid="{00000000-0005-0000-0000-000065140000}"/>
    <cellStyle name="Normal 139" xfId="5218" xr:uid="{00000000-0005-0000-0000-000066140000}"/>
    <cellStyle name="Normal 14" xfId="5219" xr:uid="{00000000-0005-0000-0000-000067140000}"/>
    <cellStyle name="Normal 14 10" xfId="5220" xr:uid="{00000000-0005-0000-0000-000068140000}"/>
    <cellStyle name="Normal 14 11" xfId="5221" xr:uid="{00000000-0005-0000-0000-000069140000}"/>
    <cellStyle name="Normal 14 2" xfId="5222" xr:uid="{00000000-0005-0000-0000-00006A140000}"/>
    <cellStyle name="Normal 14 2 2" xfId="5223" xr:uid="{00000000-0005-0000-0000-00006B140000}"/>
    <cellStyle name="Normal 14 2 2 2" xfId="5224" xr:uid="{00000000-0005-0000-0000-00006C140000}"/>
    <cellStyle name="Normal 14 2 2 2 2" xfId="5225" xr:uid="{00000000-0005-0000-0000-00006D140000}"/>
    <cellStyle name="Normal 14 2 2 2 2 2" xfId="5226" xr:uid="{00000000-0005-0000-0000-00006E140000}"/>
    <cellStyle name="Normal 14 2 2 2 2 2 2" xfId="5227" xr:uid="{00000000-0005-0000-0000-00006F140000}"/>
    <cellStyle name="Normal 14 2 2 2 2 2 2 2" xfId="5228" xr:uid="{00000000-0005-0000-0000-000070140000}"/>
    <cellStyle name="Normal 14 2 2 2 2 2 3" xfId="5229" xr:uid="{00000000-0005-0000-0000-000071140000}"/>
    <cellStyle name="Normal 14 2 2 2 2 3" xfId="5230" xr:uid="{00000000-0005-0000-0000-000072140000}"/>
    <cellStyle name="Normal 14 2 2 2 2 3 2" xfId="5231" xr:uid="{00000000-0005-0000-0000-000073140000}"/>
    <cellStyle name="Normal 14 2 2 2 2 3 2 2" xfId="5232" xr:uid="{00000000-0005-0000-0000-000074140000}"/>
    <cellStyle name="Normal 14 2 2 2 2 3 3" xfId="5233" xr:uid="{00000000-0005-0000-0000-000075140000}"/>
    <cellStyle name="Normal 14 2 2 2 2 4" xfId="5234" xr:uid="{00000000-0005-0000-0000-000076140000}"/>
    <cellStyle name="Normal 14 2 2 2 2 4 2" xfId="5235" xr:uid="{00000000-0005-0000-0000-000077140000}"/>
    <cellStyle name="Normal 14 2 2 2 2 5" xfId="5236" xr:uid="{00000000-0005-0000-0000-000078140000}"/>
    <cellStyle name="Normal 14 2 2 2 3" xfId="5237" xr:uid="{00000000-0005-0000-0000-000079140000}"/>
    <cellStyle name="Normal 14 2 2 2 3 2" xfId="5238" xr:uid="{00000000-0005-0000-0000-00007A140000}"/>
    <cellStyle name="Normal 14 2 2 2 3 2 2" xfId="5239" xr:uid="{00000000-0005-0000-0000-00007B140000}"/>
    <cellStyle name="Normal 14 2 2 2 3 3" xfId="5240" xr:uid="{00000000-0005-0000-0000-00007C140000}"/>
    <cellStyle name="Normal 14 2 2 2 4" xfId="5241" xr:uid="{00000000-0005-0000-0000-00007D140000}"/>
    <cellStyle name="Normal 14 2 2 2 4 2" xfId="5242" xr:uid="{00000000-0005-0000-0000-00007E140000}"/>
    <cellStyle name="Normal 14 2 2 2 4 2 2" xfId="5243" xr:uid="{00000000-0005-0000-0000-00007F140000}"/>
    <cellStyle name="Normal 14 2 2 2 4 3" xfId="5244" xr:uid="{00000000-0005-0000-0000-000080140000}"/>
    <cellStyle name="Normal 14 2 2 2 5" xfId="5245" xr:uid="{00000000-0005-0000-0000-000081140000}"/>
    <cellStyle name="Normal 14 2 2 2 5 2" xfId="5246" xr:uid="{00000000-0005-0000-0000-000082140000}"/>
    <cellStyle name="Normal 14 2 2 2 6" xfId="5247" xr:uid="{00000000-0005-0000-0000-000083140000}"/>
    <cellStyle name="Normal 14 2 2 3" xfId="5248" xr:uid="{00000000-0005-0000-0000-000084140000}"/>
    <cellStyle name="Normal 14 2 2 3 2" xfId="5249" xr:uid="{00000000-0005-0000-0000-000085140000}"/>
    <cellStyle name="Normal 14 2 2 3 2 2" xfId="5250" xr:uid="{00000000-0005-0000-0000-000086140000}"/>
    <cellStyle name="Normal 14 2 2 3 2 2 2" xfId="5251" xr:uid="{00000000-0005-0000-0000-000087140000}"/>
    <cellStyle name="Normal 14 2 2 3 2 3" xfId="5252" xr:uid="{00000000-0005-0000-0000-000088140000}"/>
    <cellStyle name="Normal 14 2 2 3 3" xfId="5253" xr:uid="{00000000-0005-0000-0000-000089140000}"/>
    <cellStyle name="Normal 14 2 2 3 3 2" xfId="5254" xr:uid="{00000000-0005-0000-0000-00008A140000}"/>
    <cellStyle name="Normal 14 2 2 3 3 2 2" xfId="5255" xr:uid="{00000000-0005-0000-0000-00008B140000}"/>
    <cellStyle name="Normal 14 2 2 3 3 3" xfId="5256" xr:uid="{00000000-0005-0000-0000-00008C140000}"/>
    <cellStyle name="Normal 14 2 2 3 4" xfId="5257" xr:uid="{00000000-0005-0000-0000-00008D140000}"/>
    <cellStyle name="Normal 14 2 2 3 4 2" xfId="5258" xr:uid="{00000000-0005-0000-0000-00008E140000}"/>
    <cellStyle name="Normal 14 2 2 3 5" xfId="5259" xr:uid="{00000000-0005-0000-0000-00008F140000}"/>
    <cellStyle name="Normal 14 2 2 4" xfId="5260" xr:uid="{00000000-0005-0000-0000-000090140000}"/>
    <cellStyle name="Normal 14 2 2 4 2" xfId="5261" xr:uid="{00000000-0005-0000-0000-000091140000}"/>
    <cellStyle name="Normal 14 2 2 4 2 2" xfId="5262" xr:uid="{00000000-0005-0000-0000-000092140000}"/>
    <cellStyle name="Normal 14 2 2 4 3" xfId="5263" xr:uid="{00000000-0005-0000-0000-000093140000}"/>
    <cellStyle name="Normal 14 2 2 5" xfId="5264" xr:uid="{00000000-0005-0000-0000-000094140000}"/>
    <cellStyle name="Normal 14 2 2 5 2" xfId="5265" xr:uid="{00000000-0005-0000-0000-000095140000}"/>
    <cellStyle name="Normal 14 2 2 5 2 2" xfId="5266" xr:uid="{00000000-0005-0000-0000-000096140000}"/>
    <cellStyle name="Normal 14 2 2 5 3" xfId="5267" xr:uid="{00000000-0005-0000-0000-000097140000}"/>
    <cellStyle name="Normal 14 2 2 6" xfId="5268" xr:uid="{00000000-0005-0000-0000-000098140000}"/>
    <cellStyle name="Normal 14 2 2 6 2" xfId="5269" xr:uid="{00000000-0005-0000-0000-000099140000}"/>
    <cellStyle name="Normal 14 2 2 7" xfId="5270" xr:uid="{00000000-0005-0000-0000-00009A140000}"/>
    <cellStyle name="Normal 14 2 2 8" xfId="5271" xr:uid="{00000000-0005-0000-0000-00009B140000}"/>
    <cellStyle name="Normal 14 2 3" xfId="5272" xr:uid="{00000000-0005-0000-0000-00009C140000}"/>
    <cellStyle name="Normal 14 2 3 2" xfId="5273" xr:uid="{00000000-0005-0000-0000-00009D140000}"/>
    <cellStyle name="Normal 14 2 3 2 2" xfId="5274" xr:uid="{00000000-0005-0000-0000-00009E140000}"/>
    <cellStyle name="Normal 14 2 3 2 2 2" xfId="5275" xr:uid="{00000000-0005-0000-0000-00009F140000}"/>
    <cellStyle name="Normal 14 2 3 2 2 2 2" xfId="5276" xr:uid="{00000000-0005-0000-0000-0000A0140000}"/>
    <cellStyle name="Normal 14 2 3 2 2 3" xfId="5277" xr:uid="{00000000-0005-0000-0000-0000A1140000}"/>
    <cellStyle name="Normal 14 2 3 2 3" xfId="5278" xr:uid="{00000000-0005-0000-0000-0000A2140000}"/>
    <cellStyle name="Normal 14 2 3 2 3 2" xfId="5279" xr:uid="{00000000-0005-0000-0000-0000A3140000}"/>
    <cellStyle name="Normal 14 2 3 2 3 2 2" xfId="5280" xr:uid="{00000000-0005-0000-0000-0000A4140000}"/>
    <cellStyle name="Normal 14 2 3 2 3 3" xfId="5281" xr:uid="{00000000-0005-0000-0000-0000A5140000}"/>
    <cellStyle name="Normal 14 2 3 2 4" xfId="5282" xr:uid="{00000000-0005-0000-0000-0000A6140000}"/>
    <cellStyle name="Normal 14 2 3 2 4 2" xfId="5283" xr:uid="{00000000-0005-0000-0000-0000A7140000}"/>
    <cellStyle name="Normal 14 2 3 2 5" xfId="5284" xr:uid="{00000000-0005-0000-0000-0000A8140000}"/>
    <cellStyle name="Normal 14 2 3 3" xfId="5285" xr:uid="{00000000-0005-0000-0000-0000A9140000}"/>
    <cellStyle name="Normal 14 2 3 3 2" xfId="5286" xr:uid="{00000000-0005-0000-0000-0000AA140000}"/>
    <cellStyle name="Normal 14 2 3 3 2 2" xfId="5287" xr:uid="{00000000-0005-0000-0000-0000AB140000}"/>
    <cellStyle name="Normal 14 2 3 3 3" xfId="5288" xr:uid="{00000000-0005-0000-0000-0000AC140000}"/>
    <cellStyle name="Normal 14 2 3 4" xfId="5289" xr:uid="{00000000-0005-0000-0000-0000AD140000}"/>
    <cellStyle name="Normal 14 2 3 4 2" xfId="5290" xr:uid="{00000000-0005-0000-0000-0000AE140000}"/>
    <cellStyle name="Normal 14 2 3 4 2 2" xfId="5291" xr:uid="{00000000-0005-0000-0000-0000AF140000}"/>
    <cellStyle name="Normal 14 2 3 4 3" xfId="5292" xr:uid="{00000000-0005-0000-0000-0000B0140000}"/>
    <cellStyle name="Normal 14 2 3 5" xfId="5293" xr:uid="{00000000-0005-0000-0000-0000B1140000}"/>
    <cellStyle name="Normal 14 2 3 5 2" xfId="5294" xr:uid="{00000000-0005-0000-0000-0000B2140000}"/>
    <cellStyle name="Normal 14 2 3 6" xfId="5295" xr:uid="{00000000-0005-0000-0000-0000B3140000}"/>
    <cellStyle name="Normal 14 2 3 7" xfId="5296" xr:uid="{00000000-0005-0000-0000-0000B4140000}"/>
    <cellStyle name="Normal 14 2 4" xfId="5297" xr:uid="{00000000-0005-0000-0000-0000B5140000}"/>
    <cellStyle name="Normal 14 2 4 2" xfId="5298" xr:uid="{00000000-0005-0000-0000-0000B6140000}"/>
    <cellStyle name="Normal 14 2 4 2 2" xfId="5299" xr:uid="{00000000-0005-0000-0000-0000B7140000}"/>
    <cellStyle name="Normal 14 2 4 2 2 2" xfId="5300" xr:uid="{00000000-0005-0000-0000-0000B8140000}"/>
    <cellStyle name="Normal 14 2 4 2 3" xfId="5301" xr:uid="{00000000-0005-0000-0000-0000B9140000}"/>
    <cellStyle name="Normal 14 2 4 3" xfId="5302" xr:uid="{00000000-0005-0000-0000-0000BA140000}"/>
    <cellStyle name="Normal 14 2 4 3 2" xfId="5303" xr:uid="{00000000-0005-0000-0000-0000BB140000}"/>
    <cellStyle name="Normal 14 2 4 3 2 2" xfId="5304" xr:uid="{00000000-0005-0000-0000-0000BC140000}"/>
    <cellStyle name="Normal 14 2 4 3 3" xfId="5305" xr:uid="{00000000-0005-0000-0000-0000BD140000}"/>
    <cellStyle name="Normal 14 2 4 4" xfId="5306" xr:uid="{00000000-0005-0000-0000-0000BE140000}"/>
    <cellStyle name="Normal 14 2 4 4 2" xfId="5307" xr:uid="{00000000-0005-0000-0000-0000BF140000}"/>
    <cellStyle name="Normal 14 2 4 5" xfId="5308" xr:uid="{00000000-0005-0000-0000-0000C0140000}"/>
    <cellStyle name="Normal 14 2 5" xfId="5309" xr:uid="{00000000-0005-0000-0000-0000C1140000}"/>
    <cellStyle name="Normal 14 2 5 2" xfId="5310" xr:uid="{00000000-0005-0000-0000-0000C2140000}"/>
    <cellStyle name="Normal 14 2 5 2 2" xfId="5311" xr:uid="{00000000-0005-0000-0000-0000C3140000}"/>
    <cellStyle name="Normal 14 2 5 3" xfId="5312" xr:uid="{00000000-0005-0000-0000-0000C4140000}"/>
    <cellStyle name="Normal 14 2 6" xfId="5313" xr:uid="{00000000-0005-0000-0000-0000C5140000}"/>
    <cellStyle name="Normal 14 2 6 2" xfId="5314" xr:uid="{00000000-0005-0000-0000-0000C6140000}"/>
    <cellStyle name="Normal 14 2 6 2 2" xfId="5315" xr:uid="{00000000-0005-0000-0000-0000C7140000}"/>
    <cellStyle name="Normal 14 2 6 3" xfId="5316" xr:uid="{00000000-0005-0000-0000-0000C8140000}"/>
    <cellStyle name="Normal 14 2 7" xfId="5317" xr:uid="{00000000-0005-0000-0000-0000C9140000}"/>
    <cellStyle name="Normal 14 2 7 2" xfId="5318" xr:uid="{00000000-0005-0000-0000-0000CA140000}"/>
    <cellStyle name="Normal 14 2 8" xfId="5319" xr:uid="{00000000-0005-0000-0000-0000CB140000}"/>
    <cellStyle name="Normal 14 3" xfId="5320" xr:uid="{00000000-0005-0000-0000-0000CC140000}"/>
    <cellStyle name="Normal 14 3 10" xfId="5321" xr:uid="{00000000-0005-0000-0000-0000CD140000}"/>
    <cellStyle name="Normal 14 3 2" xfId="5322" xr:uid="{00000000-0005-0000-0000-0000CE140000}"/>
    <cellStyle name="Normal 14 3 2 2" xfId="5323" xr:uid="{00000000-0005-0000-0000-0000CF140000}"/>
    <cellStyle name="Normal 14 3 2 2 2" xfId="5324" xr:uid="{00000000-0005-0000-0000-0000D0140000}"/>
    <cellStyle name="Normal 14 3 2 2 2 2" xfId="5325" xr:uid="{00000000-0005-0000-0000-0000D1140000}"/>
    <cellStyle name="Normal 14 3 2 2 2 2 2" xfId="5326" xr:uid="{00000000-0005-0000-0000-0000D2140000}"/>
    <cellStyle name="Normal 14 3 2 2 2 2 2 2" xfId="5327" xr:uid="{00000000-0005-0000-0000-0000D3140000}"/>
    <cellStyle name="Normal 14 3 2 2 2 2 3" xfId="5328" xr:uid="{00000000-0005-0000-0000-0000D4140000}"/>
    <cellStyle name="Normal 14 3 2 2 2 3" xfId="5329" xr:uid="{00000000-0005-0000-0000-0000D5140000}"/>
    <cellStyle name="Normal 14 3 2 2 2 3 2" xfId="5330" xr:uid="{00000000-0005-0000-0000-0000D6140000}"/>
    <cellStyle name="Normal 14 3 2 2 2 3 2 2" xfId="5331" xr:uid="{00000000-0005-0000-0000-0000D7140000}"/>
    <cellStyle name="Normal 14 3 2 2 2 3 3" xfId="5332" xr:uid="{00000000-0005-0000-0000-0000D8140000}"/>
    <cellStyle name="Normal 14 3 2 2 2 4" xfId="5333" xr:uid="{00000000-0005-0000-0000-0000D9140000}"/>
    <cellStyle name="Normal 14 3 2 2 2 4 2" xfId="5334" xr:uid="{00000000-0005-0000-0000-0000DA140000}"/>
    <cellStyle name="Normal 14 3 2 2 2 5" xfId="5335" xr:uid="{00000000-0005-0000-0000-0000DB140000}"/>
    <cellStyle name="Normal 14 3 2 2 3" xfId="5336" xr:uid="{00000000-0005-0000-0000-0000DC140000}"/>
    <cellStyle name="Normal 14 3 2 2 3 2" xfId="5337" xr:uid="{00000000-0005-0000-0000-0000DD140000}"/>
    <cellStyle name="Normal 14 3 2 2 3 2 2" xfId="5338" xr:uid="{00000000-0005-0000-0000-0000DE140000}"/>
    <cellStyle name="Normal 14 3 2 2 3 3" xfId="5339" xr:uid="{00000000-0005-0000-0000-0000DF140000}"/>
    <cellStyle name="Normal 14 3 2 2 4" xfId="5340" xr:uid="{00000000-0005-0000-0000-0000E0140000}"/>
    <cellStyle name="Normal 14 3 2 2 4 2" xfId="5341" xr:uid="{00000000-0005-0000-0000-0000E1140000}"/>
    <cellStyle name="Normal 14 3 2 2 4 2 2" xfId="5342" xr:uid="{00000000-0005-0000-0000-0000E2140000}"/>
    <cellStyle name="Normal 14 3 2 2 4 3" xfId="5343" xr:uid="{00000000-0005-0000-0000-0000E3140000}"/>
    <cellStyle name="Normal 14 3 2 2 5" xfId="5344" xr:uid="{00000000-0005-0000-0000-0000E4140000}"/>
    <cellStyle name="Normal 14 3 2 2 5 2" xfId="5345" xr:uid="{00000000-0005-0000-0000-0000E5140000}"/>
    <cellStyle name="Normal 14 3 2 2 6" xfId="5346" xr:uid="{00000000-0005-0000-0000-0000E6140000}"/>
    <cellStyle name="Normal 14 3 2 3" xfId="5347" xr:uid="{00000000-0005-0000-0000-0000E7140000}"/>
    <cellStyle name="Normal 14 3 2 3 2" xfId="5348" xr:uid="{00000000-0005-0000-0000-0000E8140000}"/>
    <cellStyle name="Normal 14 3 2 3 2 2" xfId="5349" xr:uid="{00000000-0005-0000-0000-0000E9140000}"/>
    <cellStyle name="Normal 14 3 2 3 2 2 2" xfId="5350" xr:uid="{00000000-0005-0000-0000-0000EA140000}"/>
    <cellStyle name="Normal 14 3 2 3 2 3" xfId="5351" xr:uid="{00000000-0005-0000-0000-0000EB140000}"/>
    <cellStyle name="Normal 14 3 2 3 3" xfId="5352" xr:uid="{00000000-0005-0000-0000-0000EC140000}"/>
    <cellStyle name="Normal 14 3 2 3 3 2" xfId="5353" xr:uid="{00000000-0005-0000-0000-0000ED140000}"/>
    <cellStyle name="Normal 14 3 2 3 3 2 2" xfId="5354" xr:uid="{00000000-0005-0000-0000-0000EE140000}"/>
    <cellStyle name="Normal 14 3 2 3 3 3" xfId="5355" xr:uid="{00000000-0005-0000-0000-0000EF140000}"/>
    <cellStyle name="Normal 14 3 2 3 4" xfId="5356" xr:uid="{00000000-0005-0000-0000-0000F0140000}"/>
    <cellStyle name="Normal 14 3 2 3 4 2" xfId="5357" xr:uid="{00000000-0005-0000-0000-0000F1140000}"/>
    <cellStyle name="Normal 14 3 2 3 5" xfId="5358" xr:uid="{00000000-0005-0000-0000-0000F2140000}"/>
    <cellStyle name="Normal 14 3 2 4" xfId="5359" xr:uid="{00000000-0005-0000-0000-0000F3140000}"/>
    <cellStyle name="Normal 14 3 2 4 2" xfId="5360" xr:uid="{00000000-0005-0000-0000-0000F4140000}"/>
    <cellStyle name="Normal 14 3 2 4 2 2" xfId="5361" xr:uid="{00000000-0005-0000-0000-0000F5140000}"/>
    <cellStyle name="Normal 14 3 2 4 3" xfId="5362" xr:uid="{00000000-0005-0000-0000-0000F6140000}"/>
    <cellStyle name="Normal 14 3 2 5" xfId="5363" xr:uid="{00000000-0005-0000-0000-0000F7140000}"/>
    <cellStyle name="Normal 14 3 2 5 2" xfId="5364" xr:uid="{00000000-0005-0000-0000-0000F8140000}"/>
    <cellStyle name="Normal 14 3 2 5 2 2" xfId="5365" xr:uid="{00000000-0005-0000-0000-0000F9140000}"/>
    <cellStyle name="Normal 14 3 2 5 3" xfId="5366" xr:uid="{00000000-0005-0000-0000-0000FA140000}"/>
    <cellStyle name="Normal 14 3 2 6" xfId="5367" xr:uid="{00000000-0005-0000-0000-0000FB140000}"/>
    <cellStyle name="Normal 14 3 2 6 2" xfId="5368" xr:uid="{00000000-0005-0000-0000-0000FC140000}"/>
    <cellStyle name="Normal 14 3 2 7" xfId="5369" xr:uid="{00000000-0005-0000-0000-0000FD140000}"/>
    <cellStyle name="Normal 14 3 3" xfId="5370" xr:uid="{00000000-0005-0000-0000-0000FE140000}"/>
    <cellStyle name="Normal 14 3 3 2" xfId="5371" xr:uid="{00000000-0005-0000-0000-0000FF140000}"/>
    <cellStyle name="Normal 14 3 3 2 2" xfId="5372" xr:uid="{00000000-0005-0000-0000-000000150000}"/>
    <cellStyle name="Normal 14 3 3 2 2 2" xfId="5373" xr:uid="{00000000-0005-0000-0000-000001150000}"/>
    <cellStyle name="Normal 14 3 3 2 2 2 2" xfId="5374" xr:uid="{00000000-0005-0000-0000-000002150000}"/>
    <cellStyle name="Normal 14 3 3 2 2 3" xfId="5375" xr:uid="{00000000-0005-0000-0000-000003150000}"/>
    <cellStyle name="Normal 14 3 3 2 3" xfId="5376" xr:uid="{00000000-0005-0000-0000-000004150000}"/>
    <cellStyle name="Normal 14 3 3 2 3 2" xfId="5377" xr:uid="{00000000-0005-0000-0000-000005150000}"/>
    <cellStyle name="Normal 14 3 3 2 3 2 2" xfId="5378" xr:uid="{00000000-0005-0000-0000-000006150000}"/>
    <cellStyle name="Normal 14 3 3 2 3 3" xfId="5379" xr:uid="{00000000-0005-0000-0000-000007150000}"/>
    <cellStyle name="Normal 14 3 3 2 4" xfId="5380" xr:uid="{00000000-0005-0000-0000-000008150000}"/>
    <cellStyle name="Normal 14 3 3 2 4 2" xfId="5381" xr:uid="{00000000-0005-0000-0000-000009150000}"/>
    <cellStyle name="Normal 14 3 3 2 5" xfId="5382" xr:uid="{00000000-0005-0000-0000-00000A150000}"/>
    <cellStyle name="Normal 14 3 3 3" xfId="5383" xr:uid="{00000000-0005-0000-0000-00000B150000}"/>
    <cellStyle name="Normal 14 3 3 3 2" xfId="5384" xr:uid="{00000000-0005-0000-0000-00000C150000}"/>
    <cellStyle name="Normal 14 3 3 3 2 2" xfId="5385" xr:uid="{00000000-0005-0000-0000-00000D150000}"/>
    <cellStyle name="Normal 14 3 3 3 3" xfId="5386" xr:uid="{00000000-0005-0000-0000-00000E150000}"/>
    <cellStyle name="Normal 14 3 3 4" xfId="5387" xr:uid="{00000000-0005-0000-0000-00000F150000}"/>
    <cellStyle name="Normal 14 3 3 4 2" xfId="5388" xr:uid="{00000000-0005-0000-0000-000010150000}"/>
    <cellStyle name="Normal 14 3 3 4 2 2" xfId="5389" xr:uid="{00000000-0005-0000-0000-000011150000}"/>
    <cellStyle name="Normal 14 3 3 4 3" xfId="5390" xr:uid="{00000000-0005-0000-0000-000012150000}"/>
    <cellStyle name="Normal 14 3 3 5" xfId="5391" xr:uid="{00000000-0005-0000-0000-000013150000}"/>
    <cellStyle name="Normal 14 3 3 5 2" xfId="5392" xr:uid="{00000000-0005-0000-0000-000014150000}"/>
    <cellStyle name="Normal 14 3 3 6" xfId="5393" xr:uid="{00000000-0005-0000-0000-000015150000}"/>
    <cellStyle name="Normal 14 3 4" xfId="5394" xr:uid="{00000000-0005-0000-0000-000016150000}"/>
    <cellStyle name="Normal 14 3 4 2" xfId="5395" xr:uid="{00000000-0005-0000-0000-000017150000}"/>
    <cellStyle name="Normal 14 3 4 2 2" xfId="5396" xr:uid="{00000000-0005-0000-0000-000018150000}"/>
    <cellStyle name="Normal 14 3 4 2 2 2" xfId="5397" xr:uid="{00000000-0005-0000-0000-000019150000}"/>
    <cellStyle name="Normal 14 3 4 2 3" xfId="5398" xr:uid="{00000000-0005-0000-0000-00001A150000}"/>
    <cellStyle name="Normal 14 3 4 3" xfId="5399" xr:uid="{00000000-0005-0000-0000-00001B150000}"/>
    <cellStyle name="Normal 14 3 4 3 2" xfId="5400" xr:uid="{00000000-0005-0000-0000-00001C150000}"/>
    <cellStyle name="Normal 14 3 4 3 2 2" xfId="5401" xr:uid="{00000000-0005-0000-0000-00001D150000}"/>
    <cellStyle name="Normal 14 3 4 3 3" xfId="5402" xr:uid="{00000000-0005-0000-0000-00001E150000}"/>
    <cellStyle name="Normal 14 3 4 4" xfId="5403" xr:uid="{00000000-0005-0000-0000-00001F150000}"/>
    <cellStyle name="Normal 14 3 4 4 2" xfId="5404" xr:uid="{00000000-0005-0000-0000-000020150000}"/>
    <cellStyle name="Normal 14 3 4 5" xfId="5405" xr:uid="{00000000-0005-0000-0000-000021150000}"/>
    <cellStyle name="Normal 14 3 5" xfId="5406" xr:uid="{00000000-0005-0000-0000-000022150000}"/>
    <cellStyle name="Normal 14 3 5 2" xfId="5407" xr:uid="{00000000-0005-0000-0000-000023150000}"/>
    <cellStyle name="Normal 14 3 5 2 2" xfId="5408" xr:uid="{00000000-0005-0000-0000-000024150000}"/>
    <cellStyle name="Normal 14 3 5 3" xfId="5409" xr:uid="{00000000-0005-0000-0000-000025150000}"/>
    <cellStyle name="Normal 14 3 6" xfId="5410" xr:uid="{00000000-0005-0000-0000-000026150000}"/>
    <cellStyle name="Normal 14 3 6 2" xfId="5411" xr:uid="{00000000-0005-0000-0000-000027150000}"/>
    <cellStyle name="Normal 14 3 6 2 2" xfId="5412" xr:uid="{00000000-0005-0000-0000-000028150000}"/>
    <cellStyle name="Normal 14 3 6 3" xfId="5413" xr:uid="{00000000-0005-0000-0000-000029150000}"/>
    <cellStyle name="Normal 14 3 7" xfId="5414" xr:uid="{00000000-0005-0000-0000-00002A150000}"/>
    <cellStyle name="Normal 14 3 7 2" xfId="5415" xr:uid="{00000000-0005-0000-0000-00002B150000}"/>
    <cellStyle name="Normal 14 3 8" xfId="5416" xr:uid="{00000000-0005-0000-0000-00002C150000}"/>
    <cellStyle name="Normal 14 3 8 2" xfId="5417" xr:uid="{00000000-0005-0000-0000-00002D150000}"/>
    <cellStyle name="Normal 14 3 9" xfId="5418" xr:uid="{00000000-0005-0000-0000-00002E150000}"/>
    <cellStyle name="Normal 14 4" xfId="5419" xr:uid="{00000000-0005-0000-0000-00002F150000}"/>
    <cellStyle name="Normal 14 4 2" xfId="5420" xr:uid="{00000000-0005-0000-0000-000030150000}"/>
    <cellStyle name="Normal 14 4 2 2" xfId="5421" xr:uid="{00000000-0005-0000-0000-000031150000}"/>
    <cellStyle name="Normal 14 4 2 2 2" xfId="5422" xr:uid="{00000000-0005-0000-0000-000032150000}"/>
    <cellStyle name="Normal 14 4 2 2 2 2" xfId="5423" xr:uid="{00000000-0005-0000-0000-000033150000}"/>
    <cellStyle name="Normal 14 4 2 2 2 2 2" xfId="5424" xr:uid="{00000000-0005-0000-0000-000034150000}"/>
    <cellStyle name="Normal 14 4 2 2 2 3" xfId="5425" xr:uid="{00000000-0005-0000-0000-000035150000}"/>
    <cellStyle name="Normal 14 4 2 2 3" xfId="5426" xr:uid="{00000000-0005-0000-0000-000036150000}"/>
    <cellStyle name="Normal 14 4 2 2 3 2" xfId="5427" xr:uid="{00000000-0005-0000-0000-000037150000}"/>
    <cellStyle name="Normal 14 4 2 2 3 2 2" xfId="5428" xr:uid="{00000000-0005-0000-0000-000038150000}"/>
    <cellStyle name="Normal 14 4 2 2 3 3" xfId="5429" xr:uid="{00000000-0005-0000-0000-000039150000}"/>
    <cellStyle name="Normal 14 4 2 2 4" xfId="5430" xr:uid="{00000000-0005-0000-0000-00003A150000}"/>
    <cellStyle name="Normal 14 4 2 2 4 2" xfId="5431" xr:uid="{00000000-0005-0000-0000-00003B150000}"/>
    <cellStyle name="Normal 14 4 2 2 5" xfId="5432" xr:uid="{00000000-0005-0000-0000-00003C150000}"/>
    <cellStyle name="Normal 14 4 2 3" xfId="5433" xr:uid="{00000000-0005-0000-0000-00003D150000}"/>
    <cellStyle name="Normal 14 4 2 3 2" xfId="5434" xr:uid="{00000000-0005-0000-0000-00003E150000}"/>
    <cellStyle name="Normal 14 4 2 3 2 2" xfId="5435" xr:uid="{00000000-0005-0000-0000-00003F150000}"/>
    <cellStyle name="Normal 14 4 2 3 3" xfId="5436" xr:uid="{00000000-0005-0000-0000-000040150000}"/>
    <cellStyle name="Normal 14 4 2 4" xfId="5437" xr:uid="{00000000-0005-0000-0000-000041150000}"/>
    <cellStyle name="Normal 14 4 2 4 2" xfId="5438" xr:uid="{00000000-0005-0000-0000-000042150000}"/>
    <cellStyle name="Normal 14 4 2 4 2 2" xfId="5439" xr:uid="{00000000-0005-0000-0000-000043150000}"/>
    <cellStyle name="Normal 14 4 2 4 3" xfId="5440" xr:uid="{00000000-0005-0000-0000-000044150000}"/>
    <cellStyle name="Normal 14 4 2 5" xfId="5441" xr:uid="{00000000-0005-0000-0000-000045150000}"/>
    <cellStyle name="Normal 14 4 2 5 2" xfId="5442" xr:uid="{00000000-0005-0000-0000-000046150000}"/>
    <cellStyle name="Normal 14 4 2 6" xfId="5443" xr:uid="{00000000-0005-0000-0000-000047150000}"/>
    <cellStyle name="Normal 14 4 3" xfId="5444" xr:uid="{00000000-0005-0000-0000-000048150000}"/>
    <cellStyle name="Normal 14 4 3 2" xfId="5445" xr:uid="{00000000-0005-0000-0000-000049150000}"/>
    <cellStyle name="Normal 14 4 3 2 2" xfId="5446" xr:uid="{00000000-0005-0000-0000-00004A150000}"/>
    <cellStyle name="Normal 14 4 3 2 2 2" xfId="5447" xr:uid="{00000000-0005-0000-0000-00004B150000}"/>
    <cellStyle name="Normal 14 4 3 2 3" xfId="5448" xr:uid="{00000000-0005-0000-0000-00004C150000}"/>
    <cellStyle name="Normal 14 4 3 3" xfId="5449" xr:uid="{00000000-0005-0000-0000-00004D150000}"/>
    <cellStyle name="Normal 14 4 3 3 2" xfId="5450" xr:uid="{00000000-0005-0000-0000-00004E150000}"/>
    <cellStyle name="Normal 14 4 3 3 2 2" xfId="5451" xr:uid="{00000000-0005-0000-0000-00004F150000}"/>
    <cellStyle name="Normal 14 4 3 3 3" xfId="5452" xr:uid="{00000000-0005-0000-0000-000050150000}"/>
    <cellStyle name="Normal 14 4 3 4" xfId="5453" xr:uid="{00000000-0005-0000-0000-000051150000}"/>
    <cellStyle name="Normal 14 4 3 4 2" xfId="5454" xr:uid="{00000000-0005-0000-0000-000052150000}"/>
    <cellStyle name="Normal 14 4 3 5" xfId="5455" xr:uid="{00000000-0005-0000-0000-000053150000}"/>
    <cellStyle name="Normal 14 4 4" xfId="5456" xr:uid="{00000000-0005-0000-0000-000054150000}"/>
    <cellStyle name="Normal 14 4 4 2" xfId="5457" xr:uid="{00000000-0005-0000-0000-000055150000}"/>
    <cellStyle name="Normal 14 4 4 2 2" xfId="5458" xr:uid="{00000000-0005-0000-0000-000056150000}"/>
    <cellStyle name="Normal 14 4 4 3" xfId="5459" xr:uid="{00000000-0005-0000-0000-000057150000}"/>
    <cellStyle name="Normal 14 4 5" xfId="5460" xr:uid="{00000000-0005-0000-0000-000058150000}"/>
    <cellStyle name="Normal 14 4 5 2" xfId="5461" xr:uid="{00000000-0005-0000-0000-000059150000}"/>
    <cellStyle name="Normal 14 4 5 2 2" xfId="5462" xr:uid="{00000000-0005-0000-0000-00005A150000}"/>
    <cellStyle name="Normal 14 4 5 3" xfId="5463" xr:uid="{00000000-0005-0000-0000-00005B150000}"/>
    <cellStyle name="Normal 14 4 6" xfId="5464" xr:uid="{00000000-0005-0000-0000-00005C150000}"/>
    <cellStyle name="Normal 14 4 6 2" xfId="5465" xr:uid="{00000000-0005-0000-0000-00005D150000}"/>
    <cellStyle name="Normal 14 4 7" xfId="5466" xr:uid="{00000000-0005-0000-0000-00005E150000}"/>
    <cellStyle name="Normal 14 4 8" xfId="5467" xr:uid="{00000000-0005-0000-0000-00005F150000}"/>
    <cellStyle name="Normal 14 5" xfId="5468" xr:uid="{00000000-0005-0000-0000-000060150000}"/>
    <cellStyle name="Normal 14 5 2" xfId="5469" xr:uid="{00000000-0005-0000-0000-000061150000}"/>
    <cellStyle name="Normal 14 5 2 2" xfId="5470" xr:uid="{00000000-0005-0000-0000-000062150000}"/>
    <cellStyle name="Normal 14 5 2 2 2" xfId="5471" xr:uid="{00000000-0005-0000-0000-000063150000}"/>
    <cellStyle name="Normal 14 5 2 2 2 2" xfId="5472" xr:uid="{00000000-0005-0000-0000-000064150000}"/>
    <cellStyle name="Normal 14 5 2 2 3" xfId="5473" xr:uid="{00000000-0005-0000-0000-000065150000}"/>
    <cellStyle name="Normal 14 5 2 3" xfId="5474" xr:uid="{00000000-0005-0000-0000-000066150000}"/>
    <cellStyle name="Normal 14 5 2 3 2" xfId="5475" xr:uid="{00000000-0005-0000-0000-000067150000}"/>
    <cellStyle name="Normal 14 5 2 3 2 2" xfId="5476" xr:uid="{00000000-0005-0000-0000-000068150000}"/>
    <cellStyle name="Normal 14 5 2 3 3" xfId="5477" xr:uid="{00000000-0005-0000-0000-000069150000}"/>
    <cellStyle name="Normal 14 5 2 4" xfId="5478" xr:uid="{00000000-0005-0000-0000-00006A150000}"/>
    <cellStyle name="Normal 14 5 2 4 2" xfId="5479" xr:uid="{00000000-0005-0000-0000-00006B150000}"/>
    <cellStyle name="Normal 14 5 2 5" xfId="5480" xr:uid="{00000000-0005-0000-0000-00006C150000}"/>
    <cellStyle name="Normal 14 5 3" xfId="5481" xr:uid="{00000000-0005-0000-0000-00006D150000}"/>
    <cellStyle name="Normal 14 5 3 2" xfId="5482" xr:uid="{00000000-0005-0000-0000-00006E150000}"/>
    <cellStyle name="Normal 14 5 3 2 2" xfId="5483" xr:uid="{00000000-0005-0000-0000-00006F150000}"/>
    <cellStyle name="Normal 14 5 3 3" xfId="5484" xr:uid="{00000000-0005-0000-0000-000070150000}"/>
    <cellStyle name="Normal 14 5 4" xfId="5485" xr:uid="{00000000-0005-0000-0000-000071150000}"/>
    <cellStyle name="Normal 14 5 4 2" xfId="5486" xr:uid="{00000000-0005-0000-0000-000072150000}"/>
    <cellStyle name="Normal 14 5 4 2 2" xfId="5487" xr:uid="{00000000-0005-0000-0000-000073150000}"/>
    <cellStyle name="Normal 14 5 4 3" xfId="5488" xr:uid="{00000000-0005-0000-0000-000074150000}"/>
    <cellStyle name="Normal 14 5 5" xfId="5489" xr:uid="{00000000-0005-0000-0000-000075150000}"/>
    <cellStyle name="Normal 14 5 5 2" xfId="5490" xr:uid="{00000000-0005-0000-0000-000076150000}"/>
    <cellStyle name="Normal 14 5 6" xfId="5491" xr:uid="{00000000-0005-0000-0000-000077150000}"/>
    <cellStyle name="Normal 14 5 7" xfId="5492" xr:uid="{00000000-0005-0000-0000-000078150000}"/>
    <cellStyle name="Normal 14 6" xfId="5493" xr:uid="{00000000-0005-0000-0000-000079150000}"/>
    <cellStyle name="Normal 14 6 2" xfId="5494" xr:uid="{00000000-0005-0000-0000-00007A150000}"/>
    <cellStyle name="Normal 14 6 2 2" xfId="5495" xr:uid="{00000000-0005-0000-0000-00007B150000}"/>
    <cellStyle name="Normal 14 6 2 2 2" xfId="5496" xr:uid="{00000000-0005-0000-0000-00007C150000}"/>
    <cellStyle name="Normal 14 6 2 3" xfId="5497" xr:uid="{00000000-0005-0000-0000-00007D150000}"/>
    <cellStyle name="Normal 14 6 3" xfId="5498" xr:uid="{00000000-0005-0000-0000-00007E150000}"/>
    <cellStyle name="Normal 14 6 3 2" xfId="5499" xr:uid="{00000000-0005-0000-0000-00007F150000}"/>
    <cellStyle name="Normal 14 6 3 2 2" xfId="5500" xr:uid="{00000000-0005-0000-0000-000080150000}"/>
    <cellStyle name="Normal 14 6 3 3" xfId="5501" xr:uid="{00000000-0005-0000-0000-000081150000}"/>
    <cellStyle name="Normal 14 6 4" xfId="5502" xr:uid="{00000000-0005-0000-0000-000082150000}"/>
    <cellStyle name="Normal 14 6 4 2" xfId="5503" xr:uid="{00000000-0005-0000-0000-000083150000}"/>
    <cellStyle name="Normal 14 6 5" xfId="5504" xr:uid="{00000000-0005-0000-0000-000084150000}"/>
    <cellStyle name="Normal 14 7" xfId="5505" xr:uid="{00000000-0005-0000-0000-000085150000}"/>
    <cellStyle name="Normal 14 7 2" xfId="5506" xr:uid="{00000000-0005-0000-0000-000086150000}"/>
    <cellStyle name="Normal 14 7 2 2" xfId="5507" xr:uid="{00000000-0005-0000-0000-000087150000}"/>
    <cellStyle name="Normal 14 7 3" xfId="5508" xr:uid="{00000000-0005-0000-0000-000088150000}"/>
    <cellStyle name="Normal 14 8" xfId="5509" xr:uid="{00000000-0005-0000-0000-000089150000}"/>
    <cellStyle name="Normal 14 8 2" xfId="5510" xr:uid="{00000000-0005-0000-0000-00008A150000}"/>
    <cellStyle name="Normal 14 8 2 2" xfId="5511" xr:uid="{00000000-0005-0000-0000-00008B150000}"/>
    <cellStyle name="Normal 14 8 3" xfId="5512" xr:uid="{00000000-0005-0000-0000-00008C150000}"/>
    <cellStyle name="Normal 14 9" xfId="5513" xr:uid="{00000000-0005-0000-0000-00008D150000}"/>
    <cellStyle name="Normal 14 9 2" xfId="5514" xr:uid="{00000000-0005-0000-0000-00008E150000}"/>
    <cellStyle name="Normal 14_Recycling Tons" xfId="5515" xr:uid="{00000000-0005-0000-0000-00008F150000}"/>
    <cellStyle name="Normal 140" xfId="5516" xr:uid="{00000000-0005-0000-0000-000090150000}"/>
    <cellStyle name="Normal 141" xfId="5517" xr:uid="{00000000-0005-0000-0000-000091150000}"/>
    <cellStyle name="Normal 142" xfId="5518" xr:uid="{00000000-0005-0000-0000-000092150000}"/>
    <cellStyle name="Normal 143" xfId="5519" xr:uid="{00000000-0005-0000-0000-000093150000}"/>
    <cellStyle name="Normal 144" xfId="5520" xr:uid="{00000000-0005-0000-0000-000094150000}"/>
    <cellStyle name="Normal 15" xfId="5521" xr:uid="{00000000-0005-0000-0000-000095150000}"/>
    <cellStyle name="Normal 15 2" xfId="5522" xr:uid="{00000000-0005-0000-0000-000096150000}"/>
    <cellStyle name="Normal 15 2 2" xfId="5523" xr:uid="{00000000-0005-0000-0000-000097150000}"/>
    <cellStyle name="Normal 15 2 2 2" xfId="5524" xr:uid="{00000000-0005-0000-0000-000098150000}"/>
    <cellStyle name="Normal 15 2 2 2 2" xfId="5525" xr:uid="{00000000-0005-0000-0000-000099150000}"/>
    <cellStyle name="Normal 15 2 2 3" xfId="5526" xr:uid="{00000000-0005-0000-0000-00009A150000}"/>
    <cellStyle name="Normal 15 2 3" xfId="5527" xr:uid="{00000000-0005-0000-0000-00009B150000}"/>
    <cellStyle name="Normal 15 2 3 2" xfId="5528" xr:uid="{00000000-0005-0000-0000-00009C150000}"/>
    <cellStyle name="Normal 15 2 4" xfId="5529" xr:uid="{00000000-0005-0000-0000-00009D150000}"/>
    <cellStyle name="Normal 15 3" xfId="5530" xr:uid="{00000000-0005-0000-0000-00009E150000}"/>
    <cellStyle name="Normal 15 3 2" xfId="5531" xr:uid="{00000000-0005-0000-0000-00009F150000}"/>
    <cellStyle name="Normal 15 3 2 2" xfId="5532" xr:uid="{00000000-0005-0000-0000-0000A0150000}"/>
    <cellStyle name="Normal 15 3 3" xfId="5533" xr:uid="{00000000-0005-0000-0000-0000A1150000}"/>
    <cellStyle name="Normal 15 3 3 2" xfId="5534" xr:uid="{00000000-0005-0000-0000-0000A2150000}"/>
    <cellStyle name="Normal 15 3 4" xfId="5535" xr:uid="{00000000-0005-0000-0000-0000A3150000}"/>
    <cellStyle name="Normal 15 3 5" xfId="5536" xr:uid="{00000000-0005-0000-0000-0000A4150000}"/>
    <cellStyle name="Normal 15 4" xfId="5537" xr:uid="{00000000-0005-0000-0000-0000A5150000}"/>
    <cellStyle name="Normal 15 4 2" xfId="5538" xr:uid="{00000000-0005-0000-0000-0000A6150000}"/>
    <cellStyle name="Normal 15 4 2 2" xfId="5539" xr:uid="{00000000-0005-0000-0000-0000A7150000}"/>
    <cellStyle name="Normal 15 4 3" xfId="5540" xr:uid="{00000000-0005-0000-0000-0000A8150000}"/>
    <cellStyle name="Normal 15 4 4" xfId="5541" xr:uid="{00000000-0005-0000-0000-0000A9150000}"/>
    <cellStyle name="Normal 15 5" xfId="5542" xr:uid="{00000000-0005-0000-0000-0000AA150000}"/>
    <cellStyle name="Normal 15 5 2" xfId="5543" xr:uid="{00000000-0005-0000-0000-0000AB150000}"/>
    <cellStyle name="Normal 15 5 3" xfId="5544" xr:uid="{00000000-0005-0000-0000-0000AC150000}"/>
    <cellStyle name="Normal 15 6" xfId="5545" xr:uid="{00000000-0005-0000-0000-0000AD150000}"/>
    <cellStyle name="Normal 15 7" xfId="5546" xr:uid="{00000000-0005-0000-0000-0000AE150000}"/>
    <cellStyle name="Normal 15_Recycling Tons" xfId="5547" xr:uid="{00000000-0005-0000-0000-0000AF150000}"/>
    <cellStyle name="Normal 154" xfId="15273" xr:uid="{00000000-0005-0000-0000-0000B0150000}"/>
    <cellStyle name="Normal 16" xfId="5548" xr:uid="{00000000-0005-0000-0000-0000B1150000}"/>
    <cellStyle name="Normal 16 10" xfId="5549" xr:uid="{00000000-0005-0000-0000-0000B2150000}"/>
    <cellStyle name="Normal 16 11" xfId="5550" xr:uid="{00000000-0005-0000-0000-0000B3150000}"/>
    <cellStyle name="Normal 16 2" xfId="5551" xr:uid="{00000000-0005-0000-0000-0000B4150000}"/>
    <cellStyle name="Normal 16 2 2" xfId="5552" xr:uid="{00000000-0005-0000-0000-0000B5150000}"/>
    <cellStyle name="Normal 16 2 2 2" xfId="5553" xr:uid="{00000000-0005-0000-0000-0000B6150000}"/>
    <cellStyle name="Normal 16 2 2 2 2" xfId="5554" xr:uid="{00000000-0005-0000-0000-0000B7150000}"/>
    <cellStyle name="Normal 16 2 2 3" xfId="5555" xr:uid="{00000000-0005-0000-0000-0000B8150000}"/>
    <cellStyle name="Normal 16 2 3" xfId="5556" xr:uid="{00000000-0005-0000-0000-0000B9150000}"/>
    <cellStyle name="Normal 16 2 3 2" xfId="5557" xr:uid="{00000000-0005-0000-0000-0000BA150000}"/>
    <cellStyle name="Normal 16 2 4" xfId="5558" xr:uid="{00000000-0005-0000-0000-0000BB150000}"/>
    <cellStyle name="Normal 16 3" xfId="5559" xr:uid="{00000000-0005-0000-0000-0000BC150000}"/>
    <cellStyle name="Normal 16 3 10" xfId="5560" xr:uid="{00000000-0005-0000-0000-0000BD150000}"/>
    <cellStyle name="Normal 16 3 2" xfId="5561" xr:uid="{00000000-0005-0000-0000-0000BE150000}"/>
    <cellStyle name="Normal 16 3 2 2" xfId="5562" xr:uid="{00000000-0005-0000-0000-0000BF150000}"/>
    <cellStyle name="Normal 16 3 2 2 2" xfId="5563" xr:uid="{00000000-0005-0000-0000-0000C0150000}"/>
    <cellStyle name="Normal 16 3 2 2 2 2" xfId="5564" xr:uid="{00000000-0005-0000-0000-0000C1150000}"/>
    <cellStyle name="Normal 16 3 2 2 2 2 2" xfId="5565" xr:uid="{00000000-0005-0000-0000-0000C2150000}"/>
    <cellStyle name="Normal 16 3 2 2 2 2 2 2" xfId="5566" xr:uid="{00000000-0005-0000-0000-0000C3150000}"/>
    <cellStyle name="Normal 16 3 2 2 2 2 3" xfId="5567" xr:uid="{00000000-0005-0000-0000-0000C4150000}"/>
    <cellStyle name="Normal 16 3 2 2 2 3" xfId="5568" xr:uid="{00000000-0005-0000-0000-0000C5150000}"/>
    <cellStyle name="Normal 16 3 2 2 2 3 2" xfId="5569" xr:uid="{00000000-0005-0000-0000-0000C6150000}"/>
    <cellStyle name="Normal 16 3 2 2 2 3 2 2" xfId="5570" xr:uid="{00000000-0005-0000-0000-0000C7150000}"/>
    <cellStyle name="Normal 16 3 2 2 2 3 3" xfId="5571" xr:uid="{00000000-0005-0000-0000-0000C8150000}"/>
    <cellStyle name="Normal 16 3 2 2 2 4" xfId="5572" xr:uid="{00000000-0005-0000-0000-0000C9150000}"/>
    <cellStyle name="Normal 16 3 2 2 2 4 2" xfId="5573" xr:uid="{00000000-0005-0000-0000-0000CA150000}"/>
    <cellStyle name="Normal 16 3 2 2 2 5" xfId="5574" xr:uid="{00000000-0005-0000-0000-0000CB150000}"/>
    <cellStyle name="Normal 16 3 2 2 3" xfId="5575" xr:uid="{00000000-0005-0000-0000-0000CC150000}"/>
    <cellStyle name="Normal 16 3 2 2 3 2" xfId="5576" xr:uid="{00000000-0005-0000-0000-0000CD150000}"/>
    <cellStyle name="Normal 16 3 2 2 3 2 2" xfId="5577" xr:uid="{00000000-0005-0000-0000-0000CE150000}"/>
    <cellStyle name="Normal 16 3 2 2 3 3" xfId="5578" xr:uid="{00000000-0005-0000-0000-0000CF150000}"/>
    <cellStyle name="Normal 16 3 2 2 4" xfId="5579" xr:uid="{00000000-0005-0000-0000-0000D0150000}"/>
    <cellStyle name="Normal 16 3 2 2 4 2" xfId="5580" xr:uid="{00000000-0005-0000-0000-0000D1150000}"/>
    <cellStyle name="Normal 16 3 2 2 4 2 2" xfId="5581" xr:uid="{00000000-0005-0000-0000-0000D2150000}"/>
    <cellStyle name="Normal 16 3 2 2 4 3" xfId="5582" xr:uid="{00000000-0005-0000-0000-0000D3150000}"/>
    <cellStyle name="Normal 16 3 2 2 5" xfId="5583" xr:uid="{00000000-0005-0000-0000-0000D4150000}"/>
    <cellStyle name="Normal 16 3 2 2 5 2" xfId="5584" xr:uid="{00000000-0005-0000-0000-0000D5150000}"/>
    <cellStyle name="Normal 16 3 2 2 6" xfId="5585" xr:uid="{00000000-0005-0000-0000-0000D6150000}"/>
    <cellStyle name="Normal 16 3 2 3" xfId="5586" xr:uid="{00000000-0005-0000-0000-0000D7150000}"/>
    <cellStyle name="Normal 16 3 2 3 2" xfId="5587" xr:uid="{00000000-0005-0000-0000-0000D8150000}"/>
    <cellStyle name="Normal 16 3 2 3 2 2" xfId="5588" xr:uid="{00000000-0005-0000-0000-0000D9150000}"/>
    <cellStyle name="Normal 16 3 2 3 2 2 2" xfId="5589" xr:uid="{00000000-0005-0000-0000-0000DA150000}"/>
    <cellStyle name="Normal 16 3 2 3 2 3" xfId="5590" xr:uid="{00000000-0005-0000-0000-0000DB150000}"/>
    <cellStyle name="Normal 16 3 2 3 3" xfId="5591" xr:uid="{00000000-0005-0000-0000-0000DC150000}"/>
    <cellStyle name="Normal 16 3 2 3 3 2" xfId="5592" xr:uid="{00000000-0005-0000-0000-0000DD150000}"/>
    <cellStyle name="Normal 16 3 2 3 3 2 2" xfId="5593" xr:uid="{00000000-0005-0000-0000-0000DE150000}"/>
    <cellStyle name="Normal 16 3 2 3 3 3" xfId="5594" xr:uid="{00000000-0005-0000-0000-0000DF150000}"/>
    <cellStyle name="Normal 16 3 2 3 4" xfId="5595" xr:uid="{00000000-0005-0000-0000-0000E0150000}"/>
    <cellStyle name="Normal 16 3 2 3 4 2" xfId="5596" xr:uid="{00000000-0005-0000-0000-0000E1150000}"/>
    <cellStyle name="Normal 16 3 2 3 5" xfId="5597" xr:uid="{00000000-0005-0000-0000-0000E2150000}"/>
    <cellStyle name="Normal 16 3 2 4" xfId="5598" xr:uid="{00000000-0005-0000-0000-0000E3150000}"/>
    <cellStyle name="Normal 16 3 2 4 2" xfId="5599" xr:uid="{00000000-0005-0000-0000-0000E4150000}"/>
    <cellStyle name="Normal 16 3 2 4 2 2" xfId="5600" xr:uid="{00000000-0005-0000-0000-0000E5150000}"/>
    <cellStyle name="Normal 16 3 2 4 3" xfId="5601" xr:uid="{00000000-0005-0000-0000-0000E6150000}"/>
    <cellStyle name="Normal 16 3 2 5" xfId="5602" xr:uid="{00000000-0005-0000-0000-0000E7150000}"/>
    <cellStyle name="Normal 16 3 2 5 2" xfId="5603" xr:uid="{00000000-0005-0000-0000-0000E8150000}"/>
    <cellStyle name="Normal 16 3 2 5 2 2" xfId="5604" xr:uid="{00000000-0005-0000-0000-0000E9150000}"/>
    <cellStyle name="Normal 16 3 2 5 3" xfId="5605" xr:uid="{00000000-0005-0000-0000-0000EA150000}"/>
    <cellStyle name="Normal 16 3 2 6" xfId="5606" xr:uid="{00000000-0005-0000-0000-0000EB150000}"/>
    <cellStyle name="Normal 16 3 2 6 2" xfId="5607" xr:uid="{00000000-0005-0000-0000-0000EC150000}"/>
    <cellStyle name="Normal 16 3 2 7" xfId="5608" xr:uid="{00000000-0005-0000-0000-0000ED150000}"/>
    <cellStyle name="Normal 16 3 3" xfId="5609" xr:uid="{00000000-0005-0000-0000-0000EE150000}"/>
    <cellStyle name="Normal 16 3 3 2" xfId="5610" xr:uid="{00000000-0005-0000-0000-0000EF150000}"/>
    <cellStyle name="Normal 16 3 3 2 2" xfId="5611" xr:uid="{00000000-0005-0000-0000-0000F0150000}"/>
    <cellStyle name="Normal 16 3 3 2 2 2" xfId="5612" xr:uid="{00000000-0005-0000-0000-0000F1150000}"/>
    <cellStyle name="Normal 16 3 3 2 2 2 2" xfId="5613" xr:uid="{00000000-0005-0000-0000-0000F2150000}"/>
    <cellStyle name="Normal 16 3 3 2 2 3" xfId="5614" xr:uid="{00000000-0005-0000-0000-0000F3150000}"/>
    <cellStyle name="Normal 16 3 3 2 3" xfId="5615" xr:uid="{00000000-0005-0000-0000-0000F4150000}"/>
    <cellStyle name="Normal 16 3 3 2 3 2" xfId="5616" xr:uid="{00000000-0005-0000-0000-0000F5150000}"/>
    <cellStyle name="Normal 16 3 3 2 3 2 2" xfId="5617" xr:uid="{00000000-0005-0000-0000-0000F6150000}"/>
    <cellStyle name="Normal 16 3 3 2 3 3" xfId="5618" xr:uid="{00000000-0005-0000-0000-0000F7150000}"/>
    <cellStyle name="Normal 16 3 3 2 4" xfId="5619" xr:uid="{00000000-0005-0000-0000-0000F8150000}"/>
    <cellStyle name="Normal 16 3 3 2 4 2" xfId="5620" xr:uid="{00000000-0005-0000-0000-0000F9150000}"/>
    <cellStyle name="Normal 16 3 3 2 5" xfId="5621" xr:uid="{00000000-0005-0000-0000-0000FA150000}"/>
    <cellStyle name="Normal 16 3 3 3" xfId="5622" xr:uid="{00000000-0005-0000-0000-0000FB150000}"/>
    <cellStyle name="Normal 16 3 3 3 2" xfId="5623" xr:uid="{00000000-0005-0000-0000-0000FC150000}"/>
    <cellStyle name="Normal 16 3 3 3 2 2" xfId="5624" xr:uid="{00000000-0005-0000-0000-0000FD150000}"/>
    <cellStyle name="Normal 16 3 3 3 3" xfId="5625" xr:uid="{00000000-0005-0000-0000-0000FE150000}"/>
    <cellStyle name="Normal 16 3 3 4" xfId="5626" xr:uid="{00000000-0005-0000-0000-0000FF150000}"/>
    <cellStyle name="Normal 16 3 3 4 2" xfId="5627" xr:uid="{00000000-0005-0000-0000-000000160000}"/>
    <cellStyle name="Normal 16 3 3 4 2 2" xfId="5628" xr:uid="{00000000-0005-0000-0000-000001160000}"/>
    <cellStyle name="Normal 16 3 3 4 3" xfId="5629" xr:uid="{00000000-0005-0000-0000-000002160000}"/>
    <cellStyle name="Normal 16 3 3 5" xfId="5630" xr:uid="{00000000-0005-0000-0000-000003160000}"/>
    <cellStyle name="Normal 16 3 3 5 2" xfId="5631" xr:uid="{00000000-0005-0000-0000-000004160000}"/>
    <cellStyle name="Normal 16 3 3 6" xfId="5632" xr:uid="{00000000-0005-0000-0000-000005160000}"/>
    <cellStyle name="Normal 16 3 4" xfId="5633" xr:uid="{00000000-0005-0000-0000-000006160000}"/>
    <cellStyle name="Normal 16 3 4 2" xfId="5634" xr:uid="{00000000-0005-0000-0000-000007160000}"/>
    <cellStyle name="Normal 16 3 4 2 2" xfId="5635" xr:uid="{00000000-0005-0000-0000-000008160000}"/>
    <cellStyle name="Normal 16 3 4 2 2 2" xfId="5636" xr:uid="{00000000-0005-0000-0000-000009160000}"/>
    <cellStyle name="Normal 16 3 4 2 3" xfId="5637" xr:uid="{00000000-0005-0000-0000-00000A160000}"/>
    <cellStyle name="Normal 16 3 4 3" xfId="5638" xr:uid="{00000000-0005-0000-0000-00000B160000}"/>
    <cellStyle name="Normal 16 3 4 3 2" xfId="5639" xr:uid="{00000000-0005-0000-0000-00000C160000}"/>
    <cellStyle name="Normal 16 3 4 3 2 2" xfId="5640" xr:uid="{00000000-0005-0000-0000-00000D160000}"/>
    <cellStyle name="Normal 16 3 4 3 3" xfId="5641" xr:uid="{00000000-0005-0000-0000-00000E160000}"/>
    <cellStyle name="Normal 16 3 4 4" xfId="5642" xr:uid="{00000000-0005-0000-0000-00000F160000}"/>
    <cellStyle name="Normal 16 3 4 4 2" xfId="5643" xr:uid="{00000000-0005-0000-0000-000010160000}"/>
    <cellStyle name="Normal 16 3 4 5" xfId="5644" xr:uid="{00000000-0005-0000-0000-000011160000}"/>
    <cellStyle name="Normal 16 3 5" xfId="5645" xr:uid="{00000000-0005-0000-0000-000012160000}"/>
    <cellStyle name="Normal 16 3 5 2" xfId="5646" xr:uid="{00000000-0005-0000-0000-000013160000}"/>
    <cellStyle name="Normal 16 3 5 2 2" xfId="5647" xr:uid="{00000000-0005-0000-0000-000014160000}"/>
    <cellStyle name="Normal 16 3 5 3" xfId="5648" xr:uid="{00000000-0005-0000-0000-000015160000}"/>
    <cellStyle name="Normal 16 3 6" xfId="5649" xr:uid="{00000000-0005-0000-0000-000016160000}"/>
    <cellStyle name="Normal 16 3 6 2" xfId="5650" xr:uid="{00000000-0005-0000-0000-000017160000}"/>
    <cellStyle name="Normal 16 3 6 2 2" xfId="5651" xr:uid="{00000000-0005-0000-0000-000018160000}"/>
    <cellStyle name="Normal 16 3 6 3" xfId="5652" xr:uid="{00000000-0005-0000-0000-000019160000}"/>
    <cellStyle name="Normal 16 3 7" xfId="5653" xr:uid="{00000000-0005-0000-0000-00001A160000}"/>
    <cellStyle name="Normal 16 3 7 2" xfId="5654" xr:uid="{00000000-0005-0000-0000-00001B160000}"/>
    <cellStyle name="Normal 16 3 8" xfId="5655" xr:uid="{00000000-0005-0000-0000-00001C160000}"/>
    <cellStyle name="Normal 16 3 8 2" xfId="5656" xr:uid="{00000000-0005-0000-0000-00001D160000}"/>
    <cellStyle name="Normal 16 3 9" xfId="5657" xr:uid="{00000000-0005-0000-0000-00001E160000}"/>
    <cellStyle name="Normal 16 4" xfId="5658" xr:uid="{00000000-0005-0000-0000-00001F160000}"/>
    <cellStyle name="Normal 16 4 2" xfId="5659" xr:uid="{00000000-0005-0000-0000-000020160000}"/>
    <cellStyle name="Normal 16 4 2 2" xfId="5660" xr:uid="{00000000-0005-0000-0000-000021160000}"/>
    <cellStyle name="Normal 16 4 2 2 2" xfId="5661" xr:uid="{00000000-0005-0000-0000-000022160000}"/>
    <cellStyle name="Normal 16 4 2 2 2 2" xfId="5662" xr:uid="{00000000-0005-0000-0000-000023160000}"/>
    <cellStyle name="Normal 16 4 2 2 2 2 2" xfId="5663" xr:uid="{00000000-0005-0000-0000-000024160000}"/>
    <cellStyle name="Normal 16 4 2 2 2 3" xfId="5664" xr:uid="{00000000-0005-0000-0000-000025160000}"/>
    <cellStyle name="Normal 16 4 2 2 3" xfId="5665" xr:uid="{00000000-0005-0000-0000-000026160000}"/>
    <cellStyle name="Normal 16 4 2 2 3 2" xfId="5666" xr:uid="{00000000-0005-0000-0000-000027160000}"/>
    <cellStyle name="Normal 16 4 2 2 3 2 2" xfId="5667" xr:uid="{00000000-0005-0000-0000-000028160000}"/>
    <cellStyle name="Normal 16 4 2 2 3 3" xfId="5668" xr:uid="{00000000-0005-0000-0000-000029160000}"/>
    <cellStyle name="Normal 16 4 2 2 4" xfId="5669" xr:uid="{00000000-0005-0000-0000-00002A160000}"/>
    <cellStyle name="Normal 16 4 2 2 4 2" xfId="5670" xr:uid="{00000000-0005-0000-0000-00002B160000}"/>
    <cellStyle name="Normal 16 4 2 2 5" xfId="5671" xr:uid="{00000000-0005-0000-0000-00002C160000}"/>
    <cellStyle name="Normal 16 4 2 3" xfId="5672" xr:uid="{00000000-0005-0000-0000-00002D160000}"/>
    <cellStyle name="Normal 16 4 2 3 2" xfId="5673" xr:uid="{00000000-0005-0000-0000-00002E160000}"/>
    <cellStyle name="Normal 16 4 2 3 2 2" xfId="5674" xr:uid="{00000000-0005-0000-0000-00002F160000}"/>
    <cellStyle name="Normal 16 4 2 3 3" xfId="5675" xr:uid="{00000000-0005-0000-0000-000030160000}"/>
    <cellStyle name="Normal 16 4 2 4" xfId="5676" xr:uid="{00000000-0005-0000-0000-000031160000}"/>
    <cellStyle name="Normal 16 4 2 4 2" xfId="5677" xr:uid="{00000000-0005-0000-0000-000032160000}"/>
    <cellStyle name="Normal 16 4 2 4 2 2" xfId="5678" xr:uid="{00000000-0005-0000-0000-000033160000}"/>
    <cellStyle name="Normal 16 4 2 4 3" xfId="5679" xr:uid="{00000000-0005-0000-0000-000034160000}"/>
    <cellStyle name="Normal 16 4 2 5" xfId="5680" xr:uid="{00000000-0005-0000-0000-000035160000}"/>
    <cellStyle name="Normal 16 4 2 5 2" xfId="5681" xr:uid="{00000000-0005-0000-0000-000036160000}"/>
    <cellStyle name="Normal 16 4 2 6" xfId="5682" xr:uid="{00000000-0005-0000-0000-000037160000}"/>
    <cellStyle name="Normal 16 4 3" xfId="5683" xr:uid="{00000000-0005-0000-0000-000038160000}"/>
    <cellStyle name="Normal 16 4 3 2" xfId="5684" xr:uid="{00000000-0005-0000-0000-000039160000}"/>
    <cellStyle name="Normal 16 4 3 2 2" xfId="5685" xr:uid="{00000000-0005-0000-0000-00003A160000}"/>
    <cellStyle name="Normal 16 4 3 2 2 2" xfId="5686" xr:uid="{00000000-0005-0000-0000-00003B160000}"/>
    <cellStyle name="Normal 16 4 3 2 3" xfId="5687" xr:uid="{00000000-0005-0000-0000-00003C160000}"/>
    <cellStyle name="Normal 16 4 3 3" xfId="5688" xr:uid="{00000000-0005-0000-0000-00003D160000}"/>
    <cellStyle name="Normal 16 4 3 3 2" xfId="5689" xr:uid="{00000000-0005-0000-0000-00003E160000}"/>
    <cellStyle name="Normal 16 4 3 3 2 2" xfId="5690" xr:uid="{00000000-0005-0000-0000-00003F160000}"/>
    <cellStyle name="Normal 16 4 3 3 3" xfId="5691" xr:uid="{00000000-0005-0000-0000-000040160000}"/>
    <cellStyle name="Normal 16 4 3 4" xfId="5692" xr:uid="{00000000-0005-0000-0000-000041160000}"/>
    <cellStyle name="Normal 16 4 3 4 2" xfId="5693" xr:uid="{00000000-0005-0000-0000-000042160000}"/>
    <cellStyle name="Normal 16 4 3 5" xfId="5694" xr:uid="{00000000-0005-0000-0000-000043160000}"/>
    <cellStyle name="Normal 16 4 4" xfId="5695" xr:uid="{00000000-0005-0000-0000-000044160000}"/>
    <cellStyle name="Normal 16 4 4 2" xfId="5696" xr:uid="{00000000-0005-0000-0000-000045160000}"/>
    <cellStyle name="Normal 16 4 4 2 2" xfId="5697" xr:uid="{00000000-0005-0000-0000-000046160000}"/>
    <cellStyle name="Normal 16 4 4 3" xfId="5698" xr:uid="{00000000-0005-0000-0000-000047160000}"/>
    <cellStyle name="Normal 16 4 5" xfId="5699" xr:uid="{00000000-0005-0000-0000-000048160000}"/>
    <cellStyle name="Normal 16 4 5 2" xfId="5700" xr:uid="{00000000-0005-0000-0000-000049160000}"/>
    <cellStyle name="Normal 16 4 5 2 2" xfId="5701" xr:uid="{00000000-0005-0000-0000-00004A160000}"/>
    <cellStyle name="Normal 16 4 5 3" xfId="5702" xr:uid="{00000000-0005-0000-0000-00004B160000}"/>
    <cellStyle name="Normal 16 4 6" xfId="5703" xr:uid="{00000000-0005-0000-0000-00004C160000}"/>
    <cellStyle name="Normal 16 4 6 2" xfId="5704" xr:uid="{00000000-0005-0000-0000-00004D160000}"/>
    <cellStyle name="Normal 16 4 7" xfId="5705" xr:uid="{00000000-0005-0000-0000-00004E160000}"/>
    <cellStyle name="Normal 16 4 8" xfId="5706" xr:uid="{00000000-0005-0000-0000-00004F160000}"/>
    <cellStyle name="Normal 16 5" xfId="5707" xr:uid="{00000000-0005-0000-0000-000050160000}"/>
    <cellStyle name="Normal 16 5 2" xfId="5708" xr:uid="{00000000-0005-0000-0000-000051160000}"/>
    <cellStyle name="Normal 16 5 2 2" xfId="5709" xr:uid="{00000000-0005-0000-0000-000052160000}"/>
    <cellStyle name="Normal 16 5 2 2 2" xfId="5710" xr:uid="{00000000-0005-0000-0000-000053160000}"/>
    <cellStyle name="Normal 16 5 2 2 2 2" xfId="5711" xr:uid="{00000000-0005-0000-0000-000054160000}"/>
    <cellStyle name="Normal 16 5 2 2 3" xfId="5712" xr:uid="{00000000-0005-0000-0000-000055160000}"/>
    <cellStyle name="Normal 16 5 2 3" xfId="5713" xr:uid="{00000000-0005-0000-0000-000056160000}"/>
    <cellStyle name="Normal 16 5 2 3 2" xfId="5714" xr:uid="{00000000-0005-0000-0000-000057160000}"/>
    <cellStyle name="Normal 16 5 2 3 2 2" xfId="5715" xr:uid="{00000000-0005-0000-0000-000058160000}"/>
    <cellStyle name="Normal 16 5 2 3 3" xfId="5716" xr:uid="{00000000-0005-0000-0000-000059160000}"/>
    <cellStyle name="Normal 16 5 2 4" xfId="5717" xr:uid="{00000000-0005-0000-0000-00005A160000}"/>
    <cellStyle name="Normal 16 5 2 4 2" xfId="5718" xr:uid="{00000000-0005-0000-0000-00005B160000}"/>
    <cellStyle name="Normal 16 5 2 5" xfId="5719" xr:uid="{00000000-0005-0000-0000-00005C160000}"/>
    <cellStyle name="Normal 16 5 3" xfId="5720" xr:uid="{00000000-0005-0000-0000-00005D160000}"/>
    <cellStyle name="Normal 16 5 3 2" xfId="5721" xr:uid="{00000000-0005-0000-0000-00005E160000}"/>
    <cellStyle name="Normal 16 5 3 2 2" xfId="5722" xr:uid="{00000000-0005-0000-0000-00005F160000}"/>
    <cellStyle name="Normal 16 5 3 3" xfId="5723" xr:uid="{00000000-0005-0000-0000-000060160000}"/>
    <cellStyle name="Normal 16 5 4" xfId="5724" xr:uid="{00000000-0005-0000-0000-000061160000}"/>
    <cellStyle name="Normal 16 5 4 2" xfId="5725" xr:uid="{00000000-0005-0000-0000-000062160000}"/>
    <cellStyle name="Normal 16 5 4 2 2" xfId="5726" xr:uid="{00000000-0005-0000-0000-000063160000}"/>
    <cellStyle name="Normal 16 5 4 3" xfId="5727" xr:uid="{00000000-0005-0000-0000-000064160000}"/>
    <cellStyle name="Normal 16 5 5" xfId="5728" xr:uid="{00000000-0005-0000-0000-000065160000}"/>
    <cellStyle name="Normal 16 5 5 2" xfId="5729" xr:uid="{00000000-0005-0000-0000-000066160000}"/>
    <cellStyle name="Normal 16 5 6" xfId="5730" xr:uid="{00000000-0005-0000-0000-000067160000}"/>
    <cellStyle name="Normal 16 6" xfId="5731" xr:uid="{00000000-0005-0000-0000-000068160000}"/>
    <cellStyle name="Normal 16 6 2" xfId="5732" xr:uid="{00000000-0005-0000-0000-000069160000}"/>
    <cellStyle name="Normal 16 6 2 2" xfId="5733" xr:uid="{00000000-0005-0000-0000-00006A160000}"/>
    <cellStyle name="Normal 16 6 2 2 2" xfId="5734" xr:uid="{00000000-0005-0000-0000-00006B160000}"/>
    <cellStyle name="Normal 16 6 2 3" xfId="5735" xr:uid="{00000000-0005-0000-0000-00006C160000}"/>
    <cellStyle name="Normal 16 6 3" xfId="5736" xr:uid="{00000000-0005-0000-0000-00006D160000}"/>
    <cellStyle name="Normal 16 6 3 2" xfId="5737" xr:uid="{00000000-0005-0000-0000-00006E160000}"/>
    <cellStyle name="Normal 16 6 3 2 2" xfId="5738" xr:uid="{00000000-0005-0000-0000-00006F160000}"/>
    <cellStyle name="Normal 16 6 3 3" xfId="5739" xr:uid="{00000000-0005-0000-0000-000070160000}"/>
    <cellStyle name="Normal 16 6 4" xfId="5740" xr:uid="{00000000-0005-0000-0000-000071160000}"/>
    <cellStyle name="Normal 16 6 4 2" xfId="5741" xr:uid="{00000000-0005-0000-0000-000072160000}"/>
    <cellStyle name="Normal 16 6 5" xfId="5742" xr:uid="{00000000-0005-0000-0000-000073160000}"/>
    <cellStyle name="Normal 16 7" xfId="5743" xr:uid="{00000000-0005-0000-0000-000074160000}"/>
    <cellStyle name="Normal 16 7 2" xfId="5744" xr:uid="{00000000-0005-0000-0000-000075160000}"/>
    <cellStyle name="Normal 16 7 2 2" xfId="5745" xr:uid="{00000000-0005-0000-0000-000076160000}"/>
    <cellStyle name="Normal 16 7 3" xfId="5746" xr:uid="{00000000-0005-0000-0000-000077160000}"/>
    <cellStyle name="Normal 16 8" xfId="5747" xr:uid="{00000000-0005-0000-0000-000078160000}"/>
    <cellStyle name="Normal 16 8 2" xfId="5748" xr:uid="{00000000-0005-0000-0000-000079160000}"/>
    <cellStyle name="Normal 16 8 2 2" xfId="5749" xr:uid="{00000000-0005-0000-0000-00007A160000}"/>
    <cellStyle name="Normal 16 8 3" xfId="5750" xr:uid="{00000000-0005-0000-0000-00007B160000}"/>
    <cellStyle name="Normal 16 9" xfId="5751" xr:uid="{00000000-0005-0000-0000-00007C160000}"/>
    <cellStyle name="Normal 16 9 2" xfId="5752" xr:uid="{00000000-0005-0000-0000-00007D160000}"/>
    <cellStyle name="Normal 17" xfId="5753" xr:uid="{00000000-0005-0000-0000-00007E160000}"/>
    <cellStyle name="Normal 17 2" xfId="5754" xr:uid="{00000000-0005-0000-0000-00007F160000}"/>
    <cellStyle name="Normal 17 2 2" xfId="5755" xr:uid="{00000000-0005-0000-0000-000080160000}"/>
    <cellStyle name="Normal 17 2 2 2" xfId="5756" xr:uid="{00000000-0005-0000-0000-000081160000}"/>
    <cellStyle name="Normal 17 2 2 2 2" xfId="5757" xr:uid="{00000000-0005-0000-0000-000082160000}"/>
    <cellStyle name="Normal 17 2 2 3" xfId="5758" xr:uid="{00000000-0005-0000-0000-000083160000}"/>
    <cellStyle name="Normal 17 2 3" xfId="5759" xr:uid="{00000000-0005-0000-0000-000084160000}"/>
    <cellStyle name="Normal 17 2 3 2" xfId="5760" xr:uid="{00000000-0005-0000-0000-000085160000}"/>
    <cellStyle name="Normal 17 2 4" xfId="5761" xr:uid="{00000000-0005-0000-0000-000086160000}"/>
    <cellStyle name="Normal 17 3" xfId="5762" xr:uid="{00000000-0005-0000-0000-000087160000}"/>
    <cellStyle name="Normal 17 3 2" xfId="5763" xr:uid="{00000000-0005-0000-0000-000088160000}"/>
    <cellStyle name="Normal 17 3 2 2" xfId="5764" xr:uid="{00000000-0005-0000-0000-000089160000}"/>
    <cellStyle name="Normal 17 3 3" xfId="5765" xr:uid="{00000000-0005-0000-0000-00008A160000}"/>
    <cellStyle name="Normal 17 3 3 2" xfId="5766" xr:uid="{00000000-0005-0000-0000-00008B160000}"/>
    <cellStyle name="Normal 17 3 4" xfId="5767" xr:uid="{00000000-0005-0000-0000-00008C160000}"/>
    <cellStyle name="Normal 17 3 5" xfId="5768" xr:uid="{00000000-0005-0000-0000-00008D160000}"/>
    <cellStyle name="Normal 17 4" xfId="5769" xr:uid="{00000000-0005-0000-0000-00008E160000}"/>
    <cellStyle name="Normal 17 4 2" xfId="5770" xr:uid="{00000000-0005-0000-0000-00008F160000}"/>
    <cellStyle name="Normal 17 4 3" xfId="5771" xr:uid="{00000000-0005-0000-0000-000090160000}"/>
    <cellStyle name="Normal 17 5" xfId="5772" xr:uid="{00000000-0005-0000-0000-000091160000}"/>
    <cellStyle name="Normal 17 6" xfId="5773" xr:uid="{00000000-0005-0000-0000-000092160000}"/>
    <cellStyle name="Normal 18" xfId="5774" xr:uid="{00000000-0005-0000-0000-000093160000}"/>
    <cellStyle name="Normal 18 10" xfId="5775" xr:uid="{00000000-0005-0000-0000-000094160000}"/>
    <cellStyle name="Normal 18 10 2" xfId="5776" xr:uid="{00000000-0005-0000-0000-000095160000}"/>
    <cellStyle name="Normal 18 11" xfId="5777" xr:uid="{00000000-0005-0000-0000-000096160000}"/>
    <cellStyle name="Normal 18 12" xfId="5778" xr:uid="{00000000-0005-0000-0000-000097160000}"/>
    <cellStyle name="Normal 18 2" xfId="5779" xr:uid="{00000000-0005-0000-0000-000098160000}"/>
    <cellStyle name="Normal 18 2 2" xfId="5780" xr:uid="{00000000-0005-0000-0000-000099160000}"/>
    <cellStyle name="Normal 18 2 2 2" xfId="5781" xr:uid="{00000000-0005-0000-0000-00009A160000}"/>
    <cellStyle name="Normal 18 2 2 2 2" xfId="5782" xr:uid="{00000000-0005-0000-0000-00009B160000}"/>
    <cellStyle name="Normal 18 2 2 2 2 2" xfId="5783" xr:uid="{00000000-0005-0000-0000-00009C160000}"/>
    <cellStyle name="Normal 18 2 2 2 2 2 2" xfId="5784" xr:uid="{00000000-0005-0000-0000-00009D160000}"/>
    <cellStyle name="Normal 18 2 2 2 2 2 2 2" xfId="5785" xr:uid="{00000000-0005-0000-0000-00009E160000}"/>
    <cellStyle name="Normal 18 2 2 2 2 2 3" xfId="5786" xr:uid="{00000000-0005-0000-0000-00009F160000}"/>
    <cellStyle name="Normal 18 2 2 2 2 3" xfId="5787" xr:uid="{00000000-0005-0000-0000-0000A0160000}"/>
    <cellStyle name="Normal 18 2 2 2 2 3 2" xfId="5788" xr:uid="{00000000-0005-0000-0000-0000A1160000}"/>
    <cellStyle name="Normal 18 2 2 2 2 3 2 2" xfId="5789" xr:uid="{00000000-0005-0000-0000-0000A2160000}"/>
    <cellStyle name="Normal 18 2 2 2 2 3 3" xfId="5790" xr:uid="{00000000-0005-0000-0000-0000A3160000}"/>
    <cellStyle name="Normal 18 2 2 2 2 4" xfId="5791" xr:uid="{00000000-0005-0000-0000-0000A4160000}"/>
    <cellStyle name="Normal 18 2 2 2 2 4 2" xfId="5792" xr:uid="{00000000-0005-0000-0000-0000A5160000}"/>
    <cellStyle name="Normal 18 2 2 2 2 5" xfId="5793" xr:uid="{00000000-0005-0000-0000-0000A6160000}"/>
    <cellStyle name="Normal 18 2 2 2 3" xfId="5794" xr:uid="{00000000-0005-0000-0000-0000A7160000}"/>
    <cellStyle name="Normal 18 2 2 2 3 2" xfId="5795" xr:uid="{00000000-0005-0000-0000-0000A8160000}"/>
    <cellStyle name="Normal 18 2 2 2 3 2 2" xfId="5796" xr:uid="{00000000-0005-0000-0000-0000A9160000}"/>
    <cellStyle name="Normal 18 2 2 2 3 3" xfId="5797" xr:uid="{00000000-0005-0000-0000-0000AA160000}"/>
    <cellStyle name="Normal 18 2 2 2 4" xfId="5798" xr:uid="{00000000-0005-0000-0000-0000AB160000}"/>
    <cellStyle name="Normal 18 2 2 2 4 2" xfId="5799" xr:uid="{00000000-0005-0000-0000-0000AC160000}"/>
    <cellStyle name="Normal 18 2 2 2 4 2 2" xfId="5800" xr:uid="{00000000-0005-0000-0000-0000AD160000}"/>
    <cellStyle name="Normal 18 2 2 2 4 3" xfId="5801" xr:uid="{00000000-0005-0000-0000-0000AE160000}"/>
    <cellStyle name="Normal 18 2 2 2 5" xfId="5802" xr:uid="{00000000-0005-0000-0000-0000AF160000}"/>
    <cellStyle name="Normal 18 2 2 2 5 2" xfId="5803" xr:uid="{00000000-0005-0000-0000-0000B0160000}"/>
    <cellStyle name="Normal 18 2 2 2 6" xfId="5804" xr:uid="{00000000-0005-0000-0000-0000B1160000}"/>
    <cellStyle name="Normal 18 2 2 3" xfId="5805" xr:uid="{00000000-0005-0000-0000-0000B2160000}"/>
    <cellStyle name="Normal 18 2 2 3 2" xfId="5806" xr:uid="{00000000-0005-0000-0000-0000B3160000}"/>
    <cellStyle name="Normal 18 2 2 3 2 2" xfId="5807" xr:uid="{00000000-0005-0000-0000-0000B4160000}"/>
    <cellStyle name="Normal 18 2 2 3 2 2 2" xfId="5808" xr:uid="{00000000-0005-0000-0000-0000B5160000}"/>
    <cellStyle name="Normal 18 2 2 3 2 3" xfId="5809" xr:uid="{00000000-0005-0000-0000-0000B6160000}"/>
    <cellStyle name="Normal 18 2 2 3 3" xfId="5810" xr:uid="{00000000-0005-0000-0000-0000B7160000}"/>
    <cellStyle name="Normal 18 2 2 3 3 2" xfId="5811" xr:uid="{00000000-0005-0000-0000-0000B8160000}"/>
    <cellStyle name="Normal 18 2 2 3 3 2 2" xfId="5812" xr:uid="{00000000-0005-0000-0000-0000B9160000}"/>
    <cellStyle name="Normal 18 2 2 3 3 3" xfId="5813" xr:uid="{00000000-0005-0000-0000-0000BA160000}"/>
    <cellStyle name="Normal 18 2 2 3 4" xfId="5814" xr:uid="{00000000-0005-0000-0000-0000BB160000}"/>
    <cellStyle name="Normal 18 2 2 3 4 2" xfId="5815" xr:uid="{00000000-0005-0000-0000-0000BC160000}"/>
    <cellStyle name="Normal 18 2 2 3 5" xfId="5816" xr:uid="{00000000-0005-0000-0000-0000BD160000}"/>
    <cellStyle name="Normal 18 2 2 4" xfId="5817" xr:uid="{00000000-0005-0000-0000-0000BE160000}"/>
    <cellStyle name="Normal 18 2 2 4 2" xfId="5818" xr:uid="{00000000-0005-0000-0000-0000BF160000}"/>
    <cellStyle name="Normal 18 2 2 4 2 2" xfId="5819" xr:uid="{00000000-0005-0000-0000-0000C0160000}"/>
    <cellStyle name="Normal 18 2 2 4 3" xfId="5820" xr:uid="{00000000-0005-0000-0000-0000C1160000}"/>
    <cellStyle name="Normal 18 2 2 5" xfId="5821" xr:uid="{00000000-0005-0000-0000-0000C2160000}"/>
    <cellStyle name="Normal 18 2 2 5 2" xfId="5822" xr:uid="{00000000-0005-0000-0000-0000C3160000}"/>
    <cellStyle name="Normal 18 2 2 5 2 2" xfId="5823" xr:uid="{00000000-0005-0000-0000-0000C4160000}"/>
    <cellStyle name="Normal 18 2 2 5 3" xfId="5824" xr:uid="{00000000-0005-0000-0000-0000C5160000}"/>
    <cellStyle name="Normal 18 2 2 6" xfId="5825" xr:uid="{00000000-0005-0000-0000-0000C6160000}"/>
    <cellStyle name="Normal 18 2 2 6 2" xfId="5826" xr:uid="{00000000-0005-0000-0000-0000C7160000}"/>
    <cellStyle name="Normal 18 2 2 7" xfId="5827" xr:uid="{00000000-0005-0000-0000-0000C8160000}"/>
    <cellStyle name="Normal 18 2 3" xfId="5828" xr:uid="{00000000-0005-0000-0000-0000C9160000}"/>
    <cellStyle name="Normal 18 2 3 2" xfId="5829" xr:uid="{00000000-0005-0000-0000-0000CA160000}"/>
    <cellStyle name="Normal 18 2 3 2 2" xfId="5830" xr:uid="{00000000-0005-0000-0000-0000CB160000}"/>
    <cellStyle name="Normal 18 2 3 2 2 2" xfId="5831" xr:uid="{00000000-0005-0000-0000-0000CC160000}"/>
    <cellStyle name="Normal 18 2 3 2 2 2 2" xfId="5832" xr:uid="{00000000-0005-0000-0000-0000CD160000}"/>
    <cellStyle name="Normal 18 2 3 2 2 3" xfId="5833" xr:uid="{00000000-0005-0000-0000-0000CE160000}"/>
    <cellStyle name="Normal 18 2 3 2 3" xfId="5834" xr:uid="{00000000-0005-0000-0000-0000CF160000}"/>
    <cellStyle name="Normal 18 2 3 2 3 2" xfId="5835" xr:uid="{00000000-0005-0000-0000-0000D0160000}"/>
    <cellStyle name="Normal 18 2 3 2 3 2 2" xfId="5836" xr:uid="{00000000-0005-0000-0000-0000D1160000}"/>
    <cellStyle name="Normal 18 2 3 2 3 3" xfId="5837" xr:uid="{00000000-0005-0000-0000-0000D2160000}"/>
    <cellStyle name="Normal 18 2 3 2 4" xfId="5838" xr:uid="{00000000-0005-0000-0000-0000D3160000}"/>
    <cellStyle name="Normal 18 2 3 2 4 2" xfId="5839" xr:uid="{00000000-0005-0000-0000-0000D4160000}"/>
    <cellStyle name="Normal 18 2 3 2 5" xfId="5840" xr:uid="{00000000-0005-0000-0000-0000D5160000}"/>
    <cellStyle name="Normal 18 2 3 3" xfId="5841" xr:uid="{00000000-0005-0000-0000-0000D6160000}"/>
    <cellStyle name="Normal 18 2 3 3 2" xfId="5842" xr:uid="{00000000-0005-0000-0000-0000D7160000}"/>
    <cellStyle name="Normal 18 2 3 3 2 2" xfId="5843" xr:uid="{00000000-0005-0000-0000-0000D8160000}"/>
    <cellStyle name="Normal 18 2 3 3 3" xfId="5844" xr:uid="{00000000-0005-0000-0000-0000D9160000}"/>
    <cellStyle name="Normal 18 2 3 4" xfId="5845" xr:uid="{00000000-0005-0000-0000-0000DA160000}"/>
    <cellStyle name="Normal 18 2 3 4 2" xfId="5846" xr:uid="{00000000-0005-0000-0000-0000DB160000}"/>
    <cellStyle name="Normal 18 2 3 4 2 2" xfId="5847" xr:uid="{00000000-0005-0000-0000-0000DC160000}"/>
    <cellStyle name="Normal 18 2 3 4 3" xfId="5848" xr:uid="{00000000-0005-0000-0000-0000DD160000}"/>
    <cellStyle name="Normal 18 2 3 5" xfId="5849" xr:uid="{00000000-0005-0000-0000-0000DE160000}"/>
    <cellStyle name="Normal 18 2 3 5 2" xfId="5850" xr:uid="{00000000-0005-0000-0000-0000DF160000}"/>
    <cellStyle name="Normal 18 2 3 6" xfId="5851" xr:uid="{00000000-0005-0000-0000-0000E0160000}"/>
    <cellStyle name="Normal 18 2 4" xfId="5852" xr:uid="{00000000-0005-0000-0000-0000E1160000}"/>
    <cellStyle name="Normal 18 2 4 2" xfId="5853" xr:uid="{00000000-0005-0000-0000-0000E2160000}"/>
    <cellStyle name="Normal 18 2 4 2 2" xfId="5854" xr:uid="{00000000-0005-0000-0000-0000E3160000}"/>
    <cellStyle name="Normal 18 2 4 2 2 2" xfId="5855" xr:uid="{00000000-0005-0000-0000-0000E4160000}"/>
    <cellStyle name="Normal 18 2 4 2 3" xfId="5856" xr:uid="{00000000-0005-0000-0000-0000E5160000}"/>
    <cellStyle name="Normal 18 2 4 3" xfId="5857" xr:uid="{00000000-0005-0000-0000-0000E6160000}"/>
    <cellStyle name="Normal 18 2 4 3 2" xfId="5858" xr:uid="{00000000-0005-0000-0000-0000E7160000}"/>
    <cellStyle name="Normal 18 2 4 3 2 2" xfId="5859" xr:uid="{00000000-0005-0000-0000-0000E8160000}"/>
    <cellStyle name="Normal 18 2 4 3 3" xfId="5860" xr:uid="{00000000-0005-0000-0000-0000E9160000}"/>
    <cellStyle name="Normal 18 2 4 4" xfId="5861" xr:uid="{00000000-0005-0000-0000-0000EA160000}"/>
    <cellStyle name="Normal 18 2 4 4 2" xfId="5862" xr:uid="{00000000-0005-0000-0000-0000EB160000}"/>
    <cellStyle name="Normal 18 2 4 5" xfId="5863" xr:uid="{00000000-0005-0000-0000-0000EC160000}"/>
    <cellStyle name="Normal 18 2 5" xfId="5864" xr:uid="{00000000-0005-0000-0000-0000ED160000}"/>
    <cellStyle name="Normal 18 2 5 2" xfId="5865" xr:uid="{00000000-0005-0000-0000-0000EE160000}"/>
    <cellStyle name="Normal 18 2 5 2 2" xfId="5866" xr:uid="{00000000-0005-0000-0000-0000EF160000}"/>
    <cellStyle name="Normal 18 2 5 3" xfId="5867" xr:uid="{00000000-0005-0000-0000-0000F0160000}"/>
    <cellStyle name="Normal 18 2 6" xfId="5868" xr:uid="{00000000-0005-0000-0000-0000F1160000}"/>
    <cellStyle name="Normal 18 2 6 2" xfId="5869" xr:uid="{00000000-0005-0000-0000-0000F2160000}"/>
    <cellStyle name="Normal 18 2 6 2 2" xfId="5870" xr:uid="{00000000-0005-0000-0000-0000F3160000}"/>
    <cellStyle name="Normal 18 2 6 3" xfId="5871" xr:uid="{00000000-0005-0000-0000-0000F4160000}"/>
    <cellStyle name="Normal 18 2 7" xfId="5872" xr:uid="{00000000-0005-0000-0000-0000F5160000}"/>
    <cellStyle name="Normal 18 2 7 2" xfId="5873" xr:uid="{00000000-0005-0000-0000-0000F6160000}"/>
    <cellStyle name="Normal 18 2 8" xfId="5874" xr:uid="{00000000-0005-0000-0000-0000F7160000}"/>
    <cellStyle name="Normal 18 3" xfId="5875" xr:uid="{00000000-0005-0000-0000-0000F8160000}"/>
    <cellStyle name="Normal 18 3 10" xfId="5876" xr:uid="{00000000-0005-0000-0000-0000F9160000}"/>
    <cellStyle name="Normal 18 3 2" xfId="5877" xr:uid="{00000000-0005-0000-0000-0000FA160000}"/>
    <cellStyle name="Normal 18 3 2 2" xfId="5878" xr:uid="{00000000-0005-0000-0000-0000FB160000}"/>
    <cellStyle name="Normal 18 3 2 2 2" xfId="5879" xr:uid="{00000000-0005-0000-0000-0000FC160000}"/>
    <cellStyle name="Normal 18 3 2 2 2 2" xfId="5880" xr:uid="{00000000-0005-0000-0000-0000FD160000}"/>
    <cellStyle name="Normal 18 3 2 2 2 2 2" xfId="5881" xr:uid="{00000000-0005-0000-0000-0000FE160000}"/>
    <cellStyle name="Normal 18 3 2 2 2 2 2 2" xfId="5882" xr:uid="{00000000-0005-0000-0000-0000FF160000}"/>
    <cellStyle name="Normal 18 3 2 2 2 2 3" xfId="5883" xr:uid="{00000000-0005-0000-0000-000000170000}"/>
    <cellStyle name="Normal 18 3 2 2 2 3" xfId="5884" xr:uid="{00000000-0005-0000-0000-000001170000}"/>
    <cellStyle name="Normal 18 3 2 2 2 3 2" xfId="5885" xr:uid="{00000000-0005-0000-0000-000002170000}"/>
    <cellStyle name="Normal 18 3 2 2 2 3 2 2" xfId="5886" xr:uid="{00000000-0005-0000-0000-000003170000}"/>
    <cellStyle name="Normal 18 3 2 2 2 3 3" xfId="5887" xr:uid="{00000000-0005-0000-0000-000004170000}"/>
    <cellStyle name="Normal 18 3 2 2 2 4" xfId="5888" xr:uid="{00000000-0005-0000-0000-000005170000}"/>
    <cellStyle name="Normal 18 3 2 2 2 4 2" xfId="5889" xr:uid="{00000000-0005-0000-0000-000006170000}"/>
    <cellStyle name="Normal 18 3 2 2 2 5" xfId="5890" xr:uid="{00000000-0005-0000-0000-000007170000}"/>
    <cellStyle name="Normal 18 3 2 2 3" xfId="5891" xr:uid="{00000000-0005-0000-0000-000008170000}"/>
    <cellStyle name="Normal 18 3 2 2 3 2" xfId="5892" xr:uid="{00000000-0005-0000-0000-000009170000}"/>
    <cellStyle name="Normal 18 3 2 2 3 2 2" xfId="5893" xr:uid="{00000000-0005-0000-0000-00000A170000}"/>
    <cellStyle name="Normal 18 3 2 2 3 3" xfId="5894" xr:uid="{00000000-0005-0000-0000-00000B170000}"/>
    <cellStyle name="Normal 18 3 2 2 4" xfId="5895" xr:uid="{00000000-0005-0000-0000-00000C170000}"/>
    <cellStyle name="Normal 18 3 2 2 4 2" xfId="5896" xr:uid="{00000000-0005-0000-0000-00000D170000}"/>
    <cellStyle name="Normal 18 3 2 2 4 2 2" xfId="5897" xr:uid="{00000000-0005-0000-0000-00000E170000}"/>
    <cellStyle name="Normal 18 3 2 2 4 3" xfId="5898" xr:uid="{00000000-0005-0000-0000-00000F170000}"/>
    <cellStyle name="Normal 18 3 2 2 5" xfId="5899" xr:uid="{00000000-0005-0000-0000-000010170000}"/>
    <cellStyle name="Normal 18 3 2 2 5 2" xfId="5900" xr:uid="{00000000-0005-0000-0000-000011170000}"/>
    <cellStyle name="Normal 18 3 2 2 6" xfId="5901" xr:uid="{00000000-0005-0000-0000-000012170000}"/>
    <cellStyle name="Normal 18 3 2 3" xfId="5902" xr:uid="{00000000-0005-0000-0000-000013170000}"/>
    <cellStyle name="Normal 18 3 2 3 2" xfId="5903" xr:uid="{00000000-0005-0000-0000-000014170000}"/>
    <cellStyle name="Normal 18 3 2 3 2 2" xfId="5904" xr:uid="{00000000-0005-0000-0000-000015170000}"/>
    <cellStyle name="Normal 18 3 2 3 2 2 2" xfId="5905" xr:uid="{00000000-0005-0000-0000-000016170000}"/>
    <cellStyle name="Normal 18 3 2 3 2 3" xfId="5906" xr:uid="{00000000-0005-0000-0000-000017170000}"/>
    <cellStyle name="Normal 18 3 2 3 3" xfId="5907" xr:uid="{00000000-0005-0000-0000-000018170000}"/>
    <cellStyle name="Normal 18 3 2 3 3 2" xfId="5908" xr:uid="{00000000-0005-0000-0000-000019170000}"/>
    <cellStyle name="Normal 18 3 2 3 3 2 2" xfId="5909" xr:uid="{00000000-0005-0000-0000-00001A170000}"/>
    <cellStyle name="Normal 18 3 2 3 3 3" xfId="5910" xr:uid="{00000000-0005-0000-0000-00001B170000}"/>
    <cellStyle name="Normal 18 3 2 3 4" xfId="5911" xr:uid="{00000000-0005-0000-0000-00001C170000}"/>
    <cellStyle name="Normal 18 3 2 3 4 2" xfId="5912" xr:uid="{00000000-0005-0000-0000-00001D170000}"/>
    <cellStyle name="Normal 18 3 2 3 5" xfId="5913" xr:uid="{00000000-0005-0000-0000-00001E170000}"/>
    <cellStyle name="Normal 18 3 2 4" xfId="5914" xr:uid="{00000000-0005-0000-0000-00001F170000}"/>
    <cellStyle name="Normal 18 3 2 4 2" xfId="5915" xr:uid="{00000000-0005-0000-0000-000020170000}"/>
    <cellStyle name="Normal 18 3 2 4 2 2" xfId="5916" xr:uid="{00000000-0005-0000-0000-000021170000}"/>
    <cellStyle name="Normal 18 3 2 4 3" xfId="5917" xr:uid="{00000000-0005-0000-0000-000022170000}"/>
    <cellStyle name="Normal 18 3 2 5" xfId="5918" xr:uid="{00000000-0005-0000-0000-000023170000}"/>
    <cellStyle name="Normal 18 3 2 5 2" xfId="5919" xr:uid="{00000000-0005-0000-0000-000024170000}"/>
    <cellStyle name="Normal 18 3 2 5 2 2" xfId="5920" xr:uid="{00000000-0005-0000-0000-000025170000}"/>
    <cellStyle name="Normal 18 3 2 5 3" xfId="5921" xr:uid="{00000000-0005-0000-0000-000026170000}"/>
    <cellStyle name="Normal 18 3 2 6" xfId="5922" xr:uid="{00000000-0005-0000-0000-000027170000}"/>
    <cellStyle name="Normal 18 3 2 6 2" xfId="5923" xr:uid="{00000000-0005-0000-0000-000028170000}"/>
    <cellStyle name="Normal 18 3 2 7" xfId="5924" xr:uid="{00000000-0005-0000-0000-000029170000}"/>
    <cellStyle name="Normal 18 3 3" xfId="5925" xr:uid="{00000000-0005-0000-0000-00002A170000}"/>
    <cellStyle name="Normal 18 3 3 2" xfId="5926" xr:uid="{00000000-0005-0000-0000-00002B170000}"/>
    <cellStyle name="Normal 18 3 3 2 2" xfId="5927" xr:uid="{00000000-0005-0000-0000-00002C170000}"/>
    <cellStyle name="Normal 18 3 3 2 2 2" xfId="5928" xr:uid="{00000000-0005-0000-0000-00002D170000}"/>
    <cellStyle name="Normal 18 3 3 2 2 2 2" xfId="5929" xr:uid="{00000000-0005-0000-0000-00002E170000}"/>
    <cellStyle name="Normal 18 3 3 2 2 3" xfId="5930" xr:uid="{00000000-0005-0000-0000-00002F170000}"/>
    <cellStyle name="Normal 18 3 3 2 3" xfId="5931" xr:uid="{00000000-0005-0000-0000-000030170000}"/>
    <cellStyle name="Normal 18 3 3 2 3 2" xfId="5932" xr:uid="{00000000-0005-0000-0000-000031170000}"/>
    <cellStyle name="Normal 18 3 3 2 3 2 2" xfId="5933" xr:uid="{00000000-0005-0000-0000-000032170000}"/>
    <cellStyle name="Normal 18 3 3 2 3 3" xfId="5934" xr:uid="{00000000-0005-0000-0000-000033170000}"/>
    <cellStyle name="Normal 18 3 3 2 4" xfId="5935" xr:uid="{00000000-0005-0000-0000-000034170000}"/>
    <cellStyle name="Normal 18 3 3 2 4 2" xfId="5936" xr:uid="{00000000-0005-0000-0000-000035170000}"/>
    <cellStyle name="Normal 18 3 3 2 5" xfId="5937" xr:uid="{00000000-0005-0000-0000-000036170000}"/>
    <cellStyle name="Normal 18 3 3 3" xfId="5938" xr:uid="{00000000-0005-0000-0000-000037170000}"/>
    <cellStyle name="Normal 18 3 3 3 2" xfId="5939" xr:uid="{00000000-0005-0000-0000-000038170000}"/>
    <cellStyle name="Normal 18 3 3 3 2 2" xfId="5940" xr:uid="{00000000-0005-0000-0000-000039170000}"/>
    <cellStyle name="Normal 18 3 3 3 3" xfId="5941" xr:uid="{00000000-0005-0000-0000-00003A170000}"/>
    <cellStyle name="Normal 18 3 3 4" xfId="5942" xr:uid="{00000000-0005-0000-0000-00003B170000}"/>
    <cellStyle name="Normal 18 3 3 4 2" xfId="5943" xr:uid="{00000000-0005-0000-0000-00003C170000}"/>
    <cellStyle name="Normal 18 3 3 4 2 2" xfId="5944" xr:uid="{00000000-0005-0000-0000-00003D170000}"/>
    <cellStyle name="Normal 18 3 3 4 3" xfId="5945" xr:uid="{00000000-0005-0000-0000-00003E170000}"/>
    <cellStyle name="Normal 18 3 3 5" xfId="5946" xr:uid="{00000000-0005-0000-0000-00003F170000}"/>
    <cellStyle name="Normal 18 3 3 5 2" xfId="5947" xr:uid="{00000000-0005-0000-0000-000040170000}"/>
    <cellStyle name="Normal 18 3 3 6" xfId="5948" xr:uid="{00000000-0005-0000-0000-000041170000}"/>
    <cellStyle name="Normal 18 3 4" xfId="5949" xr:uid="{00000000-0005-0000-0000-000042170000}"/>
    <cellStyle name="Normal 18 3 4 2" xfId="5950" xr:uid="{00000000-0005-0000-0000-000043170000}"/>
    <cellStyle name="Normal 18 3 4 2 2" xfId="5951" xr:uid="{00000000-0005-0000-0000-000044170000}"/>
    <cellStyle name="Normal 18 3 4 2 2 2" xfId="5952" xr:uid="{00000000-0005-0000-0000-000045170000}"/>
    <cellStyle name="Normal 18 3 4 2 3" xfId="5953" xr:uid="{00000000-0005-0000-0000-000046170000}"/>
    <cellStyle name="Normal 18 3 4 3" xfId="5954" xr:uid="{00000000-0005-0000-0000-000047170000}"/>
    <cellStyle name="Normal 18 3 4 3 2" xfId="5955" xr:uid="{00000000-0005-0000-0000-000048170000}"/>
    <cellStyle name="Normal 18 3 4 3 2 2" xfId="5956" xr:uid="{00000000-0005-0000-0000-000049170000}"/>
    <cellStyle name="Normal 18 3 4 3 3" xfId="5957" xr:uid="{00000000-0005-0000-0000-00004A170000}"/>
    <cellStyle name="Normal 18 3 4 4" xfId="5958" xr:uid="{00000000-0005-0000-0000-00004B170000}"/>
    <cellStyle name="Normal 18 3 4 4 2" xfId="5959" xr:uid="{00000000-0005-0000-0000-00004C170000}"/>
    <cellStyle name="Normal 18 3 4 5" xfId="5960" xr:uid="{00000000-0005-0000-0000-00004D170000}"/>
    <cellStyle name="Normal 18 3 5" xfId="5961" xr:uid="{00000000-0005-0000-0000-00004E170000}"/>
    <cellStyle name="Normal 18 3 5 2" xfId="5962" xr:uid="{00000000-0005-0000-0000-00004F170000}"/>
    <cellStyle name="Normal 18 3 5 2 2" xfId="5963" xr:uid="{00000000-0005-0000-0000-000050170000}"/>
    <cellStyle name="Normal 18 3 5 3" xfId="5964" xr:uid="{00000000-0005-0000-0000-000051170000}"/>
    <cellStyle name="Normal 18 3 6" xfId="5965" xr:uid="{00000000-0005-0000-0000-000052170000}"/>
    <cellStyle name="Normal 18 3 6 2" xfId="5966" xr:uid="{00000000-0005-0000-0000-000053170000}"/>
    <cellStyle name="Normal 18 3 6 2 2" xfId="5967" xr:uid="{00000000-0005-0000-0000-000054170000}"/>
    <cellStyle name="Normal 18 3 6 3" xfId="5968" xr:uid="{00000000-0005-0000-0000-000055170000}"/>
    <cellStyle name="Normal 18 3 7" xfId="5969" xr:uid="{00000000-0005-0000-0000-000056170000}"/>
    <cellStyle name="Normal 18 3 7 2" xfId="5970" xr:uid="{00000000-0005-0000-0000-000057170000}"/>
    <cellStyle name="Normal 18 3 8" xfId="5971" xr:uid="{00000000-0005-0000-0000-000058170000}"/>
    <cellStyle name="Normal 18 3 8 2" xfId="5972" xr:uid="{00000000-0005-0000-0000-000059170000}"/>
    <cellStyle name="Normal 18 3 9" xfId="5973" xr:uid="{00000000-0005-0000-0000-00005A170000}"/>
    <cellStyle name="Normal 18 4" xfId="5974" xr:uid="{00000000-0005-0000-0000-00005B170000}"/>
    <cellStyle name="Normal 18 4 2" xfId="5975" xr:uid="{00000000-0005-0000-0000-00005C170000}"/>
    <cellStyle name="Normal 18 4 2 2" xfId="5976" xr:uid="{00000000-0005-0000-0000-00005D170000}"/>
    <cellStyle name="Normal 18 4 3" xfId="5977" xr:uid="{00000000-0005-0000-0000-00005E170000}"/>
    <cellStyle name="Normal 18 4 4" xfId="5978" xr:uid="{00000000-0005-0000-0000-00005F170000}"/>
    <cellStyle name="Normal 18 5" xfId="5979" xr:uid="{00000000-0005-0000-0000-000060170000}"/>
    <cellStyle name="Normal 18 5 2" xfId="5980" xr:uid="{00000000-0005-0000-0000-000061170000}"/>
    <cellStyle name="Normal 18 5 2 2" xfId="5981" xr:uid="{00000000-0005-0000-0000-000062170000}"/>
    <cellStyle name="Normal 18 5 2 2 2" xfId="5982" xr:uid="{00000000-0005-0000-0000-000063170000}"/>
    <cellStyle name="Normal 18 5 2 2 2 2" xfId="5983" xr:uid="{00000000-0005-0000-0000-000064170000}"/>
    <cellStyle name="Normal 18 5 2 2 2 2 2" xfId="5984" xr:uid="{00000000-0005-0000-0000-000065170000}"/>
    <cellStyle name="Normal 18 5 2 2 2 3" xfId="5985" xr:uid="{00000000-0005-0000-0000-000066170000}"/>
    <cellStyle name="Normal 18 5 2 2 3" xfId="5986" xr:uid="{00000000-0005-0000-0000-000067170000}"/>
    <cellStyle name="Normal 18 5 2 2 3 2" xfId="5987" xr:uid="{00000000-0005-0000-0000-000068170000}"/>
    <cellStyle name="Normal 18 5 2 2 3 2 2" xfId="5988" xr:uid="{00000000-0005-0000-0000-000069170000}"/>
    <cellStyle name="Normal 18 5 2 2 3 3" xfId="5989" xr:uid="{00000000-0005-0000-0000-00006A170000}"/>
    <cellStyle name="Normal 18 5 2 2 4" xfId="5990" xr:uid="{00000000-0005-0000-0000-00006B170000}"/>
    <cellStyle name="Normal 18 5 2 2 4 2" xfId="5991" xr:uid="{00000000-0005-0000-0000-00006C170000}"/>
    <cellStyle name="Normal 18 5 2 2 5" xfId="5992" xr:uid="{00000000-0005-0000-0000-00006D170000}"/>
    <cellStyle name="Normal 18 5 2 3" xfId="5993" xr:uid="{00000000-0005-0000-0000-00006E170000}"/>
    <cellStyle name="Normal 18 5 2 3 2" xfId="5994" xr:uid="{00000000-0005-0000-0000-00006F170000}"/>
    <cellStyle name="Normal 18 5 2 3 2 2" xfId="5995" xr:uid="{00000000-0005-0000-0000-000070170000}"/>
    <cellStyle name="Normal 18 5 2 3 3" xfId="5996" xr:uid="{00000000-0005-0000-0000-000071170000}"/>
    <cellStyle name="Normal 18 5 2 4" xfId="5997" xr:uid="{00000000-0005-0000-0000-000072170000}"/>
    <cellStyle name="Normal 18 5 2 4 2" xfId="5998" xr:uid="{00000000-0005-0000-0000-000073170000}"/>
    <cellStyle name="Normal 18 5 2 4 2 2" xfId="5999" xr:uid="{00000000-0005-0000-0000-000074170000}"/>
    <cellStyle name="Normal 18 5 2 4 3" xfId="6000" xr:uid="{00000000-0005-0000-0000-000075170000}"/>
    <cellStyle name="Normal 18 5 2 5" xfId="6001" xr:uid="{00000000-0005-0000-0000-000076170000}"/>
    <cellStyle name="Normal 18 5 2 5 2" xfId="6002" xr:uid="{00000000-0005-0000-0000-000077170000}"/>
    <cellStyle name="Normal 18 5 2 6" xfId="6003" xr:uid="{00000000-0005-0000-0000-000078170000}"/>
    <cellStyle name="Normal 18 5 3" xfId="6004" xr:uid="{00000000-0005-0000-0000-000079170000}"/>
    <cellStyle name="Normal 18 5 3 2" xfId="6005" xr:uid="{00000000-0005-0000-0000-00007A170000}"/>
    <cellStyle name="Normal 18 5 3 2 2" xfId="6006" xr:uid="{00000000-0005-0000-0000-00007B170000}"/>
    <cellStyle name="Normal 18 5 3 2 2 2" xfId="6007" xr:uid="{00000000-0005-0000-0000-00007C170000}"/>
    <cellStyle name="Normal 18 5 3 2 3" xfId="6008" xr:uid="{00000000-0005-0000-0000-00007D170000}"/>
    <cellStyle name="Normal 18 5 3 3" xfId="6009" xr:uid="{00000000-0005-0000-0000-00007E170000}"/>
    <cellStyle name="Normal 18 5 3 3 2" xfId="6010" xr:uid="{00000000-0005-0000-0000-00007F170000}"/>
    <cellStyle name="Normal 18 5 3 3 2 2" xfId="6011" xr:uid="{00000000-0005-0000-0000-000080170000}"/>
    <cellStyle name="Normal 18 5 3 3 3" xfId="6012" xr:uid="{00000000-0005-0000-0000-000081170000}"/>
    <cellStyle name="Normal 18 5 3 4" xfId="6013" xr:uid="{00000000-0005-0000-0000-000082170000}"/>
    <cellStyle name="Normal 18 5 3 4 2" xfId="6014" xr:uid="{00000000-0005-0000-0000-000083170000}"/>
    <cellStyle name="Normal 18 5 3 5" xfId="6015" xr:uid="{00000000-0005-0000-0000-000084170000}"/>
    <cellStyle name="Normal 18 5 4" xfId="6016" xr:uid="{00000000-0005-0000-0000-000085170000}"/>
    <cellStyle name="Normal 18 5 4 2" xfId="6017" xr:uid="{00000000-0005-0000-0000-000086170000}"/>
    <cellStyle name="Normal 18 5 4 2 2" xfId="6018" xr:uid="{00000000-0005-0000-0000-000087170000}"/>
    <cellStyle name="Normal 18 5 4 3" xfId="6019" xr:uid="{00000000-0005-0000-0000-000088170000}"/>
    <cellStyle name="Normal 18 5 5" xfId="6020" xr:uid="{00000000-0005-0000-0000-000089170000}"/>
    <cellStyle name="Normal 18 5 5 2" xfId="6021" xr:uid="{00000000-0005-0000-0000-00008A170000}"/>
    <cellStyle name="Normal 18 5 5 2 2" xfId="6022" xr:uid="{00000000-0005-0000-0000-00008B170000}"/>
    <cellStyle name="Normal 18 5 5 3" xfId="6023" xr:uid="{00000000-0005-0000-0000-00008C170000}"/>
    <cellStyle name="Normal 18 5 6" xfId="6024" xr:uid="{00000000-0005-0000-0000-00008D170000}"/>
    <cellStyle name="Normal 18 5 6 2" xfId="6025" xr:uid="{00000000-0005-0000-0000-00008E170000}"/>
    <cellStyle name="Normal 18 5 7" xfId="6026" xr:uid="{00000000-0005-0000-0000-00008F170000}"/>
    <cellStyle name="Normal 18 6" xfId="6027" xr:uid="{00000000-0005-0000-0000-000090170000}"/>
    <cellStyle name="Normal 18 6 2" xfId="6028" xr:uid="{00000000-0005-0000-0000-000091170000}"/>
    <cellStyle name="Normal 18 6 2 2" xfId="6029" xr:uid="{00000000-0005-0000-0000-000092170000}"/>
    <cellStyle name="Normal 18 6 2 2 2" xfId="6030" xr:uid="{00000000-0005-0000-0000-000093170000}"/>
    <cellStyle name="Normal 18 6 2 2 2 2" xfId="6031" xr:uid="{00000000-0005-0000-0000-000094170000}"/>
    <cellStyle name="Normal 18 6 2 2 3" xfId="6032" xr:uid="{00000000-0005-0000-0000-000095170000}"/>
    <cellStyle name="Normal 18 6 2 3" xfId="6033" xr:uid="{00000000-0005-0000-0000-000096170000}"/>
    <cellStyle name="Normal 18 6 2 3 2" xfId="6034" xr:uid="{00000000-0005-0000-0000-000097170000}"/>
    <cellStyle name="Normal 18 6 2 3 2 2" xfId="6035" xr:uid="{00000000-0005-0000-0000-000098170000}"/>
    <cellStyle name="Normal 18 6 2 3 3" xfId="6036" xr:uid="{00000000-0005-0000-0000-000099170000}"/>
    <cellStyle name="Normal 18 6 2 4" xfId="6037" xr:uid="{00000000-0005-0000-0000-00009A170000}"/>
    <cellStyle name="Normal 18 6 2 4 2" xfId="6038" xr:uid="{00000000-0005-0000-0000-00009B170000}"/>
    <cellStyle name="Normal 18 6 2 5" xfId="6039" xr:uid="{00000000-0005-0000-0000-00009C170000}"/>
    <cellStyle name="Normal 18 6 3" xfId="6040" xr:uid="{00000000-0005-0000-0000-00009D170000}"/>
    <cellStyle name="Normal 18 6 3 2" xfId="6041" xr:uid="{00000000-0005-0000-0000-00009E170000}"/>
    <cellStyle name="Normal 18 6 3 2 2" xfId="6042" xr:uid="{00000000-0005-0000-0000-00009F170000}"/>
    <cellStyle name="Normal 18 6 3 3" xfId="6043" xr:uid="{00000000-0005-0000-0000-0000A0170000}"/>
    <cellStyle name="Normal 18 6 4" xfId="6044" xr:uid="{00000000-0005-0000-0000-0000A1170000}"/>
    <cellStyle name="Normal 18 6 4 2" xfId="6045" xr:uid="{00000000-0005-0000-0000-0000A2170000}"/>
    <cellStyle name="Normal 18 6 4 2 2" xfId="6046" xr:uid="{00000000-0005-0000-0000-0000A3170000}"/>
    <cellStyle name="Normal 18 6 4 3" xfId="6047" xr:uid="{00000000-0005-0000-0000-0000A4170000}"/>
    <cellStyle name="Normal 18 6 5" xfId="6048" xr:uid="{00000000-0005-0000-0000-0000A5170000}"/>
    <cellStyle name="Normal 18 6 5 2" xfId="6049" xr:uid="{00000000-0005-0000-0000-0000A6170000}"/>
    <cellStyle name="Normal 18 6 6" xfId="6050" xr:uid="{00000000-0005-0000-0000-0000A7170000}"/>
    <cellStyle name="Normal 18 7" xfId="6051" xr:uid="{00000000-0005-0000-0000-0000A8170000}"/>
    <cellStyle name="Normal 18 7 2" xfId="6052" xr:uid="{00000000-0005-0000-0000-0000A9170000}"/>
    <cellStyle name="Normal 18 7 2 2" xfId="6053" xr:uid="{00000000-0005-0000-0000-0000AA170000}"/>
    <cellStyle name="Normal 18 7 2 2 2" xfId="6054" xr:uid="{00000000-0005-0000-0000-0000AB170000}"/>
    <cellStyle name="Normal 18 7 2 3" xfId="6055" xr:uid="{00000000-0005-0000-0000-0000AC170000}"/>
    <cellStyle name="Normal 18 7 3" xfId="6056" xr:uid="{00000000-0005-0000-0000-0000AD170000}"/>
    <cellStyle name="Normal 18 7 3 2" xfId="6057" xr:uid="{00000000-0005-0000-0000-0000AE170000}"/>
    <cellStyle name="Normal 18 7 3 2 2" xfId="6058" xr:uid="{00000000-0005-0000-0000-0000AF170000}"/>
    <cellStyle name="Normal 18 7 3 3" xfId="6059" xr:uid="{00000000-0005-0000-0000-0000B0170000}"/>
    <cellStyle name="Normal 18 7 4" xfId="6060" xr:uid="{00000000-0005-0000-0000-0000B1170000}"/>
    <cellStyle name="Normal 18 7 4 2" xfId="6061" xr:uid="{00000000-0005-0000-0000-0000B2170000}"/>
    <cellStyle name="Normal 18 7 5" xfId="6062" xr:uid="{00000000-0005-0000-0000-0000B3170000}"/>
    <cellStyle name="Normal 18 8" xfId="6063" xr:uid="{00000000-0005-0000-0000-0000B4170000}"/>
    <cellStyle name="Normal 18 8 2" xfId="6064" xr:uid="{00000000-0005-0000-0000-0000B5170000}"/>
    <cellStyle name="Normal 18 8 2 2" xfId="6065" xr:uid="{00000000-0005-0000-0000-0000B6170000}"/>
    <cellStyle name="Normal 18 8 3" xfId="6066" xr:uid="{00000000-0005-0000-0000-0000B7170000}"/>
    <cellStyle name="Normal 18 9" xfId="6067" xr:uid="{00000000-0005-0000-0000-0000B8170000}"/>
    <cellStyle name="Normal 18 9 2" xfId="6068" xr:uid="{00000000-0005-0000-0000-0000B9170000}"/>
    <cellStyle name="Normal 18 9 2 2" xfId="6069" xr:uid="{00000000-0005-0000-0000-0000BA170000}"/>
    <cellStyle name="Normal 18 9 3" xfId="6070" xr:uid="{00000000-0005-0000-0000-0000BB170000}"/>
    <cellStyle name="Normal 19" xfId="6071" xr:uid="{00000000-0005-0000-0000-0000BC170000}"/>
    <cellStyle name="Normal 19 2" xfId="6072" xr:uid="{00000000-0005-0000-0000-0000BD170000}"/>
    <cellStyle name="Normal 19 2 2" xfId="6073" xr:uid="{00000000-0005-0000-0000-0000BE170000}"/>
    <cellStyle name="Normal 19 2 2 2" xfId="6074" xr:uid="{00000000-0005-0000-0000-0000BF170000}"/>
    <cellStyle name="Normal 19 2 3" xfId="6075" xr:uid="{00000000-0005-0000-0000-0000C0170000}"/>
    <cellStyle name="Normal 19 2 3 2" xfId="6076" xr:uid="{00000000-0005-0000-0000-0000C1170000}"/>
    <cellStyle name="Normal 19 2 4" xfId="6077" xr:uid="{00000000-0005-0000-0000-0000C2170000}"/>
    <cellStyle name="Normal 19 3" xfId="6078" xr:uid="{00000000-0005-0000-0000-0000C3170000}"/>
    <cellStyle name="Normal 19 3 2" xfId="6079" xr:uid="{00000000-0005-0000-0000-0000C4170000}"/>
    <cellStyle name="Normal 19 3 2 2" xfId="6080" xr:uid="{00000000-0005-0000-0000-0000C5170000}"/>
    <cellStyle name="Normal 19 3 3" xfId="6081" xr:uid="{00000000-0005-0000-0000-0000C6170000}"/>
    <cellStyle name="Normal 19 3 3 2" xfId="6082" xr:uid="{00000000-0005-0000-0000-0000C7170000}"/>
    <cellStyle name="Normal 19 3 4" xfId="6083" xr:uid="{00000000-0005-0000-0000-0000C8170000}"/>
    <cellStyle name="Normal 19 3 5" xfId="6084" xr:uid="{00000000-0005-0000-0000-0000C9170000}"/>
    <cellStyle name="Normal 19 4" xfId="6085" xr:uid="{00000000-0005-0000-0000-0000CA170000}"/>
    <cellStyle name="Normal 19 4 2" xfId="6086" xr:uid="{00000000-0005-0000-0000-0000CB170000}"/>
    <cellStyle name="Normal 19 4 3" xfId="6087" xr:uid="{00000000-0005-0000-0000-0000CC170000}"/>
    <cellStyle name="Normal 19 5" xfId="6088" xr:uid="{00000000-0005-0000-0000-0000CD170000}"/>
    <cellStyle name="Normal 19 5 2" xfId="6089" xr:uid="{00000000-0005-0000-0000-0000CE170000}"/>
    <cellStyle name="Normal 19 6" xfId="6090" xr:uid="{00000000-0005-0000-0000-0000CF170000}"/>
    <cellStyle name="Normal 19 6 2" xfId="6091" xr:uid="{00000000-0005-0000-0000-0000D0170000}"/>
    <cellStyle name="Normal 19 7" xfId="6092" xr:uid="{00000000-0005-0000-0000-0000D1170000}"/>
    <cellStyle name="Normal 19 8" xfId="6093" xr:uid="{00000000-0005-0000-0000-0000D2170000}"/>
    <cellStyle name="Normal 2" xfId="6094" xr:uid="{00000000-0005-0000-0000-0000D3170000}"/>
    <cellStyle name="Normal 2 10" xfId="6095" xr:uid="{00000000-0005-0000-0000-0000D4170000}"/>
    <cellStyle name="Normal 2 10 2" xfId="6096" xr:uid="{00000000-0005-0000-0000-0000D5170000}"/>
    <cellStyle name="Normal 2 10 2 2" xfId="6097" xr:uid="{00000000-0005-0000-0000-0000D6170000}"/>
    <cellStyle name="Normal 2 10 2 2 2" xfId="6098" xr:uid="{00000000-0005-0000-0000-0000D7170000}"/>
    <cellStyle name="Normal 2 10 2 3" xfId="6099" xr:uid="{00000000-0005-0000-0000-0000D8170000}"/>
    <cellStyle name="Normal 2 10 3" xfId="6100" xr:uid="{00000000-0005-0000-0000-0000D9170000}"/>
    <cellStyle name="Normal 2 10 3 2" xfId="6101" xr:uid="{00000000-0005-0000-0000-0000DA170000}"/>
    <cellStyle name="Normal 2 10 4" xfId="6102" xr:uid="{00000000-0005-0000-0000-0000DB170000}"/>
    <cellStyle name="Normal 2 10 4 2" xfId="6103" xr:uid="{00000000-0005-0000-0000-0000DC170000}"/>
    <cellStyle name="Normal 2 10 5" xfId="6104" xr:uid="{00000000-0005-0000-0000-0000DD170000}"/>
    <cellStyle name="Normal 2 10 5 2" xfId="6105" xr:uid="{00000000-0005-0000-0000-0000DE170000}"/>
    <cellStyle name="Normal 2 10 6" xfId="6106" xr:uid="{00000000-0005-0000-0000-0000DF170000}"/>
    <cellStyle name="Normal 2 10 7" xfId="6107" xr:uid="{00000000-0005-0000-0000-0000E0170000}"/>
    <cellStyle name="Normal 2 11" xfId="6108" xr:uid="{00000000-0005-0000-0000-0000E1170000}"/>
    <cellStyle name="Normal 2 11 2" xfId="6109" xr:uid="{00000000-0005-0000-0000-0000E2170000}"/>
    <cellStyle name="Normal 2 11 2 2" xfId="6110" xr:uid="{00000000-0005-0000-0000-0000E3170000}"/>
    <cellStyle name="Normal 2 11 3" xfId="6111" xr:uid="{00000000-0005-0000-0000-0000E4170000}"/>
    <cellStyle name="Normal 2 11 3 2" xfId="6112" xr:uid="{00000000-0005-0000-0000-0000E5170000}"/>
    <cellStyle name="Normal 2 11 4" xfId="6113" xr:uid="{00000000-0005-0000-0000-0000E6170000}"/>
    <cellStyle name="Normal 2 11 5" xfId="6114" xr:uid="{00000000-0005-0000-0000-0000E7170000}"/>
    <cellStyle name="Normal 2 12" xfId="6115" xr:uid="{00000000-0005-0000-0000-0000E8170000}"/>
    <cellStyle name="Normal 2 12 2" xfId="6116" xr:uid="{00000000-0005-0000-0000-0000E9170000}"/>
    <cellStyle name="Normal 2 12 2 2" xfId="6117" xr:uid="{00000000-0005-0000-0000-0000EA170000}"/>
    <cellStyle name="Normal 2 12 3" xfId="6118" xr:uid="{00000000-0005-0000-0000-0000EB170000}"/>
    <cellStyle name="Normal 2 13" xfId="6119" xr:uid="{00000000-0005-0000-0000-0000EC170000}"/>
    <cellStyle name="Normal 2 13 2" xfId="6120" xr:uid="{00000000-0005-0000-0000-0000ED170000}"/>
    <cellStyle name="Normal 2 14" xfId="6121" xr:uid="{00000000-0005-0000-0000-0000EE170000}"/>
    <cellStyle name="Normal 2 14 2" xfId="6122" xr:uid="{00000000-0005-0000-0000-0000EF170000}"/>
    <cellStyle name="Normal 2 15" xfId="6123" xr:uid="{00000000-0005-0000-0000-0000F0170000}"/>
    <cellStyle name="Normal 2 15 2" xfId="6124" xr:uid="{00000000-0005-0000-0000-0000F1170000}"/>
    <cellStyle name="Normal 2 16" xfId="6125" xr:uid="{00000000-0005-0000-0000-0000F2170000}"/>
    <cellStyle name="Normal 2 16 2" xfId="6126" xr:uid="{00000000-0005-0000-0000-0000F3170000}"/>
    <cellStyle name="Normal 2 17" xfId="6127" xr:uid="{00000000-0005-0000-0000-0000F4170000}"/>
    <cellStyle name="Normal 2 17 2" xfId="6128" xr:uid="{00000000-0005-0000-0000-0000F5170000}"/>
    <cellStyle name="Normal 2 18" xfId="6129" xr:uid="{00000000-0005-0000-0000-0000F6170000}"/>
    <cellStyle name="Normal 2 19" xfId="6130" xr:uid="{00000000-0005-0000-0000-0000F7170000}"/>
    <cellStyle name="Normal 2 2" xfId="6131" xr:uid="{00000000-0005-0000-0000-0000F8170000}"/>
    <cellStyle name="Normal 2 2 10" xfId="6132" xr:uid="{00000000-0005-0000-0000-0000F9170000}"/>
    <cellStyle name="Normal 2 2 10 2" xfId="6133" xr:uid="{00000000-0005-0000-0000-0000FA170000}"/>
    <cellStyle name="Normal 2 2 11" xfId="6134" xr:uid="{00000000-0005-0000-0000-0000FB170000}"/>
    <cellStyle name="Normal 2 2 11 2" xfId="6135" xr:uid="{00000000-0005-0000-0000-0000FC170000}"/>
    <cellStyle name="Normal 2 2 12" xfId="6136" xr:uid="{00000000-0005-0000-0000-0000FD170000}"/>
    <cellStyle name="Normal 2 2 13" xfId="6137" xr:uid="{00000000-0005-0000-0000-0000FE170000}"/>
    <cellStyle name="Normal 2 2 2" xfId="6138" xr:uid="{00000000-0005-0000-0000-0000FF170000}"/>
    <cellStyle name="Normal 2 2 2 10" xfId="6139" xr:uid="{00000000-0005-0000-0000-000000180000}"/>
    <cellStyle name="Normal 2 2 2 11" xfId="6140" xr:uid="{00000000-0005-0000-0000-000001180000}"/>
    <cellStyle name="Normal 2 2 2 2" xfId="6141" xr:uid="{00000000-0005-0000-0000-000002180000}"/>
    <cellStyle name="Normal 2 2 2 2 2" xfId="6142" xr:uid="{00000000-0005-0000-0000-000003180000}"/>
    <cellStyle name="Normal 2 2 2 2 2 2" xfId="6143" xr:uid="{00000000-0005-0000-0000-000004180000}"/>
    <cellStyle name="Normal 2 2 2 2 2 2 2" xfId="6144" xr:uid="{00000000-0005-0000-0000-000005180000}"/>
    <cellStyle name="Normal 2 2 2 2 2 2 2 2" xfId="6145" xr:uid="{00000000-0005-0000-0000-000006180000}"/>
    <cellStyle name="Normal 2 2 2 2 2 2 3" xfId="6146" xr:uid="{00000000-0005-0000-0000-000007180000}"/>
    <cellStyle name="Normal 2 2 2 2 2 2 3 2" xfId="6147" xr:uid="{00000000-0005-0000-0000-000008180000}"/>
    <cellStyle name="Normal 2 2 2 2 2 2 4" xfId="6148" xr:uid="{00000000-0005-0000-0000-000009180000}"/>
    <cellStyle name="Normal 2 2 2 2 2 3" xfId="6149" xr:uid="{00000000-0005-0000-0000-00000A180000}"/>
    <cellStyle name="Normal 2 2 2 2 2 3 2" xfId="6150" xr:uid="{00000000-0005-0000-0000-00000B180000}"/>
    <cellStyle name="Normal 2 2 2 2 2 3 2 2" xfId="6151" xr:uid="{00000000-0005-0000-0000-00000C180000}"/>
    <cellStyle name="Normal 2 2 2 2 2 3 3" xfId="6152" xr:uid="{00000000-0005-0000-0000-00000D180000}"/>
    <cellStyle name="Normal 2 2 2 2 2 3 3 2" xfId="6153" xr:uid="{00000000-0005-0000-0000-00000E180000}"/>
    <cellStyle name="Normal 2 2 2 2 2 3 4" xfId="6154" xr:uid="{00000000-0005-0000-0000-00000F180000}"/>
    <cellStyle name="Normal 2 2 2 2 2 4" xfId="6155" xr:uid="{00000000-0005-0000-0000-000010180000}"/>
    <cellStyle name="Normal 2 2 2 2 2 4 2" xfId="6156" xr:uid="{00000000-0005-0000-0000-000011180000}"/>
    <cellStyle name="Normal 2 2 2 2 2 5" xfId="6157" xr:uid="{00000000-0005-0000-0000-000012180000}"/>
    <cellStyle name="Normal 2 2 2 2 2 5 2" xfId="6158" xr:uid="{00000000-0005-0000-0000-000013180000}"/>
    <cellStyle name="Normal 2 2 2 2 2 6" xfId="6159" xr:uid="{00000000-0005-0000-0000-000014180000}"/>
    <cellStyle name="Normal 2 2 2 2 3" xfId="6160" xr:uid="{00000000-0005-0000-0000-000015180000}"/>
    <cellStyle name="Normal 2 2 2 2 3 2" xfId="6161" xr:uid="{00000000-0005-0000-0000-000016180000}"/>
    <cellStyle name="Normal 2 2 2 2 3 2 2" xfId="6162" xr:uid="{00000000-0005-0000-0000-000017180000}"/>
    <cellStyle name="Normal 2 2 2 2 3 3" xfId="6163" xr:uid="{00000000-0005-0000-0000-000018180000}"/>
    <cellStyle name="Normal 2 2 2 2 3 3 2" xfId="6164" xr:uid="{00000000-0005-0000-0000-000019180000}"/>
    <cellStyle name="Normal 2 2 2 2 3 4" xfId="6165" xr:uid="{00000000-0005-0000-0000-00001A180000}"/>
    <cellStyle name="Normal 2 2 2 2 3 4 2" xfId="6166" xr:uid="{00000000-0005-0000-0000-00001B180000}"/>
    <cellStyle name="Normal 2 2 2 2 3 5" xfId="6167" xr:uid="{00000000-0005-0000-0000-00001C180000}"/>
    <cellStyle name="Normal 2 2 2 2 3 5 2" xfId="6168" xr:uid="{00000000-0005-0000-0000-00001D180000}"/>
    <cellStyle name="Normal 2 2 2 2 3 6" xfId="6169" xr:uid="{00000000-0005-0000-0000-00001E180000}"/>
    <cellStyle name="Normal 2 2 2 2 4" xfId="6170" xr:uid="{00000000-0005-0000-0000-00001F180000}"/>
    <cellStyle name="Normal 2 2 2 2 4 2" xfId="6171" xr:uid="{00000000-0005-0000-0000-000020180000}"/>
    <cellStyle name="Normal 2 2 2 2 4 2 2" xfId="6172" xr:uid="{00000000-0005-0000-0000-000021180000}"/>
    <cellStyle name="Normal 2 2 2 2 4 3" xfId="6173" xr:uid="{00000000-0005-0000-0000-000022180000}"/>
    <cellStyle name="Normal 2 2 2 2 4 3 2" xfId="6174" xr:uid="{00000000-0005-0000-0000-000023180000}"/>
    <cellStyle name="Normal 2 2 2 2 4 4" xfId="6175" xr:uid="{00000000-0005-0000-0000-000024180000}"/>
    <cellStyle name="Normal 2 2 2 2 5" xfId="6176" xr:uid="{00000000-0005-0000-0000-000025180000}"/>
    <cellStyle name="Normal 2 2 2 2 5 2" xfId="6177" xr:uid="{00000000-0005-0000-0000-000026180000}"/>
    <cellStyle name="Normal 2 2 2 2 5 2 2" xfId="6178" xr:uid="{00000000-0005-0000-0000-000027180000}"/>
    <cellStyle name="Normal 2 2 2 2 5 3" xfId="6179" xr:uid="{00000000-0005-0000-0000-000028180000}"/>
    <cellStyle name="Normal 2 2 2 2 5 3 2" xfId="6180" xr:uid="{00000000-0005-0000-0000-000029180000}"/>
    <cellStyle name="Normal 2 2 2 2 5 4" xfId="6181" xr:uid="{00000000-0005-0000-0000-00002A180000}"/>
    <cellStyle name="Normal 2 2 2 2 6" xfId="6182" xr:uid="{00000000-0005-0000-0000-00002B180000}"/>
    <cellStyle name="Normal 2 2 2 2 6 2" xfId="6183" xr:uid="{00000000-0005-0000-0000-00002C180000}"/>
    <cellStyle name="Normal 2 2 2 2 7" xfId="6184" xr:uid="{00000000-0005-0000-0000-00002D180000}"/>
    <cellStyle name="Normal 2 2 2 2 7 2" xfId="6185" xr:uid="{00000000-0005-0000-0000-00002E180000}"/>
    <cellStyle name="Normal 2 2 2 2 8" xfId="6186" xr:uid="{00000000-0005-0000-0000-00002F180000}"/>
    <cellStyle name="Normal 2 2 2 2 9" xfId="6187" xr:uid="{00000000-0005-0000-0000-000030180000}"/>
    <cellStyle name="Normal 2 2 2 3" xfId="6188" xr:uid="{00000000-0005-0000-0000-000031180000}"/>
    <cellStyle name="Normal 2 2 2 3 2" xfId="6189" xr:uid="{00000000-0005-0000-0000-000032180000}"/>
    <cellStyle name="Normal 2 2 2 3 2 2" xfId="6190" xr:uid="{00000000-0005-0000-0000-000033180000}"/>
    <cellStyle name="Normal 2 2 2 3 2 2 2" xfId="6191" xr:uid="{00000000-0005-0000-0000-000034180000}"/>
    <cellStyle name="Normal 2 2 2 3 2 3" xfId="6192" xr:uid="{00000000-0005-0000-0000-000035180000}"/>
    <cellStyle name="Normal 2 2 2 3 2 3 2" xfId="6193" xr:uid="{00000000-0005-0000-0000-000036180000}"/>
    <cellStyle name="Normal 2 2 2 3 2 4" xfId="6194" xr:uid="{00000000-0005-0000-0000-000037180000}"/>
    <cellStyle name="Normal 2 2 2 3 3" xfId="6195" xr:uid="{00000000-0005-0000-0000-000038180000}"/>
    <cellStyle name="Normal 2 2 2 3 3 2" xfId="6196" xr:uid="{00000000-0005-0000-0000-000039180000}"/>
    <cellStyle name="Normal 2 2 2 3 3 2 2" xfId="6197" xr:uid="{00000000-0005-0000-0000-00003A180000}"/>
    <cellStyle name="Normal 2 2 2 3 3 3" xfId="6198" xr:uid="{00000000-0005-0000-0000-00003B180000}"/>
    <cellStyle name="Normal 2 2 2 3 3 3 2" xfId="6199" xr:uid="{00000000-0005-0000-0000-00003C180000}"/>
    <cellStyle name="Normal 2 2 2 3 3 4" xfId="6200" xr:uid="{00000000-0005-0000-0000-00003D180000}"/>
    <cellStyle name="Normal 2 2 2 3 4" xfId="6201" xr:uid="{00000000-0005-0000-0000-00003E180000}"/>
    <cellStyle name="Normal 2 2 2 3 4 2" xfId="6202" xr:uid="{00000000-0005-0000-0000-00003F180000}"/>
    <cellStyle name="Normal 2 2 2 3 5" xfId="6203" xr:uid="{00000000-0005-0000-0000-000040180000}"/>
    <cellStyle name="Normal 2 2 2 3 5 2" xfId="6204" xr:uid="{00000000-0005-0000-0000-000041180000}"/>
    <cellStyle name="Normal 2 2 2 3 6" xfId="6205" xr:uid="{00000000-0005-0000-0000-000042180000}"/>
    <cellStyle name="Normal 2 2 2 4" xfId="6206" xr:uid="{00000000-0005-0000-0000-000043180000}"/>
    <cellStyle name="Normal 2 2 2 4 2" xfId="6207" xr:uid="{00000000-0005-0000-0000-000044180000}"/>
    <cellStyle name="Normal 2 2 2 4 2 2" xfId="6208" xr:uid="{00000000-0005-0000-0000-000045180000}"/>
    <cellStyle name="Normal 2 2 2 4 3" xfId="6209" xr:uid="{00000000-0005-0000-0000-000046180000}"/>
    <cellStyle name="Normal 2 2 2 4 3 2" xfId="6210" xr:uid="{00000000-0005-0000-0000-000047180000}"/>
    <cellStyle name="Normal 2 2 2 4 4" xfId="6211" xr:uid="{00000000-0005-0000-0000-000048180000}"/>
    <cellStyle name="Normal 2 2 2 4 4 2" xfId="6212" xr:uid="{00000000-0005-0000-0000-000049180000}"/>
    <cellStyle name="Normal 2 2 2 4 5" xfId="6213" xr:uid="{00000000-0005-0000-0000-00004A180000}"/>
    <cellStyle name="Normal 2 2 2 4 5 2" xfId="6214" xr:uid="{00000000-0005-0000-0000-00004B180000}"/>
    <cellStyle name="Normal 2 2 2 4 6" xfId="6215" xr:uid="{00000000-0005-0000-0000-00004C180000}"/>
    <cellStyle name="Normal 2 2 2 5" xfId="6216" xr:uid="{00000000-0005-0000-0000-00004D180000}"/>
    <cellStyle name="Normal 2 2 2 5 2" xfId="6217" xr:uid="{00000000-0005-0000-0000-00004E180000}"/>
    <cellStyle name="Normal 2 2 2 5 2 2" xfId="6218" xr:uid="{00000000-0005-0000-0000-00004F180000}"/>
    <cellStyle name="Normal 2 2 2 5 3" xfId="6219" xr:uid="{00000000-0005-0000-0000-000050180000}"/>
    <cellStyle name="Normal 2 2 2 5 3 2" xfId="6220" xr:uid="{00000000-0005-0000-0000-000051180000}"/>
    <cellStyle name="Normal 2 2 2 5 4" xfId="6221" xr:uid="{00000000-0005-0000-0000-000052180000}"/>
    <cellStyle name="Normal 2 2 2 6" xfId="6222" xr:uid="{00000000-0005-0000-0000-000053180000}"/>
    <cellStyle name="Normal 2 2 2 6 2" xfId="6223" xr:uid="{00000000-0005-0000-0000-000054180000}"/>
    <cellStyle name="Normal 2 2 2 6 2 2" xfId="6224" xr:uid="{00000000-0005-0000-0000-000055180000}"/>
    <cellStyle name="Normal 2 2 2 6 3" xfId="6225" xr:uid="{00000000-0005-0000-0000-000056180000}"/>
    <cellStyle name="Normal 2 2 2 6 3 2" xfId="6226" xr:uid="{00000000-0005-0000-0000-000057180000}"/>
    <cellStyle name="Normal 2 2 2 6 4" xfId="6227" xr:uid="{00000000-0005-0000-0000-000058180000}"/>
    <cellStyle name="Normal 2 2 2 7" xfId="6228" xr:uid="{00000000-0005-0000-0000-000059180000}"/>
    <cellStyle name="Normal 2 2 2 7 2" xfId="6229" xr:uid="{00000000-0005-0000-0000-00005A180000}"/>
    <cellStyle name="Normal 2 2 2 8" xfId="6230" xr:uid="{00000000-0005-0000-0000-00005B180000}"/>
    <cellStyle name="Normal 2 2 2 8 2" xfId="6231" xr:uid="{00000000-0005-0000-0000-00005C180000}"/>
    <cellStyle name="Normal 2 2 2 9" xfId="6232" xr:uid="{00000000-0005-0000-0000-00005D180000}"/>
    <cellStyle name="Normal 2 2 2 9 2" xfId="6233" xr:uid="{00000000-0005-0000-0000-00005E180000}"/>
    <cellStyle name="Normal 2 2 2_Epicor" xfId="6234" xr:uid="{00000000-0005-0000-0000-00005F180000}"/>
    <cellStyle name="Normal 2 2 3" xfId="6235" xr:uid="{00000000-0005-0000-0000-000060180000}"/>
    <cellStyle name="Normal 2 2 3 2" xfId="6236" xr:uid="{00000000-0005-0000-0000-000061180000}"/>
    <cellStyle name="Normal 2 2 3 2 2" xfId="6237" xr:uid="{00000000-0005-0000-0000-000062180000}"/>
    <cellStyle name="Normal 2 2 3 2 2 2" xfId="6238" xr:uid="{00000000-0005-0000-0000-000063180000}"/>
    <cellStyle name="Normal 2 2 3 2 2 2 2" xfId="6239" xr:uid="{00000000-0005-0000-0000-000064180000}"/>
    <cellStyle name="Normal 2 2 3 2 2 3" xfId="6240" xr:uid="{00000000-0005-0000-0000-000065180000}"/>
    <cellStyle name="Normal 2 2 3 2 2 3 2" xfId="6241" xr:uid="{00000000-0005-0000-0000-000066180000}"/>
    <cellStyle name="Normal 2 2 3 2 2 4" xfId="6242" xr:uid="{00000000-0005-0000-0000-000067180000}"/>
    <cellStyle name="Normal 2 2 3 2 3" xfId="6243" xr:uid="{00000000-0005-0000-0000-000068180000}"/>
    <cellStyle name="Normal 2 2 3 2 3 2" xfId="6244" xr:uid="{00000000-0005-0000-0000-000069180000}"/>
    <cellStyle name="Normal 2 2 3 2 3 2 2" xfId="6245" xr:uid="{00000000-0005-0000-0000-00006A180000}"/>
    <cellStyle name="Normal 2 2 3 2 3 3" xfId="6246" xr:uid="{00000000-0005-0000-0000-00006B180000}"/>
    <cellStyle name="Normal 2 2 3 2 3 3 2" xfId="6247" xr:uid="{00000000-0005-0000-0000-00006C180000}"/>
    <cellStyle name="Normal 2 2 3 2 3 4" xfId="6248" xr:uid="{00000000-0005-0000-0000-00006D180000}"/>
    <cellStyle name="Normal 2 2 3 2 4" xfId="6249" xr:uid="{00000000-0005-0000-0000-00006E180000}"/>
    <cellStyle name="Normal 2 2 3 2 4 2" xfId="6250" xr:uid="{00000000-0005-0000-0000-00006F180000}"/>
    <cellStyle name="Normal 2 2 3 2 5" xfId="6251" xr:uid="{00000000-0005-0000-0000-000070180000}"/>
    <cellStyle name="Normal 2 2 3 2 5 2" xfId="6252" xr:uid="{00000000-0005-0000-0000-000071180000}"/>
    <cellStyle name="Normal 2 2 3 2 6" xfId="6253" xr:uid="{00000000-0005-0000-0000-000072180000}"/>
    <cellStyle name="Normal 2 2 3 3" xfId="6254" xr:uid="{00000000-0005-0000-0000-000073180000}"/>
    <cellStyle name="Normal 2 2 3 3 2" xfId="6255" xr:uid="{00000000-0005-0000-0000-000074180000}"/>
    <cellStyle name="Normal 2 2 3 3 2 2" xfId="6256" xr:uid="{00000000-0005-0000-0000-000075180000}"/>
    <cellStyle name="Normal 2 2 3 3 3" xfId="6257" xr:uid="{00000000-0005-0000-0000-000076180000}"/>
    <cellStyle name="Normal 2 2 3 3 3 2" xfId="6258" xr:uid="{00000000-0005-0000-0000-000077180000}"/>
    <cellStyle name="Normal 2 2 3 3 4" xfId="6259" xr:uid="{00000000-0005-0000-0000-000078180000}"/>
    <cellStyle name="Normal 2 2 3 3 4 2" xfId="6260" xr:uid="{00000000-0005-0000-0000-000079180000}"/>
    <cellStyle name="Normal 2 2 3 3 5" xfId="6261" xr:uid="{00000000-0005-0000-0000-00007A180000}"/>
    <cellStyle name="Normal 2 2 3 3 5 2" xfId="6262" xr:uid="{00000000-0005-0000-0000-00007B180000}"/>
    <cellStyle name="Normal 2 2 3 3 6" xfId="6263" xr:uid="{00000000-0005-0000-0000-00007C180000}"/>
    <cellStyle name="Normal 2 2 3 4" xfId="6264" xr:uid="{00000000-0005-0000-0000-00007D180000}"/>
    <cellStyle name="Normal 2 2 3 4 2" xfId="6265" xr:uid="{00000000-0005-0000-0000-00007E180000}"/>
    <cellStyle name="Normal 2 2 3 4 2 2" xfId="6266" xr:uid="{00000000-0005-0000-0000-00007F180000}"/>
    <cellStyle name="Normal 2 2 3 4 3" xfId="6267" xr:uid="{00000000-0005-0000-0000-000080180000}"/>
    <cellStyle name="Normal 2 2 3 4 3 2" xfId="6268" xr:uid="{00000000-0005-0000-0000-000081180000}"/>
    <cellStyle name="Normal 2 2 3 4 4" xfId="6269" xr:uid="{00000000-0005-0000-0000-000082180000}"/>
    <cellStyle name="Normal 2 2 3 5" xfId="6270" xr:uid="{00000000-0005-0000-0000-000083180000}"/>
    <cellStyle name="Normal 2 2 3 5 2" xfId="6271" xr:uid="{00000000-0005-0000-0000-000084180000}"/>
    <cellStyle name="Normal 2 2 3 5 2 2" xfId="6272" xr:uid="{00000000-0005-0000-0000-000085180000}"/>
    <cellStyle name="Normal 2 2 3 5 3" xfId="6273" xr:uid="{00000000-0005-0000-0000-000086180000}"/>
    <cellStyle name="Normal 2 2 3 5 3 2" xfId="6274" xr:uid="{00000000-0005-0000-0000-000087180000}"/>
    <cellStyle name="Normal 2 2 3 5 4" xfId="6275" xr:uid="{00000000-0005-0000-0000-000088180000}"/>
    <cellStyle name="Normal 2 2 3 6" xfId="6276" xr:uid="{00000000-0005-0000-0000-000089180000}"/>
    <cellStyle name="Normal 2 2 3 6 2" xfId="6277" xr:uid="{00000000-0005-0000-0000-00008A180000}"/>
    <cellStyle name="Normal 2 2 3 7" xfId="6278" xr:uid="{00000000-0005-0000-0000-00008B180000}"/>
    <cellStyle name="Normal 2 2 3 7 2" xfId="6279" xr:uid="{00000000-0005-0000-0000-00008C180000}"/>
    <cellStyle name="Normal 2 2 3 8" xfId="6280" xr:uid="{00000000-0005-0000-0000-00008D180000}"/>
    <cellStyle name="Normal 2 2 3 9" xfId="6281" xr:uid="{00000000-0005-0000-0000-00008E180000}"/>
    <cellStyle name="Normal 2 2 4" xfId="6282" xr:uid="{00000000-0005-0000-0000-00008F180000}"/>
    <cellStyle name="Normal 2 2 4 2" xfId="6283" xr:uid="{00000000-0005-0000-0000-000090180000}"/>
    <cellStyle name="Normal 2 2 4 2 2" xfId="6284" xr:uid="{00000000-0005-0000-0000-000091180000}"/>
    <cellStyle name="Normal 2 2 4 2 2 2" xfId="6285" xr:uid="{00000000-0005-0000-0000-000092180000}"/>
    <cellStyle name="Normal 2 2 4 2 3" xfId="6286" xr:uid="{00000000-0005-0000-0000-000093180000}"/>
    <cellStyle name="Normal 2 2 4 2 3 2" xfId="6287" xr:uid="{00000000-0005-0000-0000-000094180000}"/>
    <cellStyle name="Normal 2 2 4 2 4" xfId="6288" xr:uid="{00000000-0005-0000-0000-000095180000}"/>
    <cellStyle name="Normal 2 2 4 3" xfId="6289" xr:uid="{00000000-0005-0000-0000-000096180000}"/>
    <cellStyle name="Normal 2 2 4 3 2" xfId="6290" xr:uid="{00000000-0005-0000-0000-000097180000}"/>
    <cellStyle name="Normal 2 2 4 3 2 2" xfId="6291" xr:uid="{00000000-0005-0000-0000-000098180000}"/>
    <cellStyle name="Normal 2 2 4 3 3" xfId="6292" xr:uid="{00000000-0005-0000-0000-000099180000}"/>
    <cellStyle name="Normal 2 2 4 3 3 2" xfId="6293" xr:uid="{00000000-0005-0000-0000-00009A180000}"/>
    <cellStyle name="Normal 2 2 4 3 4" xfId="6294" xr:uid="{00000000-0005-0000-0000-00009B180000}"/>
    <cellStyle name="Normal 2 2 4 4" xfId="6295" xr:uid="{00000000-0005-0000-0000-00009C180000}"/>
    <cellStyle name="Normal 2 2 4 4 2" xfId="6296" xr:uid="{00000000-0005-0000-0000-00009D180000}"/>
    <cellStyle name="Normal 2 2 4 5" xfId="6297" xr:uid="{00000000-0005-0000-0000-00009E180000}"/>
    <cellStyle name="Normal 2 2 4 5 2" xfId="6298" xr:uid="{00000000-0005-0000-0000-00009F180000}"/>
    <cellStyle name="Normal 2 2 4 6" xfId="6299" xr:uid="{00000000-0005-0000-0000-0000A0180000}"/>
    <cellStyle name="Normal 2 2 4 7" xfId="6300" xr:uid="{00000000-0005-0000-0000-0000A1180000}"/>
    <cellStyle name="Normal 2 2 5" xfId="6301" xr:uid="{00000000-0005-0000-0000-0000A2180000}"/>
    <cellStyle name="Normal 2 2 5 2" xfId="6302" xr:uid="{00000000-0005-0000-0000-0000A3180000}"/>
    <cellStyle name="Normal 2 2 5 2 2" xfId="6303" xr:uid="{00000000-0005-0000-0000-0000A4180000}"/>
    <cellStyle name="Normal 2 2 5 3" xfId="6304" xr:uid="{00000000-0005-0000-0000-0000A5180000}"/>
    <cellStyle name="Normal 2 2 5 3 2" xfId="6305" xr:uid="{00000000-0005-0000-0000-0000A6180000}"/>
    <cellStyle name="Normal 2 2 5 4" xfId="6306" xr:uid="{00000000-0005-0000-0000-0000A7180000}"/>
    <cellStyle name="Normal 2 2 5 4 2" xfId="6307" xr:uid="{00000000-0005-0000-0000-0000A8180000}"/>
    <cellStyle name="Normal 2 2 5 5" xfId="6308" xr:uid="{00000000-0005-0000-0000-0000A9180000}"/>
    <cellStyle name="Normal 2 2 5 5 2" xfId="6309" xr:uid="{00000000-0005-0000-0000-0000AA180000}"/>
    <cellStyle name="Normal 2 2 5 6" xfId="6310" xr:uid="{00000000-0005-0000-0000-0000AB180000}"/>
    <cellStyle name="Normal 2 2 6" xfId="6311" xr:uid="{00000000-0005-0000-0000-0000AC180000}"/>
    <cellStyle name="Normal 2 2 6 2" xfId="6312" xr:uid="{00000000-0005-0000-0000-0000AD180000}"/>
    <cellStyle name="Normal 2 2 6 2 2" xfId="6313" xr:uid="{00000000-0005-0000-0000-0000AE180000}"/>
    <cellStyle name="Normal 2 2 6 3" xfId="6314" xr:uid="{00000000-0005-0000-0000-0000AF180000}"/>
    <cellStyle name="Normal 2 2 6 3 2" xfId="6315" xr:uid="{00000000-0005-0000-0000-0000B0180000}"/>
    <cellStyle name="Normal 2 2 6 4" xfId="6316" xr:uid="{00000000-0005-0000-0000-0000B1180000}"/>
    <cellStyle name="Normal 2 2 7" xfId="6317" xr:uid="{00000000-0005-0000-0000-0000B2180000}"/>
    <cellStyle name="Normal 2 2 7 2" xfId="6318" xr:uid="{00000000-0005-0000-0000-0000B3180000}"/>
    <cellStyle name="Normal 2 2 7 2 2" xfId="6319" xr:uid="{00000000-0005-0000-0000-0000B4180000}"/>
    <cellStyle name="Normal 2 2 7 3" xfId="6320" xr:uid="{00000000-0005-0000-0000-0000B5180000}"/>
    <cellStyle name="Normal 2 2 7 3 2" xfId="6321" xr:uid="{00000000-0005-0000-0000-0000B6180000}"/>
    <cellStyle name="Normal 2 2 7 4" xfId="6322" xr:uid="{00000000-0005-0000-0000-0000B7180000}"/>
    <cellStyle name="Normal 2 2 8" xfId="6323" xr:uid="{00000000-0005-0000-0000-0000B8180000}"/>
    <cellStyle name="Normal 2 2 8 2" xfId="6324" xr:uid="{00000000-0005-0000-0000-0000B9180000}"/>
    <cellStyle name="Normal 2 2 9" xfId="6325" xr:uid="{00000000-0005-0000-0000-0000BA180000}"/>
    <cellStyle name="Normal 2 2 9 2" xfId="6326" xr:uid="{00000000-0005-0000-0000-0000BB180000}"/>
    <cellStyle name="Normal 2 2_10051" xfId="6327" xr:uid="{00000000-0005-0000-0000-0000BC180000}"/>
    <cellStyle name="Normal 2 20" xfId="6328" xr:uid="{00000000-0005-0000-0000-0000BD180000}"/>
    <cellStyle name="Normal 2 21" xfId="6329" xr:uid="{00000000-0005-0000-0000-0000BE180000}"/>
    <cellStyle name="Normal 2 22" xfId="6330" xr:uid="{00000000-0005-0000-0000-0000BF180000}"/>
    <cellStyle name="Normal 2 23" xfId="6331" xr:uid="{00000000-0005-0000-0000-0000C0180000}"/>
    <cellStyle name="Normal 2 24" xfId="6332" xr:uid="{00000000-0005-0000-0000-0000C1180000}"/>
    <cellStyle name="Normal 2 25" xfId="6333" xr:uid="{00000000-0005-0000-0000-0000C2180000}"/>
    <cellStyle name="Normal 2 3" xfId="6334" xr:uid="{00000000-0005-0000-0000-0000C3180000}"/>
    <cellStyle name="Normal 2 3 2" xfId="6335" xr:uid="{00000000-0005-0000-0000-0000C4180000}"/>
    <cellStyle name="Normal 2 3 2 2" xfId="6336" xr:uid="{00000000-0005-0000-0000-0000C5180000}"/>
    <cellStyle name="Normal 2 3 2 2 2" xfId="6337" xr:uid="{00000000-0005-0000-0000-0000C6180000}"/>
    <cellStyle name="Normal 2 3 2 3" xfId="6338" xr:uid="{00000000-0005-0000-0000-0000C7180000}"/>
    <cellStyle name="Normal 2 3 2 3 2" xfId="6339" xr:uid="{00000000-0005-0000-0000-0000C8180000}"/>
    <cellStyle name="Normal 2 3 2 4" xfId="6340" xr:uid="{00000000-0005-0000-0000-0000C9180000}"/>
    <cellStyle name="Normal 2 3 2 5" xfId="6341" xr:uid="{00000000-0005-0000-0000-0000CA180000}"/>
    <cellStyle name="Normal 2 3 2_Active emp List" xfId="6342" xr:uid="{00000000-0005-0000-0000-0000CB180000}"/>
    <cellStyle name="Normal 2 3 3" xfId="6343" xr:uid="{00000000-0005-0000-0000-0000CC180000}"/>
    <cellStyle name="Normal 2 3 3 2" xfId="6344" xr:uid="{00000000-0005-0000-0000-0000CD180000}"/>
    <cellStyle name="Normal 2 3 3 2 2" xfId="6345" xr:uid="{00000000-0005-0000-0000-0000CE180000}"/>
    <cellStyle name="Normal 2 3 3 2 2 2" xfId="6346" xr:uid="{00000000-0005-0000-0000-0000CF180000}"/>
    <cellStyle name="Normal 2 3 3 2 3" xfId="6347" xr:uid="{00000000-0005-0000-0000-0000D0180000}"/>
    <cellStyle name="Normal 2 3 3 2 4" xfId="6348" xr:uid="{00000000-0005-0000-0000-0000D1180000}"/>
    <cellStyle name="Normal 2 3 3 3" xfId="6349" xr:uid="{00000000-0005-0000-0000-0000D2180000}"/>
    <cellStyle name="Normal 2 3 3 3 2" xfId="6350" xr:uid="{00000000-0005-0000-0000-0000D3180000}"/>
    <cellStyle name="Normal 2 3 3 4" xfId="6351" xr:uid="{00000000-0005-0000-0000-0000D4180000}"/>
    <cellStyle name="Normal 2 3 3 5" xfId="6352" xr:uid="{00000000-0005-0000-0000-0000D5180000}"/>
    <cellStyle name="Normal 2 3 4" xfId="6353" xr:uid="{00000000-0005-0000-0000-0000D6180000}"/>
    <cellStyle name="Normal 2 3 4 2" xfId="6354" xr:uid="{00000000-0005-0000-0000-0000D7180000}"/>
    <cellStyle name="Normal 2 3 4 2 2" xfId="6355" xr:uid="{00000000-0005-0000-0000-0000D8180000}"/>
    <cellStyle name="Normal 2 3 4 3" xfId="6356" xr:uid="{00000000-0005-0000-0000-0000D9180000}"/>
    <cellStyle name="Normal 2 3 4 4" xfId="6357" xr:uid="{00000000-0005-0000-0000-0000DA180000}"/>
    <cellStyle name="Normal 2 3 5" xfId="6358" xr:uid="{00000000-0005-0000-0000-0000DB180000}"/>
    <cellStyle name="Normal 2 3 5 2" xfId="6359" xr:uid="{00000000-0005-0000-0000-0000DC180000}"/>
    <cellStyle name="Normal 2 3 6" xfId="6360" xr:uid="{00000000-0005-0000-0000-0000DD180000}"/>
    <cellStyle name="Normal 2 3 7" xfId="6361" xr:uid="{00000000-0005-0000-0000-0000DE180000}"/>
    <cellStyle name="Normal 2 3 8" xfId="6362" xr:uid="{00000000-0005-0000-0000-0000DF180000}"/>
    <cellStyle name="Normal 2 3_2012 TV Budget" xfId="6363" xr:uid="{00000000-0005-0000-0000-0000E0180000}"/>
    <cellStyle name="Normal 2 4" xfId="6364" xr:uid="{00000000-0005-0000-0000-0000E1180000}"/>
    <cellStyle name="Normal 2 4 2" xfId="6365" xr:uid="{00000000-0005-0000-0000-0000E2180000}"/>
    <cellStyle name="Normal 2 4 2 2" xfId="6366" xr:uid="{00000000-0005-0000-0000-0000E3180000}"/>
    <cellStyle name="Normal 2 4 2 2 2" xfId="6367" xr:uid="{00000000-0005-0000-0000-0000E4180000}"/>
    <cellStyle name="Normal 2 4 2 2 2 2" xfId="6368" xr:uid="{00000000-0005-0000-0000-0000E5180000}"/>
    <cellStyle name="Normal 2 4 2 2 3" xfId="6369" xr:uid="{00000000-0005-0000-0000-0000E6180000}"/>
    <cellStyle name="Normal 2 4 2 3" xfId="6370" xr:uid="{00000000-0005-0000-0000-0000E7180000}"/>
    <cellStyle name="Normal 2 4 2 3 2" xfId="6371" xr:uid="{00000000-0005-0000-0000-0000E8180000}"/>
    <cellStyle name="Normal 2 4 2 4" xfId="6372" xr:uid="{00000000-0005-0000-0000-0000E9180000}"/>
    <cellStyle name="Normal 2 4 2 4 2" xfId="6373" xr:uid="{00000000-0005-0000-0000-0000EA180000}"/>
    <cellStyle name="Normal 2 4 2 5" xfId="6374" xr:uid="{00000000-0005-0000-0000-0000EB180000}"/>
    <cellStyle name="Normal 2 4 2 5 2" xfId="6375" xr:uid="{00000000-0005-0000-0000-0000EC180000}"/>
    <cellStyle name="Normal 2 4 2 6" xfId="6376" xr:uid="{00000000-0005-0000-0000-0000ED180000}"/>
    <cellStyle name="Normal 2 4 2 6 2" xfId="6377" xr:uid="{00000000-0005-0000-0000-0000EE180000}"/>
    <cellStyle name="Normal 2 4 2 7" xfId="6378" xr:uid="{00000000-0005-0000-0000-0000EF180000}"/>
    <cellStyle name="Normal 2 4 2 8" xfId="6379" xr:uid="{00000000-0005-0000-0000-0000F0180000}"/>
    <cellStyle name="Normal 2 4 3" xfId="6380" xr:uid="{00000000-0005-0000-0000-0000F1180000}"/>
    <cellStyle name="Normal 2 4 3 2" xfId="6381" xr:uid="{00000000-0005-0000-0000-0000F2180000}"/>
    <cellStyle name="Normal 2 4 3 2 2" xfId="6382" xr:uid="{00000000-0005-0000-0000-0000F3180000}"/>
    <cellStyle name="Normal 2 4 3 3" xfId="6383" xr:uid="{00000000-0005-0000-0000-0000F4180000}"/>
    <cellStyle name="Normal 2 4 3 3 2" xfId="6384" xr:uid="{00000000-0005-0000-0000-0000F5180000}"/>
    <cellStyle name="Normal 2 4 3 4" xfId="6385" xr:uid="{00000000-0005-0000-0000-0000F6180000}"/>
    <cellStyle name="Normal 2 4 4" xfId="6386" xr:uid="{00000000-0005-0000-0000-0000F7180000}"/>
    <cellStyle name="Normal 2 4 4 2" xfId="6387" xr:uid="{00000000-0005-0000-0000-0000F8180000}"/>
    <cellStyle name="Normal 2 4 4 2 2" xfId="6388" xr:uid="{00000000-0005-0000-0000-0000F9180000}"/>
    <cellStyle name="Normal 2 4 4 3" xfId="6389" xr:uid="{00000000-0005-0000-0000-0000FA180000}"/>
    <cellStyle name="Normal 2 4 4 3 2" xfId="6390" xr:uid="{00000000-0005-0000-0000-0000FB180000}"/>
    <cellStyle name="Normal 2 4 4 4" xfId="6391" xr:uid="{00000000-0005-0000-0000-0000FC180000}"/>
    <cellStyle name="Normal 2 4 5" xfId="6392" xr:uid="{00000000-0005-0000-0000-0000FD180000}"/>
    <cellStyle name="Normal 2 4 5 2" xfId="6393" xr:uid="{00000000-0005-0000-0000-0000FE180000}"/>
    <cellStyle name="Normal 2 4 6" xfId="6394" xr:uid="{00000000-0005-0000-0000-0000FF180000}"/>
    <cellStyle name="Normal 2 4 6 2" xfId="6395" xr:uid="{00000000-0005-0000-0000-000000190000}"/>
    <cellStyle name="Normal 2 4 7" xfId="6396" xr:uid="{00000000-0005-0000-0000-000001190000}"/>
    <cellStyle name="Normal 2 4 8" xfId="6397" xr:uid="{00000000-0005-0000-0000-000002190000}"/>
    <cellStyle name="Normal 2 5" xfId="6398" xr:uid="{00000000-0005-0000-0000-000003190000}"/>
    <cellStyle name="Normal 2 5 2" xfId="6399" xr:uid="{00000000-0005-0000-0000-000004190000}"/>
    <cellStyle name="Normal 2 5 2 2" xfId="6400" xr:uid="{00000000-0005-0000-0000-000005190000}"/>
    <cellStyle name="Normal 2 5 3" xfId="6401" xr:uid="{00000000-0005-0000-0000-000006190000}"/>
    <cellStyle name="Normal 2 5 3 2" xfId="6402" xr:uid="{00000000-0005-0000-0000-000007190000}"/>
    <cellStyle name="Normal 2 5 4" xfId="6403" xr:uid="{00000000-0005-0000-0000-000008190000}"/>
    <cellStyle name="Normal 2 5 5" xfId="6404" xr:uid="{00000000-0005-0000-0000-000009190000}"/>
    <cellStyle name="Normal 2 6" xfId="6405" xr:uid="{00000000-0005-0000-0000-00000A190000}"/>
    <cellStyle name="Normal 2 6 2" xfId="6406" xr:uid="{00000000-0005-0000-0000-00000B190000}"/>
    <cellStyle name="Normal 2 6 2 2" xfId="6407" xr:uid="{00000000-0005-0000-0000-00000C190000}"/>
    <cellStyle name="Normal 2 6 2 2 2" xfId="6408" xr:uid="{00000000-0005-0000-0000-00000D190000}"/>
    <cellStyle name="Normal 2 6 2 3" xfId="6409" xr:uid="{00000000-0005-0000-0000-00000E190000}"/>
    <cellStyle name="Normal 2 6 3" xfId="6410" xr:uid="{00000000-0005-0000-0000-00000F190000}"/>
    <cellStyle name="Normal 2 6 3 2" xfId="6411" xr:uid="{00000000-0005-0000-0000-000010190000}"/>
    <cellStyle name="Normal 2 6 4" xfId="6412" xr:uid="{00000000-0005-0000-0000-000011190000}"/>
    <cellStyle name="Normal 2 6 4 2" xfId="6413" xr:uid="{00000000-0005-0000-0000-000012190000}"/>
    <cellStyle name="Normal 2 6 5" xfId="6414" xr:uid="{00000000-0005-0000-0000-000013190000}"/>
    <cellStyle name="Normal 2 6 5 2" xfId="6415" xr:uid="{00000000-0005-0000-0000-000014190000}"/>
    <cellStyle name="Normal 2 6 6" xfId="6416" xr:uid="{00000000-0005-0000-0000-000015190000}"/>
    <cellStyle name="Normal 2 6 7" xfId="6417" xr:uid="{00000000-0005-0000-0000-000016190000}"/>
    <cellStyle name="Normal 2 7" xfId="6418" xr:uid="{00000000-0005-0000-0000-000017190000}"/>
    <cellStyle name="Normal 2 7 2" xfId="6419" xr:uid="{00000000-0005-0000-0000-000018190000}"/>
    <cellStyle name="Normal 2 7 2 2" xfId="6420" xr:uid="{00000000-0005-0000-0000-000019190000}"/>
    <cellStyle name="Normal 2 7 3" xfId="6421" xr:uid="{00000000-0005-0000-0000-00001A190000}"/>
    <cellStyle name="Normal 2 7 3 2" xfId="6422" xr:uid="{00000000-0005-0000-0000-00001B190000}"/>
    <cellStyle name="Normal 2 7 4" xfId="6423" xr:uid="{00000000-0005-0000-0000-00001C190000}"/>
    <cellStyle name="Normal 2 7 4 2" xfId="6424" xr:uid="{00000000-0005-0000-0000-00001D190000}"/>
    <cellStyle name="Normal 2 7 5" xfId="6425" xr:uid="{00000000-0005-0000-0000-00001E190000}"/>
    <cellStyle name="Normal 2 7 5 2" xfId="6426" xr:uid="{00000000-0005-0000-0000-00001F190000}"/>
    <cellStyle name="Normal 2 7 6" xfId="6427" xr:uid="{00000000-0005-0000-0000-000020190000}"/>
    <cellStyle name="Normal 2 7 7" xfId="6428" xr:uid="{00000000-0005-0000-0000-000021190000}"/>
    <cellStyle name="Normal 2 8" xfId="6429" xr:uid="{00000000-0005-0000-0000-000022190000}"/>
    <cellStyle name="Normal 2 8 2" xfId="6430" xr:uid="{00000000-0005-0000-0000-000023190000}"/>
    <cellStyle name="Normal 2 8 2 2" xfId="6431" xr:uid="{00000000-0005-0000-0000-000024190000}"/>
    <cellStyle name="Normal 2 8 2 2 2" xfId="6432" xr:uid="{00000000-0005-0000-0000-000025190000}"/>
    <cellStyle name="Normal 2 8 2 3" xfId="6433" xr:uid="{00000000-0005-0000-0000-000026190000}"/>
    <cellStyle name="Normal 2 8 3" xfId="6434" xr:uid="{00000000-0005-0000-0000-000027190000}"/>
    <cellStyle name="Normal 2 8 3 2" xfId="6435" xr:uid="{00000000-0005-0000-0000-000028190000}"/>
    <cellStyle name="Normal 2 8 4" xfId="6436" xr:uid="{00000000-0005-0000-0000-000029190000}"/>
    <cellStyle name="Normal 2 8 4 2" xfId="6437" xr:uid="{00000000-0005-0000-0000-00002A190000}"/>
    <cellStyle name="Normal 2 8 5" xfId="6438" xr:uid="{00000000-0005-0000-0000-00002B190000}"/>
    <cellStyle name="Normal 2 8 5 2" xfId="6439" xr:uid="{00000000-0005-0000-0000-00002C190000}"/>
    <cellStyle name="Normal 2 8 6" xfId="6440" xr:uid="{00000000-0005-0000-0000-00002D190000}"/>
    <cellStyle name="Normal 2 8 7" xfId="6441" xr:uid="{00000000-0005-0000-0000-00002E190000}"/>
    <cellStyle name="Normal 2 9" xfId="6442" xr:uid="{00000000-0005-0000-0000-00002F190000}"/>
    <cellStyle name="Normal 2 9 2" xfId="6443" xr:uid="{00000000-0005-0000-0000-000030190000}"/>
    <cellStyle name="Normal 2 9 2 2" xfId="6444" xr:uid="{00000000-0005-0000-0000-000031190000}"/>
    <cellStyle name="Normal 2 9 3" xfId="6445" xr:uid="{00000000-0005-0000-0000-000032190000}"/>
    <cellStyle name="Normal 2 9 3 2" xfId="6446" xr:uid="{00000000-0005-0000-0000-000033190000}"/>
    <cellStyle name="Normal 2 9 4" xfId="6447" xr:uid="{00000000-0005-0000-0000-000034190000}"/>
    <cellStyle name="Normal 2 9 4 2" xfId="6448" xr:uid="{00000000-0005-0000-0000-000035190000}"/>
    <cellStyle name="Normal 2 9 5" xfId="6449" xr:uid="{00000000-0005-0000-0000-000036190000}"/>
    <cellStyle name="Normal 2 9 5 2" xfId="6450" xr:uid="{00000000-0005-0000-0000-000037190000}"/>
    <cellStyle name="Normal 2 9 6" xfId="6451" xr:uid="{00000000-0005-0000-0000-000038190000}"/>
    <cellStyle name="Normal 2 9 7" xfId="6452" xr:uid="{00000000-0005-0000-0000-000039190000}"/>
    <cellStyle name="Normal 2_2009 Regulated Price Out" xfId="6453" xr:uid="{00000000-0005-0000-0000-00003A190000}"/>
    <cellStyle name="Normal 20" xfId="6454" xr:uid="{00000000-0005-0000-0000-00003B190000}"/>
    <cellStyle name="Normal 20 2" xfId="6455" xr:uid="{00000000-0005-0000-0000-00003C190000}"/>
    <cellStyle name="Normal 20 2 2" xfId="6456" xr:uid="{00000000-0005-0000-0000-00003D190000}"/>
    <cellStyle name="Normal 20 2 2 2" xfId="6457" xr:uid="{00000000-0005-0000-0000-00003E190000}"/>
    <cellStyle name="Normal 20 2 3" xfId="6458" xr:uid="{00000000-0005-0000-0000-00003F190000}"/>
    <cellStyle name="Normal 20 2 3 2" xfId="6459" xr:uid="{00000000-0005-0000-0000-000040190000}"/>
    <cellStyle name="Normal 20 2 4" xfId="6460" xr:uid="{00000000-0005-0000-0000-000041190000}"/>
    <cellStyle name="Normal 20 2 4 2" xfId="6461" xr:uid="{00000000-0005-0000-0000-000042190000}"/>
    <cellStyle name="Normal 20 2 5" xfId="6462" xr:uid="{00000000-0005-0000-0000-000043190000}"/>
    <cellStyle name="Normal 20 2 6" xfId="6463" xr:uid="{00000000-0005-0000-0000-000044190000}"/>
    <cellStyle name="Normal 20 3" xfId="6464" xr:uid="{00000000-0005-0000-0000-000045190000}"/>
    <cellStyle name="Normal 20 3 2" xfId="6465" xr:uid="{00000000-0005-0000-0000-000046190000}"/>
    <cellStyle name="Normal 20 3 3" xfId="6466" xr:uid="{00000000-0005-0000-0000-000047190000}"/>
    <cellStyle name="Normal 20 4" xfId="6467" xr:uid="{00000000-0005-0000-0000-000048190000}"/>
    <cellStyle name="Normal 20 4 2" xfId="6468" xr:uid="{00000000-0005-0000-0000-000049190000}"/>
    <cellStyle name="Normal 20 4 2 2" xfId="6469" xr:uid="{00000000-0005-0000-0000-00004A190000}"/>
    <cellStyle name="Normal 20 4 3" xfId="6470" xr:uid="{00000000-0005-0000-0000-00004B190000}"/>
    <cellStyle name="Normal 20 5" xfId="6471" xr:uid="{00000000-0005-0000-0000-00004C190000}"/>
    <cellStyle name="Normal 20 5 2" xfId="6472" xr:uid="{00000000-0005-0000-0000-00004D190000}"/>
    <cellStyle name="Normal 20 5 3" xfId="6473" xr:uid="{00000000-0005-0000-0000-00004E190000}"/>
    <cellStyle name="Normal 20 6" xfId="6474" xr:uid="{00000000-0005-0000-0000-00004F190000}"/>
    <cellStyle name="Normal 20 6 2" xfId="6475" xr:uid="{00000000-0005-0000-0000-000050190000}"/>
    <cellStyle name="Normal 20 7" xfId="6476" xr:uid="{00000000-0005-0000-0000-000051190000}"/>
    <cellStyle name="Normal 20 7 2" xfId="6477" xr:uid="{00000000-0005-0000-0000-000052190000}"/>
    <cellStyle name="Normal 20 8" xfId="6478" xr:uid="{00000000-0005-0000-0000-000053190000}"/>
    <cellStyle name="Normal 20 9" xfId="6479" xr:uid="{00000000-0005-0000-0000-000054190000}"/>
    <cellStyle name="Normal 21" xfId="6480" xr:uid="{00000000-0005-0000-0000-000055190000}"/>
    <cellStyle name="Normal 21 2" xfId="6481" xr:uid="{00000000-0005-0000-0000-000056190000}"/>
    <cellStyle name="Normal 21 2 2" xfId="6482" xr:uid="{00000000-0005-0000-0000-000057190000}"/>
    <cellStyle name="Normal 21 2 2 2" xfId="6483" xr:uid="{00000000-0005-0000-0000-000058190000}"/>
    <cellStyle name="Normal 21 2 3" xfId="6484" xr:uid="{00000000-0005-0000-0000-000059190000}"/>
    <cellStyle name="Normal 21 2 3 2" xfId="6485" xr:uid="{00000000-0005-0000-0000-00005A190000}"/>
    <cellStyle name="Normal 21 2 4" xfId="6486" xr:uid="{00000000-0005-0000-0000-00005B190000}"/>
    <cellStyle name="Normal 21 2 4 2" xfId="6487" xr:uid="{00000000-0005-0000-0000-00005C190000}"/>
    <cellStyle name="Normal 21 2 5" xfId="6488" xr:uid="{00000000-0005-0000-0000-00005D190000}"/>
    <cellStyle name="Normal 21 2 6" xfId="6489" xr:uid="{00000000-0005-0000-0000-00005E190000}"/>
    <cellStyle name="Normal 21 3" xfId="6490" xr:uid="{00000000-0005-0000-0000-00005F190000}"/>
    <cellStyle name="Normal 21 3 2" xfId="6491" xr:uid="{00000000-0005-0000-0000-000060190000}"/>
    <cellStyle name="Normal 21 3 2 2" xfId="6492" xr:uid="{00000000-0005-0000-0000-000061190000}"/>
    <cellStyle name="Normal 21 3 3" xfId="6493" xr:uid="{00000000-0005-0000-0000-000062190000}"/>
    <cellStyle name="Normal 21 4" xfId="6494" xr:uid="{00000000-0005-0000-0000-000063190000}"/>
    <cellStyle name="Normal 21 4 2" xfId="6495" xr:uid="{00000000-0005-0000-0000-000064190000}"/>
    <cellStyle name="Normal 21 4 3" xfId="6496" xr:uid="{00000000-0005-0000-0000-000065190000}"/>
    <cellStyle name="Normal 21 5" xfId="6497" xr:uid="{00000000-0005-0000-0000-000066190000}"/>
    <cellStyle name="Normal 21 5 2" xfId="6498" xr:uid="{00000000-0005-0000-0000-000067190000}"/>
    <cellStyle name="Normal 21 6" xfId="6499" xr:uid="{00000000-0005-0000-0000-000068190000}"/>
    <cellStyle name="Normal 21 7" xfId="6500" xr:uid="{00000000-0005-0000-0000-000069190000}"/>
    <cellStyle name="Normal 22" xfId="6501" xr:uid="{00000000-0005-0000-0000-00006A190000}"/>
    <cellStyle name="Normal 22 2" xfId="6502" xr:uid="{00000000-0005-0000-0000-00006B190000}"/>
    <cellStyle name="Normal 22 2 2" xfId="6503" xr:uid="{00000000-0005-0000-0000-00006C190000}"/>
    <cellStyle name="Normal 22 2 2 2" xfId="6504" xr:uid="{00000000-0005-0000-0000-00006D190000}"/>
    <cellStyle name="Normal 22 2 3" xfId="6505" xr:uid="{00000000-0005-0000-0000-00006E190000}"/>
    <cellStyle name="Normal 22 2 3 2" xfId="6506" xr:uid="{00000000-0005-0000-0000-00006F190000}"/>
    <cellStyle name="Normal 22 2 4" xfId="6507" xr:uid="{00000000-0005-0000-0000-000070190000}"/>
    <cellStyle name="Normal 22 2 5" xfId="6508" xr:uid="{00000000-0005-0000-0000-000071190000}"/>
    <cellStyle name="Normal 22 3" xfId="6509" xr:uid="{00000000-0005-0000-0000-000072190000}"/>
    <cellStyle name="Normal 22 3 2" xfId="6510" xr:uid="{00000000-0005-0000-0000-000073190000}"/>
    <cellStyle name="Normal 22 3 2 2" xfId="6511" xr:uid="{00000000-0005-0000-0000-000074190000}"/>
    <cellStyle name="Normal 22 3 3" xfId="6512" xr:uid="{00000000-0005-0000-0000-000075190000}"/>
    <cellStyle name="Normal 22 4" xfId="6513" xr:uid="{00000000-0005-0000-0000-000076190000}"/>
    <cellStyle name="Normal 22 4 2" xfId="6514" xr:uid="{00000000-0005-0000-0000-000077190000}"/>
    <cellStyle name="Normal 22 4 3" xfId="6515" xr:uid="{00000000-0005-0000-0000-000078190000}"/>
    <cellStyle name="Normal 22 5" xfId="6516" xr:uid="{00000000-0005-0000-0000-000079190000}"/>
    <cellStyle name="Normal 22 5 2" xfId="6517" xr:uid="{00000000-0005-0000-0000-00007A190000}"/>
    <cellStyle name="Normal 22 6" xfId="6518" xr:uid="{00000000-0005-0000-0000-00007B190000}"/>
    <cellStyle name="Normal 22 7" xfId="6519" xr:uid="{00000000-0005-0000-0000-00007C190000}"/>
    <cellStyle name="Normal 23" xfId="6520" xr:uid="{00000000-0005-0000-0000-00007D190000}"/>
    <cellStyle name="Normal 23 2" xfId="6521" xr:uid="{00000000-0005-0000-0000-00007E190000}"/>
    <cellStyle name="Normal 23 2 2" xfId="6522" xr:uid="{00000000-0005-0000-0000-00007F190000}"/>
    <cellStyle name="Normal 23 2 2 2" xfId="6523" xr:uid="{00000000-0005-0000-0000-000080190000}"/>
    <cellStyle name="Normal 23 2 3" xfId="6524" xr:uid="{00000000-0005-0000-0000-000081190000}"/>
    <cellStyle name="Normal 23 2 3 2" xfId="6525" xr:uid="{00000000-0005-0000-0000-000082190000}"/>
    <cellStyle name="Normal 23 2 4" xfId="6526" xr:uid="{00000000-0005-0000-0000-000083190000}"/>
    <cellStyle name="Normal 23 2 5" xfId="6527" xr:uid="{00000000-0005-0000-0000-000084190000}"/>
    <cellStyle name="Normal 23 3" xfId="6528" xr:uid="{00000000-0005-0000-0000-000085190000}"/>
    <cellStyle name="Normal 23 3 2" xfId="6529" xr:uid="{00000000-0005-0000-0000-000086190000}"/>
    <cellStyle name="Normal 23 3 2 2" xfId="6530" xr:uid="{00000000-0005-0000-0000-000087190000}"/>
    <cellStyle name="Normal 23 3 3" xfId="6531" xr:uid="{00000000-0005-0000-0000-000088190000}"/>
    <cellStyle name="Normal 23 3 3 2" xfId="6532" xr:uid="{00000000-0005-0000-0000-000089190000}"/>
    <cellStyle name="Normal 23 3 4" xfId="6533" xr:uid="{00000000-0005-0000-0000-00008A190000}"/>
    <cellStyle name="Normal 23 4" xfId="6534" xr:uid="{00000000-0005-0000-0000-00008B190000}"/>
    <cellStyle name="Normal 23 4 2" xfId="6535" xr:uid="{00000000-0005-0000-0000-00008C190000}"/>
    <cellStyle name="Normal 23 4 3" xfId="6536" xr:uid="{00000000-0005-0000-0000-00008D190000}"/>
    <cellStyle name="Normal 23 5" xfId="6537" xr:uid="{00000000-0005-0000-0000-00008E190000}"/>
    <cellStyle name="Normal 23 6" xfId="6538" xr:uid="{00000000-0005-0000-0000-00008F190000}"/>
    <cellStyle name="Normal 24" xfId="6539" xr:uid="{00000000-0005-0000-0000-000090190000}"/>
    <cellStyle name="Normal 24 2" xfId="6540" xr:uid="{00000000-0005-0000-0000-000091190000}"/>
    <cellStyle name="Normal 24 2 2" xfId="6541" xr:uid="{00000000-0005-0000-0000-000092190000}"/>
    <cellStyle name="Normal 24 2 2 2" xfId="6542" xr:uid="{00000000-0005-0000-0000-000093190000}"/>
    <cellStyle name="Normal 24 2 3" xfId="6543" xr:uid="{00000000-0005-0000-0000-000094190000}"/>
    <cellStyle name="Normal 24 2 3 2" xfId="6544" xr:uid="{00000000-0005-0000-0000-000095190000}"/>
    <cellStyle name="Normal 24 2 4" xfId="6545" xr:uid="{00000000-0005-0000-0000-000096190000}"/>
    <cellStyle name="Normal 24 2 5" xfId="6546" xr:uid="{00000000-0005-0000-0000-000097190000}"/>
    <cellStyle name="Normal 24 3" xfId="6547" xr:uid="{00000000-0005-0000-0000-000098190000}"/>
    <cellStyle name="Normal 24 3 2" xfId="6548" xr:uid="{00000000-0005-0000-0000-000099190000}"/>
    <cellStyle name="Normal 24 3 2 2" xfId="6549" xr:uid="{00000000-0005-0000-0000-00009A190000}"/>
    <cellStyle name="Normal 24 3 3" xfId="6550" xr:uid="{00000000-0005-0000-0000-00009B190000}"/>
    <cellStyle name="Normal 24 4" xfId="6551" xr:uid="{00000000-0005-0000-0000-00009C190000}"/>
    <cellStyle name="Normal 24 4 2" xfId="6552" xr:uid="{00000000-0005-0000-0000-00009D190000}"/>
    <cellStyle name="Normal 24 4 3" xfId="6553" xr:uid="{00000000-0005-0000-0000-00009E190000}"/>
    <cellStyle name="Normal 24 5" xfId="6554" xr:uid="{00000000-0005-0000-0000-00009F190000}"/>
    <cellStyle name="Normal 24 5 2" xfId="6555" xr:uid="{00000000-0005-0000-0000-0000A0190000}"/>
    <cellStyle name="Normal 24 6" xfId="6556" xr:uid="{00000000-0005-0000-0000-0000A1190000}"/>
    <cellStyle name="Normal 24 7" xfId="6557" xr:uid="{00000000-0005-0000-0000-0000A2190000}"/>
    <cellStyle name="Normal 25" xfId="6558" xr:uid="{00000000-0005-0000-0000-0000A3190000}"/>
    <cellStyle name="Normal 25 2" xfId="6559" xr:uid="{00000000-0005-0000-0000-0000A4190000}"/>
    <cellStyle name="Normal 25 2 2" xfId="6560" xr:uid="{00000000-0005-0000-0000-0000A5190000}"/>
    <cellStyle name="Normal 25 2 2 2" xfId="6561" xr:uid="{00000000-0005-0000-0000-0000A6190000}"/>
    <cellStyle name="Normal 25 2 3" xfId="6562" xr:uid="{00000000-0005-0000-0000-0000A7190000}"/>
    <cellStyle name="Normal 25 2 3 2" xfId="6563" xr:uid="{00000000-0005-0000-0000-0000A8190000}"/>
    <cellStyle name="Normal 25 2 4" xfId="6564" xr:uid="{00000000-0005-0000-0000-0000A9190000}"/>
    <cellStyle name="Normal 25 3" xfId="6565" xr:uid="{00000000-0005-0000-0000-0000AA190000}"/>
    <cellStyle name="Normal 25 3 2" xfId="6566" xr:uid="{00000000-0005-0000-0000-0000AB190000}"/>
    <cellStyle name="Normal 25 3 2 2" xfId="6567" xr:uid="{00000000-0005-0000-0000-0000AC190000}"/>
    <cellStyle name="Normal 25 3 3" xfId="6568" xr:uid="{00000000-0005-0000-0000-0000AD190000}"/>
    <cellStyle name="Normal 25 3 4" xfId="6569" xr:uid="{00000000-0005-0000-0000-0000AE190000}"/>
    <cellStyle name="Normal 25 4" xfId="6570" xr:uid="{00000000-0005-0000-0000-0000AF190000}"/>
    <cellStyle name="Normal 25 4 2" xfId="6571" xr:uid="{00000000-0005-0000-0000-0000B0190000}"/>
    <cellStyle name="Normal 25 5" xfId="6572" xr:uid="{00000000-0005-0000-0000-0000B1190000}"/>
    <cellStyle name="Normal 25 6" xfId="6573" xr:uid="{00000000-0005-0000-0000-0000B2190000}"/>
    <cellStyle name="Normal 26" xfId="6574" xr:uid="{00000000-0005-0000-0000-0000B3190000}"/>
    <cellStyle name="Normal 26 2" xfId="6575" xr:uid="{00000000-0005-0000-0000-0000B4190000}"/>
    <cellStyle name="Normal 26 2 2" xfId="6576" xr:uid="{00000000-0005-0000-0000-0000B5190000}"/>
    <cellStyle name="Normal 26 2 2 2" xfId="6577" xr:uid="{00000000-0005-0000-0000-0000B6190000}"/>
    <cellStyle name="Normal 26 2 3" xfId="6578" xr:uid="{00000000-0005-0000-0000-0000B7190000}"/>
    <cellStyle name="Normal 26 2 3 2" xfId="6579" xr:uid="{00000000-0005-0000-0000-0000B8190000}"/>
    <cellStyle name="Normal 26 2 4" xfId="6580" xr:uid="{00000000-0005-0000-0000-0000B9190000}"/>
    <cellStyle name="Normal 26 2 5" xfId="6581" xr:uid="{00000000-0005-0000-0000-0000BA190000}"/>
    <cellStyle name="Normal 26 3" xfId="6582" xr:uid="{00000000-0005-0000-0000-0000BB190000}"/>
    <cellStyle name="Normal 26 3 2" xfId="6583" xr:uid="{00000000-0005-0000-0000-0000BC190000}"/>
    <cellStyle name="Normal 26 4" xfId="6584" xr:uid="{00000000-0005-0000-0000-0000BD190000}"/>
    <cellStyle name="Normal 26 4 2" xfId="6585" xr:uid="{00000000-0005-0000-0000-0000BE190000}"/>
    <cellStyle name="Normal 26 5" xfId="6586" xr:uid="{00000000-0005-0000-0000-0000BF190000}"/>
    <cellStyle name="Normal 26 6" xfId="6587" xr:uid="{00000000-0005-0000-0000-0000C0190000}"/>
    <cellStyle name="Normal 27" xfId="6588" xr:uid="{00000000-0005-0000-0000-0000C1190000}"/>
    <cellStyle name="Normal 27 2" xfId="6589" xr:uid="{00000000-0005-0000-0000-0000C2190000}"/>
    <cellStyle name="Normal 27 2 2" xfId="6590" xr:uid="{00000000-0005-0000-0000-0000C3190000}"/>
    <cellStyle name="Normal 27 2 2 2" xfId="6591" xr:uid="{00000000-0005-0000-0000-0000C4190000}"/>
    <cellStyle name="Normal 27 2 2 2 2" xfId="6592" xr:uid="{00000000-0005-0000-0000-0000C5190000}"/>
    <cellStyle name="Normal 27 2 2 3" xfId="6593" xr:uid="{00000000-0005-0000-0000-0000C6190000}"/>
    <cellStyle name="Normal 27 2 3" xfId="6594" xr:uid="{00000000-0005-0000-0000-0000C7190000}"/>
    <cellStyle name="Normal 27 2 4" xfId="6595" xr:uid="{00000000-0005-0000-0000-0000C8190000}"/>
    <cellStyle name="Normal 27 3" xfId="6596" xr:uid="{00000000-0005-0000-0000-0000C9190000}"/>
    <cellStyle name="Normal 27 3 2" xfId="6597" xr:uid="{00000000-0005-0000-0000-0000CA190000}"/>
    <cellStyle name="Normal 27 3 2 2" xfId="6598" xr:uid="{00000000-0005-0000-0000-0000CB190000}"/>
    <cellStyle name="Normal 27 3 3" xfId="6599" xr:uid="{00000000-0005-0000-0000-0000CC190000}"/>
    <cellStyle name="Normal 27 3 3 2" xfId="6600" xr:uid="{00000000-0005-0000-0000-0000CD190000}"/>
    <cellStyle name="Normal 27 3 4" xfId="6601" xr:uid="{00000000-0005-0000-0000-0000CE190000}"/>
    <cellStyle name="Normal 27 3 5" xfId="6602" xr:uid="{00000000-0005-0000-0000-0000CF190000}"/>
    <cellStyle name="Normal 27 4" xfId="6603" xr:uid="{00000000-0005-0000-0000-0000D0190000}"/>
    <cellStyle name="Normal 27 4 2" xfId="6604" xr:uid="{00000000-0005-0000-0000-0000D1190000}"/>
    <cellStyle name="Normal 27 4 3" xfId="6605" xr:uid="{00000000-0005-0000-0000-0000D2190000}"/>
    <cellStyle name="Normal 27 5" xfId="6606" xr:uid="{00000000-0005-0000-0000-0000D3190000}"/>
    <cellStyle name="Normal 27 5 2" xfId="6607" xr:uid="{00000000-0005-0000-0000-0000D4190000}"/>
    <cellStyle name="Normal 27 6" xfId="6608" xr:uid="{00000000-0005-0000-0000-0000D5190000}"/>
    <cellStyle name="Normal 27 7" xfId="6609" xr:uid="{00000000-0005-0000-0000-0000D6190000}"/>
    <cellStyle name="Normal 28" xfId="6610" xr:uid="{00000000-0005-0000-0000-0000D7190000}"/>
    <cellStyle name="Normal 28 2" xfId="6611" xr:uid="{00000000-0005-0000-0000-0000D8190000}"/>
    <cellStyle name="Normal 28 2 2" xfId="6612" xr:uid="{00000000-0005-0000-0000-0000D9190000}"/>
    <cellStyle name="Normal 28 2 2 2" xfId="6613" xr:uid="{00000000-0005-0000-0000-0000DA190000}"/>
    <cellStyle name="Normal 28 2 3" xfId="6614" xr:uid="{00000000-0005-0000-0000-0000DB190000}"/>
    <cellStyle name="Normal 28 2 3 2" xfId="6615" xr:uid="{00000000-0005-0000-0000-0000DC190000}"/>
    <cellStyle name="Normal 28 2 4" xfId="6616" xr:uid="{00000000-0005-0000-0000-0000DD190000}"/>
    <cellStyle name="Normal 28 3" xfId="6617" xr:uid="{00000000-0005-0000-0000-0000DE190000}"/>
    <cellStyle name="Normal 28 3 2" xfId="6618" xr:uid="{00000000-0005-0000-0000-0000DF190000}"/>
    <cellStyle name="Normal 28 4" xfId="6619" xr:uid="{00000000-0005-0000-0000-0000E0190000}"/>
    <cellStyle name="Normal 28 4 2" xfId="6620" xr:uid="{00000000-0005-0000-0000-0000E1190000}"/>
    <cellStyle name="Normal 28 5" xfId="6621" xr:uid="{00000000-0005-0000-0000-0000E2190000}"/>
    <cellStyle name="Normal 28 6" xfId="6622" xr:uid="{00000000-0005-0000-0000-0000E3190000}"/>
    <cellStyle name="Normal 29" xfId="6623" xr:uid="{00000000-0005-0000-0000-0000E4190000}"/>
    <cellStyle name="Normal 29 2" xfId="6624" xr:uid="{00000000-0005-0000-0000-0000E5190000}"/>
    <cellStyle name="Normal 29 2 2" xfId="6625" xr:uid="{00000000-0005-0000-0000-0000E6190000}"/>
    <cellStyle name="Normal 29 2 2 2" xfId="6626" xr:uid="{00000000-0005-0000-0000-0000E7190000}"/>
    <cellStyle name="Normal 29 2 3" xfId="6627" xr:uid="{00000000-0005-0000-0000-0000E8190000}"/>
    <cellStyle name="Normal 29 3" xfId="6628" xr:uid="{00000000-0005-0000-0000-0000E9190000}"/>
    <cellStyle name="Normal 29 3 2" xfId="6629" xr:uid="{00000000-0005-0000-0000-0000EA190000}"/>
    <cellStyle name="Normal 29 4" xfId="6630" xr:uid="{00000000-0005-0000-0000-0000EB190000}"/>
    <cellStyle name="Normal 29 4 2" xfId="6631" xr:uid="{00000000-0005-0000-0000-0000EC190000}"/>
    <cellStyle name="Normal 29 5" xfId="6632" xr:uid="{00000000-0005-0000-0000-0000ED190000}"/>
    <cellStyle name="Normal 29 6" xfId="6633" xr:uid="{00000000-0005-0000-0000-0000EE190000}"/>
    <cellStyle name="Normal 3" xfId="6634" xr:uid="{00000000-0005-0000-0000-0000EF190000}"/>
    <cellStyle name="Normal 3 10" xfId="6635" xr:uid="{00000000-0005-0000-0000-0000F0190000}"/>
    <cellStyle name="Normal 3 11" xfId="6636" xr:uid="{00000000-0005-0000-0000-0000F1190000}"/>
    <cellStyle name="Normal 3 2" xfId="6637" xr:uid="{00000000-0005-0000-0000-0000F2190000}"/>
    <cellStyle name="Normal 3 2 10" xfId="6638" xr:uid="{00000000-0005-0000-0000-0000F3190000}"/>
    <cellStyle name="Normal 3 2 2" xfId="6639" xr:uid="{00000000-0005-0000-0000-0000F4190000}"/>
    <cellStyle name="Normal 3 2 2 2" xfId="6640" xr:uid="{00000000-0005-0000-0000-0000F5190000}"/>
    <cellStyle name="Normal 3 2 2 2 2" xfId="6641" xr:uid="{00000000-0005-0000-0000-0000F6190000}"/>
    <cellStyle name="Normal 3 2 2 2 2 2" xfId="6642" xr:uid="{00000000-0005-0000-0000-0000F7190000}"/>
    <cellStyle name="Normal 3 2 2 2 2 2 2" xfId="6643" xr:uid="{00000000-0005-0000-0000-0000F8190000}"/>
    <cellStyle name="Normal 3 2 2 2 2 3" xfId="6644" xr:uid="{00000000-0005-0000-0000-0000F9190000}"/>
    <cellStyle name="Normal 3 2 2 2 3" xfId="6645" xr:uid="{00000000-0005-0000-0000-0000FA190000}"/>
    <cellStyle name="Normal 3 2 2 2 3 2" xfId="6646" xr:uid="{00000000-0005-0000-0000-0000FB190000}"/>
    <cellStyle name="Normal 3 2 2 2 3 2 2" xfId="6647" xr:uid="{00000000-0005-0000-0000-0000FC190000}"/>
    <cellStyle name="Normal 3 2 2 2 3 3" xfId="6648" xr:uid="{00000000-0005-0000-0000-0000FD190000}"/>
    <cellStyle name="Normal 3 2 2 2 4" xfId="6649" xr:uid="{00000000-0005-0000-0000-0000FE190000}"/>
    <cellStyle name="Normal 3 2 2 2 4 2" xfId="6650" xr:uid="{00000000-0005-0000-0000-0000FF190000}"/>
    <cellStyle name="Normal 3 2 2 2 5" xfId="6651" xr:uid="{00000000-0005-0000-0000-0000001A0000}"/>
    <cellStyle name="Normal 3 2 2 3" xfId="6652" xr:uid="{00000000-0005-0000-0000-0000011A0000}"/>
    <cellStyle name="Normal 3 2 2 3 2" xfId="6653" xr:uid="{00000000-0005-0000-0000-0000021A0000}"/>
    <cellStyle name="Normal 3 2 2 3 2 2" xfId="6654" xr:uid="{00000000-0005-0000-0000-0000031A0000}"/>
    <cellStyle name="Normal 3 2 2 3 3" xfId="6655" xr:uid="{00000000-0005-0000-0000-0000041A0000}"/>
    <cellStyle name="Normal 3 2 2 3 3 2" xfId="6656" xr:uid="{00000000-0005-0000-0000-0000051A0000}"/>
    <cellStyle name="Normal 3 2 2 3 4" xfId="6657" xr:uid="{00000000-0005-0000-0000-0000061A0000}"/>
    <cellStyle name="Normal 3 2 2 4" xfId="6658" xr:uid="{00000000-0005-0000-0000-0000071A0000}"/>
    <cellStyle name="Normal 3 2 2 4 2" xfId="6659" xr:uid="{00000000-0005-0000-0000-0000081A0000}"/>
    <cellStyle name="Normal 3 2 2 4 2 2" xfId="6660" xr:uid="{00000000-0005-0000-0000-0000091A0000}"/>
    <cellStyle name="Normal 3 2 2 4 3" xfId="6661" xr:uid="{00000000-0005-0000-0000-00000A1A0000}"/>
    <cellStyle name="Normal 3 2 2 5" xfId="6662" xr:uid="{00000000-0005-0000-0000-00000B1A0000}"/>
    <cellStyle name="Normal 3 2 2 5 2" xfId="6663" xr:uid="{00000000-0005-0000-0000-00000C1A0000}"/>
    <cellStyle name="Normal 3 2 2 6" xfId="6664" xr:uid="{00000000-0005-0000-0000-00000D1A0000}"/>
    <cellStyle name="Normal 3 2 2 6 2" xfId="6665" xr:uid="{00000000-0005-0000-0000-00000E1A0000}"/>
    <cellStyle name="Normal 3 2 2 7" xfId="6666" xr:uid="{00000000-0005-0000-0000-00000F1A0000}"/>
    <cellStyle name="Normal 3 2 2 7 2" xfId="6667" xr:uid="{00000000-0005-0000-0000-0000101A0000}"/>
    <cellStyle name="Normal 3 2 2 8" xfId="6668" xr:uid="{00000000-0005-0000-0000-0000111A0000}"/>
    <cellStyle name="Normal 3 2 2 9" xfId="6669" xr:uid="{00000000-0005-0000-0000-0000121A0000}"/>
    <cellStyle name="Normal 3 2 3" xfId="6670" xr:uid="{00000000-0005-0000-0000-0000131A0000}"/>
    <cellStyle name="Normal 3 2 3 2" xfId="6671" xr:uid="{00000000-0005-0000-0000-0000141A0000}"/>
    <cellStyle name="Normal 3 2 3 2 2" xfId="6672" xr:uid="{00000000-0005-0000-0000-0000151A0000}"/>
    <cellStyle name="Normal 3 2 3 2 2 2" xfId="6673" xr:uid="{00000000-0005-0000-0000-0000161A0000}"/>
    <cellStyle name="Normal 3 2 3 2 3" xfId="6674" xr:uid="{00000000-0005-0000-0000-0000171A0000}"/>
    <cellStyle name="Normal 3 2 3 3" xfId="6675" xr:uid="{00000000-0005-0000-0000-0000181A0000}"/>
    <cellStyle name="Normal 3 2 3 3 2" xfId="6676" xr:uid="{00000000-0005-0000-0000-0000191A0000}"/>
    <cellStyle name="Normal 3 2 3 3 2 2" xfId="6677" xr:uid="{00000000-0005-0000-0000-00001A1A0000}"/>
    <cellStyle name="Normal 3 2 3 3 3" xfId="6678" xr:uid="{00000000-0005-0000-0000-00001B1A0000}"/>
    <cellStyle name="Normal 3 2 3 4" xfId="6679" xr:uid="{00000000-0005-0000-0000-00001C1A0000}"/>
    <cellStyle name="Normal 3 2 3 4 2" xfId="6680" xr:uid="{00000000-0005-0000-0000-00001D1A0000}"/>
    <cellStyle name="Normal 3 2 3 5" xfId="6681" xr:uid="{00000000-0005-0000-0000-00001E1A0000}"/>
    <cellStyle name="Normal 3 2 3 5 2" xfId="6682" xr:uid="{00000000-0005-0000-0000-00001F1A0000}"/>
    <cellStyle name="Normal 3 2 3 6" xfId="6683" xr:uid="{00000000-0005-0000-0000-0000201A0000}"/>
    <cellStyle name="Normal 3 2 4" xfId="6684" xr:uid="{00000000-0005-0000-0000-0000211A0000}"/>
    <cellStyle name="Normal 3 2 4 2" xfId="6685" xr:uid="{00000000-0005-0000-0000-0000221A0000}"/>
    <cellStyle name="Normal 3 2 4 2 2" xfId="6686" xr:uid="{00000000-0005-0000-0000-0000231A0000}"/>
    <cellStyle name="Normal 3 2 4 3" xfId="6687" xr:uid="{00000000-0005-0000-0000-0000241A0000}"/>
    <cellStyle name="Normal 3 2 4 3 2" xfId="6688" xr:uid="{00000000-0005-0000-0000-0000251A0000}"/>
    <cellStyle name="Normal 3 2 4 4" xfId="6689" xr:uid="{00000000-0005-0000-0000-0000261A0000}"/>
    <cellStyle name="Normal 3 2 5" xfId="6690" xr:uid="{00000000-0005-0000-0000-0000271A0000}"/>
    <cellStyle name="Normal 3 2 5 2" xfId="6691" xr:uid="{00000000-0005-0000-0000-0000281A0000}"/>
    <cellStyle name="Normal 3 2 5 2 2" xfId="6692" xr:uid="{00000000-0005-0000-0000-0000291A0000}"/>
    <cellStyle name="Normal 3 2 5 3" xfId="6693" xr:uid="{00000000-0005-0000-0000-00002A1A0000}"/>
    <cellStyle name="Normal 3 2 5 3 2" xfId="6694" xr:uid="{00000000-0005-0000-0000-00002B1A0000}"/>
    <cellStyle name="Normal 3 2 5 4" xfId="6695" xr:uid="{00000000-0005-0000-0000-00002C1A0000}"/>
    <cellStyle name="Normal 3 2 6" xfId="6696" xr:uid="{00000000-0005-0000-0000-00002D1A0000}"/>
    <cellStyle name="Normal 3 2 6 2" xfId="6697" xr:uid="{00000000-0005-0000-0000-00002E1A0000}"/>
    <cellStyle name="Normal 3 2 7" xfId="6698" xr:uid="{00000000-0005-0000-0000-00002F1A0000}"/>
    <cellStyle name="Normal 3 2 7 2" xfId="6699" xr:uid="{00000000-0005-0000-0000-0000301A0000}"/>
    <cellStyle name="Normal 3 2 8" xfId="6700" xr:uid="{00000000-0005-0000-0000-0000311A0000}"/>
    <cellStyle name="Normal 3 2 8 2" xfId="6701" xr:uid="{00000000-0005-0000-0000-0000321A0000}"/>
    <cellStyle name="Normal 3 2 9" xfId="6702" xr:uid="{00000000-0005-0000-0000-0000331A0000}"/>
    <cellStyle name="Normal 3 3" xfId="6703" xr:uid="{00000000-0005-0000-0000-0000341A0000}"/>
    <cellStyle name="Normal 3 3 2" xfId="6704" xr:uid="{00000000-0005-0000-0000-0000351A0000}"/>
    <cellStyle name="Normal 3 3 2 2" xfId="6705" xr:uid="{00000000-0005-0000-0000-0000361A0000}"/>
    <cellStyle name="Normal 3 3 2 2 2" xfId="6706" xr:uid="{00000000-0005-0000-0000-0000371A0000}"/>
    <cellStyle name="Normal 3 3 2 3" xfId="6707" xr:uid="{00000000-0005-0000-0000-0000381A0000}"/>
    <cellStyle name="Normal 3 3 2 4" xfId="6708" xr:uid="{00000000-0005-0000-0000-0000391A0000}"/>
    <cellStyle name="Normal 3 3 3" xfId="6709" xr:uid="{00000000-0005-0000-0000-00003A1A0000}"/>
    <cellStyle name="Normal 3 3 3 2" xfId="6710" xr:uid="{00000000-0005-0000-0000-00003B1A0000}"/>
    <cellStyle name="Normal 3 3 3 2 2" xfId="6711" xr:uid="{00000000-0005-0000-0000-00003C1A0000}"/>
    <cellStyle name="Normal 3 3 3 3" xfId="6712" xr:uid="{00000000-0005-0000-0000-00003D1A0000}"/>
    <cellStyle name="Normal 3 3 4" xfId="6713" xr:uid="{00000000-0005-0000-0000-00003E1A0000}"/>
    <cellStyle name="Normal 3 3 4 2" xfId="6714" xr:uid="{00000000-0005-0000-0000-00003F1A0000}"/>
    <cellStyle name="Normal 3 3 4 2 2" xfId="6715" xr:uid="{00000000-0005-0000-0000-0000401A0000}"/>
    <cellStyle name="Normal 3 3 4 3" xfId="6716" xr:uid="{00000000-0005-0000-0000-0000411A0000}"/>
    <cellStyle name="Normal 3 3 5" xfId="6717" xr:uid="{00000000-0005-0000-0000-0000421A0000}"/>
    <cellStyle name="Normal 3 3 5 2" xfId="6718" xr:uid="{00000000-0005-0000-0000-0000431A0000}"/>
    <cellStyle name="Normal 3 3 6" xfId="6719" xr:uid="{00000000-0005-0000-0000-0000441A0000}"/>
    <cellStyle name="Normal 3 4" xfId="6720" xr:uid="{00000000-0005-0000-0000-0000451A0000}"/>
    <cellStyle name="Normal 3 4 2" xfId="6721" xr:uid="{00000000-0005-0000-0000-0000461A0000}"/>
    <cellStyle name="Normal 3 4 2 2" xfId="6722" xr:uid="{00000000-0005-0000-0000-0000471A0000}"/>
    <cellStyle name="Normal 3 4 3" xfId="6723" xr:uid="{00000000-0005-0000-0000-0000481A0000}"/>
    <cellStyle name="Normal 3 4 3 2" xfId="6724" xr:uid="{00000000-0005-0000-0000-0000491A0000}"/>
    <cellStyle name="Normal 3 4 4" xfId="6725" xr:uid="{00000000-0005-0000-0000-00004A1A0000}"/>
    <cellStyle name="Normal 3 4 4 2" xfId="6726" xr:uid="{00000000-0005-0000-0000-00004B1A0000}"/>
    <cellStyle name="Normal 3 4 5" xfId="6727" xr:uid="{00000000-0005-0000-0000-00004C1A0000}"/>
    <cellStyle name="Normal 3 4 6" xfId="6728" xr:uid="{00000000-0005-0000-0000-00004D1A0000}"/>
    <cellStyle name="Normal 3 5" xfId="6729" xr:uid="{00000000-0005-0000-0000-00004E1A0000}"/>
    <cellStyle name="Normal 3 5 2" xfId="6730" xr:uid="{00000000-0005-0000-0000-00004F1A0000}"/>
    <cellStyle name="Normal 3 5 2 2" xfId="6731" xr:uid="{00000000-0005-0000-0000-0000501A0000}"/>
    <cellStyle name="Normal 3 5 3" xfId="6732" xr:uid="{00000000-0005-0000-0000-0000511A0000}"/>
    <cellStyle name="Normal 3 5 4" xfId="6733" xr:uid="{00000000-0005-0000-0000-0000521A0000}"/>
    <cellStyle name="Normal 3 6" xfId="6734" xr:uid="{00000000-0005-0000-0000-0000531A0000}"/>
    <cellStyle name="Normal 3 6 2" xfId="6735" xr:uid="{00000000-0005-0000-0000-0000541A0000}"/>
    <cellStyle name="Normal 3 7" xfId="6736" xr:uid="{00000000-0005-0000-0000-0000551A0000}"/>
    <cellStyle name="Normal 3 7 2" xfId="6737" xr:uid="{00000000-0005-0000-0000-0000561A0000}"/>
    <cellStyle name="Normal 3 8" xfId="6738" xr:uid="{00000000-0005-0000-0000-0000571A0000}"/>
    <cellStyle name="Normal 3 9" xfId="6739" xr:uid="{00000000-0005-0000-0000-0000581A0000}"/>
    <cellStyle name="Normal 3_10051" xfId="6740" xr:uid="{00000000-0005-0000-0000-0000591A0000}"/>
    <cellStyle name="Normal 30" xfId="6741" xr:uid="{00000000-0005-0000-0000-00005A1A0000}"/>
    <cellStyle name="Normal 30 2" xfId="6742" xr:uid="{00000000-0005-0000-0000-00005B1A0000}"/>
    <cellStyle name="Normal 30 2 2" xfId="6743" xr:uid="{00000000-0005-0000-0000-00005C1A0000}"/>
    <cellStyle name="Normal 30 3" xfId="6744" xr:uid="{00000000-0005-0000-0000-00005D1A0000}"/>
    <cellStyle name="Normal 30 3 2" xfId="6745" xr:uid="{00000000-0005-0000-0000-00005E1A0000}"/>
    <cellStyle name="Normal 30 4" xfId="6746" xr:uid="{00000000-0005-0000-0000-00005F1A0000}"/>
    <cellStyle name="Normal 30 4 2" xfId="6747" xr:uid="{00000000-0005-0000-0000-0000601A0000}"/>
    <cellStyle name="Normal 30 5" xfId="6748" xr:uid="{00000000-0005-0000-0000-0000611A0000}"/>
    <cellStyle name="Normal 30 6" xfId="6749" xr:uid="{00000000-0005-0000-0000-0000621A0000}"/>
    <cellStyle name="Normal 31" xfId="6750" xr:uid="{00000000-0005-0000-0000-0000631A0000}"/>
    <cellStyle name="Normal 31 10" xfId="6751" xr:uid="{00000000-0005-0000-0000-0000641A0000}"/>
    <cellStyle name="Normal 31 2" xfId="6752" xr:uid="{00000000-0005-0000-0000-0000651A0000}"/>
    <cellStyle name="Normal 31 2 2" xfId="6753" xr:uid="{00000000-0005-0000-0000-0000661A0000}"/>
    <cellStyle name="Normal 31 2 2 2" xfId="6754" xr:uid="{00000000-0005-0000-0000-0000671A0000}"/>
    <cellStyle name="Normal 31 2 2 2 2" xfId="6755" xr:uid="{00000000-0005-0000-0000-0000681A0000}"/>
    <cellStyle name="Normal 31 2 2 2 2 2" xfId="6756" xr:uid="{00000000-0005-0000-0000-0000691A0000}"/>
    <cellStyle name="Normal 31 2 2 2 2 2 2" xfId="6757" xr:uid="{00000000-0005-0000-0000-00006A1A0000}"/>
    <cellStyle name="Normal 31 2 2 2 2 2 2 2" xfId="6758" xr:uid="{00000000-0005-0000-0000-00006B1A0000}"/>
    <cellStyle name="Normal 31 2 2 2 2 2 3" xfId="6759" xr:uid="{00000000-0005-0000-0000-00006C1A0000}"/>
    <cellStyle name="Normal 31 2 2 2 2 3" xfId="6760" xr:uid="{00000000-0005-0000-0000-00006D1A0000}"/>
    <cellStyle name="Normal 31 2 2 2 2 3 2" xfId="6761" xr:uid="{00000000-0005-0000-0000-00006E1A0000}"/>
    <cellStyle name="Normal 31 2 2 2 2 3 2 2" xfId="6762" xr:uid="{00000000-0005-0000-0000-00006F1A0000}"/>
    <cellStyle name="Normal 31 2 2 2 2 3 3" xfId="6763" xr:uid="{00000000-0005-0000-0000-0000701A0000}"/>
    <cellStyle name="Normal 31 2 2 2 2 4" xfId="6764" xr:uid="{00000000-0005-0000-0000-0000711A0000}"/>
    <cellStyle name="Normal 31 2 2 2 2 4 2" xfId="6765" xr:uid="{00000000-0005-0000-0000-0000721A0000}"/>
    <cellStyle name="Normal 31 2 2 2 2 5" xfId="6766" xr:uid="{00000000-0005-0000-0000-0000731A0000}"/>
    <cellStyle name="Normal 31 2 2 2 3" xfId="6767" xr:uid="{00000000-0005-0000-0000-0000741A0000}"/>
    <cellStyle name="Normal 31 2 2 2 3 2" xfId="6768" xr:uid="{00000000-0005-0000-0000-0000751A0000}"/>
    <cellStyle name="Normal 31 2 2 2 3 2 2" xfId="6769" xr:uid="{00000000-0005-0000-0000-0000761A0000}"/>
    <cellStyle name="Normal 31 2 2 2 3 3" xfId="6770" xr:uid="{00000000-0005-0000-0000-0000771A0000}"/>
    <cellStyle name="Normal 31 2 2 2 4" xfId="6771" xr:uid="{00000000-0005-0000-0000-0000781A0000}"/>
    <cellStyle name="Normal 31 2 2 2 4 2" xfId="6772" xr:uid="{00000000-0005-0000-0000-0000791A0000}"/>
    <cellStyle name="Normal 31 2 2 2 4 2 2" xfId="6773" xr:uid="{00000000-0005-0000-0000-00007A1A0000}"/>
    <cellStyle name="Normal 31 2 2 2 4 3" xfId="6774" xr:uid="{00000000-0005-0000-0000-00007B1A0000}"/>
    <cellStyle name="Normal 31 2 2 2 5" xfId="6775" xr:uid="{00000000-0005-0000-0000-00007C1A0000}"/>
    <cellStyle name="Normal 31 2 2 2 5 2" xfId="6776" xr:uid="{00000000-0005-0000-0000-00007D1A0000}"/>
    <cellStyle name="Normal 31 2 2 2 6" xfId="6777" xr:uid="{00000000-0005-0000-0000-00007E1A0000}"/>
    <cellStyle name="Normal 31 2 2 3" xfId="6778" xr:uid="{00000000-0005-0000-0000-00007F1A0000}"/>
    <cellStyle name="Normal 31 2 2 3 2" xfId="6779" xr:uid="{00000000-0005-0000-0000-0000801A0000}"/>
    <cellStyle name="Normal 31 2 2 3 2 2" xfId="6780" xr:uid="{00000000-0005-0000-0000-0000811A0000}"/>
    <cellStyle name="Normal 31 2 2 3 2 2 2" xfId="6781" xr:uid="{00000000-0005-0000-0000-0000821A0000}"/>
    <cellStyle name="Normal 31 2 2 3 2 3" xfId="6782" xr:uid="{00000000-0005-0000-0000-0000831A0000}"/>
    <cellStyle name="Normal 31 2 2 3 3" xfId="6783" xr:uid="{00000000-0005-0000-0000-0000841A0000}"/>
    <cellStyle name="Normal 31 2 2 3 3 2" xfId="6784" xr:uid="{00000000-0005-0000-0000-0000851A0000}"/>
    <cellStyle name="Normal 31 2 2 3 3 2 2" xfId="6785" xr:uid="{00000000-0005-0000-0000-0000861A0000}"/>
    <cellStyle name="Normal 31 2 2 3 3 3" xfId="6786" xr:uid="{00000000-0005-0000-0000-0000871A0000}"/>
    <cellStyle name="Normal 31 2 2 3 4" xfId="6787" xr:uid="{00000000-0005-0000-0000-0000881A0000}"/>
    <cellStyle name="Normal 31 2 2 3 4 2" xfId="6788" xr:uid="{00000000-0005-0000-0000-0000891A0000}"/>
    <cellStyle name="Normal 31 2 2 3 5" xfId="6789" xr:uid="{00000000-0005-0000-0000-00008A1A0000}"/>
    <cellStyle name="Normal 31 2 2 4" xfId="6790" xr:uid="{00000000-0005-0000-0000-00008B1A0000}"/>
    <cellStyle name="Normal 31 2 2 4 2" xfId="6791" xr:uid="{00000000-0005-0000-0000-00008C1A0000}"/>
    <cellStyle name="Normal 31 2 2 4 2 2" xfId="6792" xr:uid="{00000000-0005-0000-0000-00008D1A0000}"/>
    <cellStyle name="Normal 31 2 2 4 3" xfId="6793" xr:uid="{00000000-0005-0000-0000-00008E1A0000}"/>
    <cellStyle name="Normal 31 2 2 5" xfId="6794" xr:uid="{00000000-0005-0000-0000-00008F1A0000}"/>
    <cellStyle name="Normal 31 2 2 5 2" xfId="6795" xr:uid="{00000000-0005-0000-0000-0000901A0000}"/>
    <cellStyle name="Normal 31 2 2 5 2 2" xfId="6796" xr:uid="{00000000-0005-0000-0000-0000911A0000}"/>
    <cellStyle name="Normal 31 2 2 5 3" xfId="6797" xr:uid="{00000000-0005-0000-0000-0000921A0000}"/>
    <cellStyle name="Normal 31 2 2 6" xfId="6798" xr:uid="{00000000-0005-0000-0000-0000931A0000}"/>
    <cellStyle name="Normal 31 2 2 6 2" xfId="6799" xr:uid="{00000000-0005-0000-0000-0000941A0000}"/>
    <cellStyle name="Normal 31 2 2 7" xfId="6800" xr:uid="{00000000-0005-0000-0000-0000951A0000}"/>
    <cellStyle name="Normal 31 2 3" xfId="6801" xr:uid="{00000000-0005-0000-0000-0000961A0000}"/>
    <cellStyle name="Normal 31 2 3 2" xfId="6802" xr:uid="{00000000-0005-0000-0000-0000971A0000}"/>
    <cellStyle name="Normal 31 2 3 2 2" xfId="6803" xr:uid="{00000000-0005-0000-0000-0000981A0000}"/>
    <cellStyle name="Normal 31 2 3 2 2 2" xfId="6804" xr:uid="{00000000-0005-0000-0000-0000991A0000}"/>
    <cellStyle name="Normal 31 2 3 2 2 2 2" xfId="6805" xr:uid="{00000000-0005-0000-0000-00009A1A0000}"/>
    <cellStyle name="Normal 31 2 3 2 2 3" xfId="6806" xr:uid="{00000000-0005-0000-0000-00009B1A0000}"/>
    <cellStyle name="Normal 31 2 3 2 3" xfId="6807" xr:uid="{00000000-0005-0000-0000-00009C1A0000}"/>
    <cellStyle name="Normal 31 2 3 2 3 2" xfId="6808" xr:uid="{00000000-0005-0000-0000-00009D1A0000}"/>
    <cellStyle name="Normal 31 2 3 2 3 2 2" xfId="6809" xr:uid="{00000000-0005-0000-0000-00009E1A0000}"/>
    <cellStyle name="Normal 31 2 3 2 3 3" xfId="6810" xr:uid="{00000000-0005-0000-0000-00009F1A0000}"/>
    <cellStyle name="Normal 31 2 3 2 4" xfId="6811" xr:uid="{00000000-0005-0000-0000-0000A01A0000}"/>
    <cellStyle name="Normal 31 2 3 2 4 2" xfId="6812" xr:uid="{00000000-0005-0000-0000-0000A11A0000}"/>
    <cellStyle name="Normal 31 2 3 2 5" xfId="6813" xr:uid="{00000000-0005-0000-0000-0000A21A0000}"/>
    <cellStyle name="Normal 31 2 3 3" xfId="6814" xr:uid="{00000000-0005-0000-0000-0000A31A0000}"/>
    <cellStyle name="Normal 31 2 3 3 2" xfId="6815" xr:uid="{00000000-0005-0000-0000-0000A41A0000}"/>
    <cellStyle name="Normal 31 2 3 3 2 2" xfId="6816" xr:uid="{00000000-0005-0000-0000-0000A51A0000}"/>
    <cellStyle name="Normal 31 2 3 3 3" xfId="6817" xr:uid="{00000000-0005-0000-0000-0000A61A0000}"/>
    <cellStyle name="Normal 31 2 3 4" xfId="6818" xr:uid="{00000000-0005-0000-0000-0000A71A0000}"/>
    <cellStyle name="Normal 31 2 3 4 2" xfId="6819" xr:uid="{00000000-0005-0000-0000-0000A81A0000}"/>
    <cellStyle name="Normal 31 2 3 4 2 2" xfId="6820" xr:uid="{00000000-0005-0000-0000-0000A91A0000}"/>
    <cellStyle name="Normal 31 2 3 4 3" xfId="6821" xr:uid="{00000000-0005-0000-0000-0000AA1A0000}"/>
    <cellStyle name="Normal 31 2 3 5" xfId="6822" xr:uid="{00000000-0005-0000-0000-0000AB1A0000}"/>
    <cellStyle name="Normal 31 2 3 5 2" xfId="6823" xr:uid="{00000000-0005-0000-0000-0000AC1A0000}"/>
    <cellStyle name="Normal 31 2 3 6" xfId="6824" xr:uid="{00000000-0005-0000-0000-0000AD1A0000}"/>
    <cellStyle name="Normal 31 2 4" xfId="6825" xr:uid="{00000000-0005-0000-0000-0000AE1A0000}"/>
    <cellStyle name="Normal 31 2 4 2" xfId="6826" xr:uid="{00000000-0005-0000-0000-0000AF1A0000}"/>
    <cellStyle name="Normal 31 2 4 2 2" xfId="6827" xr:uid="{00000000-0005-0000-0000-0000B01A0000}"/>
    <cellStyle name="Normal 31 2 4 2 2 2" xfId="6828" xr:uid="{00000000-0005-0000-0000-0000B11A0000}"/>
    <cellStyle name="Normal 31 2 4 2 3" xfId="6829" xr:uid="{00000000-0005-0000-0000-0000B21A0000}"/>
    <cellStyle name="Normal 31 2 4 3" xfId="6830" xr:uid="{00000000-0005-0000-0000-0000B31A0000}"/>
    <cellStyle name="Normal 31 2 4 3 2" xfId="6831" xr:uid="{00000000-0005-0000-0000-0000B41A0000}"/>
    <cellStyle name="Normal 31 2 4 3 2 2" xfId="6832" xr:uid="{00000000-0005-0000-0000-0000B51A0000}"/>
    <cellStyle name="Normal 31 2 4 3 3" xfId="6833" xr:uid="{00000000-0005-0000-0000-0000B61A0000}"/>
    <cellStyle name="Normal 31 2 4 4" xfId="6834" xr:uid="{00000000-0005-0000-0000-0000B71A0000}"/>
    <cellStyle name="Normal 31 2 4 4 2" xfId="6835" xr:uid="{00000000-0005-0000-0000-0000B81A0000}"/>
    <cellStyle name="Normal 31 2 4 5" xfId="6836" xr:uid="{00000000-0005-0000-0000-0000B91A0000}"/>
    <cellStyle name="Normal 31 2 5" xfId="6837" xr:uid="{00000000-0005-0000-0000-0000BA1A0000}"/>
    <cellStyle name="Normal 31 2 5 2" xfId="6838" xr:uid="{00000000-0005-0000-0000-0000BB1A0000}"/>
    <cellStyle name="Normal 31 2 5 2 2" xfId="6839" xr:uid="{00000000-0005-0000-0000-0000BC1A0000}"/>
    <cellStyle name="Normal 31 2 5 3" xfId="6840" xr:uid="{00000000-0005-0000-0000-0000BD1A0000}"/>
    <cellStyle name="Normal 31 2 6" xfId="6841" xr:uid="{00000000-0005-0000-0000-0000BE1A0000}"/>
    <cellStyle name="Normal 31 2 6 2" xfId="6842" xr:uid="{00000000-0005-0000-0000-0000BF1A0000}"/>
    <cellStyle name="Normal 31 2 6 2 2" xfId="6843" xr:uid="{00000000-0005-0000-0000-0000C01A0000}"/>
    <cellStyle name="Normal 31 2 6 3" xfId="6844" xr:uid="{00000000-0005-0000-0000-0000C11A0000}"/>
    <cellStyle name="Normal 31 2 7" xfId="6845" xr:uid="{00000000-0005-0000-0000-0000C21A0000}"/>
    <cellStyle name="Normal 31 2 7 2" xfId="6846" xr:uid="{00000000-0005-0000-0000-0000C31A0000}"/>
    <cellStyle name="Normal 31 2 8" xfId="6847" xr:uid="{00000000-0005-0000-0000-0000C41A0000}"/>
    <cellStyle name="Normal 31 2 9" xfId="6848" xr:uid="{00000000-0005-0000-0000-0000C51A0000}"/>
    <cellStyle name="Normal 31 3" xfId="6849" xr:uid="{00000000-0005-0000-0000-0000C61A0000}"/>
    <cellStyle name="Normal 31 3 2" xfId="6850" xr:uid="{00000000-0005-0000-0000-0000C71A0000}"/>
    <cellStyle name="Normal 31 3 2 2" xfId="6851" xr:uid="{00000000-0005-0000-0000-0000C81A0000}"/>
    <cellStyle name="Normal 31 3 2 2 2" xfId="6852" xr:uid="{00000000-0005-0000-0000-0000C91A0000}"/>
    <cellStyle name="Normal 31 3 2 2 2 2" xfId="6853" xr:uid="{00000000-0005-0000-0000-0000CA1A0000}"/>
    <cellStyle name="Normal 31 3 2 2 2 2 2" xfId="6854" xr:uid="{00000000-0005-0000-0000-0000CB1A0000}"/>
    <cellStyle name="Normal 31 3 2 2 2 3" xfId="6855" xr:uid="{00000000-0005-0000-0000-0000CC1A0000}"/>
    <cellStyle name="Normal 31 3 2 2 3" xfId="6856" xr:uid="{00000000-0005-0000-0000-0000CD1A0000}"/>
    <cellStyle name="Normal 31 3 2 2 3 2" xfId="6857" xr:uid="{00000000-0005-0000-0000-0000CE1A0000}"/>
    <cellStyle name="Normal 31 3 2 2 3 2 2" xfId="6858" xr:uid="{00000000-0005-0000-0000-0000CF1A0000}"/>
    <cellStyle name="Normal 31 3 2 2 3 3" xfId="6859" xr:uid="{00000000-0005-0000-0000-0000D01A0000}"/>
    <cellStyle name="Normal 31 3 2 2 4" xfId="6860" xr:uid="{00000000-0005-0000-0000-0000D11A0000}"/>
    <cellStyle name="Normal 31 3 2 2 4 2" xfId="6861" xr:uid="{00000000-0005-0000-0000-0000D21A0000}"/>
    <cellStyle name="Normal 31 3 2 2 5" xfId="6862" xr:uid="{00000000-0005-0000-0000-0000D31A0000}"/>
    <cellStyle name="Normal 31 3 2 3" xfId="6863" xr:uid="{00000000-0005-0000-0000-0000D41A0000}"/>
    <cellStyle name="Normal 31 3 2 3 2" xfId="6864" xr:uid="{00000000-0005-0000-0000-0000D51A0000}"/>
    <cellStyle name="Normal 31 3 2 3 2 2" xfId="6865" xr:uid="{00000000-0005-0000-0000-0000D61A0000}"/>
    <cellStyle name="Normal 31 3 2 3 3" xfId="6866" xr:uid="{00000000-0005-0000-0000-0000D71A0000}"/>
    <cellStyle name="Normal 31 3 2 4" xfId="6867" xr:uid="{00000000-0005-0000-0000-0000D81A0000}"/>
    <cellStyle name="Normal 31 3 2 4 2" xfId="6868" xr:uid="{00000000-0005-0000-0000-0000D91A0000}"/>
    <cellStyle name="Normal 31 3 2 4 2 2" xfId="6869" xr:uid="{00000000-0005-0000-0000-0000DA1A0000}"/>
    <cellStyle name="Normal 31 3 2 4 3" xfId="6870" xr:uid="{00000000-0005-0000-0000-0000DB1A0000}"/>
    <cellStyle name="Normal 31 3 2 5" xfId="6871" xr:uid="{00000000-0005-0000-0000-0000DC1A0000}"/>
    <cellStyle name="Normal 31 3 2 5 2" xfId="6872" xr:uid="{00000000-0005-0000-0000-0000DD1A0000}"/>
    <cellStyle name="Normal 31 3 2 6" xfId="6873" xr:uid="{00000000-0005-0000-0000-0000DE1A0000}"/>
    <cellStyle name="Normal 31 3 3" xfId="6874" xr:uid="{00000000-0005-0000-0000-0000DF1A0000}"/>
    <cellStyle name="Normal 31 3 3 2" xfId="6875" xr:uid="{00000000-0005-0000-0000-0000E01A0000}"/>
    <cellStyle name="Normal 31 3 3 2 2" xfId="6876" xr:uid="{00000000-0005-0000-0000-0000E11A0000}"/>
    <cellStyle name="Normal 31 3 3 2 2 2" xfId="6877" xr:uid="{00000000-0005-0000-0000-0000E21A0000}"/>
    <cellStyle name="Normal 31 3 3 2 3" xfId="6878" xr:uid="{00000000-0005-0000-0000-0000E31A0000}"/>
    <cellStyle name="Normal 31 3 3 3" xfId="6879" xr:uid="{00000000-0005-0000-0000-0000E41A0000}"/>
    <cellStyle name="Normal 31 3 3 3 2" xfId="6880" xr:uid="{00000000-0005-0000-0000-0000E51A0000}"/>
    <cellStyle name="Normal 31 3 3 3 2 2" xfId="6881" xr:uid="{00000000-0005-0000-0000-0000E61A0000}"/>
    <cellStyle name="Normal 31 3 3 3 3" xfId="6882" xr:uid="{00000000-0005-0000-0000-0000E71A0000}"/>
    <cellStyle name="Normal 31 3 3 4" xfId="6883" xr:uid="{00000000-0005-0000-0000-0000E81A0000}"/>
    <cellStyle name="Normal 31 3 3 4 2" xfId="6884" xr:uid="{00000000-0005-0000-0000-0000E91A0000}"/>
    <cellStyle name="Normal 31 3 3 5" xfId="6885" xr:uid="{00000000-0005-0000-0000-0000EA1A0000}"/>
    <cellStyle name="Normal 31 3 4" xfId="6886" xr:uid="{00000000-0005-0000-0000-0000EB1A0000}"/>
    <cellStyle name="Normal 31 3 4 2" xfId="6887" xr:uid="{00000000-0005-0000-0000-0000EC1A0000}"/>
    <cellStyle name="Normal 31 3 4 2 2" xfId="6888" xr:uid="{00000000-0005-0000-0000-0000ED1A0000}"/>
    <cellStyle name="Normal 31 3 4 3" xfId="6889" xr:uid="{00000000-0005-0000-0000-0000EE1A0000}"/>
    <cellStyle name="Normal 31 3 5" xfId="6890" xr:uid="{00000000-0005-0000-0000-0000EF1A0000}"/>
    <cellStyle name="Normal 31 3 5 2" xfId="6891" xr:uid="{00000000-0005-0000-0000-0000F01A0000}"/>
    <cellStyle name="Normal 31 3 5 2 2" xfId="6892" xr:uid="{00000000-0005-0000-0000-0000F11A0000}"/>
    <cellStyle name="Normal 31 3 5 3" xfId="6893" xr:uid="{00000000-0005-0000-0000-0000F21A0000}"/>
    <cellStyle name="Normal 31 3 6" xfId="6894" xr:uid="{00000000-0005-0000-0000-0000F31A0000}"/>
    <cellStyle name="Normal 31 3 6 2" xfId="6895" xr:uid="{00000000-0005-0000-0000-0000F41A0000}"/>
    <cellStyle name="Normal 31 3 7" xfId="6896" xr:uid="{00000000-0005-0000-0000-0000F51A0000}"/>
    <cellStyle name="Normal 31 4" xfId="6897" xr:uid="{00000000-0005-0000-0000-0000F61A0000}"/>
    <cellStyle name="Normal 31 4 2" xfId="6898" xr:uid="{00000000-0005-0000-0000-0000F71A0000}"/>
    <cellStyle name="Normal 31 4 2 2" xfId="6899" xr:uid="{00000000-0005-0000-0000-0000F81A0000}"/>
    <cellStyle name="Normal 31 4 2 2 2" xfId="6900" xr:uid="{00000000-0005-0000-0000-0000F91A0000}"/>
    <cellStyle name="Normal 31 4 2 2 2 2" xfId="6901" xr:uid="{00000000-0005-0000-0000-0000FA1A0000}"/>
    <cellStyle name="Normal 31 4 2 2 3" xfId="6902" xr:uid="{00000000-0005-0000-0000-0000FB1A0000}"/>
    <cellStyle name="Normal 31 4 2 3" xfId="6903" xr:uid="{00000000-0005-0000-0000-0000FC1A0000}"/>
    <cellStyle name="Normal 31 4 2 3 2" xfId="6904" xr:uid="{00000000-0005-0000-0000-0000FD1A0000}"/>
    <cellStyle name="Normal 31 4 2 3 2 2" xfId="6905" xr:uid="{00000000-0005-0000-0000-0000FE1A0000}"/>
    <cellStyle name="Normal 31 4 2 3 3" xfId="6906" xr:uid="{00000000-0005-0000-0000-0000FF1A0000}"/>
    <cellStyle name="Normal 31 4 2 4" xfId="6907" xr:uid="{00000000-0005-0000-0000-0000001B0000}"/>
    <cellStyle name="Normal 31 4 2 4 2" xfId="6908" xr:uid="{00000000-0005-0000-0000-0000011B0000}"/>
    <cellStyle name="Normal 31 4 2 5" xfId="6909" xr:uid="{00000000-0005-0000-0000-0000021B0000}"/>
    <cellStyle name="Normal 31 4 3" xfId="6910" xr:uid="{00000000-0005-0000-0000-0000031B0000}"/>
    <cellStyle name="Normal 31 4 3 2" xfId="6911" xr:uid="{00000000-0005-0000-0000-0000041B0000}"/>
    <cellStyle name="Normal 31 4 3 2 2" xfId="6912" xr:uid="{00000000-0005-0000-0000-0000051B0000}"/>
    <cellStyle name="Normal 31 4 3 3" xfId="6913" xr:uid="{00000000-0005-0000-0000-0000061B0000}"/>
    <cellStyle name="Normal 31 4 4" xfId="6914" xr:uid="{00000000-0005-0000-0000-0000071B0000}"/>
    <cellStyle name="Normal 31 4 4 2" xfId="6915" xr:uid="{00000000-0005-0000-0000-0000081B0000}"/>
    <cellStyle name="Normal 31 4 4 2 2" xfId="6916" xr:uid="{00000000-0005-0000-0000-0000091B0000}"/>
    <cellStyle name="Normal 31 4 4 3" xfId="6917" xr:uid="{00000000-0005-0000-0000-00000A1B0000}"/>
    <cellStyle name="Normal 31 4 5" xfId="6918" xr:uid="{00000000-0005-0000-0000-00000B1B0000}"/>
    <cellStyle name="Normal 31 4 5 2" xfId="6919" xr:uid="{00000000-0005-0000-0000-00000C1B0000}"/>
    <cellStyle name="Normal 31 4 6" xfId="6920" xr:uid="{00000000-0005-0000-0000-00000D1B0000}"/>
    <cellStyle name="Normal 31 5" xfId="6921" xr:uid="{00000000-0005-0000-0000-00000E1B0000}"/>
    <cellStyle name="Normal 31 5 2" xfId="6922" xr:uid="{00000000-0005-0000-0000-00000F1B0000}"/>
    <cellStyle name="Normal 31 5 2 2" xfId="6923" xr:uid="{00000000-0005-0000-0000-0000101B0000}"/>
    <cellStyle name="Normal 31 5 2 2 2" xfId="6924" xr:uid="{00000000-0005-0000-0000-0000111B0000}"/>
    <cellStyle name="Normal 31 5 2 3" xfId="6925" xr:uid="{00000000-0005-0000-0000-0000121B0000}"/>
    <cellStyle name="Normal 31 5 3" xfId="6926" xr:uid="{00000000-0005-0000-0000-0000131B0000}"/>
    <cellStyle name="Normal 31 5 3 2" xfId="6927" xr:uid="{00000000-0005-0000-0000-0000141B0000}"/>
    <cellStyle name="Normal 31 5 3 2 2" xfId="6928" xr:uid="{00000000-0005-0000-0000-0000151B0000}"/>
    <cellStyle name="Normal 31 5 3 3" xfId="6929" xr:uid="{00000000-0005-0000-0000-0000161B0000}"/>
    <cellStyle name="Normal 31 5 4" xfId="6930" xr:uid="{00000000-0005-0000-0000-0000171B0000}"/>
    <cellStyle name="Normal 31 5 4 2" xfId="6931" xr:uid="{00000000-0005-0000-0000-0000181B0000}"/>
    <cellStyle name="Normal 31 5 5" xfId="6932" xr:uid="{00000000-0005-0000-0000-0000191B0000}"/>
    <cellStyle name="Normal 31 6" xfId="6933" xr:uid="{00000000-0005-0000-0000-00001A1B0000}"/>
    <cellStyle name="Normal 31 6 2" xfId="6934" xr:uid="{00000000-0005-0000-0000-00001B1B0000}"/>
    <cellStyle name="Normal 31 6 2 2" xfId="6935" xr:uid="{00000000-0005-0000-0000-00001C1B0000}"/>
    <cellStyle name="Normal 31 6 3" xfId="6936" xr:uid="{00000000-0005-0000-0000-00001D1B0000}"/>
    <cellStyle name="Normal 31 7" xfId="6937" xr:uid="{00000000-0005-0000-0000-00001E1B0000}"/>
    <cellStyle name="Normal 31 7 2" xfId="6938" xr:uid="{00000000-0005-0000-0000-00001F1B0000}"/>
    <cellStyle name="Normal 31 7 2 2" xfId="6939" xr:uid="{00000000-0005-0000-0000-0000201B0000}"/>
    <cellStyle name="Normal 31 7 3" xfId="6940" xr:uid="{00000000-0005-0000-0000-0000211B0000}"/>
    <cellStyle name="Normal 31 8" xfId="6941" xr:uid="{00000000-0005-0000-0000-0000221B0000}"/>
    <cellStyle name="Normal 31 8 2" xfId="6942" xr:uid="{00000000-0005-0000-0000-0000231B0000}"/>
    <cellStyle name="Normal 31 9" xfId="6943" xr:uid="{00000000-0005-0000-0000-0000241B0000}"/>
    <cellStyle name="Normal 32" xfId="6944" xr:uid="{00000000-0005-0000-0000-0000251B0000}"/>
    <cellStyle name="Normal 32 10" xfId="6945" xr:uid="{00000000-0005-0000-0000-0000261B0000}"/>
    <cellStyle name="Normal 32 2" xfId="6946" xr:uid="{00000000-0005-0000-0000-0000271B0000}"/>
    <cellStyle name="Normal 32 2 2" xfId="6947" xr:uid="{00000000-0005-0000-0000-0000281B0000}"/>
    <cellStyle name="Normal 32 2 2 2" xfId="6948" xr:uid="{00000000-0005-0000-0000-0000291B0000}"/>
    <cellStyle name="Normal 32 2 2 2 2" xfId="6949" xr:uid="{00000000-0005-0000-0000-00002A1B0000}"/>
    <cellStyle name="Normal 32 2 2 2 2 2" xfId="6950" xr:uid="{00000000-0005-0000-0000-00002B1B0000}"/>
    <cellStyle name="Normal 32 2 2 2 2 2 2" xfId="6951" xr:uid="{00000000-0005-0000-0000-00002C1B0000}"/>
    <cellStyle name="Normal 32 2 2 2 2 2 2 2" xfId="6952" xr:uid="{00000000-0005-0000-0000-00002D1B0000}"/>
    <cellStyle name="Normal 32 2 2 2 2 2 3" xfId="6953" xr:uid="{00000000-0005-0000-0000-00002E1B0000}"/>
    <cellStyle name="Normal 32 2 2 2 2 3" xfId="6954" xr:uid="{00000000-0005-0000-0000-00002F1B0000}"/>
    <cellStyle name="Normal 32 2 2 2 2 3 2" xfId="6955" xr:uid="{00000000-0005-0000-0000-0000301B0000}"/>
    <cellStyle name="Normal 32 2 2 2 2 3 2 2" xfId="6956" xr:uid="{00000000-0005-0000-0000-0000311B0000}"/>
    <cellStyle name="Normal 32 2 2 2 2 3 3" xfId="6957" xr:uid="{00000000-0005-0000-0000-0000321B0000}"/>
    <cellStyle name="Normal 32 2 2 2 2 4" xfId="6958" xr:uid="{00000000-0005-0000-0000-0000331B0000}"/>
    <cellStyle name="Normal 32 2 2 2 2 4 2" xfId="6959" xr:uid="{00000000-0005-0000-0000-0000341B0000}"/>
    <cellStyle name="Normal 32 2 2 2 2 5" xfId="6960" xr:uid="{00000000-0005-0000-0000-0000351B0000}"/>
    <cellStyle name="Normal 32 2 2 2 3" xfId="6961" xr:uid="{00000000-0005-0000-0000-0000361B0000}"/>
    <cellStyle name="Normal 32 2 2 2 3 2" xfId="6962" xr:uid="{00000000-0005-0000-0000-0000371B0000}"/>
    <cellStyle name="Normal 32 2 2 2 3 2 2" xfId="6963" xr:uid="{00000000-0005-0000-0000-0000381B0000}"/>
    <cellStyle name="Normal 32 2 2 2 3 3" xfId="6964" xr:uid="{00000000-0005-0000-0000-0000391B0000}"/>
    <cellStyle name="Normal 32 2 2 2 4" xfId="6965" xr:uid="{00000000-0005-0000-0000-00003A1B0000}"/>
    <cellStyle name="Normal 32 2 2 2 4 2" xfId="6966" xr:uid="{00000000-0005-0000-0000-00003B1B0000}"/>
    <cellStyle name="Normal 32 2 2 2 4 2 2" xfId="6967" xr:uid="{00000000-0005-0000-0000-00003C1B0000}"/>
    <cellStyle name="Normal 32 2 2 2 4 3" xfId="6968" xr:uid="{00000000-0005-0000-0000-00003D1B0000}"/>
    <cellStyle name="Normal 32 2 2 2 5" xfId="6969" xr:uid="{00000000-0005-0000-0000-00003E1B0000}"/>
    <cellStyle name="Normal 32 2 2 2 5 2" xfId="6970" xr:uid="{00000000-0005-0000-0000-00003F1B0000}"/>
    <cellStyle name="Normal 32 2 2 2 6" xfId="6971" xr:uid="{00000000-0005-0000-0000-0000401B0000}"/>
    <cellStyle name="Normal 32 2 2 3" xfId="6972" xr:uid="{00000000-0005-0000-0000-0000411B0000}"/>
    <cellStyle name="Normal 32 2 2 3 2" xfId="6973" xr:uid="{00000000-0005-0000-0000-0000421B0000}"/>
    <cellStyle name="Normal 32 2 2 3 2 2" xfId="6974" xr:uid="{00000000-0005-0000-0000-0000431B0000}"/>
    <cellStyle name="Normal 32 2 2 3 2 2 2" xfId="6975" xr:uid="{00000000-0005-0000-0000-0000441B0000}"/>
    <cellStyle name="Normal 32 2 2 3 2 3" xfId="6976" xr:uid="{00000000-0005-0000-0000-0000451B0000}"/>
    <cellStyle name="Normal 32 2 2 3 3" xfId="6977" xr:uid="{00000000-0005-0000-0000-0000461B0000}"/>
    <cellStyle name="Normal 32 2 2 3 3 2" xfId="6978" xr:uid="{00000000-0005-0000-0000-0000471B0000}"/>
    <cellStyle name="Normal 32 2 2 3 3 2 2" xfId="6979" xr:uid="{00000000-0005-0000-0000-0000481B0000}"/>
    <cellStyle name="Normal 32 2 2 3 3 3" xfId="6980" xr:uid="{00000000-0005-0000-0000-0000491B0000}"/>
    <cellStyle name="Normal 32 2 2 3 4" xfId="6981" xr:uid="{00000000-0005-0000-0000-00004A1B0000}"/>
    <cellStyle name="Normal 32 2 2 3 4 2" xfId="6982" xr:uid="{00000000-0005-0000-0000-00004B1B0000}"/>
    <cellStyle name="Normal 32 2 2 3 5" xfId="6983" xr:uid="{00000000-0005-0000-0000-00004C1B0000}"/>
    <cellStyle name="Normal 32 2 2 4" xfId="6984" xr:uid="{00000000-0005-0000-0000-00004D1B0000}"/>
    <cellStyle name="Normal 32 2 2 4 2" xfId="6985" xr:uid="{00000000-0005-0000-0000-00004E1B0000}"/>
    <cellStyle name="Normal 32 2 2 4 2 2" xfId="6986" xr:uid="{00000000-0005-0000-0000-00004F1B0000}"/>
    <cellStyle name="Normal 32 2 2 4 3" xfId="6987" xr:uid="{00000000-0005-0000-0000-0000501B0000}"/>
    <cellStyle name="Normal 32 2 2 5" xfId="6988" xr:uid="{00000000-0005-0000-0000-0000511B0000}"/>
    <cellStyle name="Normal 32 2 2 5 2" xfId="6989" xr:uid="{00000000-0005-0000-0000-0000521B0000}"/>
    <cellStyle name="Normal 32 2 2 5 2 2" xfId="6990" xr:uid="{00000000-0005-0000-0000-0000531B0000}"/>
    <cellStyle name="Normal 32 2 2 5 3" xfId="6991" xr:uid="{00000000-0005-0000-0000-0000541B0000}"/>
    <cellStyle name="Normal 32 2 2 6" xfId="6992" xr:uid="{00000000-0005-0000-0000-0000551B0000}"/>
    <cellStyle name="Normal 32 2 2 6 2" xfId="6993" xr:uid="{00000000-0005-0000-0000-0000561B0000}"/>
    <cellStyle name="Normal 32 2 2 7" xfId="6994" xr:uid="{00000000-0005-0000-0000-0000571B0000}"/>
    <cellStyle name="Normal 32 2 3" xfId="6995" xr:uid="{00000000-0005-0000-0000-0000581B0000}"/>
    <cellStyle name="Normal 32 2 3 2" xfId="6996" xr:uid="{00000000-0005-0000-0000-0000591B0000}"/>
    <cellStyle name="Normal 32 2 3 2 2" xfId="6997" xr:uid="{00000000-0005-0000-0000-00005A1B0000}"/>
    <cellStyle name="Normal 32 2 3 2 2 2" xfId="6998" xr:uid="{00000000-0005-0000-0000-00005B1B0000}"/>
    <cellStyle name="Normal 32 2 3 2 2 2 2" xfId="6999" xr:uid="{00000000-0005-0000-0000-00005C1B0000}"/>
    <cellStyle name="Normal 32 2 3 2 2 3" xfId="7000" xr:uid="{00000000-0005-0000-0000-00005D1B0000}"/>
    <cellStyle name="Normal 32 2 3 2 3" xfId="7001" xr:uid="{00000000-0005-0000-0000-00005E1B0000}"/>
    <cellStyle name="Normal 32 2 3 2 3 2" xfId="7002" xr:uid="{00000000-0005-0000-0000-00005F1B0000}"/>
    <cellStyle name="Normal 32 2 3 2 3 2 2" xfId="7003" xr:uid="{00000000-0005-0000-0000-0000601B0000}"/>
    <cellStyle name="Normal 32 2 3 2 3 3" xfId="7004" xr:uid="{00000000-0005-0000-0000-0000611B0000}"/>
    <cellStyle name="Normal 32 2 3 2 4" xfId="7005" xr:uid="{00000000-0005-0000-0000-0000621B0000}"/>
    <cellStyle name="Normal 32 2 3 2 4 2" xfId="7006" xr:uid="{00000000-0005-0000-0000-0000631B0000}"/>
    <cellStyle name="Normal 32 2 3 2 5" xfId="7007" xr:uid="{00000000-0005-0000-0000-0000641B0000}"/>
    <cellStyle name="Normal 32 2 3 3" xfId="7008" xr:uid="{00000000-0005-0000-0000-0000651B0000}"/>
    <cellStyle name="Normal 32 2 3 3 2" xfId="7009" xr:uid="{00000000-0005-0000-0000-0000661B0000}"/>
    <cellStyle name="Normal 32 2 3 3 2 2" xfId="7010" xr:uid="{00000000-0005-0000-0000-0000671B0000}"/>
    <cellStyle name="Normal 32 2 3 3 3" xfId="7011" xr:uid="{00000000-0005-0000-0000-0000681B0000}"/>
    <cellStyle name="Normal 32 2 3 4" xfId="7012" xr:uid="{00000000-0005-0000-0000-0000691B0000}"/>
    <cellStyle name="Normal 32 2 3 4 2" xfId="7013" xr:uid="{00000000-0005-0000-0000-00006A1B0000}"/>
    <cellStyle name="Normal 32 2 3 4 2 2" xfId="7014" xr:uid="{00000000-0005-0000-0000-00006B1B0000}"/>
    <cellStyle name="Normal 32 2 3 4 3" xfId="7015" xr:uid="{00000000-0005-0000-0000-00006C1B0000}"/>
    <cellStyle name="Normal 32 2 3 5" xfId="7016" xr:uid="{00000000-0005-0000-0000-00006D1B0000}"/>
    <cellStyle name="Normal 32 2 3 5 2" xfId="7017" xr:uid="{00000000-0005-0000-0000-00006E1B0000}"/>
    <cellStyle name="Normal 32 2 3 6" xfId="7018" xr:uid="{00000000-0005-0000-0000-00006F1B0000}"/>
    <cellStyle name="Normal 32 2 4" xfId="7019" xr:uid="{00000000-0005-0000-0000-0000701B0000}"/>
    <cellStyle name="Normal 32 2 4 2" xfId="7020" xr:uid="{00000000-0005-0000-0000-0000711B0000}"/>
    <cellStyle name="Normal 32 2 4 2 2" xfId="7021" xr:uid="{00000000-0005-0000-0000-0000721B0000}"/>
    <cellStyle name="Normal 32 2 4 2 2 2" xfId="7022" xr:uid="{00000000-0005-0000-0000-0000731B0000}"/>
    <cellStyle name="Normal 32 2 4 2 3" xfId="7023" xr:uid="{00000000-0005-0000-0000-0000741B0000}"/>
    <cellStyle name="Normal 32 2 4 3" xfId="7024" xr:uid="{00000000-0005-0000-0000-0000751B0000}"/>
    <cellStyle name="Normal 32 2 4 3 2" xfId="7025" xr:uid="{00000000-0005-0000-0000-0000761B0000}"/>
    <cellStyle name="Normal 32 2 4 3 2 2" xfId="7026" xr:uid="{00000000-0005-0000-0000-0000771B0000}"/>
    <cellStyle name="Normal 32 2 4 3 3" xfId="7027" xr:uid="{00000000-0005-0000-0000-0000781B0000}"/>
    <cellStyle name="Normal 32 2 4 4" xfId="7028" xr:uid="{00000000-0005-0000-0000-0000791B0000}"/>
    <cellStyle name="Normal 32 2 4 4 2" xfId="7029" xr:uid="{00000000-0005-0000-0000-00007A1B0000}"/>
    <cellStyle name="Normal 32 2 4 5" xfId="7030" xr:uid="{00000000-0005-0000-0000-00007B1B0000}"/>
    <cellStyle name="Normal 32 2 5" xfId="7031" xr:uid="{00000000-0005-0000-0000-00007C1B0000}"/>
    <cellStyle name="Normal 32 2 5 2" xfId="7032" xr:uid="{00000000-0005-0000-0000-00007D1B0000}"/>
    <cellStyle name="Normal 32 2 5 2 2" xfId="7033" xr:uid="{00000000-0005-0000-0000-00007E1B0000}"/>
    <cellStyle name="Normal 32 2 5 3" xfId="7034" xr:uid="{00000000-0005-0000-0000-00007F1B0000}"/>
    <cellStyle name="Normal 32 2 6" xfId="7035" xr:uid="{00000000-0005-0000-0000-0000801B0000}"/>
    <cellStyle name="Normal 32 2 6 2" xfId="7036" xr:uid="{00000000-0005-0000-0000-0000811B0000}"/>
    <cellStyle name="Normal 32 2 6 2 2" xfId="7037" xr:uid="{00000000-0005-0000-0000-0000821B0000}"/>
    <cellStyle name="Normal 32 2 6 3" xfId="7038" xr:uid="{00000000-0005-0000-0000-0000831B0000}"/>
    <cellStyle name="Normal 32 2 7" xfId="7039" xr:uid="{00000000-0005-0000-0000-0000841B0000}"/>
    <cellStyle name="Normal 32 2 7 2" xfId="7040" xr:uid="{00000000-0005-0000-0000-0000851B0000}"/>
    <cellStyle name="Normal 32 2 8" xfId="7041" xr:uid="{00000000-0005-0000-0000-0000861B0000}"/>
    <cellStyle name="Normal 32 3" xfId="7042" xr:uid="{00000000-0005-0000-0000-0000871B0000}"/>
    <cellStyle name="Normal 32 3 2" xfId="7043" xr:uid="{00000000-0005-0000-0000-0000881B0000}"/>
    <cellStyle name="Normal 32 3 2 2" xfId="7044" xr:uid="{00000000-0005-0000-0000-0000891B0000}"/>
    <cellStyle name="Normal 32 3 2 2 2" xfId="7045" xr:uid="{00000000-0005-0000-0000-00008A1B0000}"/>
    <cellStyle name="Normal 32 3 2 2 2 2" xfId="7046" xr:uid="{00000000-0005-0000-0000-00008B1B0000}"/>
    <cellStyle name="Normal 32 3 2 2 2 2 2" xfId="7047" xr:uid="{00000000-0005-0000-0000-00008C1B0000}"/>
    <cellStyle name="Normal 32 3 2 2 2 3" xfId="7048" xr:uid="{00000000-0005-0000-0000-00008D1B0000}"/>
    <cellStyle name="Normal 32 3 2 2 3" xfId="7049" xr:uid="{00000000-0005-0000-0000-00008E1B0000}"/>
    <cellStyle name="Normal 32 3 2 2 3 2" xfId="7050" xr:uid="{00000000-0005-0000-0000-00008F1B0000}"/>
    <cellStyle name="Normal 32 3 2 2 3 2 2" xfId="7051" xr:uid="{00000000-0005-0000-0000-0000901B0000}"/>
    <cellStyle name="Normal 32 3 2 2 3 3" xfId="7052" xr:uid="{00000000-0005-0000-0000-0000911B0000}"/>
    <cellStyle name="Normal 32 3 2 2 4" xfId="7053" xr:uid="{00000000-0005-0000-0000-0000921B0000}"/>
    <cellStyle name="Normal 32 3 2 2 4 2" xfId="7054" xr:uid="{00000000-0005-0000-0000-0000931B0000}"/>
    <cellStyle name="Normal 32 3 2 2 5" xfId="7055" xr:uid="{00000000-0005-0000-0000-0000941B0000}"/>
    <cellStyle name="Normal 32 3 2 3" xfId="7056" xr:uid="{00000000-0005-0000-0000-0000951B0000}"/>
    <cellStyle name="Normal 32 3 2 3 2" xfId="7057" xr:uid="{00000000-0005-0000-0000-0000961B0000}"/>
    <cellStyle name="Normal 32 3 2 3 2 2" xfId="7058" xr:uid="{00000000-0005-0000-0000-0000971B0000}"/>
    <cellStyle name="Normal 32 3 2 3 3" xfId="7059" xr:uid="{00000000-0005-0000-0000-0000981B0000}"/>
    <cellStyle name="Normal 32 3 2 4" xfId="7060" xr:uid="{00000000-0005-0000-0000-0000991B0000}"/>
    <cellStyle name="Normal 32 3 2 4 2" xfId="7061" xr:uid="{00000000-0005-0000-0000-00009A1B0000}"/>
    <cellStyle name="Normal 32 3 2 4 2 2" xfId="7062" xr:uid="{00000000-0005-0000-0000-00009B1B0000}"/>
    <cellStyle name="Normal 32 3 2 4 3" xfId="7063" xr:uid="{00000000-0005-0000-0000-00009C1B0000}"/>
    <cellStyle name="Normal 32 3 2 5" xfId="7064" xr:uid="{00000000-0005-0000-0000-00009D1B0000}"/>
    <cellStyle name="Normal 32 3 2 5 2" xfId="7065" xr:uid="{00000000-0005-0000-0000-00009E1B0000}"/>
    <cellStyle name="Normal 32 3 2 6" xfId="7066" xr:uid="{00000000-0005-0000-0000-00009F1B0000}"/>
    <cellStyle name="Normal 32 3 3" xfId="7067" xr:uid="{00000000-0005-0000-0000-0000A01B0000}"/>
    <cellStyle name="Normal 32 3 3 2" xfId="7068" xr:uid="{00000000-0005-0000-0000-0000A11B0000}"/>
    <cellStyle name="Normal 32 3 3 2 2" xfId="7069" xr:uid="{00000000-0005-0000-0000-0000A21B0000}"/>
    <cellStyle name="Normal 32 3 3 2 2 2" xfId="7070" xr:uid="{00000000-0005-0000-0000-0000A31B0000}"/>
    <cellStyle name="Normal 32 3 3 2 3" xfId="7071" xr:uid="{00000000-0005-0000-0000-0000A41B0000}"/>
    <cellStyle name="Normal 32 3 3 3" xfId="7072" xr:uid="{00000000-0005-0000-0000-0000A51B0000}"/>
    <cellStyle name="Normal 32 3 3 3 2" xfId="7073" xr:uid="{00000000-0005-0000-0000-0000A61B0000}"/>
    <cellStyle name="Normal 32 3 3 3 2 2" xfId="7074" xr:uid="{00000000-0005-0000-0000-0000A71B0000}"/>
    <cellStyle name="Normal 32 3 3 3 3" xfId="7075" xr:uid="{00000000-0005-0000-0000-0000A81B0000}"/>
    <cellStyle name="Normal 32 3 3 4" xfId="7076" xr:uid="{00000000-0005-0000-0000-0000A91B0000}"/>
    <cellStyle name="Normal 32 3 3 4 2" xfId="7077" xr:uid="{00000000-0005-0000-0000-0000AA1B0000}"/>
    <cellStyle name="Normal 32 3 3 5" xfId="7078" xr:uid="{00000000-0005-0000-0000-0000AB1B0000}"/>
    <cellStyle name="Normal 32 3 4" xfId="7079" xr:uid="{00000000-0005-0000-0000-0000AC1B0000}"/>
    <cellStyle name="Normal 32 3 4 2" xfId="7080" xr:uid="{00000000-0005-0000-0000-0000AD1B0000}"/>
    <cellStyle name="Normal 32 3 4 2 2" xfId="7081" xr:uid="{00000000-0005-0000-0000-0000AE1B0000}"/>
    <cellStyle name="Normal 32 3 4 3" xfId="7082" xr:uid="{00000000-0005-0000-0000-0000AF1B0000}"/>
    <cellStyle name="Normal 32 3 5" xfId="7083" xr:uid="{00000000-0005-0000-0000-0000B01B0000}"/>
    <cellStyle name="Normal 32 3 5 2" xfId="7084" xr:uid="{00000000-0005-0000-0000-0000B11B0000}"/>
    <cellStyle name="Normal 32 3 5 2 2" xfId="7085" xr:uid="{00000000-0005-0000-0000-0000B21B0000}"/>
    <cellStyle name="Normal 32 3 5 3" xfId="7086" xr:uid="{00000000-0005-0000-0000-0000B31B0000}"/>
    <cellStyle name="Normal 32 3 6" xfId="7087" xr:uid="{00000000-0005-0000-0000-0000B41B0000}"/>
    <cellStyle name="Normal 32 3 6 2" xfId="7088" xr:uid="{00000000-0005-0000-0000-0000B51B0000}"/>
    <cellStyle name="Normal 32 3 7" xfId="7089" xr:uid="{00000000-0005-0000-0000-0000B61B0000}"/>
    <cellStyle name="Normal 32 4" xfId="7090" xr:uid="{00000000-0005-0000-0000-0000B71B0000}"/>
    <cellStyle name="Normal 32 4 2" xfId="7091" xr:uid="{00000000-0005-0000-0000-0000B81B0000}"/>
    <cellStyle name="Normal 32 4 2 2" xfId="7092" xr:uid="{00000000-0005-0000-0000-0000B91B0000}"/>
    <cellStyle name="Normal 32 4 2 2 2" xfId="7093" xr:uid="{00000000-0005-0000-0000-0000BA1B0000}"/>
    <cellStyle name="Normal 32 4 2 2 2 2" xfId="7094" xr:uid="{00000000-0005-0000-0000-0000BB1B0000}"/>
    <cellStyle name="Normal 32 4 2 2 3" xfId="7095" xr:uid="{00000000-0005-0000-0000-0000BC1B0000}"/>
    <cellStyle name="Normal 32 4 2 3" xfId="7096" xr:uid="{00000000-0005-0000-0000-0000BD1B0000}"/>
    <cellStyle name="Normal 32 4 2 3 2" xfId="7097" xr:uid="{00000000-0005-0000-0000-0000BE1B0000}"/>
    <cellStyle name="Normal 32 4 2 3 2 2" xfId="7098" xr:uid="{00000000-0005-0000-0000-0000BF1B0000}"/>
    <cellStyle name="Normal 32 4 2 3 3" xfId="7099" xr:uid="{00000000-0005-0000-0000-0000C01B0000}"/>
    <cellStyle name="Normal 32 4 2 4" xfId="7100" xr:uid="{00000000-0005-0000-0000-0000C11B0000}"/>
    <cellStyle name="Normal 32 4 2 4 2" xfId="7101" xr:uid="{00000000-0005-0000-0000-0000C21B0000}"/>
    <cellStyle name="Normal 32 4 2 5" xfId="7102" xr:uid="{00000000-0005-0000-0000-0000C31B0000}"/>
    <cellStyle name="Normal 32 4 3" xfId="7103" xr:uid="{00000000-0005-0000-0000-0000C41B0000}"/>
    <cellStyle name="Normal 32 4 3 2" xfId="7104" xr:uid="{00000000-0005-0000-0000-0000C51B0000}"/>
    <cellStyle name="Normal 32 4 3 2 2" xfId="7105" xr:uid="{00000000-0005-0000-0000-0000C61B0000}"/>
    <cellStyle name="Normal 32 4 3 3" xfId="7106" xr:uid="{00000000-0005-0000-0000-0000C71B0000}"/>
    <cellStyle name="Normal 32 4 4" xfId="7107" xr:uid="{00000000-0005-0000-0000-0000C81B0000}"/>
    <cellStyle name="Normal 32 4 4 2" xfId="7108" xr:uid="{00000000-0005-0000-0000-0000C91B0000}"/>
    <cellStyle name="Normal 32 4 4 2 2" xfId="7109" xr:uid="{00000000-0005-0000-0000-0000CA1B0000}"/>
    <cellStyle name="Normal 32 4 4 3" xfId="7110" xr:uid="{00000000-0005-0000-0000-0000CB1B0000}"/>
    <cellStyle name="Normal 32 4 5" xfId="7111" xr:uid="{00000000-0005-0000-0000-0000CC1B0000}"/>
    <cellStyle name="Normal 32 4 5 2" xfId="7112" xr:uid="{00000000-0005-0000-0000-0000CD1B0000}"/>
    <cellStyle name="Normal 32 4 6" xfId="7113" xr:uid="{00000000-0005-0000-0000-0000CE1B0000}"/>
    <cellStyle name="Normal 32 5" xfId="7114" xr:uid="{00000000-0005-0000-0000-0000CF1B0000}"/>
    <cellStyle name="Normal 32 5 2" xfId="7115" xr:uid="{00000000-0005-0000-0000-0000D01B0000}"/>
    <cellStyle name="Normal 32 5 2 2" xfId="7116" xr:uid="{00000000-0005-0000-0000-0000D11B0000}"/>
    <cellStyle name="Normal 32 5 2 2 2" xfId="7117" xr:uid="{00000000-0005-0000-0000-0000D21B0000}"/>
    <cellStyle name="Normal 32 5 2 3" xfId="7118" xr:uid="{00000000-0005-0000-0000-0000D31B0000}"/>
    <cellStyle name="Normal 32 5 3" xfId="7119" xr:uid="{00000000-0005-0000-0000-0000D41B0000}"/>
    <cellStyle name="Normal 32 5 3 2" xfId="7120" xr:uid="{00000000-0005-0000-0000-0000D51B0000}"/>
    <cellStyle name="Normal 32 5 3 2 2" xfId="7121" xr:uid="{00000000-0005-0000-0000-0000D61B0000}"/>
    <cellStyle name="Normal 32 5 3 3" xfId="7122" xr:uid="{00000000-0005-0000-0000-0000D71B0000}"/>
    <cellStyle name="Normal 32 5 4" xfId="7123" xr:uid="{00000000-0005-0000-0000-0000D81B0000}"/>
    <cellStyle name="Normal 32 5 4 2" xfId="7124" xr:uid="{00000000-0005-0000-0000-0000D91B0000}"/>
    <cellStyle name="Normal 32 5 5" xfId="7125" xr:uid="{00000000-0005-0000-0000-0000DA1B0000}"/>
    <cellStyle name="Normal 32 6" xfId="7126" xr:uid="{00000000-0005-0000-0000-0000DB1B0000}"/>
    <cellStyle name="Normal 32 6 2" xfId="7127" xr:uid="{00000000-0005-0000-0000-0000DC1B0000}"/>
    <cellStyle name="Normal 32 6 2 2" xfId="7128" xr:uid="{00000000-0005-0000-0000-0000DD1B0000}"/>
    <cellStyle name="Normal 32 6 3" xfId="7129" xr:uid="{00000000-0005-0000-0000-0000DE1B0000}"/>
    <cellStyle name="Normal 32 7" xfId="7130" xr:uid="{00000000-0005-0000-0000-0000DF1B0000}"/>
    <cellStyle name="Normal 32 7 2" xfId="7131" xr:uid="{00000000-0005-0000-0000-0000E01B0000}"/>
    <cellStyle name="Normal 32 7 2 2" xfId="7132" xr:uid="{00000000-0005-0000-0000-0000E11B0000}"/>
    <cellStyle name="Normal 32 7 3" xfId="7133" xr:uid="{00000000-0005-0000-0000-0000E21B0000}"/>
    <cellStyle name="Normal 32 8" xfId="7134" xr:uid="{00000000-0005-0000-0000-0000E31B0000}"/>
    <cellStyle name="Normal 32 8 2" xfId="7135" xr:uid="{00000000-0005-0000-0000-0000E41B0000}"/>
    <cellStyle name="Normal 32 9" xfId="7136" xr:uid="{00000000-0005-0000-0000-0000E51B0000}"/>
    <cellStyle name="Normal 33" xfId="7137" xr:uid="{00000000-0005-0000-0000-0000E61B0000}"/>
    <cellStyle name="Normal 33 2" xfId="7138" xr:uid="{00000000-0005-0000-0000-0000E71B0000}"/>
    <cellStyle name="Normal 33 2 2" xfId="7139" xr:uid="{00000000-0005-0000-0000-0000E81B0000}"/>
    <cellStyle name="Normal 33 3" xfId="7140" xr:uid="{00000000-0005-0000-0000-0000E91B0000}"/>
    <cellStyle name="Normal 33 3 2" xfId="7141" xr:uid="{00000000-0005-0000-0000-0000EA1B0000}"/>
    <cellStyle name="Normal 33 4" xfId="7142" xr:uid="{00000000-0005-0000-0000-0000EB1B0000}"/>
    <cellStyle name="Normal 33 5" xfId="7143" xr:uid="{00000000-0005-0000-0000-0000EC1B0000}"/>
    <cellStyle name="Normal 33 6" xfId="7144" xr:uid="{00000000-0005-0000-0000-0000ED1B0000}"/>
    <cellStyle name="Normal 34" xfId="7145" xr:uid="{00000000-0005-0000-0000-0000EE1B0000}"/>
    <cellStyle name="Normal 34 2" xfId="7146" xr:uid="{00000000-0005-0000-0000-0000EF1B0000}"/>
    <cellStyle name="Normal 34 2 2" xfId="7147" xr:uid="{00000000-0005-0000-0000-0000F01B0000}"/>
    <cellStyle name="Normal 34 3" xfId="7148" xr:uid="{00000000-0005-0000-0000-0000F11B0000}"/>
    <cellStyle name="Normal 34 3 2" xfId="7149" xr:uid="{00000000-0005-0000-0000-0000F21B0000}"/>
    <cellStyle name="Normal 34 4" xfId="7150" xr:uid="{00000000-0005-0000-0000-0000F31B0000}"/>
    <cellStyle name="Normal 34 5" xfId="7151" xr:uid="{00000000-0005-0000-0000-0000F41B0000}"/>
    <cellStyle name="Normal 34 6" xfId="7152" xr:uid="{00000000-0005-0000-0000-0000F51B0000}"/>
    <cellStyle name="Normal 35" xfId="7153" xr:uid="{00000000-0005-0000-0000-0000F61B0000}"/>
    <cellStyle name="Normal 35 2" xfId="7154" xr:uid="{00000000-0005-0000-0000-0000F71B0000}"/>
    <cellStyle name="Normal 35 2 2" xfId="7155" xr:uid="{00000000-0005-0000-0000-0000F81B0000}"/>
    <cellStyle name="Normal 35 2 2 2" xfId="7156" xr:uid="{00000000-0005-0000-0000-0000F91B0000}"/>
    <cellStyle name="Normal 35 2 2 2 2" xfId="7157" xr:uid="{00000000-0005-0000-0000-0000FA1B0000}"/>
    <cellStyle name="Normal 35 2 2 2 2 2" xfId="7158" xr:uid="{00000000-0005-0000-0000-0000FB1B0000}"/>
    <cellStyle name="Normal 35 2 2 2 2 2 2" xfId="7159" xr:uid="{00000000-0005-0000-0000-0000FC1B0000}"/>
    <cellStyle name="Normal 35 2 2 2 2 3" xfId="7160" xr:uid="{00000000-0005-0000-0000-0000FD1B0000}"/>
    <cellStyle name="Normal 35 2 2 2 3" xfId="7161" xr:uid="{00000000-0005-0000-0000-0000FE1B0000}"/>
    <cellStyle name="Normal 35 2 2 2 3 2" xfId="7162" xr:uid="{00000000-0005-0000-0000-0000FF1B0000}"/>
    <cellStyle name="Normal 35 2 2 2 3 2 2" xfId="7163" xr:uid="{00000000-0005-0000-0000-0000001C0000}"/>
    <cellStyle name="Normal 35 2 2 2 3 3" xfId="7164" xr:uid="{00000000-0005-0000-0000-0000011C0000}"/>
    <cellStyle name="Normal 35 2 2 2 4" xfId="7165" xr:uid="{00000000-0005-0000-0000-0000021C0000}"/>
    <cellStyle name="Normal 35 2 2 2 4 2" xfId="7166" xr:uid="{00000000-0005-0000-0000-0000031C0000}"/>
    <cellStyle name="Normal 35 2 2 2 5" xfId="7167" xr:uid="{00000000-0005-0000-0000-0000041C0000}"/>
    <cellStyle name="Normal 35 2 2 3" xfId="7168" xr:uid="{00000000-0005-0000-0000-0000051C0000}"/>
    <cellStyle name="Normal 35 2 2 3 2" xfId="7169" xr:uid="{00000000-0005-0000-0000-0000061C0000}"/>
    <cellStyle name="Normal 35 2 2 3 2 2" xfId="7170" xr:uid="{00000000-0005-0000-0000-0000071C0000}"/>
    <cellStyle name="Normal 35 2 2 3 3" xfId="7171" xr:uid="{00000000-0005-0000-0000-0000081C0000}"/>
    <cellStyle name="Normal 35 2 2 4" xfId="7172" xr:uid="{00000000-0005-0000-0000-0000091C0000}"/>
    <cellStyle name="Normal 35 2 2 4 2" xfId="7173" xr:uid="{00000000-0005-0000-0000-00000A1C0000}"/>
    <cellStyle name="Normal 35 2 2 4 2 2" xfId="7174" xr:uid="{00000000-0005-0000-0000-00000B1C0000}"/>
    <cellStyle name="Normal 35 2 2 4 3" xfId="7175" xr:uid="{00000000-0005-0000-0000-00000C1C0000}"/>
    <cellStyle name="Normal 35 2 2 5" xfId="7176" xr:uid="{00000000-0005-0000-0000-00000D1C0000}"/>
    <cellStyle name="Normal 35 2 2 5 2" xfId="7177" xr:uid="{00000000-0005-0000-0000-00000E1C0000}"/>
    <cellStyle name="Normal 35 2 2 6" xfId="7178" xr:uid="{00000000-0005-0000-0000-00000F1C0000}"/>
    <cellStyle name="Normal 35 2 3" xfId="7179" xr:uid="{00000000-0005-0000-0000-0000101C0000}"/>
    <cellStyle name="Normal 35 2 3 2" xfId="7180" xr:uid="{00000000-0005-0000-0000-0000111C0000}"/>
    <cellStyle name="Normal 35 2 3 2 2" xfId="7181" xr:uid="{00000000-0005-0000-0000-0000121C0000}"/>
    <cellStyle name="Normal 35 2 3 2 2 2" xfId="7182" xr:uid="{00000000-0005-0000-0000-0000131C0000}"/>
    <cellStyle name="Normal 35 2 3 2 3" xfId="7183" xr:uid="{00000000-0005-0000-0000-0000141C0000}"/>
    <cellStyle name="Normal 35 2 3 3" xfId="7184" xr:uid="{00000000-0005-0000-0000-0000151C0000}"/>
    <cellStyle name="Normal 35 2 3 3 2" xfId="7185" xr:uid="{00000000-0005-0000-0000-0000161C0000}"/>
    <cellStyle name="Normal 35 2 3 3 2 2" xfId="7186" xr:uid="{00000000-0005-0000-0000-0000171C0000}"/>
    <cellStyle name="Normal 35 2 3 3 3" xfId="7187" xr:uid="{00000000-0005-0000-0000-0000181C0000}"/>
    <cellStyle name="Normal 35 2 3 4" xfId="7188" xr:uid="{00000000-0005-0000-0000-0000191C0000}"/>
    <cellStyle name="Normal 35 2 3 4 2" xfId="7189" xr:uid="{00000000-0005-0000-0000-00001A1C0000}"/>
    <cellStyle name="Normal 35 2 3 5" xfId="7190" xr:uid="{00000000-0005-0000-0000-00001B1C0000}"/>
    <cellStyle name="Normal 35 2 4" xfId="7191" xr:uid="{00000000-0005-0000-0000-00001C1C0000}"/>
    <cellStyle name="Normal 35 2 4 2" xfId="7192" xr:uid="{00000000-0005-0000-0000-00001D1C0000}"/>
    <cellStyle name="Normal 35 2 4 2 2" xfId="7193" xr:uid="{00000000-0005-0000-0000-00001E1C0000}"/>
    <cellStyle name="Normal 35 2 4 3" xfId="7194" xr:uid="{00000000-0005-0000-0000-00001F1C0000}"/>
    <cellStyle name="Normal 35 2 5" xfId="7195" xr:uid="{00000000-0005-0000-0000-0000201C0000}"/>
    <cellStyle name="Normal 35 2 5 2" xfId="7196" xr:uid="{00000000-0005-0000-0000-0000211C0000}"/>
    <cellStyle name="Normal 35 2 5 2 2" xfId="7197" xr:uid="{00000000-0005-0000-0000-0000221C0000}"/>
    <cellStyle name="Normal 35 2 5 3" xfId="7198" xr:uid="{00000000-0005-0000-0000-0000231C0000}"/>
    <cellStyle name="Normal 35 2 6" xfId="7199" xr:uid="{00000000-0005-0000-0000-0000241C0000}"/>
    <cellStyle name="Normal 35 2 6 2" xfId="7200" xr:uid="{00000000-0005-0000-0000-0000251C0000}"/>
    <cellStyle name="Normal 35 2 7" xfId="7201" xr:uid="{00000000-0005-0000-0000-0000261C0000}"/>
    <cellStyle name="Normal 35 3" xfId="7202" xr:uid="{00000000-0005-0000-0000-0000271C0000}"/>
    <cellStyle name="Normal 35 3 2" xfId="7203" xr:uid="{00000000-0005-0000-0000-0000281C0000}"/>
    <cellStyle name="Normal 35 3 2 2" xfId="7204" xr:uid="{00000000-0005-0000-0000-0000291C0000}"/>
    <cellStyle name="Normal 35 3 2 2 2" xfId="7205" xr:uid="{00000000-0005-0000-0000-00002A1C0000}"/>
    <cellStyle name="Normal 35 3 2 2 2 2" xfId="7206" xr:uid="{00000000-0005-0000-0000-00002B1C0000}"/>
    <cellStyle name="Normal 35 3 2 2 3" xfId="7207" xr:uid="{00000000-0005-0000-0000-00002C1C0000}"/>
    <cellStyle name="Normal 35 3 2 3" xfId="7208" xr:uid="{00000000-0005-0000-0000-00002D1C0000}"/>
    <cellStyle name="Normal 35 3 2 3 2" xfId="7209" xr:uid="{00000000-0005-0000-0000-00002E1C0000}"/>
    <cellStyle name="Normal 35 3 2 3 2 2" xfId="7210" xr:uid="{00000000-0005-0000-0000-00002F1C0000}"/>
    <cellStyle name="Normal 35 3 2 3 3" xfId="7211" xr:uid="{00000000-0005-0000-0000-0000301C0000}"/>
    <cellStyle name="Normal 35 3 2 4" xfId="7212" xr:uid="{00000000-0005-0000-0000-0000311C0000}"/>
    <cellStyle name="Normal 35 3 2 4 2" xfId="7213" xr:uid="{00000000-0005-0000-0000-0000321C0000}"/>
    <cellStyle name="Normal 35 3 2 5" xfId="7214" xr:uid="{00000000-0005-0000-0000-0000331C0000}"/>
    <cellStyle name="Normal 35 3 3" xfId="7215" xr:uid="{00000000-0005-0000-0000-0000341C0000}"/>
    <cellStyle name="Normal 35 3 3 2" xfId="7216" xr:uid="{00000000-0005-0000-0000-0000351C0000}"/>
    <cellStyle name="Normal 35 3 3 2 2" xfId="7217" xr:uid="{00000000-0005-0000-0000-0000361C0000}"/>
    <cellStyle name="Normal 35 3 3 3" xfId="7218" xr:uid="{00000000-0005-0000-0000-0000371C0000}"/>
    <cellStyle name="Normal 35 3 4" xfId="7219" xr:uid="{00000000-0005-0000-0000-0000381C0000}"/>
    <cellStyle name="Normal 35 3 4 2" xfId="7220" xr:uid="{00000000-0005-0000-0000-0000391C0000}"/>
    <cellStyle name="Normal 35 3 4 2 2" xfId="7221" xr:uid="{00000000-0005-0000-0000-00003A1C0000}"/>
    <cellStyle name="Normal 35 3 4 3" xfId="7222" xr:uid="{00000000-0005-0000-0000-00003B1C0000}"/>
    <cellStyle name="Normal 35 3 5" xfId="7223" xr:uid="{00000000-0005-0000-0000-00003C1C0000}"/>
    <cellStyle name="Normal 35 3 5 2" xfId="7224" xr:uid="{00000000-0005-0000-0000-00003D1C0000}"/>
    <cellStyle name="Normal 35 3 6" xfId="7225" xr:uid="{00000000-0005-0000-0000-00003E1C0000}"/>
    <cellStyle name="Normal 35 4" xfId="7226" xr:uid="{00000000-0005-0000-0000-00003F1C0000}"/>
    <cellStyle name="Normal 35 4 2" xfId="7227" xr:uid="{00000000-0005-0000-0000-0000401C0000}"/>
    <cellStyle name="Normal 35 4 2 2" xfId="7228" xr:uid="{00000000-0005-0000-0000-0000411C0000}"/>
    <cellStyle name="Normal 35 4 2 2 2" xfId="7229" xr:uid="{00000000-0005-0000-0000-0000421C0000}"/>
    <cellStyle name="Normal 35 4 2 3" xfId="7230" xr:uid="{00000000-0005-0000-0000-0000431C0000}"/>
    <cellStyle name="Normal 35 4 3" xfId="7231" xr:uid="{00000000-0005-0000-0000-0000441C0000}"/>
    <cellStyle name="Normal 35 4 3 2" xfId="7232" xr:uid="{00000000-0005-0000-0000-0000451C0000}"/>
    <cellStyle name="Normal 35 4 3 2 2" xfId="7233" xr:uid="{00000000-0005-0000-0000-0000461C0000}"/>
    <cellStyle name="Normal 35 4 3 3" xfId="7234" xr:uid="{00000000-0005-0000-0000-0000471C0000}"/>
    <cellStyle name="Normal 35 4 4" xfId="7235" xr:uid="{00000000-0005-0000-0000-0000481C0000}"/>
    <cellStyle name="Normal 35 4 4 2" xfId="7236" xr:uid="{00000000-0005-0000-0000-0000491C0000}"/>
    <cellStyle name="Normal 35 4 5" xfId="7237" xr:uid="{00000000-0005-0000-0000-00004A1C0000}"/>
    <cellStyle name="Normal 35 5" xfId="7238" xr:uid="{00000000-0005-0000-0000-00004B1C0000}"/>
    <cellStyle name="Normal 35 5 2" xfId="7239" xr:uid="{00000000-0005-0000-0000-00004C1C0000}"/>
    <cellStyle name="Normal 35 5 2 2" xfId="7240" xr:uid="{00000000-0005-0000-0000-00004D1C0000}"/>
    <cellStyle name="Normal 35 5 3" xfId="7241" xr:uid="{00000000-0005-0000-0000-00004E1C0000}"/>
    <cellStyle name="Normal 35 6" xfId="7242" xr:uid="{00000000-0005-0000-0000-00004F1C0000}"/>
    <cellStyle name="Normal 35 6 2" xfId="7243" xr:uid="{00000000-0005-0000-0000-0000501C0000}"/>
    <cellStyle name="Normal 35 6 2 2" xfId="7244" xr:uid="{00000000-0005-0000-0000-0000511C0000}"/>
    <cellStyle name="Normal 35 6 3" xfId="7245" xr:uid="{00000000-0005-0000-0000-0000521C0000}"/>
    <cellStyle name="Normal 35 7" xfId="7246" xr:uid="{00000000-0005-0000-0000-0000531C0000}"/>
    <cellStyle name="Normal 35 7 2" xfId="7247" xr:uid="{00000000-0005-0000-0000-0000541C0000}"/>
    <cellStyle name="Normal 35 8" xfId="7248" xr:uid="{00000000-0005-0000-0000-0000551C0000}"/>
    <cellStyle name="Normal 35 9" xfId="7249" xr:uid="{00000000-0005-0000-0000-0000561C0000}"/>
    <cellStyle name="Normal 36" xfId="7250" xr:uid="{00000000-0005-0000-0000-0000571C0000}"/>
    <cellStyle name="Normal 36 2" xfId="7251" xr:uid="{00000000-0005-0000-0000-0000581C0000}"/>
    <cellStyle name="Normal 36 2 2" xfId="7252" xr:uid="{00000000-0005-0000-0000-0000591C0000}"/>
    <cellStyle name="Normal 36 2 2 2" xfId="7253" xr:uid="{00000000-0005-0000-0000-00005A1C0000}"/>
    <cellStyle name="Normal 36 2 2 2 2" xfId="7254" xr:uid="{00000000-0005-0000-0000-00005B1C0000}"/>
    <cellStyle name="Normal 36 2 2 2 2 2" xfId="7255" xr:uid="{00000000-0005-0000-0000-00005C1C0000}"/>
    <cellStyle name="Normal 36 2 2 2 2 2 2" xfId="7256" xr:uid="{00000000-0005-0000-0000-00005D1C0000}"/>
    <cellStyle name="Normal 36 2 2 2 2 3" xfId="7257" xr:uid="{00000000-0005-0000-0000-00005E1C0000}"/>
    <cellStyle name="Normal 36 2 2 2 3" xfId="7258" xr:uid="{00000000-0005-0000-0000-00005F1C0000}"/>
    <cellStyle name="Normal 36 2 2 2 3 2" xfId="7259" xr:uid="{00000000-0005-0000-0000-0000601C0000}"/>
    <cellStyle name="Normal 36 2 2 2 3 2 2" xfId="7260" xr:uid="{00000000-0005-0000-0000-0000611C0000}"/>
    <cellStyle name="Normal 36 2 2 2 3 3" xfId="7261" xr:uid="{00000000-0005-0000-0000-0000621C0000}"/>
    <cellStyle name="Normal 36 2 2 2 4" xfId="7262" xr:uid="{00000000-0005-0000-0000-0000631C0000}"/>
    <cellStyle name="Normal 36 2 2 2 4 2" xfId="7263" xr:uid="{00000000-0005-0000-0000-0000641C0000}"/>
    <cellStyle name="Normal 36 2 2 2 5" xfId="7264" xr:uid="{00000000-0005-0000-0000-0000651C0000}"/>
    <cellStyle name="Normal 36 2 2 3" xfId="7265" xr:uid="{00000000-0005-0000-0000-0000661C0000}"/>
    <cellStyle name="Normal 36 2 2 3 2" xfId="7266" xr:uid="{00000000-0005-0000-0000-0000671C0000}"/>
    <cellStyle name="Normal 36 2 2 3 2 2" xfId="7267" xr:uid="{00000000-0005-0000-0000-0000681C0000}"/>
    <cellStyle name="Normal 36 2 2 3 3" xfId="7268" xr:uid="{00000000-0005-0000-0000-0000691C0000}"/>
    <cellStyle name="Normal 36 2 2 4" xfId="7269" xr:uid="{00000000-0005-0000-0000-00006A1C0000}"/>
    <cellStyle name="Normal 36 2 2 4 2" xfId="7270" xr:uid="{00000000-0005-0000-0000-00006B1C0000}"/>
    <cellStyle name="Normal 36 2 2 4 2 2" xfId="7271" xr:uid="{00000000-0005-0000-0000-00006C1C0000}"/>
    <cellStyle name="Normal 36 2 2 4 3" xfId="7272" xr:uid="{00000000-0005-0000-0000-00006D1C0000}"/>
    <cellStyle name="Normal 36 2 2 5" xfId="7273" xr:uid="{00000000-0005-0000-0000-00006E1C0000}"/>
    <cellStyle name="Normal 36 2 2 5 2" xfId="7274" xr:uid="{00000000-0005-0000-0000-00006F1C0000}"/>
    <cellStyle name="Normal 36 2 2 6" xfId="7275" xr:uid="{00000000-0005-0000-0000-0000701C0000}"/>
    <cellStyle name="Normal 36 2 3" xfId="7276" xr:uid="{00000000-0005-0000-0000-0000711C0000}"/>
    <cellStyle name="Normal 36 2 3 2" xfId="7277" xr:uid="{00000000-0005-0000-0000-0000721C0000}"/>
    <cellStyle name="Normal 36 2 3 2 2" xfId="7278" xr:uid="{00000000-0005-0000-0000-0000731C0000}"/>
    <cellStyle name="Normal 36 2 3 2 2 2" xfId="7279" xr:uid="{00000000-0005-0000-0000-0000741C0000}"/>
    <cellStyle name="Normal 36 2 3 2 3" xfId="7280" xr:uid="{00000000-0005-0000-0000-0000751C0000}"/>
    <cellStyle name="Normal 36 2 3 3" xfId="7281" xr:uid="{00000000-0005-0000-0000-0000761C0000}"/>
    <cellStyle name="Normal 36 2 3 3 2" xfId="7282" xr:uid="{00000000-0005-0000-0000-0000771C0000}"/>
    <cellStyle name="Normal 36 2 3 3 2 2" xfId="7283" xr:uid="{00000000-0005-0000-0000-0000781C0000}"/>
    <cellStyle name="Normal 36 2 3 3 3" xfId="7284" xr:uid="{00000000-0005-0000-0000-0000791C0000}"/>
    <cellStyle name="Normal 36 2 3 4" xfId="7285" xr:uid="{00000000-0005-0000-0000-00007A1C0000}"/>
    <cellStyle name="Normal 36 2 3 4 2" xfId="7286" xr:uid="{00000000-0005-0000-0000-00007B1C0000}"/>
    <cellStyle name="Normal 36 2 3 5" xfId="7287" xr:uid="{00000000-0005-0000-0000-00007C1C0000}"/>
    <cellStyle name="Normal 36 2 4" xfId="7288" xr:uid="{00000000-0005-0000-0000-00007D1C0000}"/>
    <cellStyle name="Normal 36 2 4 2" xfId="7289" xr:uid="{00000000-0005-0000-0000-00007E1C0000}"/>
    <cellStyle name="Normal 36 2 4 2 2" xfId="7290" xr:uid="{00000000-0005-0000-0000-00007F1C0000}"/>
    <cellStyle name="Normal 36 2 4 3" xfId="7291" xr:uid="{00000000-0005-0000-0000-0000801C0000}"/>
    <cellStyle name="Normal 36 2 5" xfId="7292" xr:uid="{00000000-0005-0000-0000-0000811C0000}"/>
    <cellStyle name="Normal 36 2 5 2" xfId="7293" xr:uid="{00000000-0005-0000-0000-0000821C0000}"/>
    <cellStyle name="Normal 36 2 5 2 2" xfId="7294" xr:uid="{00000000-0005-0000-0000-0000831C0000}"/>
    <cellStyle name="Normal 36 2 5 3" xfId="7295" xr:uid="{00000000-0005-0000-0000-0000841C0000}"/>
    <cellStyle name="Normal 36 2 6" xfId="7296" xr:uid="{00000000-0005-0000-0000-0000851C0000}"/>
    <cellStyle name="Normal 36 2 6 2" xfId="7297" xr:uid="{00000000-0005-0000-0000-0000861C0000}"/>
    <cellStyle name="Normal 36 2 7" xfId="7298" xr:uid="{00000000-0005-0000-0000-0000871C0000}"/>
    <cellStyle name="Normal 36 3" xfId="7299" xr:uid="{00000000-0005-0000-0000-0000881C0000}"/>
    <cellStyle name="Normal 36 3 2" xfId="7300" xr:uid="{00000000-0005-0000-0000-0000891C0000}"/>
    <cellStyle name="Normal 36 3 2 2" xfId="7301" xr:uid="{00000000-0005-0000-0000-00008A1C0000}"/>
    <cellStyle name="Normal 36 3 2 2 2" xfId="7302" xr:uid="{00000000-0005-0000-0000-00008B1C0000}"/>
    <cellStyle name="Normal 36 3 2 2 2 2" xfId="7303" xr:uid="{00000000-0005-0000-0000-00008C1C0000}"/>
    <cellStyle name="Normal 36 3 2 2 3" xfId="7304" xr:uid="{00000000-0005-0000-0000-00008D1C0000}"/>
    <cellStyle name="Normal 36 3 2 3" xfId="7305" xr:uid="{00000000-0005-0000-0000-00008E1C0000}"/>
    <cellStyle name="Normal 36 3 2 3 2" xfId="7306" xr:uid="{00000000-0005-0000-0000-00008F1C0000}"/>
    <cellStyle name="Normal 36 3 2 3 2 2" xfId="7307" xr:uid="{00000000-0005-0000-0000-0000901C0000}"/>
    <cellStyle name="Normal 36 3 2 3 3" xfId="7308" xr:uid="{00000000-0005-0000-0000-0000911C0000}"/>
    <cellStyle name="Normal 36 3 2 4" xfId="7309" xr:uid="{00000000-0005-0000-0000-0000921C0000}"/>
    <cellStyle name="Normal 36 3 2 4 2" xfId="7310" xr:uid="{00000000-0005-0000-0000-0000931C0000}"/>
    <cellStyle name="Normal 36 3 2 5" xfId="7311" xr:uid="{00000000-0005-0000-0000-0000941C0000}"/>
    <cellStyle name="Normal 36 3 3" xfId="7312" xr:uid="{00000000-0005-0000-0000-0000951C0000}"/>
    <cellStyle name="Normal 36 3 3 2" xfId="7313" xr:uid="{00000000-0005-0000-0000-0000961C0000}"/>
    <cellStyle name="Normal 36 3 3 2 2" xfId="7314" xr:uid="{00000000-0005-0000-0000-0000971C0000}"/>
    <cellStyle name="Normal 36 3 3 3" xfId="7315" xr:uid="{00000000-0005-0000-0000-0000981C0000}"/>
    <cellStyle name="Normal 36 3 4" xfId="7316" xr:uid="{00000000-0005-0000-0000-0000991C0000}"/>
    <cellStyle name="Normal 36 3 4 2" xfId="7317" xr:uid="{00000000-0005-0000-0000-00009A1C0000}"/>
    <cellStyle name="Normal 36 3 4 2 2" xfId="7318" xr:uid="{00000000-0005-0000-0000-00009B1C0000}"/>
    <cellStyle name="Normal 36 3 4 3" xfId="7319" xr:uid="{00000000-0005-0000-0000-00009C1C0000}"/>
    <cellStyle name="Normal 36 3 5" xfId="7320" xr:uid="{00000000-0005-0000-0000-00009D1C0000}"/>
    <cellStyle name="Normal 36 3 5 2" xfId="7321" xr:uid="{00000000-0005-0000-0000-00009E1C0000}"/>
    <cellStyle name="Normal 36 3 6" xfId="7322" xr:uid="{00000000-0005-0000-0000-00009F1C0000}"/>
    <cellStyle name="Normal 36 4" xfId="7323" xr:uid="{00000000-0005-0000-0000-0000A01C0000}"/>
    <cellStyle name="Normal 36 4 2" xfId="7324" xr:uid="{00000000-0005-0000-0000-0000A11C0000}"/>
    <cellStyle name="Normal 36 4 2 2" xfId="7325" xr:uid="{00000000-0005-0000-0000-0000A21C0000}"/>
    <cellStyle name="Normal 36 4 2 2 2" xfId="7326" xr:uid="{00000000-0005-0000-0000-0000A31C0000}"/>
    <cellStyle name="Normal 36 4 2 3" xfId="7327" xr:uid="{00000000-0005-0000-0000-0000A41C0000}"/>
    <cellStyle name="Normal 36 4 3" xfId="7328" xr:uid="{00000000-0005-0000-0000-0000A51C0000}"/>
    <cellStyle name="Normal 36 4 3 2" xfId="7329" xr:uid="{00000000-0005-0000-0000-0000A61C0000}"/>
    <cellStyle name="Normal 36 4 3 2 2" xfId="7330" xr:uid="{00000000-0005-0000-0000-0000A71C0000}"/>
    <cellStyle name="Normal 36 4 3 3" xfId="7331" xr:uid="{00000000-0005-0000-0000-0000A81C0000}"/>
    <cellStyle name="Normal 36 4 4" xfId="7332" xr:uid="{00000000-0005-0000-0000-0000A91C0000}"/>
    <cellStyle name="Normal 36 4 4 2" xfId="7333" xr:uid="{00000000-0005-0000-0000-0000AA1C0000}"/>
    <cellStyle name="Normal 36 4 5" xfId="7334" xr:uid="{00000000-0005-0000-0000-0000AB1C0000}"/>
    <cellStyle name="Normal 36 5" xfId="7335" xr:uid="{00000000-0005-0000-0000-0000AC1C0000}"/>
    <cellStyle name="Normal 36 5 2" xfId="7336" xr:uid="{00000000-0005-0000-0000-0000AD1C0000}"/>
    <cellStyle name="Normal 36 5 2 2" xfId="7337" xr:uid="{00000000-0005-0000-0000-0000AE1C0000}"/>
    <cellStyle name="Normal 36 5 3" xfId="7338" xr:uid="{00000000-0005-0000-0000-0000AF1C0000}"/>
    <cellStyle name="Normal 36 6" xfId="7339" xr:uid="{00000000-0005-0000-0000-0000B01C0000}"/>
    <cellStyle name="Normal 36 6 2" xfId="7340" xr:uid="{00000000-0005-0000-0000-0000B11C0000}"/>
    <cellStyle name="Normal 36 6 2 2" xfId="7341" xr:uid="{00000000-0005-0000-0000-0000B21C0000}"/>
    <cellStyle name="Normal 36 6 3" xfId="7342" xr:uid="{00000000-0005-0000-0000-0000B31C0000}"/>
    <cellStyle name="Normal 36 7" xfId="7343" xr:uid="{00000000-0005-0000-0000-0000B41C0000}"/>
    <cellStyle name="Normal 36 7 2" xfId="7344" xr:uid="{00000000-0005-0000-0000-0000B51C0000}"/>
    <cellStyle name="Normal 36 8" xfId="7345" xr:uid="{00000000-0005-0000-0000-0000B61C0000}"/>
    <cellStyle name="Normal 36 9" xfId="7346" xr:uid="{00000000-0005-0000-0000-0000B71C0000}"/>
    <cellStyle name="Normal 37" xfId="7347" xr:uid="{00000000-0005-0000-0000-0000B81C0000}"/>
    <cellStyle name="Normal 37 2" xfId="7348" xr:uid="{00000000-0005-0000-0000-0000B91C0000}"/>
    <cellStyle name="Normal 37 2 2" xfId="7349" xr:uid="{00000000-0005-0000-0000-0000BA1C0000}"/>
    <cellStyle name="Normal 37 2 2 2" xfId="7350" xr:uid="{00000000-0005-0000-0000-0000BB1C0000}"/>
    <cellStyle name="Normal 37 2 2 2 2" xfId="7351" xr:uid="{00000000-0005-0000-0000-0000BC1C0000}"/>
    <cellStyle name="Normal 37 2 2 2 2 2" xfId="7352" xr:uid="{00000000-0005-0000-0000-0000BD1C0000}"/>
    <cellStyle name="Normal 37 2 2 2 2 2 2" xfId="7353" xr:uid="{00000000-0005-0000-0000-0000BE1C0000}"/>
    <cellStyle name="Normal 37 2 2 2 2 3" xfId="7354" xr:uid="{00000000-0005-0000-0000-0000BF1C0000}"/>
    <cellStyle name="Normal 37 2 2 2 3" xfId="7355" xr:uid="{00000000-0005-0000-0000-0000C01C0000}"/>
    <cellStyle name="Normal 37 2 2 2 3 2" xfId="7356" xr:uid="{00000000-0005-0000-0000-0000C11C0000}"/>
    <cellStyle name="Normal 37 2 2 2 3 2 2" xfId="7357" xr:uid="{00000000-0005-0000-0000-0000C21C0000}"/>
    <cellStyle name="Normal 37 2 2 2 3 3" xfId="7358" xr:uid="{00000000-0005-0000-0000-0000C31C0000}"/>
    <cellStyle name="Normal 37 2 2 2 4" xfId="7359" xr:uid="{00000000-0005-0000-0000-0000C41C0000}"/>
    <cellStyle name="Normal 37 2 2 2 4 2" xfId="7360" xr:uid="{00000000-0005-0000-0000-0000C51C0000}"/>
    <cellStyle name="Normal 37 2 2 2 5" xfId="7361" xr:uid="{00000000-0005-0000-0000-0000C61C0000}"/>
    <cellStyle name="Normal 37 2 2 3" xfId="7362" xr:uid="{00000000-0005-0000-0000-0000C71C0000}"/>
    <cellStyle name="Normal 37 2 2 3 2" xfId="7363" xr:uid="{00000000-0005-0000-0000-0000C81C0000}"/>
    <cellStyle name="Normal 37 2 2 3 2 2" xfId="7364" xr:uid="{00000000-0005-0000-0000-0000C91C0000}"/>
    <cellStyle name="Normal 37 2 2 3 3" xfId="7365" xr:uid="{00000000-0005-0000-0000-0000CA1C0000}"/>
    <cellStyle name="Normal 37 2 2 4" xfId="7366" xr:uid="{00000000-0005-0000-0000-0000CB1C0000}"/>
    <cellStyle name="Normal 37 2 2 4 2" xfId="7367" xr:uid="{00000000-0005-0000-0000-0000CC1C0000}"/>
    <cellStyle name="Normal 37 2 2 4 2 2" xfId="7368" xr:uid="{00000000-0005-0000-0000-0000CD1C0000}"/>
    <cellStyle name="Normal 37 2 2 4 3" xfId="7369" xr:uid="{00000000-0005-0000-0000-0000CE1C0000}"/>
    <cellStyle name="Normal 37 2 2 5" xfId="7370" xr:uid="{00000000-0005-0000-0000-0000CF1C0000}"/>
    <cellStyle name="Normal 37 2 2 5 2" xfId="7371" xr:uid="{00000000-0005-0000-0000-0000D01C0000}"/>
    <cellStyle name="Normal 37 2 2 6" xfId="7372" xr:uid="{00000000-0005-0000-0000-0000D11C0000}"/>
    <cellStyle name="Normal 37 2 3" xfId="7373" xr:uid="{00000000-0005-0000-0000-0000D21C0000}"/>
    <cellStyle name="Normal 37 2 3 2" xfId="7374" xr:uid="{00000000-0005-0000-0000-0000D31C0000}"/>
    <cellStyle name="Normal 37 2 3 2 2" xfId="7375" xr:uid="{00000000-0005-0000-0000-0000D41C0000}"/>
    <cellStyle name="Normal 37 2 3 2 2 2" xfId="7376" xr:uid="{00000000-0005-0000-0000-0000D51C0000}"/>
    <cellStyle name="Normal 37 2 3 2 3" xfId="7377" xr:uid="{00000000-0005-0000-0000-0000D61C0000}"/>
    <cellStyle name="Normal 37 2 3 3" xfId="7378" xr:uid="{00000000-0005-0000-0000-0000D71C0000}"/>
    <cellStyle name="Normal 37 2 3 3 2" xfId="7379" xr:uid="{00000000-0005-0000-0000-0000D81C0000}"/>
    <cellStyle name="Normal 37 2 3 3 2 2" xfId="7380" xr:uid="{00000000-0005-0000-0000-0000D91C0000}"/>
    <cellStyle name="Normal 37 2 3 3 3" xfId="7381" xr:uid="{00000000-0005-0000-0000-0000DA1C0000}"/>
    <cellStyle name="Normal 37 2 3 4" xfId="7382" xr:uid="{00000000-0005-0000-0000-0000DB1C0000}"/>
    <cellStyle name="Normal 37 2 3 4 2" xfId="7383" xr:uid="{00000000-0005-0000-0000-0000DC1C0000}"/>
    <cellStyle name="Normal 37 2 3 5" xfId="7384" xr:uid="{00000000-0005-0000-0000-0000DD1C0000}"/>
    <cellStyle name="Normal 37 2 4" xfId="7385" xr:uid="{00000000-0005-0000-0000-0000DE1C0000}"/>
    <cellStyle name="Normal 37 2 4 2" xfId="7386" xr:uid="{00000000-0005-0000-0000-0000DF1C0000}"/>
    <cellStyle name="Normal 37 2 4 2 2" xfId="7387" xr:uid="{00000000-0005-0000-0000-0000E01C0000}"/>
    <cellStyle name="Normal 37 2 4 3" xfId="7388" xr:uid="{00000000-0005-0000-0000-0000E11C0000}"/>
    <cellStyle name="Normal 37 2 5" xfId="7389" xr:uid="{00000000-0005-0000-0000-0000E21C0000}"/>
    <cellStyle name="Normal 37 2 5 2" xfId="7390" xr:uid="{00000000-0005-0000-0000-0000E31C0000}"/>
    <cellStyle name="Normal 37 2 5 2 2" xfId="7391" xr:uid="{00000000-0005-0000-0000-0000E41C0000}"/>
    <cellStyle name="Normal 37 2 5 3" xfId="7392" xr:uid="{00000000-0005-0000-0000-0000E51C0000}"/>
    <cellStyle name="Normal 37 2 6" xfId="7393" xr:uid="{00000000-0005-0000-0000-0000E61C0000}"/>
    <cellStyle name="Normal 37 2 6 2" xfId="7394" xr:uid="{00000000-0005-0000-0000-0000E71C0000}"/>
    <cellStyle name="Normal 37 2 7" xfId="7395" xr:uid="{00000000-0005-0000-0000-0000E81C0000}"/>
    <cellStyle name="Normal 37 3" xfId="7396" xr:uid="{00000000-0005-0000-0000-0000E91C0000}"/>
    <cellStyle name="Normal 37 3 2" xfId="7397" xr:uid="{00000000-0005-0000-0000-0000EA1C0000}"/>
    <cellStyle name="Normal 37 3 2 2" xfId="7398" xr:uid="{00000000-0005-0000-0000-0000EB1C0000}"/>
    <cellStyle name="Normal 37 3 2 2 2" xfId="7399" xr:uid="{00000000-0005-0000-0000-0000EC1C0000}"/>
    <cellStyle name="Normal 37 3 2 2 2 2" xfId="7400" xr:uid="{00000000-0005-0000-0000-0000ED1C0000}"/>
    <cellStyle name="Normal 37 3 2 2 3" xfId="7401" xr:uid="{00000000-0005-0000-0000-0000EE1C0000}"/>
    <cellStyle name="Normal 37 3 2 3" xfId="7402" xr:uid="{00000000-0005-0000-0000-0000EF1C0000}"/>
    <cellStyle name="Normal 37 3 2 3 2" xfId="7403" xr:uid="{00000000-0005-0000-0000-0000F01C0000}"/>
    <cellStyle name="Normal 37 3 2 3 2 2" xfId="7404" xr:uid="{00000000-0005-0000-0000-0000F11C0000}"/>
    <cellStyle name="Normal 37 3 2 3 3" xfId="7405" xr:uid="{00000000-0005-0000-0000-0000F21C0000}"/>
    <cellStyle name="Normal 37 3 2 4" xfId="7406" xr:uid="{00000000-0005-0000-0000-0000F31C0000}"/>
    <cellStyle name="Normal 37 3 2 4 2" xfId="7407" xr:uid="{00000000-0005-0000-0000-0000F41C0000}"/>
    <cellStyle name="Normal 37 3 2 5" xfId="7408" xr:uid="{00000000-0005-0000-0000-0000F51C0000}"/>
    <cellStyle name="Normal 37 3 3" xfId="7409" xr:uid="{00000000-0005-0000-0000-0000F61C0000}"/>
    <cellStyle name="Normal 37 3 3 2" xfId="7410" xr:uid="{00000000-0005-0000-0000-0000F71C0000}"/>
    <cellStyle name="Normal 37 3 3 2 2" xfId="7411" xr:uid="{00000000-0005-0000-0000-0000F81C0000}"/>
    <cellStyle name="Normal 37 3 3 3" xfId="7412" xr:uid="{00000000-0005-0000-0000-0000F91C0000}"/>
    <cellStyle name="Normal 37 3 4" xfId="7413" xr:uid="{00000000-0005-0000-0000-0000FA1C0000}"/>
    <cellStyle name="Normal 37 3 4 2" xfId="7414" xr:uid="{00000000-0005-0000-0000-0000FB1C0000}"/>
    <cellStyle name="Normal 37 3 4 2 2" xfId="7415" xr:uid="{00000000-0005-0000-0000-0000FC1C0000}"/>
    <cellStyle name="Normal 37 3 4 3" xfId="7416" xr:uid="{00000000-0005-0000-0000-0000FD1C0000}"/>
    <cellStyle name="Normal 37 3 5" xfId="7417" xr:uid="{00000000-0005-0000-0000-0000FE1C0000}"/>
    <cellStyle name="Normal 37 3 5 2" xfId="7418" xr:uid="{00000000-0005-0000-0000-0000FF1C0000}"/>
    <cellStyle name="Normal 37 3 6" xfId="7419" xr:uid="{00000000-0005-0000-0000-0000001D0000}"/>
    <cellStyle name="Normal 37 4" xfId="7420" xr:uid="{00000000-0005-0000-0000-0000011D0000}"/>
    <cellStyle name="Normal 37 4 2" xfId="7421" xr:uid="{00000000-0005-0000-0000-0000021D0000}"/>
    <cellStyle name="Normal 37 4 2 2" xfId="7422" xr:uid="{00000000-0005-0000-0000-0000031D0000}"/>
    <cellStyle name="Normal 37 4 2 2 2" xfId="7423" xr:uid="{00000000-0005-0000-0000-0000041D0000}"/>
    <cellStyle name="Normal 37 4 2 3" xfId="7424" xr:uid="{00000000-0005-0000-0000-0000051D0000}"/>
    <cellStyle name="Normal 37 4 3" xfId="7425" xr:uid="{00000000-0005-0000-0000-0000061D0000}"/>
    <cellStyle name="Normal 37 4 3 2" xfId="7426" xr:uid="{00000000-0005-0000-0000-0000071D0000}"/>
    <cellStyle name="Normal 37 4 3 2 2" xfId="7427" xr:uid="{00000000-0005-0000-0000-0000081D0000}"/>
    <cellStyle name="Normal 37 4 3 3" xfId="7428" xr:uid="{00000000-0005-0000-0000-0000091D0000}"/>
    <cellStyle name="Normal 37 4 4" xfId="7429" xr:uid="{00000000-0005-0000-0000-00000A1D0000}"/>
    <cellStyle name="Normal 37 4 4 2" xfId="7430" xr:uid="{00000000-0005-0000-0000-00000B1D0000}"/>
    <cellStyle name="Normal 37 4 5" xfId="7431" xr:uid="{00000000-0005-0000-0000-00000C1D0000}"/>
    <cellStyle name="Normal 37 5" xfId="7432" xr:uid="{00000000-0005-0000-0000-00000D1D0000}"/>
    <cellStyle name="Normal 37 5 2" xfId="7433" xr:uid="{00000000-0005-0000-0000-00000E1D0000}"/>
    <cellStyle name="Normal 37 5 2 2" xfId="7434" xr:uid="{00000000-0005-0000-0000-00000F1D0000}"/>
    <cellStyle name="Normal 37 5 3" xfId="7435" xr:uid="{00000000-0005-0000-0000-0000101D0000}"/>
    <cellStyle name="Normal 37 6" xfId="7436" xr:uid="{00000000-0005-0000-0000-0000111D0000}"/>
    <cellStyle name="Normal 37 6 2" xfId="7437" xr:uid="{00000000-0005-0000-0000-0000121D0000}"/>
    <cellStyle name="Normal 37 6 2 2" xfId="7438" xr:uid="{00000000-0005-0000-0000-0000131D0000}"/>
    <cellStyle name="Normal 37 6 3" xfId="7439" xr:uid="{00000000-0005-0000-0000-0000141D0000}"/>
    <cellStyle name="Normal 37 7" xfId="7440" xr:uid="{00000000-0005-0000-0000-0000151D0000}"/>
    <cellStyle name="Normal 37 7 2" xfId="7441" xr:uid="{00000000-0005-0000-0000-0000161D0000}"/>
    <cellStyle name="Normal 37 8" xfId="7442" xr:uid="{00000000-0005-0000-0000-0000171D0000}"/>
    <cellStyle name="Normal 37 9" xfId="7443" xr:uid="{00000000-0005-0000-0000-0000181D0000}"/>
    <cellStyle name="Normal 38" xfId="7444" xr:uid="{00000000-0005-0000-0000-0000191D0000}"/>
    <cellStyle name="Normal 38 2" xfId="7445" xr:uid="{00000000-0005-0000-0000-00001A1D0000}"/>
    <cellStyle name="Normal 38 2 2" xfId="7446" xr:uid="{00000000-0005-0000-0000-00001B1D0000}"/>
    <cellStyle name="Normal 38 2 2 2" xfId="7447" xr:uid="{00000000-0005-0000-0000-00001C1D0000}"/>
    <cellStyle name="Normal 38 2 2 2 2" xfId="7448" xr:uid="{00000000-0005-0000-0000-00001D1D0000}"/>
    <cellStyle name="Normal 38 2 2 2 2 2" xfId="7449" xr:uid="{00000000-0005-0000-0000-00001E1D0000}"/>
    <cellStyle name="Normal 38 2 2 2 2 2 2" xfId="7450" xr:uid="{00000000-0005-0000-0000-00001F1D0000}"/>
    <cellStyle name="Normal 38 2 2 2 2 3" xfId="7451" xr:uid="{00000000-0005-0000-0000-0000201D0000}"/>
    <cellStyle name="Normal 38 2 2 2 3" xfId="7452" xr:uid="{00000000-0005-0000-0000-0000211D0000}"/>
    <cellStyle name="Normal 38 2 2 2 3 2" xfId="7453" xr:uid="{00000000-0005-0000-0000-0000221D0000}"/>
    <cellStyle name="Normal 38 2 2 2 3 2 2" xfId="7454" xr:uid="{00000000-0005-0000-0000-0000231D0000}"/>
    <cellStyle name="Normal 38 2 2 2 3 3" xfId="7455" xr:uid="{00000000-0005-0000-0000-0000241D0000}"/>
    <cellStyle name="Normal 38 2 2 2 4" xfId="7456" xr:uid="{00000000-0005-0000-0000-0000251D0000}"/>
    <cellStyle name="Normal 38 2 2 2 4 2" xfId="7457" xr:uid="{00000000-0005-0000-0000-0000261D0000}"/>
    <cellStyle name="Normal 38 2 2 2 5" xfId="7458" xr:uid="{00000000-0005-0000-0000-0000271D0000}"/>
    <cellStyle name="Normal 38 2 2 3" xfId="7459" xr:uid="{00000000-0005-0000-0000-0000281D0000}"/>
    <cellStyle name="Normal 38 2 2 3 2" xfId="7460" xr:uid="{00000000-0005-0000-0000-0000291D0000}"/>
    <cellStyle name="Normal 38 2 2 3 2 2" xfId="7461" xr:uid="{00000000-0005-0000-0000-00002A1D0000}"/>
    <cellStyle name="Normal 38 2 2 3 3" xfId="7462" xr:uid="{00000000-0005-0000-0000-00002B1D0000}"/>
    <cellStyle name="Normal 38 2 2 4" xfId="7463" xr:uid="{00000000-0005-0000-0000-00002C1D0000}"/>
    <cellStyle name="Normal 38 2 2 4 2" xfId="7464" xr:uid="{00000000-0005-0000-0000-00002D1D0000}"/>
    <cellStyle name="Normal 38 2 2 4 2 2" xfId="7465" xr:uid="{00000000-0005-0000-0000-00002E1D0000}"/>
    <cellStyle name="Normal 38 2 2 4 3" xfId="7466" xr:uid="{00000000-0005-0000-0000-00002F1D0000}"/>
    <cellStyle name="Normal 38 2 2 5" xfId="7467" xr:uid="{00000000-0005-0000-0000-0000301D0000}"/>
    <cellStyle name="Normal 38 2 2 5 2" xfId="7468" xr:uid="{00000000-0005-0000-0000-0000311D0000}"/>
    <cellStyle name="Normal 38 2 2 6" xfId="7469" xr:uid="{00000000-0005-0000-0000-0000321D0000}"/>
    <cellStyle name="Normal 38 2 3" xfId="7470" xr:uid="{00000000-0005-0000-0000-0000331D0000}"/>
    <cellStyle name="Normal 38 2 3 2" xfId="7471" xr:uid="{00000000-0005-0000-0000-0000341D0000}"/>
    <cellStyle name="Normal 38 2 3 2 2" xfId="7472" xr:uid="{00000000-0005-0000-0000-0000351D0000}"/>
    <cellStyle name="Normal 38 2 3 2 2 2" xfId="7473" xr:uid="{00000000-0005-0000-0000-0000361D0000}"/>
    <cellStyle name="Normal 38 2 3 2 3" xfId="7474" xr:uid="{00000000-0005-0000-0000-0000371D0000}"/>
    <cellStyle name="Normal 38 2 3 3" xfId="7475" xr:uid="{00000000-0005-0000-0000-0000381D0000}"/>
    <cellStyle name="Normal 38 2 3 3 2" xfId="7476" xr:uid="{00000000-0005-0000-0000-0000391D0000}"/>
    <cellStyle name="Normal 38 2 3 3 2 2" xfId="7477" xr:uid="{00000000-0005-0000-0000-00003A1D0000}"/>
    <cellStyle name="Normal 38 2 3 3 3" xfId="7478" xr:uid="{00000000-0005-0000-0000-00003B1D0000}"/>
    <cellStyle name="Normal 38 2 3 4" xfId="7479" xr:uid="{00000000-0005-0000-0000-00003C1D0000}"/>
    <cellStyle name="Normal 38 2 3 4 2" xfId="7480" xr:uid="{00000000-0005-0000-0000-00003D1D0000}"/>
    <cellStyle name="Normal 38 2 3 5" xfId="7481" xr:uid="{00000000-0005-0000-0000-00003E1D0000}"/>
    <cellStyle name="Normal 38 2 4" xfId="7482" xr:uid="{00000000-0005-0000-0000-00003F1D0000}"/>
    <cellStyle name="Normal 38 2 4 2" xfId="7483" xr:uid="{00000000-0005-0000-0000-0000401D0000}"/>
    <cellStyle name="Normal 38 2 4 2 2" xfId="7484" xr:uid="{00000000-0005-0000-0000-0000411D0000}"/>
    <cellStyle name="Normal 38 2 4 3" xfId="7485" xr:uid="{00000000-0005-0000-0000-0000421D0000}"/>
    <cellStyle name="Normal 38 2 5" xfId="7486" xr:uid="{00000000-0005-0000-0000-0000431D0000}"/>
    <cellStyle name="Normal 38 2 5 2" xfId="7487" xr:uid="{00000000-0005-0000-0000-0000441D0000}"/>
    <cellStyle name="Normal 38 2 5 2 2" xfId="7488" xr:uid="{00000000-0005-0000-0000-0000451D0000}"/>
    <cellStyle name="Normal 38 2 5 3" xfId="7489" xr:uid="{00000000-0005-0000-0000-0000461D0000}"/>
    <cellStyle name="Normal 38 2 6" xfId="7490" xr:uid="{00000000-0005-0000-0000-0000471D0000}"/>
    <cellStyle name="Normal 38 2 6 2" xfId="7491" xr:uid="{00000000-0005-0000-0000-0000481D0000}"/>
    <cellStyle name="Normal 38 2 7" xfId="7492" xr:uid="{00000000-0005-0000-0000-0000491D0000}"/>
    <cellStyle name="Normal 38 3" xfId="7493" xr:uid="{00000000-0005-0000-0000-00004A1D0000}"/>
    <cellStyle name="Normal 38 3 2" xfId="7494" xr:uid="{00000000-0005-0000-0000-00004B1D0000}"/>
    <cellStyle name="Normal 38 3 2 2" xfId="7495" xr:uid="{00000000-0005-0000-0000-00004C1D0000}"/>
    <cellStyle name="Normal 38 3 2 2 2" xfId="7496" xr:uid="{00000000-0005-0000-0000-00004D1D0000}"/>
    <cellStyle name="Normal 38 3 2 2 2 2" xfId="7497" xr:uid="{00000000-0005-0000-0000-00004E1D0000}"/>
    <cellStyle name="Normal 38 3 2 2 3" xfId="7498" xr:uid="{00000000-0005-0000-0000-00004F1D0000}"/>
    <cellStyle name="Normal 38 3 2 3" xfId="7499" xr:uid="{00000000-0005-0000-0000-0000501D0000}"/>
    <cellStyle name="Normal 38 3 2 3 2" xfId="7500" xr:uid="{00000000-0005-0000-0000-0000511D0000}"/>
    <cellStyle name="Normal 38 3 2 3 2 2" xfId="7501" xr:uid="{00000000-0005-0000-0000-0000521D0000}"/>
    <cellStyle name="Normal 38 3 2 3 3" xfId="7502" xr:uid="{00000000-0005-0000-0000-0000531D0000}"/>
    <cellStyle name="Normal 38 3 2 4" xfId="7503" xr:uid="{00000000-0005-0000-0000-0000541D0000}"/>
    <cellStyle name="Normal 38 3 2 4 2" xfId="7504" xr:uid="{00000000-0005-0000-0000-0000551D0000}"/>
    <cellStyle name="Normal 38 3 2 5" xfId="7505" xr:uid="{00000000-0005-0000-0000-0000561D0000}"/>
    <cellStyle name="Normal 38 3 3" xfId="7506" xr:uid="{00000000-0005-0000-0000-0000571D0000}"/>
    <cellStyle name="Normal 38 3 3 2" xfId="7507" xr:uid="{00000000-0005-0000-0000-0000581D0000}"/>
    <cellStyle name="Normal 38 3 3 2 2" xfId="7508" xr:uid="{00000000-0005-0000-0000-0000591D0000}"/>
    <cellStyle name="Normal 38 3 3 3" xfId="7509" xr:uid="{00000000-0005-0000-0000-00005A1D0000}"/>
    <cellStyle name="Normal 38 3 4" xfId="7510" xr:uid="{00000000-0005-0000-0000-00005B1D0000}"/>
    <cellStyle name="Normal 38 3 4 2" xfId="7511" xr:uid="{00000000-0005-0000-0000-00005C1D0000}"/>
    <cellStyle name="Normal 38 3 4 2 2" xfId="7512" xr:uid="{00000000-0005-0000-0000-00005D1D0000}"/>
    <cellStyle name="Normal 38 3 4 3" xfId="7513" xr:uid="{00000000-0005-0000-0000-00005E1D0000}"/>
    <cellStyle name="Normal 38 3 5" xfId="7514" xr:uid="{00000000-0005-0000-0000-00005F1D0000}"/>
    <cellStyle name="Normal 38 3 5 2" xfId="7515" xr:uid="{00000000-0005-0000-0000-0000601D0000}"/>
    <cellStyle name="Normal 38 3 6" xfId="7516" xr:uid="{00000000-0005-0000-0000-0000611D0000}"/>
    <cellStyle name="Normal 38 4" xfId="7517" xr:uid="{00000000-0005-0000-0000-0000621D0000}"/>
    <cellStyle name="Normal 38 4 2" xfId="7518" xr:uid="{00000000-0005-0000-0000-0000631D0000}"/>
    <cellStyle name="Normal 38 4 2 2" xfId="7519" xr:uid="{00000000-0005-0000-0000-0000641D0000}"/>
    <cellStyle name="Normal 38 4 2 2 2" xfId="7520" xr:uid="{00000000-0005-0000-0000-0000651D0000}"/>
    <cellStyle name="Normal 38 4 2 3" xfId="7521" xr:uid="{00000000-0005-0000-0000-0000661D0000}"/>
    <cellStyle name="Normal 38 4 3" xfId="7522" xr:uid="{00000000-0005-0000-0000-0000671D0000}"/>
    <cellStyle name="Normal 38 4 3 2" xfId="7523" xr:uid="{00000000-0005-0000-0000-0000681D0000}"/>
    <cellStyle name="Normal 38 4 3 2 2" xfId="7524" xr:uid="{00000000-0005-0000-0000-0000691D0000}"/>
    <cellStyle name="Normal 38 4 3 3" xfId="7525" xr:uid="{00000000-0005-0000-0000-00006A1D0000}"/>
    <cellStyle name="Normal 38 4 4" xfId="7526" xr:uid="{00000000-0005-0000-0000-00006B1D0000}"/>
    <cellStyle name="Normal 38 4 4 2" xfId="7527" xr:uid="{00000000-0005-0000-0000-00006C1D0000}"/>
    <cellStyle name="Normal 38 4 5" xfId="7528" xr:uid="{00000000-0005-0000-0000-00006D1D0000}"/>
    <cellStyle name="Normal 38 5" xfId="7529" xr:uid="{00000000-0005-0000-0000-00006E1D0000}"/>
    <cellStyle name="Normal 38 5 2" xfId="7530" xr:uid="{00000000-0005-0000-0000-00006F1D0000}"/>
    <cellStyle name="Normal 38 5 2 2" xfId="7531" xr:uid="{00000000-0005-0000-0000-0000701D0000}"/>
    <cellStyle name="Normal 38 5 3" xfId="7532" xr:uid="{00000000-0005-0000-0000-0000711D0000}"/>
    <cellStyle name="Normal 38 6" xfId="7533" xr:uid="{00000000-0005-0000-0000-0000721D0000}"/>
    <cellStyle name="Normal 38 6 2" xfId="7534" xr:uid="{00000000-0005-0000-0000-0000731D0000}"/>
    <cellStyle name="Normal 38 6 2 2" xfId="7535" xr:uid="{00000000-0005-0000-0000-0000741D0000}"/>
    <cellStyle name="Normal 38 6 3" xfId="7536" xr:uid="{00000000-0005-0000-0000-0000751D0000}"/>
    <cellStyle name="Normal 38 7" xfId="7537" xr:uid="{00000000-0005-0000-0000-0000761D0000}"/>
    <cellStyle name="Normal 38 7 2" xfId="7538" xr:uid="{00000000-0005-0000-0000-0000771D0000}"/>
    <cellStyle name="Normal 38 8" xfId="7539" xr:uid="{00000000-0005-0000-0000-0000781D0000}"/>
    <cellStyle name="Normal 38 9" xfId="7540" xr:uid="{00000000-0005-0000-0000-0000791D0000}"/>
    <cellStyle name="Normal 39" xfId="7541" xr:uid="{00000000-0005-0000-0000-00007A1D0000}"/>
    <cellStyle name="Normal 39 2" xfId="7542" xr:uid="{00000000-0005-0000-0000-00007B1D0000}"/>
    <cellStyle name="Normal 39 2 2" xfId="7543" xr:uid="{00000000-0005-0000-0000-00007C1D0000}"/>
    <cellStyle name="Normal 39 2 2 2" xfId="7544" xr:uid="{00000000-0005-0000-0000-00007D1D0000}"/>
    <cellStyle name="Normal 39 2 2 2 2" xfId="7545" xr:uid="{00000000-0005-0000-0000-00007E1D0000}"/>
    <cellStyle name="Normal 39 2 2 2 2 2" xfId="7546" xr:uid="{00000000-0005-0000-0000-00007F1D0000}"/>
    <cellStyle name="Normal 39 2 2 2 2 2 2" xfId="7547" xr:uid="{00000000-0005-0000-0000-0000801D0000}"/>
    <cellStyle name="Normal 39 2 2 2 2 3" xfId="7548" xr:uid="{00000000-0005-0000-0000-0000811D0000}"/>
    <cellStyle name="Normal 39 2 2 2 3" xfId="7549" xr:uid="{00000000-0005-0000-0000-0000821D0000}"/>
    <cellStyle name="Normal 39 2 2 2 3 2" xfId="7550" xr:uid="{00000000-0005-0000-0000-0000831D0000}"/>
    <cellStyle name="Normal 39 2 2 2 3 2 2" xfId="7551" xr:uid="{00000000-0005-0000-0000-0000841D0000}"/>
    <cellStyle name="Normal 39 2 2 2 3 3" xfId="7552" xr:uid="{00000000-0005-0000-0000-0000851D0000}"/>
    <cellStyle name="Normal 39 2 2 2 4" xfId="7553" xr:uid="{00000000-0005-0000-0000-0000861D0000}"/>
    <cellStyle name="Normal 39 2 2 2 4 2" xfId="7554" xr:uid="{00000000-0005-0000-0000-0000871D0000}"/>
    <cellStyle name="Normal 39 2 2 2 5" xfId="7555" xr:uid="{00000000-0005-0000-0000-0000881D0000}"/>
    <cellStyle name="Normal 39 2 2 3" xfId="7556" xr:uid="{00000000-0005-0000-0000-0000891D0000}"/>
    <cellStyle name="Normal 39 2 2 3 2" xfId="7557" xr:uid="{00000000-0005-0000-0000-00008A1D0000}"/>
    <cellStyle name="Normal 39 2 2 3 2 2" xfId="7558" xr:uid="{00000000-0005-0000-0000-00008B1D0000}"/>
    <cellStyle name="Normal 39 2 2 3 3" xfId="7559" xr:uid="{00000000-0005-0000-0000-00008C1D0000}"/>
    <cellStyle name="Normal 39 2 2 4" xfId="7560" xr:uid="{00000000-0005-0000-0000-00008D1D0000}"/>
    <cellStyle name="Normal 39 2 2 4 2" xfId="7561" xr:uid="{00000000-0005-0000-0000-00008E1D0000}"/>
    <cellStyle name="Normal 39 2 2 4 2 2" xfId="7562" xr:uid="{00000000-0005-0000-0000-00008F1D0000}"/>
    <cellStyle name="Normal 39 2 2 4 3" xfId="7563" xr:uid="{00000000-0005-0000-0000-0000901D0000}"/>
    <cellStyle name="Normal 39 2 2 5" xfId="7564" xr:uid="{00000000-0005-0000-0000-0000911D0000}"/>
    <cellStyle name="Normal 39 2 2 5 2" xfId="7565" xr:uid="{00000000-0005-0000-0000-0000921D0000}"/>
    <cellStyle name="Normal 39 2 2 6" xfId="7566" xr:uid="{00000000-0005-0000-0000-0000931D0000}"/>
    <cellStyle name="Normal 39 2 3" xfId="7567" xr:uid="{00000000-0005-0000-0000-0000941D0000}"/>
    <cellStyle name="Normal 39 2 3 2" xfId="7568" xr:uid="{00000000-0005-0000-0000-0000951D0000}"/>
    <cellStyle name="Normal 39 2 3 2 2" xfId="7569" xr:uid="{00000000-0005-0000-0000-0000961D0000}"/>
    <cellStyle name="Normal 39 2 3 2 2 2" xfId="7570" xr:uid="{00000000-0005-0000-0000-0000971D0000}"/>
    <cellStyle name="Normal 39 2 3 2 3" xfId="7571" xr:uid="{00000000-0005-0000-0000-0000981D0000}"/>
    <cellStyle name="Normal 39 2 3 3" xfId="7572" xr:uid="{00000000-0005-0000-0000-0000991D0000}"/>
    <cellStyle name="Normal 39 2 3 3 2" xfId="7573" xr:uid="{00000000-0005-0000-0000-00009A1D0000}"/>
    <cellStyle name="Normal 39 2 3 3 2 2" xfId="7574" xr:uid="{00000000-0005-0000-0000-00009B1D0000}"/>
    <cellStyle name="Normal 39 2 3 3 3" xfId="7575" xr:uid="{00000000-0005-0000-0000-00009C1D0000}"/>
    <cellStyle name="Normal 39 2 3 4" xfId="7576" xr:uid="{00000000-0005-0000-0000-00009D1D0000}"/>
    <cellStyle name="Normal 39 2 3 4 2" xfId="7577" xr:uid="{00000000-0005-0000-0000-00009E1D0000}"/>
    <cellStyle name="Normal 39 2 3 5" xfId="7578" xr:uid="{00000000-0005-0000-0000-00009F1D0000}"/>
    <cellStyle name="Normal 39 2 4" xfId="7579" xr:uid="{00000000-0005-0000-0000-0000A01D0000}"/>
    <cellStyle name="Normal 39 2 4 2" xfId="7580" xr:uid="{00000000-0005-0000-0000-0000A11D0000}"/>
    <cellStyle name="Normal 39 2 4 2 2" xfId="7581" xr:uid="{00000000-0005-0000-0000-0000A21D0000}"/>
    <cellStyle name="Normal 39 2 4 3" xfId="7582" xr:uid="{00000000-0005-0000-0000-0000A31D0000}"/>
    <cellStyle name="Normal 39 2 5" xfId="7583" xr:uid="{00000000-0005-0000-0000-0000A41D0000}"/>
    <cellStyle name="Normal 39 2 5 2" xfId="7584" xr:uid="{00000000-0005-0000-0000-0000A51D0000}"/>
    <cellStyle name="Normal 39 2 5 2 2" xfId="7585" xr:uid="{00000000-0005-0000-0000-0000A61D0000}"/>
    <cellStyle name="Normal 39 2 5 3" xfId="7586" xr:uid="{00000000-0005-0000-0000-0000A71D0000}"/>
    <cellStyle name="Normal 39 2 6" xfId="7587" xr:uid="{00000000-0005-0000-0000-0000A81D0000}"/>
    <cellStyle name="Normal 39 2 6 2" xfId="7588" xr:uid="{00000000-0005-0000-0000-0000A91D0000}"/>
    <cellStyle name="Normal 39 2 7" xfId="7589" xr:uid="{00000000-0005-0000-0000-0000AA1D0000}"/>
    <cellStyle name="Normal 39 3" xfId="7590" xr:uid="{00000000-0005-0000-0000-0000AB1D0000}"/>
    <cellStyle name="Normal 39 3 2" xfId="7591" xr:uid="{00000000-0005-0000-0000-0000AC1D0000}"/>
    <cellStyle name="Normal 39 3 2 2" xfId="7592" xr:uid="{00000000-0005-0000-0000-0000AD1D0000}"/>
    <cellStyle name="Normal 39 3 2 2 2" xfId="7593" xr:uid="{00000000-0005-0000-0000-0000AE1D0000}"/>
    <cellStyle name="Normal 39 3 2 2 2 2" xfId="7594" xr:uid="{00000000-0005-0000-0000-0000AF1D0000}"/>
    <cellStyle name="Normal 39 3 2 2 3" xfId="7595" xr:uid="{00000000-0005-0000-0000-0000B01D0000}"/>
    <cellStyle name="Normal 39 3 2 3" xfId="7596" xr:uid="{00000000-0005-0000-0000-0000B11D0000}"/>
    <cellStyle name="Normal 39 3 2 3 2" xfId="7597" xr:uid="{00000000-0005-0000-0000-0000B21D0000}"/>
    <cellStyle name="Normal 39 3 2 3 2 2" xfId="7598" xr:uid="{00000000-0005-0000-0000-0000B31D0000}"/>
    <cellStyle name="Normal 39 3 2 3 3" xfId="7599" xr:uid="{00000000-0005-0000-0000-0000B41D0000}"/>
    <cellStyle name="Normal 39 3 2 4" xfId="7600" xr:uid="{00000000-0005-0000-0000-0000B51D0000}"/>
    <cellStyle name="Normal 39 3 2 4 2" xfId="7601" xr:uid="{00000000-0005-0000-0000-0000B61D0000}"/>
    <cellStyle name="Normal 39 3 2 5" xfId="7602" xr:uid="{00000000-0005-0000-0000-0000B71D0000}"/>
    <cellStyle name="Normal 39 3 3" xfId="7603" xr:uid="{00000000-0005-0000-0000-0000B81D0000}"/>
    <cellStyle name="Normal 39 3 3 2" xfId="7604" xr:uid="{00000000-0005-0000-0000-0000B91D0000}"/>
    <cellStyle name="Normal 39 3 3 2 2" xfId="7605" xr:uid="{00000000-0005-0000-0000-0000BA1D0000}"/>
    <cellStyle name="Normal 39 3 3 3" xfId="7606" xr:uid="{00000000-0005-0000-0000-0000BB1D0000}"/>
    <cellStyle name="Normal 39 3 4" xfId="7607" xr:uid="{00000000-0005-0000-0000-0000BC1D0000}"/>
    <cellStyle name="Normal 39 3 4 2" xfId="7608" xr:uid="{00000000-0005-0000-0000-0000BD1D0000}"/>
    <cellStyle name="Normal 39 3 4 2 2" xfId="7609" xr:uid="{00000000-0005-0000-0000-0000BE1D0000}"/>
    <cellStyle name="Normal 39 3 4 3" xfId="7610" xr:uid="{00000000-0005-0000-0000-0000BF1D0000}"/>
    <cellStyle name="Normal 39 3 5" xfId="7611" xr:uid="{00000000-0005-0000-0000-0000C01D0000}"/>
    <cellStyle name="Normal 39 3 5 2" xfId="7612" xr:uid="{00000000-0005-0000-0000-0000C11D0000}"/>
    <cellStyle name="Normal 39 3 6" xfId="7613" xr:uid="{00000000-0005-0000-0000-0000C21D0000}"/>
    <cellStyle name="Normal 39 4" xfId="7614" xr:uid="{00000000-0005-0000-0000-0000C31D0000}"/>
    <cellStyle name="Normal 39 4 2" xfId="7615" xr:uid="{00000000-0005-0000-0000-0000C41D0000}"/>
    <cellStyle name="Normal 39 4 2 2" xfId="7616" xr:uid="{00000000-0005-0000-0000-0000C51D0000}"/>
    <cellStyle name="Normal 39 4 2 2 2" xfId="7617" xr:uid="{00000000-0005-0000-0000-0000C61D0000}"/>
    <cellStyle name="Normal 39 4 2 3" xfId="7618" xr:uid="{00000000-0005-0000-0000-0000C71D0000}"/>
    <cellStyle name="Normal 39 4 3" xfId="7619" xr:uid="{00000000-0005-0000-0000-0000C81D0000}"/>
    <cellStyle name="Normal 39 4 3 2" xfId="7620" xr:uid="{00000000-0005-0000-0000-0000C91D0000}"/>
    <cellStyle name="Normal 39 4 3 2 2" xfId="7621" xr:uid="{00000000-0005-0000-0000-0000CA1D0000}"/>
    <cellStyle name="Normal 39 4 3 3" xfId="7622" xr:uid="{00000000-0005-0000-0000-0000CB1D0000}"/>
    <cellStyle name="Normal 39 4 4" xfId="7623" xr:uid="{00000000-0005-0000-0000-0000CC1D0000}"/>
    <cellStyle name="Normal 39 4 4 2" xfId="7624" xr:uid="{00000000-0005-0000-0000-0000CD1D0000}"/>
    <cellStyle name="Normal 39 4 5" xfId="7625" xr:uid="{00000000-0005-0000-0000-0000CE1D0000}"/>
    <cellStyle name="Normal 39 5" xfId="7626" xr:uid="{00000000-0005-0000-0000-0000CF1D0000}"/>
    <cellStyle name="Normal 39 5 2" xfId="7627" xr:uid="{00000000-0005-0000-0000-0000D01D0000}"/>
    <cellStyle name="Normal 39 5 2 2" xfId="7628" xr:uid="{00000000-0005-0000-0000-0000D11D0000}"/>
    <cellStyle name="Normal 39 5 3" xfId="7629" xr:uid="{00000000-0005-0000-0000-0000D21D0000}"/>
    <cellStyle name="Normal 39 6" xfId="7630" xr:uid="{00000000-0005-0000-0000-0000D31D0000}"/>
    <cellStyle name="Normal 39 6 2" xfId="7631" xr:uid="{00000000-0005-0000-0000-0000D41D0000}"/>
    <cellStyle name="Normal 39 6 2 2" xfId="7632" xr:uid="{00000000-0005-0000-0000-0000D51D0000}"/>
    <cellStyle name="Normal 39 6 3" xfId="7633" xr:uid="{00000000-0005-0000-0000-0000D61D0000}"/>
    <cellStyle name="Normal 39 7" xfId="7634" xr:uid="{00000000-0005-0000-0000-0000D71D0000}"/>
    <cellStyle name="Normal 39 7 2" xfId="7635" xr:uid="{00000000-0005-0000-0000-0000D81D0000}"/>
    <cellStyle name="Normal 39 8" xfId="7636" xr:uid="{00000000-0005-0000-0000-0000D91D0000}"/>
    <cellStyle name="Normal 39 9" xfId="7637" xr:uid="{00000000-0005-0000-0000-0000DA1D0000}"/>
    <cellStyle name="Normal 4" xfId="7638" xr:uid="{00000000-0005-0000-0000-0000DB1D0000}"/>
    <cellStyle name="Normal 4 2" xfId="7639" xr:uid="{00000000-0005-0000-0000-0000DC1D0000}"/>
    <cellStyle name="Normal 4 2 2" xfId="7640" xr:uid="{00000000-0005-0000-0000-0000DD1D0000}"/>
    <cellStyle name="Normal 4 2 2 2" xfId="7641" xr:uid="{00000000-0005-0000-0000-0000DE1D0000}"/>
    <cellStyle name="Normal 4 2 2 2 2" xfId="7642" xr:uid="{00000000-0005-0000-0000-0000DF1D0000}"/>
    <cellStyle name="Normal 4 2 2 2 2 2" xfId="7643" xr:uid="{00000000-0005-0000-0000-0000E01D0000}"/>
    <cellStyle name="Normal 4 2 2 2 2 2 2" xfId="7644" xr:uid="{00000000-0005-0000-0000-0000E11D0000}"/>
    <cellStyle name="Normal 4 2 2 2 2 3" xfId="7645" xr:uid="{00000000-0005-0000-0000-0000E21D0000}"/>
    <cellStyle name="Normal 4 2 2 2 3" xfId="7646" xr:uid="{00000000-0005-0000-0000-0000E31D0000}"/>
    <cellStyle name="Normal 4 2 2 2 3 2" xfId="7647" xr:uid="{00000000-0005-0000-0000-0000E41D0000}"/>
    <cellStyle name="Normal 4 2 2 2 3 2 2" xfId="7648" xr:uid="{00000000-0005-0000-0000-0000E51D0000}"/>
    <cellStyle name="Normal 4 2 2 2 3 3" xfId="7649" xr:uid="{00000000-0005-0000-0000-0000E61D0000}"/>
    <cellStyle name="Normal 4 2 2 2 4" xfId="7650" xr:uid="{00000000-0005-0000-0000-0000E71D0000}"/>
    <cellStyle name="Normal 4 2 2 2 4 2" xfId="7651" xr:uid="{00000000-0005-0000-0000-0000E81D0000}"/>
    <cellStyle name="Normal 4 2 2 2 5" xfId="7652" xr:uid="{00000000-0005-0000-0000-0000E91D0000}"/>
    <cellStyle name="Normal 4 2 2 3" xfId="7653" xr:uid="{00000000-0005-0000-0000-0000EA1D0000}"/>
    <cellStyle name="Normal 4 2 2 3 2" xfId="7654" xr:uid="{00000000-0005-0000-0000-0000EB1D0000}"/>
    <cellStyle name="Normal 4 2 2 3 2 2" xfId="7655" xr:uid="{00000000-0005-0000-0000-0000EC1D0000}"/>
    <cellStyle name="Normal 4 2 2 3 3" xfId="7656" xr:uid="{00000000-0005-0000-0000-0000ED1D0000}"/>
    <cellStyle name="Normal 4 2 2 4" xfId="7657" xr:uid="{00000000-0005-0000-0000-0000EE1D0000}"/>
    <cellStyle name="Normal 4 2 2 4 2" xfId="7658" xr:uid="{00000000-0005-0000-0000-0000EF1D0000}"/>
    <cellStyle name="Normal 4 2 2 4 2 2" xfId="7659" xr:uid="{00000000-0005-0000-0000-0000F01D0000}"/>
    <cellStyle name="Normal 4 2 2 4 3" xfId="7660" xr:uid="{00000000-0005-0000-0000-0000F11D0000}"/>
    <cellStyle name="Normal 4 2 2 5" xfId="7661" xr:uid="{00000000-0005-0000-0000-0000F21D0000}"/>
    <cellStyle name="Normal 4 2 2 5 2" xfId="7662" xr:uid="{00000000-0005-0000-0000-0000F31D0000}"/>
    <cellStyle name="Normal 4 2 2 6" xfId="7663" xr:uid="{00000000-0005-0000-0000-0000F41D0000}"/>
    <cellStyle name="Normal 4 2 2 7" xfId="7664" xr:uid="{00000000-0005-0000-0000-0000F51D0000}"/>
    <cellStyle name="Normal 4 2 3" xfId="7665" xr:uid="{00000000-0005-0000-0000-0000F61D0000}"/>
    <cellStyle name="Normal 4 2 3 2" xfId="7666" xr:uid="{00000000-0005-0000-0000-0000F71D0000}"/>
    <cellStyle name="Normal 4 2 3 2 2" xfId="7667" xr:uid="{00000000-0005-0000-0000-0000F81D0000}"/>
    <cellStyle name="Normal 4 2 3 2 2 2" xfId="7668" xr:uid="{00000000-0005-0000-0000-0000F91D0000}"/>
    <cellStyle name="Normal 4 2 3 2 3" xfId="7669" xr:uid="{00000000-0005-0000-0000-0000FA1D0000}"/>
    <cellStyle name="Normal 4 2 3 3" xfId="7670" xr:uid="{00000000-0005-0000-0000-0000FB1D0000}"/>
    <cellStyle name="Normal 4 2 3 3 2" xfId="7671" xr:uid="{00000000-0005-0000-0000-0000FC1D0000}"/>
    <cellStyle name="Normal 4 2 3 3 2 2" xfId="7672" xr:uid="{00000000-0005-0000-0000-0000FD1D0000}"/>
    <cellStyle name="Normal 4 2 3 3 3" xfId="7673" xr:uid="{00000000-0005-0000-0000-0000FE1D0000}"/>
    <cellStyle name="Normal 4 2 3 4" xfId="7674" xr:uid="{00000000-0005-0000-0000-0000FF1D0000}"/>
    <cellStyle name="Normal 4 2 3 4 2" xfId="7675" xr:uid="{00000000-0005-0000-0000-0000001E0000}"/>
    <cellStyle name="Normal 4 2 3 5" xfId="7676" xr:uid="{00000000-0005-0000-0000-0000011E0000}"/>
    <cellStyle name="Normal 4 2 4" xfId="7677" xr:uid="{00000000-0005-0000-0000-0000021E0000}"/>
    <cellStyle name="Normal 4 2 4 2" xfId="7678" xr:uid="{00000000-0005-0000-0000-0000031E0000}"/>
    <cellStyle name="Normal 4 2 4 2 2" xfId="7679" xr:uid="{00000000-0005-0000-0000-0000041E0000}"/>
    <cellStyle name="Normal 4 2 4 3" xfId="7680" xr:uid="{00000000-0005-0000-0000-0000051E0000}"/>
    <cellStyle name="Normal 4 2 5" xfId="7681" xr:uid="{00000000-0005-0000-0000-0000061E0000}"/>
    <cellStyle name="Normal 4 2 5 2" xfId="7682" xr:uid="{00000000-0005-0000-0000-0000071E0000}"/>
    <cellStyle name="Normal 4 2 5 2 2" xfId="7683" xr:uid="{00000000-0005-0000-0000-0000081E0000}"/>
    <cellStyle name="Normal 4 2 5 3" xfId="7684" xr:uid="{00000000-0005-0000-0000-0000091E0000}"/>
    <cellStyle name="Normal 4 2 6" xfId="7685" xr:uid="{00000000-0005-0000-0000-00000A1E0000}"/>
    <cellStyle name="Normal 4 2 6 2" xfId="7686" xr:uid="{00000000-0005-0000-0000-00000B1E0000}"/>
    <cellStyle name="Normal 4 2 7" xfId="7687" xr:uid="{00000000-0005-0000-0000-00000C1E0000}"/>
    <cellStyle name="Normal 4 2 8" xfId="7688" xr:uid="{00000000-0005-0000-0000-00000D1E0000}"/>
    <cellStyle name="Normal 4 3" xfId="7689" xr:uid="{00000000-0005-0000-0000-00000E1E0000}"/>
    <cellStyle name="Normal 4 3 2" xfId="7690" xr:uid="{00000000-0005-0000-0000-00000F1E0000}"/>
    <cellStyle name="Normal 4 3 2 2" xfId="7691" xr:uid="{00000000-0005-0000-0000-0000101E0000}"/>
    <cellStyle name="Normal 4 3 2 2 2" xfId="7692" xr:uid="{00000000-0005-0000-0000-0000111E0000}"/>
    <cellStyle name="Normal 4 3 2 3" xfId="7693" xr:uid="{00000000-0005-0000-0000-0000121E0000}"/>
    <cellStyle name="Normal 4 3 2 3 2" xfId="7694" xr:uid="{00000000-0005-0000-0000-0000131E0000}"/>
    <cellStyle name="Normal 4 3 2 4" xfId="7695" xr:uid="{00000000-0005-0000-0000-0000141E0000}"/>
    <cellStyle name="Normal 4 3 2 5" xfId="7696" xr:uid="{00000000-0005-0000-0000-0000151E0000}"/>
    <cellStyle name="Normal 4 3 3" xfId="7697" xr:uid="{00000000-0005-0000-0000-0000161E0000}"/>
    <cellStyle name="Normal 4 3 3 2" xfId="7698" xr:uid="{00000000-0005-0000-0000-0000171E0000}"/>
    <cellStyle name="Normal 4 3 4" xfId="7699" xr:uid="{00000000-0005-0000-0000-0000181E0000}"/>
    <cellStyle name="Normal 4 3 4 2" xfId="7700" xr:uid="{00000000-0005-0000-0000-0000191E0000}"/>
    <cellStyle name="Normal 4 3 5" xfId="7701" xr:uid="{00000000-0005-0000-0000-00001A1E0000}"/>
    <cellStyle name="Normal 4 3 5 2" xfId="7702" xr:uid="{00000000-0005-0000-0000-00001B1E0000}"/>
    <cellStyle name="Normal 4 3 6" xfId="7703" xr:uid="{00000000-0005-0000-0000-00001C1E0000}"/>
    <cellStyle name="Normal 4 3 7" xfId="7704" xr:uid="{00000000-0005-0000-0000-00001D1E0000}"/>
    <cellStyle name="Normal 4 4" xfId="7705" xr:uid="{00000000-0005-0000-0000-00001E1E0000}"/>
    <cellStyle name="Normal 4 4 2" xfId="7706" xr:uid="{00000000-0005-0000-0000-00001F1E0000}"/>
    <cellStyle name="Normal 4 4 2 2" xfId="7707" xr:uid="{00000000-0005-0000-0000-0000201E0000}"/>
    <cellStyle name="Normal 4 4 3" xfId="7708" xr:uid="{00000000-0005-0000-0000-0000211E0000}"/>
    <cellStyle name="Normal 4 4 4" xfId="7709" xr:uid="{00000000-0005-0000-0000-0000221E0000}"/>
    <cellStyle name="Normal 4 5" xfId="7710" xr:uid="{00000000-0005-0000-0000-0000231E0000}"/>
    <cellStyle name="Normal 4 5 2" xfId="7711" xr:uid="{00000000-0005-0000-0000-0000241E0000}"/>
    <cellStyle name="Normal 4 6" xfId="7712" xr:uid="{00000000-0005-0000-0000-0000251E0000}"/>
    <cellStyle name="Normal 4 7" xfId="7713" xr:uid="{00000000-0005-0000-0000-0000261E0000}"/>
    <cellStyle name="Normal 4_2180" xfId="7714" xr:uid="{00000000-0005-0000-0000-0000271E0000}"/>
    <cellStyle name="Normal 40" xfId="7715" xr:uid="{00000000-0005-0000-0000-0000281E0000}"/>
    <cellStyle name="Normal 40 2" xfId="7716" xr:uid="{00000000-0005-0000-0000-0000291E0000}"/>
    <cellStyle name="Normal 40 2 2" xfId="7717" xr:uid="{00000000-0005-0000-0000-00002A1E0000}"/>
    <cellStyle name="Normal 40 2 2 2" xfId="7718" xr:uid="{00000000-0005-0000-0000-00002B1E0000}"/>
    <cellStyle name="Normal 40 2 2 2 2" xfId="7719" xr:uid="{00000000-0005-0000-0000-00002C1E0000}"/>
    <cellStyle name="Normal 40 2 2 2 2 2" xfId="7720" xr:uid="{00000000-0005-0000-0000-00002D1E0000}"/>
    <cellStyle name="Normal 40 2 2 2 2 2 2" xfId="7721" xr:uid="{00000000-0005-0000-0000-00002E1E0000}"/>
    <cellStyle name="Normal 40 2 2 2 2 3" xfId="7722" xr:uid="{00000000-0005-0000-0000-00002F1E0000}"/>
    <cellStyle name="Normal 40 2 2 2 3" xfId="7723" xr:uid="{00000000-0005-0000-0000-0000301E0000}"/>
    <cellStyle name="Normal 40 2 2 2 3 2" xfId="7724" xr:uid="{00000000-0005-0000-0000-0000311E0000}"/>
    <cellStyle name="Normal 40 2 2 2 3 2 2" xfId="7725" xr:uid="{00000000-0005-0000-0000-0000321E0000}"/>
    <cellStyle name="Normal 40 2 2 2 3 3" xfId="7726" xr:uid="{00000000-0005-0000-0000-0000331E0000}"/>
    <cellStyle name="Normal 40 2 2 2 4" xfId="7727" xr:uid="{00000000-0005-0000-0000-0000341E0000}"/>
    <cellStyle name="Normal 40 2 2 2 4 2" xfId="7728" xr:uid="{00000000-0005-0000-0000-0000351E0000}"/>
    <cellStyle name="Normal 40 2 2 2 5" xfId="7729" xr:uid="{00000000-0005-0000-0000-0000361E0000}"/>
    <cellStyle name="Normal 40 2 2 3" xfId="7730" xr:uid="{00000000-0005-0000-0000-0000371E0000}"/>
    <cellStyle name="Normal 40 2 2 3 2" xfId="7731" xr:uid="{00000000-0005-0000-0000-0000381E0000}"/>
    <cellStyle name="Normal 40 2 2 3 2 2" xfId="7732" xr:uid="{00000000-0005-0000-0000-0000391E0000}"/>
    <cellStyle name="Normal 40 2 2 3 3" xfId="7733" xr:uid="{00000000-0005-0000-0000-00003A1E0000}"/>
    <cellStyle name="Normal 40 2 2 4" xfId="7734" xr:uid="{00000000-0005-0000-0000-00003B1E0000}"/>
    <cellStyle name="Normal 40 2 2 4 2" xfId="7735" xr:uid="{00000000-0005-0000-0000-00003C1E0000}"/>
    <cellStyle name="Normal 40 2 2 4 2 2" xfId="7736" xr:uid="{00000000-0005-0000-0000-00003D1E0000}"/>
    <cellStyle name="Normal 40 2 2 4 3" xfId="7737" xr:uid="{00000000-0005-0000-0000-00003E1E0000}"/>
    <cellStyle name="Normal 40 2 2 5" xfId="7738" xr:uid="{00000000-0005-0000-0000-00003F1E0000}"/>
    <cellStyle name="Normal 40 2 2 5 2" xfId="7739" xr:uid="{00000000-0005-0000-0000-0000401E0000}"/>
    <cellStyle name="Normal 40 2 2 6" xfId="7740" xr:uid="{00000000-0005-0000-0000-0000411E0000}"/>
    <cellStyle name="Normal 40 2 3" xfId="7741" xr:uid="{00000000-0005-0000-0000-0000421E0000}"/>
    <cellStyle name="Normal 40 2 3 2" xfId="7742" xr:uid="{00000000-0005-0000-0000-0000431E0000}"/>
    <cellStyle name="Normal 40 2 3 2 2" xfId="7743" xr:uid="{00000000-0005-0000-0000-0000441E0000}"/>
    <cellStyle name="Normal 40 2 3 2 2 2" xfId="7744" xr:uid="{00000000-0005-0000-0000-0000451E0000}"/>
    <cellStyle name="Normal 40 2 3 2 3" xfId="7745" xr:uid="{00000000-0005-0000-0000-0000461E0000}"/>
    <cellStyle name="Normal 40 2 3 3" xfId="7746" xr:uid="{00000000-0005-0000-0000-0000471E0000}"/>
    <cellStyle name="Normal 40 2 3 3 2" xfId="7747" xr:uid="{00000000-0005-0000-0000-0000481E0000}"/>
    <cellStyle name="Normal 40 2 3 3 2 2" xfId="7748" xr:uid="{00000000-0005-0000-0000-0000491E0000}"/>
    <cellStyle name="Normal 40 2 3 3 3" xfId="7749" xr:uid="{00000000-0005-0000-0000-00004A1E0000}"/>
    <cellStyle name="Normal 40 2 3 4" xfId="7750" xr:uid="{00000000-0005-0000-0000-00004B1E0000}"/>
    <cellStyle name="Normal 40 2 3 4 2" xfId="7751" xr:uid="{00000000-0005-0000-0000-00004C1E0000}"/>
    <cellStyle name="Normal 40 2 3 5" xfId="7752" xr:uid="{00000000-0005-0000-0000-00004D1E0000}"/>
    <cellStyle name="Normal 40 2 4" xfId="7753" xr:uid="{00000000-0005-0000-0000-00004E1E0000}"/>
    <cellStyle name="Normal 40 2 4 2" xfId="7754" xr:uid="{00000000-0005-0000-0000-00004F1E0000}"/>
    <cellStyle name="Normal 40 2 4 2 2" xfId="7755" xr:uid="{00000000-0005-0000-0000-0000501E0000}"/>
    <cellStyle name="Normal 40 2 4 3" xfId="7756" xr:uid="{00000000-0005-0000-0000-0000511E0000}"/>
    <cellStyle name="Normal 40 2 5" xfId="7757" xr:uid="{00000000-0005-0000-0000-0000521E0000}"/>
    <cellStyle name="Normal 40 2 5 2" xfId="7758" xr:uid="{00000000-0005-0000-0000-0000531E0000}"/>
    <cellStyle name="Normal 40 2 5 2 2" xfId="7759" xr:uid="{00000000-0005-0000-0000-0000541E0000}"/>
    <cellStyle name="Normal 40 2 5 3" xfId="7760" xr:uid="{00000000-0005-0000-0000-0000551E0000}"/>
    <cellStyle name="Normal 40 2 6" xfId="7761" xr:uid="{00000000-0005-0000-0000-0000561E0000}"/>
    <cellStyle name="Normal 40 2 6 2" xfId="7762" xr:uid="{00000000-0005-0000-0000-0000571E0000}"/>
    <cellStyle name="Normal 40 2 7" xfId="7763" xr:uid="{00000000-0005-0000-0000-0000581E0000}"/>
    <cellStyle name="Normal 40 3" xfId="7764" xr:uid="{00000000-0005-0000-0000-0000591E0000}"/>
    <cellStyle name="Normal 40 3 2" xfId="7765" xr:uid="{00000000-0005-0000-0000-00005A1E0000}"/>
    <cellStyle name="Normal 40 3 2 2" xfId="7766" xr:uid="{00000000-0005-0000-0000-00005B1E0000}"/>
    <cellStyle name="Normal 40 3 2 2 2" xfId="7767" xr:uid="{00000000-0005-0000-0000-00005C1E0000}"/>
    <cellStyle name="Normal 40 3 2 2 2 2" xfId="7768" xr:uid="{00000000-0005-0000-0000-00005D1E0000}"/>
    <cellStyle name="Normal 40 3 2 2 3" xfId="7769" xr:uid="{00000000-0005-0000-0000-00005E1E0000}"/>
    <cellStyle name="Normal 40 3 2 3" xfId="7770" xr:uid="{00000000-0005-0000-0000-00005F1E0000}"/>
    <cellStyle name="Normal 40 3 2 3 2" xfId="7771" xr:uid="{00000000-0005-0000-0000-0000601E0000}"/>
    <cellStyle name="Normal 40 3 2 3 2 2" xfId="7772" xr:uid="{00000000-0005-0000-0000-0000611E0000}"/>
    <cellStyle name="Normal 40 3 2 3 3" xfId="7773" xr:uid="{00000000-0005-0000-0000-0000621E0000}"/>
    <cellStyle name="Normal 40 3 2 4" xfId="7774" xr:uid="{00000000-0005-0000-0000-0000631E0000}"/>
    <cellStyle name="Normal 40 3 2 4 2" xfId="7775" xr:uid="{00000000-0005-0000-0000-0000641E0000}"/>
    <cellStyle name="Normal 40 3 2 5" xfId="7776" xr:uid="{00000000-0005-0000-0000-0000651E0000}"/>
    <cellStyle name="Normal 40 3 3" xfId="7777" xr:uid="{00000000-0005-0000-0000-0000661E0000}"/>
    <cellStyle name="Normal 40 3 3 2" xfId="7778" xr:uid="{00000000-0005-0000-0000-0000671E0000}"/>
    <cellStyle name="Normal 40 3 3 2 2" xfId="7779" xr:uid="{00000000-0005-0000-0000-0000681E0000}"/>
    <cellStyle name="Normal 40 3 3 3" xfId="7780" xr:uid="{00000000-0005-0000-0000-0000691E0000}"/>
    <cellStyle name="Normal 40 3 4" xfId="7781" xr:uid="{00000000-0005-0000-0000-00006A1E0000}"/>
    <cellStyle name="Normal 40 3 4 2" xfId="7782" xr:uid="{00000000-0005-0000-0000-00006B1E0000}"/>
    <cellStyle name="Normal 40 3 4 2 2" xfId="7783" xr:uid="{00000000-0005-0000-0000-00006C1E0000}"/>
    <cellStyle name="Normal 40 3 4 3" xfId="7784" xr:uid="{00000000-0005-0000-0000-00006D1E0000}"/>
    <cellStyle name="Normal 40 3 5" xfId="7785" xr:uid="{00000000-0005-0000-0000-00006E1E0000}"/>
    <cellStyle name="Normal 40 3 5 2" xfId="7786" xr:uid="{00000000-0005-0000-0000-00006F1E0000}"/>
    <cellStyle name="Normal 40 3 6" xfId="7787" xr:uid="{00000000-0005-0000-0000-0000701E0000}"/>
    <cellStyle name="Normal 40 4" xfId="7788" xr:uid="{00000000-0005-0000-0000-0000711E0000}"/>
    <cellStyle name="Normal 40 4 2" xfId="7789" xr:uid="{00000000-0005-0000-0000-0000721E0000}"/>
    <cellStyle name="Normal 40 4 2 2" xfId="7790" xr:uid="{00000000-0005-0000-0000-0000731E0000}"/>
    <cellStyle name="Normal 40 4 2 2 2" xfId="7791" xr:uid="{00000000-0005-0000-0000-0000741E0000}"/>
    <cellStyle name="Normal 40 4 2 3" xfId="7792" xr:uid="{00000000-0005-0000-0000-0000751E0000}"/>
    <cellStyle name="Normal 40 4 3" xfId="7793" xr:uid="{00000000-0005-0000-0000-0000761E0000}"/>
    <cellStyle name="Normal 40 4 3 2" xfId="7794" xr:uid="{00000000-0005-0000-0000-0000771E0000}"/>
    <cellStyle name="Normal 40 4 3 2 2" xfId="7795" xr:uid="{00000000-0005-0000-0000-0000781E0000}"/>
    <cellStyle name="Normal 40 4 3 3" xfId="7796" xr:uid="{00000000-0005-0000-0000-0000791E0000}"/>
    <cellStyle name="Normal 40 4 4" xfId="7797" xr:uid="{00000000-0005-0000-0000-00007A1E0000}"/>
    <cellStyle name="Normal 40 4 4 2" xfId="7798" xr:uid="{00000000-0005-0000-0000-00007B1E0000}"/>
    <cellStyle name="Normal 40 4 5" xfId="7799" xr:uid="{00000000-0005-0000-0000-00007C1E0000}"/>
    <cellStyle name="Normal 40 5" xfId="7800" xr:uid="{00000000-0005-0000-0000-00007D1E0000}"/>
    <cellStyle name="Normal 40 5 2" xfId="7801" xr:uid="{00000000-0005-0000-0000-00007E1E0000}"/>
    <cellStyle name="Normal 40 5 2 2" xfId="7802" xr:uid="{00000000-0005-0000-0000-00007F1E0000}"/>
    <cellStyle name="Normal 40 5 3" xfId="7803" xr:uid="{00000000-0005-0000-0000-0000801E0000}"/>
    <cellStyle name="Normal 40 6" xfId="7804" xr:uid="{00000000-0005-0000-0000-0000811E0000}"/>
    <cellStyle name="Normal 40 6 2" xfId="7805" xr:uid="{00000000-0005-0000-0000-0000821E0000}"/>
    <cellStyle name="Normal 40 6 2 2" xfId="7806" xr:uid="{00000000-0005-0000-0000-0000831E0000}"/>
    <cellStyle name="Normal 40 6 3" xfId="7807" xr:uid="{00000000-0005-0000-0000-0000841E0000}"/>
    <cellStyle name="Normal 40 7" xfId="7808" xr:uid="{00000000-0005-0000-0000-0000851E0000}"/>
    <cellStyle name="Normal 40 7 2" xfId="7809" xr:uid="{00000000-0005-0000-0000-0000861E0000}"/>
    <cellStyle name="Normal 40 8" xfId="7810" xr:uid="{00000000-0005-0000-0000-0000871E0000}"/>
    <cellStyle name="Normal 40 9" xfId="7811" xr:uid="{00000000-0005-0000-0000-0000881E0000}"/>
    <cellStyle name="Normal 41" xfId="7812" xr:uid="{00000000-0005-0000-0000-0000891E0000}"/>
    <cellStyle name="Normal 41 2" xfId="7813" xr:uid="{00000000-0005-0000-0000-00008A1E0000}"/>
    <cellStyle name="Normal 41 2 2" xfId="7814" xr:uid="{00000000-0005-0000-0000-00008B1E0000}"/>
    <cellStyle name="Normal 41 2 2 2" xfId="7815" xr:uid="{00000000-0005-0000-0000-00008C1E0000}"/>
    <cellStyle name="Normal 41 2 2 2 2" xfId="7816" xr:uid="{00000000-0005-0000-0000-00008D1E0000}"/>
    <cellStyle name="Normal 41 2 2 2 2 2" xfId="7817" xr:uid="{00000000-0005-0000-0000-00008E1E0000}"/>
    <cellStyle name="Normal 41 2 2 2 2 2 2" xfId="7818" xr:uid="{00000000-0005-0000-0000-00008F1E0000}"/>
    <cellStyle name="Normal 41 2 2 2 2 3" xfId="7819" xr:uid="{00000000-0005-0000-0000-0000901E0000}"/>
    <cellStyle name="Normal 41 2 2 2 3" xfId="7820" xr:uid="{00000000-0005-0000-0000-0000911E0000}"/>
    <cellStyle name="Normal 41 2 2 2 3 2" xfId="7821" xr:uid="{00000000-0005-0000-0000-0000921E0000}"/>
    <cellStyle name="Normal 41 2 2 2 3 2 2" xfId="7822" xr:uid="{00000000-0005-0000-0000-0000931E0000}"/>
    <cellStyle name="Normal 41 2 2 2 3 3" xfId="7823" xr:uid="{00000000-0005-0000-0000-0000941E0000}"/>
    <cellStyle name="Normal 41 2 2 2 4" xfId="7824" xr:uid="{00000000-0005-0000-0000-0000951E0000}"/>
    <cellStyle name="Normal 41 2 2 2 4 2" xfId="7825" xr:uid="{00000000-0005-0000-0000-0000961E0000}"/>
    <cellStyle name="Normal 41 2 2 2 5" xfId="7826" xr:uid="{00000000-0005-0000-0000-0000971E0000}"/>
    <cellStyle name="Normal 41 2 2 3" xfId="7827" xr:uid="{00000000-0005-0000-0000-0000981E0000}"/>
    <cellStyle name="Normal 41 2 2 3 2" xfId="7828" xr:uid="{00000000-0005-0000-0000-0000991E0000}"/>
    <cellStyle name="Normal 41 2 2 3 2 2" xfId="7829" xr:uid="{00000000-0005-0000-0000-00009A1E0000}"/>
    <cellStyle name="Normal 41 2 2 3 3" xfId="7830" xr:uid="{00000000-0005-0000-0000-00009B1E0000}"/>
    <cellStyle name="Normal 41 2 2 4" xfId="7831" xr:uid="{00000000-0005-0000-0000-00009C1E0000}"/>
    <cellStyle name="Normal 41 2 2 4 2" xfId="7832" xr:uid="{00000000-0005-0000-0000-00009D1E0000}"/>
    <cellStyle name="Normal 41 2 2 4 2 2" xfId="7833" xr:uid="{00000000-0005-0000-0000-00009E1E0000}"/>
    <cellStyle name="Normal 41 2 2 4 3" xfId="7834" xr:uid="{00000000-0005-0000-0000-00009F1E0000}"/>
    <cellStyle name="Normal 41 2 2 5" xfId="7835" xr:uid="{00000000-0005-0000-0000-0000A01E0000}"/>
    <cellStyle name="Normal 41 2 2 5 2" xfId="7836" xr:uid="{00000000-0005-0000-0000-0000A11E0000}"/>
    <cellStyle name="Normal 41 2 2 6" xfId="7837" xr:uid="{00000000-0005-0000-0000-0000A21E0000}"/>
    <cellStyle name="Normal 41 2 3" xfId="7838" xr:uid="{00000000-0005-0000-0000-0000A31E0000}"/>
    <cellStyle name="Normal 41 2 3 2" xfId="7839" xr:uid="{00000000-0005-0000-0000-0000A41E0000}"/>
    <cellStyle name="Normal 41 2 3 2 2" xfId="7840" xr:uid="{00000000-0005-0000-0000-0000A51E0000}"/>
    <cellStyle name="Normal 41 2 3 2 2 2" xfId="7841" xr:uid="{00000000-0005-0000-0000-0000A61E0000}"/>
    <cellStyle name="Normal 41 2 3 2 3" xfId="7842" xr:uid="{00000000-0005-0000-0000-0000A71E0000}"/>
    <cellStyle name="Normal 41 2 3 3" xfId="7843" xr:uid="{00000000-0005-0000-0000-0000A81E0000}"/>
    <cellStyle name="Normal 41 2 3 3 2" xfId="7844" xr:uid="{00000000-0005-0000-0000-0000A91E0000}"/>
    <cellStyle name="Normal 41 2 3 3 2 2" xfId="7845" xr:uid="{00000000-0005-0000-0000-0000AA1E0000}"/>
    <cellStyle name="Normal 41 2 3 3 3" xfId="7846" xr:uid="{00000000-0005-0000-0000-0000AB1E0000}"/>
    <cellStyle name="Normal 41 2 3 4" xfId="7847" xr:uid="{00000000-0005-0000-0000-0000AC1E0000}"/>
    <cellStyle name="Normal 41 2 3 4 2" xfId="7848" xr:uid="{00000000-0005-0000-0000-0000AD1E0000}"/>
    <cellStyle name="Normal 41 2 3 5" xfId="7849" xr:uid="{00000000-0005-0000-0000-0000AE1E0000}"/>
    <cellStyle name="Normal 41 2 4" xfId="7850" xr:uid="{00000000-0005-0000-0000-0000AF1E0000}"/>
    <cellStyle name="Normal 41 2 4 2" xfId="7851" xr:uid="{00000000-0005-0000-0000-0000B01E0000}"/>
    <cellStyle name="Normal 41 2 4 2 2" xfId="7852" xr:uid="{00000000-0005-0000-0000-0000B11E0000}"/>
    <cellStyle name="Normal 41 2 4 3" xfId="7853" xr:uid="{00000000-0005-0000-0000-0000B21E0000}"/>
    <cellStyle name="Normal 41 2 5" xfId="7854" xr:uid="{00000000-0005-0000-0000-0000B31E0000}"/>
    <cellStyle name="Normal 41 2 5 2" xfId="7855" xr:uid="{00000000-0005-0000-0000-0000B41E0000}"/>
    <cellStyle name="Normal 41 2 5 2 2" xfId="7856" xr:uid="{00000000-0005-0000-0000-0000B51E0000}"/>
    <cellStyle name="Normal 41 2 5 3" xfId="7857" xr:uid="{00000000-0005-0000-0000-0000B61E0000}"/>
    <cellStyle name="Normal 41 2 6" xfId="7858" xr:uid="{00000000-0005-0000-0000-0000B71E0000}"/>
    <cellStyle name="Normal 41 2 6 2" xfId="7859" xr:uid="{00000000-0005-0000-0000-0000B81E0000}"/>
    <cellStyle name="Normal 41 2 7" xfId="7860" xr:uid="{00000000-0005-0000-0000-0000B91E0000}"/>
    <cellStyle name="Normal 41 3" xfId="7861" xr:uid="{00000000-0005-0000-0000-0000BA1E0000}"/>
    <cellStyle name="Normal 41 3 2" xfId="7862" xr:uid="{00000000-0005-0000-0000-0000BB1E0000}"/>
    <cellStyle name="Normal 41 3 2 2" xfId="7863" xr:uid="{00000000-0005-0000-0000-0000BC1E0000}"/>
    <cellStyle name="Normal 41 3 2 2 2" xfId="7864" xr:uid="{00000000-0005-0000-0000-0000BD1E0000}"/>
    <cellStyle name="Normal 41 3 2 2 2 2" xfId="7865" xr:uid="{00000000-0005-0000-0000-0000BE1E0000}"/>
    <cellStyle name="Normal 41 3 2 2 3" xfId="7866" xr:uid="{00000000-0005-0000-0000-0000BF1E0000}"/>
    <cellStyle name="Normal 41 3 2 3" xfId="7867" xr:uid="{00000000-0005-0000-0000-0000C01E0000}"/>
    <cellStyle name="Normal 41 3 2 3 2" xfId="7868" xr:uid="{00000000-0005-0000-0000-0000C11E0000}"/>
    <cellStyle name="Normal 41 3 2 3 2 2" xfId="7869" xr:uid="{00000000-0005-0000-0000-0000C21E0000}"/>
    <cellStyle name="Normal 41 3 2 3 3" xfId="7870" xr:uid="{00000000-0005-0000-0000-0000C31E0000}"/>
    <cellStyle name="Normal 41 3 2 4" xfId="7871" xr:uid="{00000000-0005-0000-0000-0000C41E0000}"/>
    <cellStyle name="Normal 41 3 2 4 2" xfId="7872" xr:uid="{00000000-0005-0000-0000-0000C51E0000}"/>
    <cellStyle name="Normal 41 3 2 5" xfId="7873" xr:uid="{00000000-0005-0000-0000-0000C61E0000}"/>
    <cellStyle name="Normal 41 3 3" xfId="7874" xr:uid="{00000000-0005-0000-0000-0000C71E0000}"/>
    <cellStyle name="Normal 41 3 3 2" xfId="7875" xr:uid="{00000000-0005-0000-0000-0000C81E0000}"/>
    <cellStyle name="Normal 41 3 3 2 2" xfId="7876" xr:uid="{00000000-0005-0000-0000-0000C91E0000}"/>
    <cellStyle name="Normal 41 3 3 3" xfId="7877" xr:uid="{00000000-0005-0000-0000-0000CA1E0000}"/>
    <cellStyle name="Normal 41 3 4" xfId="7878" xr:uid="{00000000-0005-0000-0000-0000CB1E0000}"/>
    <cellStyle name="Normal 41 3 4 2" xfId="7879" xr:uid="{00000000-0005-0000-0000-0000CC1E0000}"/>
    <cellStyle name="Normal 41 3 4 2 2" xfId="7880" xr:uid="{00000000-0005-0000-0000-0000CD1E0000}"/>
    <cellStyle name="Normal 41 3 4 3" xfId="7881" xr:uid="{00000000-0005-0000-0000-0000CE1E0000}"/>
    <cellStyle name="Normal 41 3 5" xfId="7882" xr:uid="{00000000-0005-0000-0000-0000CF1E0000}"/>
    <cellStyle name="Normal 41 3 5 2" xfId="7883" xr:uid="{00000000-0005-0000-0000-0000D01E0000}"/>
    <cellStyle name="Normal 41 3 6" xfId="7884" xr:uid="{00000000-0005-0000-0000-0000D11E0000}"/>
    <cellStyle name="Normal 41 4" xfId="7885" xr:uid="{00000000-0005-0000-0000-0000D21E0000}"/>
    <cellStyle name="Normal 41 4 2" xfId="7886" xr:uid="{00000000-0005-0000-0000-0000D31E0000}"/>
    <cellStyle name="Normal 41 4 2 2" xfId="7887" xr:uid="{00000000-0005-0000-0000-0000D41E0000}"/>
    <cellStyle name="Normal 41 4 2 2 2" xfId="7888" xr:uid="{00000000-0005-0000-0000-0000D51E0000}"/>
    <cellStyle name="Normal 41 4 2 3" xfId="7889" xr:uid="{00000000-0005-0000-0000-0000D61E0000}"/>
    <cellStyle name="Normal 41 4 3" xfId="7890" xr:uid="{00000000-0005-0000-0000-0000D71E0000}"/>
    <cellStyle name="Normal 41 4 3 2" xfId="7891" xr:uid="{00000000-0005-0000-0000-0000D81E0000}"/>
    <cellStyle name="Normal 41 4 3 2 2" xfId="7892" xr:uid="{00000000-0005-0000-0000-0000D91E0000}"/>
    <cellStyle name="Normal 41 4 3 3" xfId="7893" xr:uid="{00000000-0005-0000-0000-0000DA1E0000}"/>
    <cellStyle name="Normal 41 4 4" xfId="7894" xr:uid="{00000000-0005-0000-0000-0000DB1E0000}"/>
    <cellStyle name="Normal 41 4 4 2" xfId="7895" xr:uid="{00000000-0005-0000-0000-0000DC1E0000}"/>
    <cellStyle name="Normal 41 4 5" xfId="7896" xr:uid="{00000000-0005-0000-0000-0000DD1E0000}"/>
    <cellStyle name="Normal 41 5" xfId="7897" xr:uid="{00000000-0005-0000-0000-0000DE1E0000}"/>
    <cellStyle name="Normal 41 5 2" xfId="7898" xr:uid="{00000000-0005-0000-0000-0000DF1E0000}"/>
    <cellStyle name="Normal 41 5 2 2" xfId="7899" xr:uid="{00000000-0005-0000-0000-0000E01E0000}"/>
    <cellStyle name="Normal 41 5 3" xfId="7900" xr:uid="{00000000-0005-0000-0000-0000E11E0000}"/>
    <cellStyle name="Normal 41 6" xfId="7901" xr:uid="{00000000-0005-0000-0000-0000E21E0000}"/>
    <cellStyle name="Normal 41 6 2" xfId="7902" xr:uid="{00000000-0005-0000-0000-0000E31E0000}"/>
    <cellStyle name="Normal 41 6 2 2" xfId="7903" xr:uid="{00000000-0005-0000-0000-0000E41E0000}"/>
    <cellStyle name="Normal 41 6 3" xfId="7904" xr:uid="{00000000-0005-0000-0000-0000E51E0000}"/>
    <cellStyle name="Normal 41 7" xfId="7905" xr:uid="{00000000-0005-0000-0000-0000E61E0000}"/>
    <cellStyle name="Normal 41 7 2" xfId="7906" xr:uid="{00000000-0005-0000-0000-0000E71E0000}"/>
    <cellStyle name="Normal 41 8" xfId="7907" xr:uid="{00000000-0005-0000-0000-0000E81E0000}"/>
    <cellStyle name="Normal 41 9" xfId="7908" xr:uid="{00000000-0005-0000-0000-0000E91E0000}"/>
    <cellStyle name="Normal 42" xfId="7909" xr:uid="{00000000-0005-0000-0000-0000EA1E0000}"/>
    <cellStyle name="Normal 42 2" xfId="7910" xr:uid="{00000000-0005-0000-0000-0000EB1E0000}"/>
    <cellStyle name="Normal 42 2 2" xfId="7911" xr:uid="{00000000-0005-0000-0000-0000EC1E0000}"/>
    <cellStyle name="Normal 42 3" xfId="7912" xr:uid="{00000000-0005-0000-0000-0000ED1E0000}"/>
    <cellStyle name="Normal 42 3 2" xfId="7913" xr:uid="{00000000-0005-0000-0000-0000EE1E0000}"/>
    <cellStyle name="Normal 42 4" xfId="7914" xr:uid="{00000000-0005-0000-0000-0000EF1E0000}"/>
    <cellStyle name="Normal 42 5" xfId="7915" xr:uid="{00000000-0005-0000-0000-0000F01E0000}"/>
    <cellStyle name="Normal 43" xfId="7916" xr:uid="{00000000-0005-0000-0000-0000F11E0000}"/>
    <cellStyle name="Normal 43 2" xfId="7917" xr:uid="{00000000-0005-0000-0000-0000F21E0000}"/>
    <cellStyle name="Normal 43 2 2" xfId="7918" xr:uid="{00000000-0005-0000-0000-0000F31E0000}"/>
    <cellStyle name="Normal 43 2 2 2" xfId="7919" xr:uid="{00000000-0005-0000-0000-0000F41E0000}"/>
    <cellStyle name="Normal 43 2 2 2 2" xfId="7920" xr:uid="{00000000-0005-0000-0000-0000F51E0000}"/>
    <cellStyle name="Normal 43 2 2 2 2 2" xfId="7921" xr:uid="{00000000-0005-0000-0000-0000F61E0000}"/>
    <cellStyle name="Normal 43 2 2 2 2 2 2" xfId="7922" xr:uid="{00000000-0005-0000-0000-0000F71E0000}"/>
    <cellStyle name="Normal 43 2 2 2 2 3" xfId="7923" xr:uid="{00000000-0005-0000-0000-0000F81E0000}"/>
    <cellStyle name="Normal 43 2 2 2 3" xfId="7924" xr:uid="{00000000-0005-0000-0000-0000F91E0000}"/>
    <cellStyle name="Normal 43 2 2 2 3 2" xfId="7925" xr:uid="{00000000-0005-0000-0000-0000FA1E0000}"/>
    <cellStyle name="Normal 43 2 2 2 3 2 2" xfId="7926" xr:uid="{00000000-0005-0000-0000-0000FB1E0000}"/>
    <cellStyle name="Normal 43 2 2 2 3 3" xfId="7927" xr:uid="{00000000-0005-0000-0000-0000FC1E0000}"/>
    <cellStyle name="Normal 43 2 2 2 4" xfId="7928" xr:uid="{00000000-0005-0000-0000-0000FD1E0000}"/>
    <cellStyle name="Normal 43 2 2 2 4 2" xfId="7929" xr:uid="{00000000-0005-0000-0000-0000FE1E0000}"/>
    <cellStyle name="Normal 43 2 2 2 5" xfId="7930" xr:uid="{00000000-0005-0000-0000-0000FF1E0000}"/>
    <cellStyle name="Normal 43 2 2 3" xfId="7931" xr:uid="{00000000-0005-0000-0000-0000001F0000}"/>
    <cellStyle name="Normal 43 2 2 3 2" xfId="7932" xr:uid="{00000000-0005-0000-0000-0000011F0000}"/>
    <cellStyle name="Normal 43 2 2 3 2 2" xfId="7933" xr:uid="{00000000-0005-0000-0000-0000021F0000}"/>
    <cellStyle name="Normal 43 2 2 3 3" xfId="7934" xr:uid="{00000000-0005-0000-0000-0000031F0000}"/>
    <cellStyle name="Normal 43 2 2 4" xfId="7935" xr:uid="{00000000-0005-0000-0000-0000041F0000}"/>
    <cellStyle name="Normal 43 2 2 4 2" xfId="7936" xr:uid="{00000000-0005-0000-0000-0000051F0000}"/>
    <cellStyle name="Normal 43 2 2 4 2 2" xfId="7937" xr:uid="{00000000-0005-0000-0000-0000061F0000}"/>
    <cellStyle name="Normal 43 2 2 4 3" xfId="7938" xr:uid="{00000000-0005-0000-0000-0000071F0000}"/>
    <cellStyle name="Normal 43 2 2 5" xfId="7939" xr:uid="{00000000-0005-0000-0000-0000081F0000}"/>
    <cellStyle name="Normal 43 2 2 5 2" xfId="7940" xr:uid="{00000000-0005-0000-0000-0000091F0000}"/>
    <cellStyle name="Normal 43 2 2 6" xfId="7941" xr:uid="{00000000-0005-0000-0000-00000A1F0000}"/>
    <cellStyle name="Normal 43 2 3" xfId="7942" xr:uid="{00000000-0005-0000-0000-00000B1F0000}"/>
    <cellStyle name="Normal 43 2 3 2" xfId="7943" xr:uid="{00000000-0005-0000-0000-00000C1F0000}"/>
    <cellStyle name="Normal 43 2 3 2 2" xfId="7944" xr:uid="{00000000-0005-0000-0000-00000D1F0000}"/>
    <cellStyle name="Normal 43 2 3 2 2 2" xfId="7945" xr:uid="{00000000-0005-0000-0000-00000E1F0000}"/>
    <cellStyle name="Normal 43 2 3 2 3" xfId="7946" xr:uid="{00000000-0005-0000-0000-00000F1F0000}"/>
    <cellStyle name="Normal 43 2 3 3" xfId="7947" xr:uid="{00000000-0005-0000-0000-0000101F0000}"/>
    <cellStyle name="Normal 43 2 3 3 2" xfId="7948" xr:uid="{00000000-0005-0000-0000-0000111F0000}"/>
    <cellStyle name="Normal 43 2 3 3 2 2" xfId="7949" xr:uid="{00000000-0005-0000-0000-0000121F0000}"/>
    <cellStyle name="Normal 43 2 3 3 3" xfId="7950" xr:uid="{00000000-0005-0000-0000-0000131F0000}"/>
    <cellStyle name="Normal 43 2 3 4" xfId="7951" xr:uid="{00000000-0005-0000-0000-0000141F0000}"/>
    <cellStyle name="Normal 43 2 3 4 2" xfId="7952" xr:uid="{00000000-0005-0000-0000-0000151F0000}"/>
    <cellStyle name="Normal 43 2 3 5" xfId="7953" xr:uid="{00000000-0005-0000-0000-0000161F0000}"/>
    <cellStyle name="Normal 43 2 4" xfId="7954" xr:uid="{00000000-0005-0000-0000-0000171F0000}"/>
    <cellStyle name="Normal 43 2 4 2" xfId="7955" xr:uid="{00000000-0005-0000-0000-0000181F0000}"/>
    <cellStyle name="Normal 43 2 4 2 2" xfId="7956" xr:uid="{00000000-0005-0000-0000-0000191F0000}"/>
    <cellStyle name="Normal 43 2 4 3" xfId="7957" xr:uid="{00000000-0005-0000-0000-00001A1F0000}"/>
    <cellStyle name="Normal 43 2 5" xfId="7958" xr:uid="{00000000-0005-0000-0000-00001B1F0000}"/>
    <cellStyle name="Normal 43 2 5 2" xfId="7959" xr:uid="{00000000-0005-0000-0000-00001C1F0000}"/>
    <cellStyle name="Normal 43 2 5 2 2" xfId="7960" xr:uid="{00000000-0005-0000-0000-00001D1F0000}"/>
    <cellStyle name="Normal 43 2 5 3" xfId="7961" xr:uid="{00000000-0005-0000-0000-00001E1F0000}"/>
    <cellStyle name="Normal 43 2 6" xfId="7962" xr:uid="{00000000-0005-0000-0000-00001F1F0000}"/>
    <cellStyle name="Normal 43 2 6 2" xfId="7963" xr:uid="{00000000-0005-0000-0000-0000201F0000}"/>
    <cellStyle name="Normal 43 2 7" xfId="7964" xr:uid="{00000000-0005-0000-0000-0000211F0000}"/>
    <cellStyle name="Normal 43 3" xfId="7965" xr:uid="{00000000-0005-0000-0000-0000221F0000}"/>
    <cellStyle name="Normal 43 3 2" xfId="7966" xr:uid="{00000000-0005-0000-0000-0000231F0000}"/>
    <cellStyle name="Normal 43 4" xfId="7967" xr:uid="{00000000-0005-0000-0000-0000241F0000}"/>
    <cellStyle name="Normal 43 5" xfId="7968" xr:uid="{00000000-0005-0000-0000-0000251F0000}"/>
    <cellStyle name="Normal 44" xfId="7969" xr:uid="{00000000-0005-0000-0000-0000261F0000}"/>
    <cellStyle name="Normal 44 2" xfId="7970" xr:uid="{00000000-0005-0000-0000-0000271F0000}"/>
    <cellStyle name="Normal 44 2 2" xfId="7971" xr:uid="{00000000-0005-0000-0000-0000281F0000}"/>
    <cellStyle name="Normal 44 2 2 2" xfId="7972" xr:uid="{00000000-0005-0000-0000-0000291F0000}"/>
    <cellStyle name="Normal 44 2 2 2 2" xfId="7973" xr:uid="{00000000-0005-0000-0000-00002A1F0000}"/>
    <cellStyle name="Normal 44 2 2 2 2 2" xfId="7974" xr:uid="{00000000-0005-0000-0000-00002B1F0000}"/>
    <cellStyle name="Normal 44 2 2 2 2 2 2" xfId="7975" xr:uid="{00000000-0005-0000-0000-00002C1F0000}"/>
    <cellStyle name="Normal 44 2 2 2 2 3" xfId="7976" xr:uid="{00000000-0005-0000-0000-00002D1F0000}"/>
    <cellStyle name="Normal 44 2 2 2 3" xfId="7977" xr:uid="{00000000-0005-0000-0000-00002E1F0000}"/>
    <cellStyle name="Normal 44 2 2 2 3 2" xfId="7978" xr:uid="{00000000-0005-0000-0000-00002F1F0000}"/>
    <cellStyle name="Normal 44 2 2 2 3 2 2" xfId="7979" xr:uid="{00000000-0005-0000-0000-0000301F0000}"/>
    <cellStyle name="Normal 44 2 2 2 3 3" xfId="7980" xr:uid="{00000000-0005-0000-0000-0000311F0000}"/>
    <cellStyle name="Normal 44 2 2 2 4" xfId="7981" xr:uid="{00000000-0005-0000-0000-0000321F0000}"/>
    <cellStyle name="Normal 44 2 2 2 4 2" xfId="7982" xr:uid="{00000000-0005-0000-0000-0000331F0000}"/>
    <cellStyle name="Normal 44 2 2 2 5" xfId="7983" xr:uid="{00000000-0005-0000-0000-0000341F0000}"/>
    <cellStyle name="Normal 44 2 2 3" xfId="7984" xr:uid="{00000000-0005-0000-0000-0000351F0000}"/>
    <cellStyle name="Normal 44 2 2 3 2" xfId="7985" xr:uid="{00000000-0005-0000-0000-0000361F0000}"/>
    <cellStyle name="Normal 44 2 2 3 2 2" xfId="7986" xr:uid="{00000000-0005-0000-0000-0000371F0000}"/>
    <cellStyle name="Normal 44 2 2 3 3" xfId="7987" xr:uid="{00000000-0005-0000-0000-0000381F0000}"/>
    <cellStyle name="Normal 44 2 2 4" xfId="7988" xr:uid="{00000000-0005-0000-0000-0000391F0000}"/>
    <cellStyle name="Normal 44 2 2 4 2" xfId="7989" xr:uid="{00000000-0005-0000-0000-00003A1F0000}"/>
    <cellStyle name="Normal 44 2 2 4 2 2" xfId="7990" xr:uid="{00000000-0005-0000-0000-00003B1F0000}"/>
    <cellStyle name="Normal 44 2 2 4 3" xfId="7991" xr:uid="{00000000-0005-0000-0000-00003C1F0000}"/>
    <cellStyle name="Normal 44 2 2 5" xfId="7992" xr:uid="{00000000-0005-0000-0000-00003D1F0000}"/>
    <cellStyle name="Normal 44 2 2 5 2" xfId="7993" xr:uid="{00000000-0005-0000-0000-00003E1F0000}"/>
    <cellStyle name="Normal 44 2 2 6" xfId="7994" xr:uid="{00000000-0005-0000-0000-00003F1F0000}"/>
    <cellStyle name="Normal 44 2 3" xfId="7995" xr:uid="{00000000-0005-0000-0000-0000401F0000}"/>
    <cellStyle name="Normal 44 2 3 2" xfId="7996" xr:uid="{00000000-0005-0000-0000-0000411F0000}"/>
    <cellStyle name="Normal 44 2 3 2 2" xfId="7997" xr:uid="{00000000-0005-0000-0000-0000421F0000}"/>
    <cellStyle name="Normal 44 2 3 2 2 2" xfId="7998" xr:uid="{00000000-0005-0000-0000-0000431F0000}"/>
    <cellStyle name="Normal 44 2 3 2 3" xfId="7999" xr:uid="{00000000-0005-0000-0000-0000441F0000}"/>
    <cellStyle name="Normal 44 2 3 3" xfId="8000" xr:uid="{00000000-0005-0000-0000-0000451F0000}"/>
    <cellStyle name="Normal 44 2 3 3 2" xfId="8001" xr:uid="{00000000-0005-0000-0000-0000461F0000}"/>
    <cellStyle name="Normal 44 2 3 3 2 2" xfId="8002" xr:uid="{00000000-0005-0000-0000-0000471F0000}"/>
    <cellStyle name="Normal 44 2 3 3 3" xfId="8003" xr:uid="{00000000-0005-0000-0000-0000481F0000}"/>
    <cellStyle name="Normal 44 2 3 4" xfId="8004" xr:uid="{00000000-0005-0000-0000-0000491F0000}"/>
    <cellStyle name="Normal 44 2 3 4 2" xfId="8005" xr:uid="{00000000-0005-0000-0000-00004A1F0000}"/>
    <cellStyle name="Normal 44 2 3 5" xfId="8006" xr:uid="{00000000-0005-0000-0000-00004B1F0000}"/>
    <cellStyle name="Normal 44 2 4" xfId="8007" xr:uid="{00000000-0005-0000-0000-00004C1F0000}"/>
    <cellStyle name="Normal 44 2 4 2" xfId="8008" xr:uid="{00000000-0005-0000-0000-00004D1F0000}"/>
    <cellStyle name="Normal 44 2 4 2 2" xfId="8009" xr:uid="{00000000-0005-0000-0000-00004E1F0000}"/>
    <cellStyle name="Normal 44 2 4 3" xfId="8010" xr:uid="{00000000-0005-0000-0000-00004F1F0000}"/>
    <cellStyle name="Normal 44 2 5" xfId="8011" xr:uid="{00000000-0005-0000-0000-0000501F0000}"/>
    <cellStyle name="Normal 44 2 5 2" xfId="8012" xr:uid="{00000000-0005-0000-0000-0000511F0000}"/>
    <cellStyle name="Normal 44 2 5 2 2" xfId="8013" xr:uid="{00000000-0005-0000-0000-0000521F0000}"/>
    <cellStyle name="Normal 44 2 5 3" xfId="8014" xr:uid="{00000000-0005-0000-0000-0000531F0000}"/>
    <cellStyle name="Normal 44 2 6" xfId="8015" xr:uid="{00000000-0005-0000-0000-0000541F0000}"/>
    <cellStyle name="Normal 44 2 6 2" xfId="8016" xr:uid="{00000000-0005-0000-0000-0000551F0000}"/>
    <cellStyle name="Normal 44 2 7" xfId="8017" xr:uid="{00000000-0005-0000-0000-0000561F0000}"/>
    <cellStyle name="Normal 44 3" xfId="8018" xr:uid="{00000000-0005-0000-0000-0000571F0000}"/>
    <cellStyle name="Normal 44 3 2" xfId="8019" xr:uid="{00000000-0005-0000-0000-0000581F0000}"/>
    <cellStyle name="Normal 44 3 2 2" xfId="8020" xr:uid="{00000000-0005-0000-0000-0000591F0000}"/>
    <cellStyle name="Normal 44 3 2 2 2" xfId="8021" xr:uid="{00000000-0005-0000-0000-00005A1F0000}"/>
    <cellStyle name="Normal 44 3 2 2 2 2" xfId="8022" xr:uid="{00000000-0005-0000-0000-00005B1F0000}"/>
    <cellStyle name="Normal 44 3 2 2 3" xfId="8023" xr:uid="{00000000-0005-0000-0000-00005C1F0000}"/>
    <cellStyle name="Normal 44 3 2 3" xfId="8024" xr:uid="{00000000-0005-0000-0000-00005D1F0000}"/>
    <cellStyle name="Normal 44 3 2 3 2" xfId="8025" xr:uid="{00000000-0005-0000-0000-00005E1F0000}"/>
    <cellStyle name="Normal 44 3 2 3 2 2" xfId="8026" xr:uid="{00000000-0005-0000-0000-00005F1F0000}"/>
    <cellStyle name="Normal 44 3 2 3 3" xfId="8027" xr:uid="{00000000-0005-0000-0000-0000601F0000}"/>
    <cellStyle name="Normal 44 3 2 4" xfId="8028" xr:uid="{00000000-0005-0000-0000-0000611F0000}"/>
    <cellStyle name="Normal 44 3 2 4 2" xfId="8029" xr:uid="{00000000-0005-0000-0000-0000621F0000}"/>
    <cellStyle name="Normal 44 3 2 5" xfId="8030" xr:uid="{00000000-0005-0000-0000-0000631F0000}"/>
    <cellStyle name="Normal 44 3 3" xfId="8031" xr:uid="{00000000-0005-0000-0000-0000641F0000}"/>
    <cellStyle name="Normal 44 3 3 2" xfId="8032" xr:uid="{00000000-0005-0000-0000-0000651F0000}"/>
    <cellStyle name="Normal 44 3 3 2 2" xfId="8033" xr:uid="{00000000-0005-0000-0000-0000661F0000}"/>
    <cellStyle name="Normal 44 3 3 3" xfId="8034" xr:uid="{00000000-0005-0000-0000-0000671F0000}"/>
    <cellStyle name="Normal 44 3 4" xfId="8035" xr:uid="{00000000-0005-0000-0000-0000681F0000}"/>
    <cellStyle name="Normal 44 3 4 2" xfId="8036" xr:uid="{00000000-0005-0000-0000-0000691F0000}"/>
    <cellStyle name="Normal 44 3 4 2 2" xfId="8037" xr:uid="{00000000-0005-0000-0000-00006A1F0000}"/>
    <cellStyle name="Normal 44 3 4 3" xfId="8038" xr:uid="{00000000-0005-0000-0000-00006B1F0000}"/>
    <cellStyle name="Normal 44 3 5" xfId="8039" xr:uid="{00000000-0005-0000-0000-00006C1F0000}"/>
    <cellStyle name="Normal 44 3 5 2" xfId="8040" xr:uid="{00000000-0005-0000-0000-00006D1F0000}"/>
    <cellStyle name="Normal 44 3 6" xfId="8041" xr:uid="{00000000-0005-0000-0000-00006E1F0000}"/>
    <cellStyle name="Normal 44 4" xfId="8042" xr:uid="{00000000-0005-0000-0000-00006F1F0000}"/>
    <cellStyle name="Normal 44 4 2" xfId="8043" xr:uid="{00000000-0005-0000-0000-0000701F0000}"/>
    <cellStyle name="Normal 44 4 2 2" xfId="8044" xr:uid="{00000000-0005-0000-0000-0000711F0000}"/>
    <cellStyle name="Normal 44 4 2 2 2" xfId="8045" xr:uid="{00000000-0005-0000-0000-0000721F0000}"/>
    <cellStyle name="Normal 44 4 2 3" xfId="8046" xr:uid="{00000000-0005-0000-0000-0000731F0000}"/>
    <cellStyle name="Normal 44 4 3" xfId="8047" xr:uid="{00000000-0005-0000-0000-0000741F0000}"/>
    <cellStyle name="Normal 44 4 3 2" xfId="8048" xr:uid="{00000000-0005-0000-0000-0000751F0000}"/>
    <cellStyle name="Normal 44 4 3 2 2" xfId="8049" xr:uid="{00000000-0005-0000-0000-0000761F0000}"/>
    <cellStyle name="Normal 44 4 3 3" xfId="8050" xr:uid="{00000000-0005-0000-0000-0000771F0000}"/>
    <cellStyle name="Normal 44 4 4" xfId="8051" xr:uid="{00000000-0005-0000-0000-0000781F0000}"/>
    <cellStyle name="Normal 44 4 4 2" xfId="8052" xr:uid="{00000000-0005-0000-0000-0000791F0000}"/>
    <cellStyle name="Normal 44 4 5" xfId="8053" xr:uid="{00000000-0005-0000-0000-00007A1F0000}"/>
    <cellStyle name="Normal 44 5" xfId="8054" xr:uid="{00000000-0005-0000-0000-00007B1F0000}"/>
    <cellStyle name="Normal 44 5 2" xfId="8055" xr:uid="{00000000-0005-0000-0000-00007C1F0000}"/>
    <cellStyle name="Normal 44 5 2 2" xfId="8056" xr:uid="{00000000-0005-0000-0000-00007D1F0000}"/>
    <cellStyle name="Normal 44 5 3" xfId="8057" xr:uid="{00000000-0005-0000-0000-00007E1F0000}"/>
    <cellStyle name="Normal 44 6" xfId="8058" xr:uid="{00000000-0005-0000-0000-00007F1F0000}"/>
    <cellStyle name="Normal 44 6 2" xfId="8059" xr:uid="{00000000-0005-0000-0000-0000801F0000}"/>
    <cellStyle name="Normal 44 6 2 2" xfId="8060" xr:uid="{00000000-0005-0000-0000-0000811F0000}"/>
    <cellStyle name="Normal 44 6 3" xfId="8061" xr:uid="{00000000-0005-0000-0000-0000821F0000}"/>
    <cellStyle name="Normal 44 7" xfId="8062" xr:uid="{00000000-0005-0000-0000-0000831F0000}"/>
    <cellStyle name="Normal 44 7 2" xfId="8063" xr:uid="{00000000-0005-0000-0000-0000841F0000}"/>
    <cellStyle name="Normal 44 8" xfId="8064" xr:uid="{00000000-0005-0000-0000-0000851F0000}"/>
    <cellStyle name="Normal 44 9" xfId="8065" xr:uid="{00000000-0005-0000-0000-0000861F0000}"/>
    <cellStyle name="Normal 45" xfId="8066" xr:uid="{00000000-0005-0000-0000-0000871F0000}"/>
    <cellStyle name="Normal 45 2" xfId="8067" xr:uid="{00000000-0005-0000-0000-0000881F0000}"/>
    <cellStyle name="Normal 45 2 2" xfId="8068" xr:uid="{00000000-0005-0000-0000-0000891F0000}"/>
    <cellStyle name="Normal 45 2 2 2" xfId="8069" xr:uid="{00000000-0005-0000-0000-00008A1F0000}"/>
    <cellStyle name="Normal 45 2 2 2 2" xfId="8070" xr:uid="{00000000-0005-0000-0000-00008B1F0000}"/>
    <cellStyle name="Normal 45 2 2 2 2 2" xfId="8071" xr:uid="{00000000-0005-0000-0000-00008C1F0000}"/>
    <cellStyle name="Normal 45 2 2 2 2 2 2" xfId="8072" xr:uid="{00000000-0005-0000-0000-00008D1F0000}"/>
    <cellStyle name="Normal 45 2 2 2 2 3" xfId="8073" xr:uid="{00000000-0005-0000-0000-00008E1F0000}"/>
    <cellStyle name="Normal 45 2 2 2 3" xfId="8074" xr:uid="{00000000-0005-0000-0000-00008F1F0000}"/>
    <cellStyle name="Normal 45 2 2 2 3 2" xfId="8075" xr:uid="{00000000-0005-0000-0000-0000901F0000}"/>
    <cellStyle name="Normal 45 2 2 2 3 2 2" xfId="8076" xr:uid="{00000000-0005-0000-0000-0000911F0000}"/>
    <cellStyle name="Normal 45 2 2 2 3 3" xfId="8077" xr:uid="{00000000-0005-0000-0000-0000921F0000}"/>
    <cellStyle name="Normal 45 2 2 2 4" xfId="8078" xr:uid="{00000000-0005-0000-0000-0000931F0000}"/>
    <cellStyle name="Normal 45 2 2 2 4 2" xfId="8079" xr:uid="{00000000-0005-0000-0000-0000941F0000}"/>
    <cellStyle name="Normal 45 2 2 2 5" xfId="8080" xr:uid="{00000000-0005-0000-0000-0000951F0000}"/>
    <cellStyle name="Normal 45 2 2 3" xfId="8081" xr:uid="{00000000-0005-0000-0000-0000961F0000}"/>
    <cellStyle name="Normal 45 2 2 3 2" xfId="8082" xr:uid="{00000000-0005-0000-0000-0000971F0000}"/>
    <cellStyle name="Normal 45 2 2 3 2 2" xfId="8083" xr:uid="{00000000-0005-0000-0000-0000981F0000}"/>
    <cellStyle name="Normal 45 2 2 3 3" xfId="8084" xr:uid="{00000000-0005-0000-0000-0000991F0000}"/>
    <cellStyle name="Normal 45 2 2 4" xfId="8085" xr:uid="{00000000-0005-0000-0000-00009A1F0000}"/>
    <cellStyle name="Normal 45 2 2 4 2" xfId="8086" xr:uid="{00000000-0005-0000-0000-00009B1F0000}"/>
    <cellStyle name="Normal 45 2 2 4 2 2" xfId="8087" xr:uid="{00000000-0005-0000-0000-00009C1F0000}"/>
    <cellStyle name="Normal 45 2 2 4 3" xfId="8088" xr:uid="{00000000-0005-0000-0000-00009D1F0000}"/>
    <cellStyle name="Normal 45 2 2 5" xfId="8089" xr:uid="{00000000-0005-0000-0000-00009E1F0000}"/>
    <cellStyle name="Normal 45 2 2 5 2" xfId="8090" xr:uid="{00000000-0005-0000-0000-00009F1F0000}"/>
    <cellStyle name="Normal 45 2 2 6" xfId="8091" xr:uid="{00000000-0005-0000-0000-0000A01F0000}"/>
    <cellStyle name="Normal 45 2 3" xfId="8092" xr:uid="{00000000-0005-0000-0000-0000A11F0000}"/>
    <cellStyle name="Normal 45 2 3 2" xfId="8093" xr:uid="{00000000-0005-0000-0000-0000A21F0000}"/>
    <cellStyle name="Normal 45 2 3 2 2" xfId="8094" xr:uid="{00000000-0005-0000-0000-0000A31F0000}"/>
    <cellStyle name="Normal 45 2 3 2 2 2" xfId="8095" xr:uid="{00000000-0005-0000-0000-0000A41F0000}"/>
    <cellStyle name="Normal 45 2 3 2 3" xfId="8096" xr:uid="{00000000-0005-0000-0000-0000A51F0000}"/>
    <cellStyle name="Normal 45 2 3 3" xfId="8097" xr:uid="{00000000-0005-0000-0000-0000A61F0000}"/>
    <cellStyle name="Normal 45 2 3 3 2" xfId="8098" xr:uid="{00000000-0005-0000-0000-0000A71F0000}"/>
    <cellStyle name="Normal 45 2 3 3 2 2" xfId="8099" xr:uid="{00000000-0005-0000-0000-0000A81F0000}"/>
    <cellStyle name="Normal 45 2 3 3 3" xfId="8100" xr:uid="{00000000-0005-0000-0000-0000A91F0000}"/>
    <cellStyle name="Normal 45 2 3 4" xfId="8101" xr:uid="{00000000-0005-0000-0000-0000AA1F0000}"/>
    <cellStyle name="Normal 45 2 3 4 2" xfId="8102" xr:uid="{00000000-0005-0000-0000-0000AB1F0000}"/>
    <cellStyle name="Normal 45 2 3 5" xfId="8103" xr:uid="{00000000-0005-0000-0000-0000AC1F0000}"/>
    <cellStyle name="Normal 45 2 4" xfId="8104" xr:uid="{00000000-0005-0000-0000-0000AD1F0000}"/>
    <cellStyle name="Normal 45 2 4 2" xfId="8105" xr:uid="{00000000-0005-0000-0000-0000AE1F0000}"/>
    <cellStyle name="Normal 45 2 4 2 2" xfId="8106" xr:uid="{00000000-0005-0000-0000-0000AF1F0000}"/>
    <cellStyle name="Normal 45 2 4 3" xfId="8107" xr:uid="{00000000-0005-0000-0000-0000B01F0000}"/>
    <cellStyle name="Normal 45 2 5" xfId="8108" xr:uid="{00000000-0005-0000-0000-0000B11F0000}"/>
    <cellStyle name="Normal 45 2 5 2" xfId="8109" xr:uid="{00000000-0005-0000-0000-0000B21F0000}"/>
    <cellStyle name="Normal 45 2 5 2 2" xfId="8110" xr:uid="{00000000-0005-0000-0000-0000B31F0000}"/>
    <cellStyle name="Normal 45 2 5 3" xfId="8111" xr:uid="{00000000-0005-0000-0000-0000B41F0000}"/>
    <cellStyle name="Normal 45 2 6" xfId="8112" xr:uid="{00000000-0005-0000-0000-0000B51F0000}"/>
    <cellStyle name="Normal 45 2 6 2" xfId="8113" xr:uid="{00000000-0005-0000-0000-0000B61F0000}"/>
    <cellStyle name="Normal 45 2 7" xfId="8114" xr:uid="{00000000-0005-0000-0000-0000B71F0000}"/>
    <cellStyle name="Normal 45 3" xfId="8115" xr:uid="{00000000-0005-0000-0000-0000B81F0000}"/>
    <cellStyle name="Normal 45 3 2" xfId="8116" xr:uid="{00000000-0005-0000-0000-0000B91F0000}"/>
    <cellStyle name="Normal 45 4" xfId="8117" xr:uid="{00000000-0005-0000-0000-0000BA1F0000}"/>
    <cellStyle name="Normal 45 5" xfId="8118" xr:uid="{00000000-0005-0000-0000-0000BB1F0000}"/>
    <cellStyle name="Normal 46" xfId="8119" xr:uid="{00000000-0005-0000-0000-0000BC1F0000}"/>
    <cellStyle name="Normal 46 2" xfId="8120" xr:uid="{00000000-0005-0000-0000-0000BD1F0000}"/>
    <cellStyle name="Normal 46 2 2" xfId="8121" xr:uid="{00000000-0005-0000-0000-0000BE1F0000}"/>
    <cellStyle name="Normal 46 2 2 2" xfId="8122" xr:uid="{00000000-0005-0000-0000-0000BF1F0000}"/>
    <cellStyle name="Normal 46 2 2 2 2" xfId="8123" xr:uid="{00000000-0005-0000-0000-0000C01F0000}"/>
    <cellStyle name="Normal 46 2 2 2 2 2" xfId="8124" xr:uid="{00000000-0005-0000-0000-0000C11F0000}"/>
    <cellStyle name="Normal 46 2 2 2 2 2 2" xfId="8125" xr:uid="{00000000-0005-0000-0000-0000C21F0000}"/>
    <cellStyle name="Normal 46 2 2 2 2 3" xfId="8126" xr:uid="{00000000-0005-0000-0000-0000C31F0000}"/>
    <cellStyle name="Normal 46 2 2 2 3" xfId="8127" xr:uid="{00000000-0005-0000-0000-0000C41F0000}"/>
    <cellStyle name="Normal 46 2 2 2 3 2" xfId="8128" xr:uid="{00000000-0005-0000-0000-0000C51F0000}"/>
    <cellStyle name="Normal 46 2 2 2 3 2 2" xfId="8129" xr:uid="{00000000-0005-0000-0000-0000C61F0000}"/>
    <cellStyle name="Normal 46 2 2 2 3 3" xfId="8130" xr:uid="{00000000-0005-0000-0000-0000C71F0000}"/>
    <cellStyle name="Normal 46 2 2 2 4" xfId="8131" xr:uid="{00000000-0005-0000-0000-0000C81F0000}"/>
    <cellStyle name="Normal 46 2 2 2 4 2" xfId="8132" xr:uid="{00000000-0005-0000-0000-0000C91F0000}"/>
    <cellStyle name="Normal 46 2 2 2 5" xfId="8133" xr:uid="{00000000-0005-0000-0000-0000CA1F0000}"/>
    <cellStyle name="Normal 46 2 2 3" xfId="8134" xr:uid="{00000000-0005-0000-0000-0000CB1F0000}"/>
    <cellStyle name="Normal 46 2 2 3 2" xfId="8135" xr:uid="{00000000-0005-0000-0000-0000CC1F0000}"/>
    <cellStyle name="Normal 46 2 2 3 2 2" xfId="8136" xr:uid="{00000000-0005-0000-0000-0000CD1F0000}"/>
    <cellStyle name="Normal 46 2 2 3 3" xfId="8137" xr:uid="{00000000-0005-0000-0000-0000CE1F0000}"/>
    <cellStyle name="Normal 46 2 2 4" xfId="8138" xr:uid="{00000000-0005-0000-0000-0000CF1F0000}"/>
    <cellStyle name="Normal 46 2 2 4 2" xfId="8139" xr:uid="{00000000-0005-0000-0000-0000D01F0000}"/>
    <cellStyle name="Normal 46 2 2 4 2 2" xfId="8140" xr:uid="{00000000-0005-0000-0000-0000D11F0000}"/>
    <cellStyle name="Normal 46 2 2 4 3" xfId="8141" xr:uid="{00000000-0005-0000-0000-0000D21F0000}"/>
    <cellStyle name="Normal 46 2 2 5" xfId="8142" xr:uid="{00000000-0005-0000-0000-0000D31F0000}"/>
    <cellStyle name="Normal 46 2 2 5 2" xfId="8143" xr:uid="{00000000-0005-0000-0000-0000D41F0000}"/>
    <cellStyle name="Normal 46 2 2 6" xfId="8144" xr:uid="{00000000-0005-0000-0000-0000D51F0000}"/>
    <cellStyle name="Normal 46 2 3" xfId="8145" xr:uid="{00000000-0005-0000-0000-0000D61F0000}"/>
    <cellStyle name="Normal 46 2 3 2" xfId="8146" xr:uid="{00000000-0005-0000-0000-0000D71F0000}"/>
    <cellStyle name="Normal 46 2 3 2 2" xfId="8147" xr:uid="{00000000-0005-0000-0000-0000D81F0000}"/>
    <cellStyle name="Normal 46 2 3 2 2 2" xfId="8148" xr:uid="{00000000-0005-0000-0000-0000D91F0000}"/>
    <cellStyle name="Normal 46 2 3 2 3" xfId="8149" xr:uid="{00000000-0005-0000-0000-0000DA1F0000}"/>
    <cellStyle name="Normal 46 2 3 3" xfId="8150" xr:uid="{00000000-0005-0000-0000-0000DB1F0000}"/>
    <cellStyle name="Normal 46 2 3 3 2" xfId="8151" xr:uid="{00000000-0005-0000-0000-0000DC1F0000}"/>
    <cellStyle name="Normal 46 2 3 3 2 2" xfId="8152" xr:uid="{00000000-0005-0000-0000-0000DD1F0000}"/>
    <cellStyle name="Normal 46 2 3 3 3" xfId="8153" xr:uid="{00000000-0005-0000-0000-0000DE1F0000}"/>
    <cellStyle name="Normal 46 2 3 4" xfId="8154" xr:uid="{00000000-0005-0000-0000-0000DF1F0000}"/>
    <cellStyle name="Normal 46 2 3 4 2" xfId="8155" xr:uid="{00000000-0005-0000-0000-0000E01F0000}"/>
    <cellStyle name="Normal 46 2 3 5" xfId="8156" xr:uid="{00000000-0005-0000-0000-0000E11F0000}"/>
    <cellStyle name="Normal 46 2 4" xfId="8157" xr:uid="{00000000-0005-0000-0000-0000E21F0000}"/>
    <cellStyle name="Normal 46 2 4 2" xfId="8158" xr:uid="{00000000-0005-0000-0000-0000E31F0000}"/>
    <cellStyle name="Normal 46 2 4 2 2" xfId="8159" xr:uid="{00000000-0005-0000-0000-0000E41F0000}"/>
    <cellStyle name="Normal 46 2 4 3" xfId="8160" xr:uid="{00000000-0005-0000-0000-0000E51F0000}"/>
    <cellStyle name="Normal 46 2 5" xfId="8161" xr:uid="{00000000-0005-0000-0000-0000E61F0000}"/>
    <cellStyle name="Normal 46 2 5 2" xfId="8162" xr:uid="{00000000-0005-0000-0000-0000E71F0000}"/>
    <cellStyle name="Normal 46 2 5 2 2" xfId="8163" xr:uid="{00000000-0005-0000-0000-0000E81F0000}"/>
    <cellStyle name="Normal 46 2 5 3" xfId="8164" xr:uid="{00000000-0005-0000-0000-0000E91F0000}"/>
    <cellStyle name="Normal 46 2 6" xfId="8165" xr:uid="{00000000-0005-0000-0000-0000EA1F0000}"/>
    <cellStyle name="Normal 46 2 6 2" xfId="8166" xr:uid="{00000000-0005-0000-0000-0000EB1F0000}"/>
    <cellStyle name="Normal 46 2 7" xfId="8167" xr:uid="{00000000-0005-0000-0000-0000EC1F0000}"/>
    <cellStyle name="Normal 46 3" xfId="8168" xr:uid="{00000000-0005-0000-0000-0000ED1F0000}"/>
    <cellStyle name="Normal 46 3 2" xfId="8169" xr:uid="{00000000-0005-0000-0000-0000EE1F0000}"/>
    <cellStyle name="Normal 46 4" xfId="8170" xr:uid="{00000000-0005-0000-0000-0000EF1F0000}"/>
    <cellStyle name="Normal 46 5" xfId="8171" xr:uid="{00000000-0005-0000-0000-0000F01F0000}"/>
    <cellStyle name="Normal 47" xfId="8172" xr:uid="{00000000-0005-0000-0000-0000F11F0000}"/>
    <cellStyle name="Normal 47 2" xfId="8173" xr:uid="{00000000-0005-0000-0000-0000F21F0000}"/>
    <cellStyle name="Normal 47 2 2" xfId="8174" xr:uid="{00000000-0005-0000-0000-0000F31F0000}"/>
    <cellStyle name="Normal 47 2 2 2" xfId="8175" xr:uid="{00000000-0005-0000-0000-0000F41F0000}"/>
    <cellStyle name="Normal 47 2 2 2 2" xfId="8176" xr:uid="{00000000-0005-0000-0000-0000F51F0000}"/>
    <cellStyle name="Normal 47 2 2 2 2 2" xfId="8177" xr:uid="{00000000-0005-0000-0000-0000F61F0000}"/>
    <cellStyle name="Normal 47 2 2 2 2 2 2" xfId="8178" xr:uid="{00000000-0005-0000-0000-0000F71F0000}"/>
    <cellStyle name="Normal 47 2 2 2 2 3" xfId="8179" xr:uid="{00000000-0005-0000-0000-0000F81F0000}"/>
    <cellStyle name="Normal 47 2 2 2 3" xfId="8180" xr:uid="{00000000-0005-0000-0000-0000F91F0000}"/>
    <cellStyle name="Normal 47 2 2 2 3 2" xfId="8181" xr:uid="{00000000-0005-0000-0000-0000FA1F0000}"/>
    <cellStyle name="Normal 47 2 2 2 3 2 2" xfId="8182" xr:uid="{00000000-0005-0000-0000-0000FB1F0000}"/>
    <cellStyle name="Normal 47 2 2 2 3 3" xfId="8183" xr:uid="{00000000-0005-0000-0000-0000FC1F0000}"/>
    <cellStyle name="Normal 47 2 2 2 4" xfId="8184" xr:uid="{00000000-0005-0000-0000-0000FD1F0000}"/>
    <cellStyle name="Normal 47 2 2 2 4 2" xfId="8185" xr:uid="{00000000-0005-0000-0000-0000FE1F0000}"/>
    <cellStyle name="Normal 47 2 2 2 5" xfId="8186" xr:uid="{00000000-0005-0000-0000-0000FF1F0000}"/>
    <cellStyle name="Normal 47 2 2 3" xfId="8187" xr:uid="{00000000-0005-0000-0000-000000200000}"/>
    <cellStyle name="Normal 47 2 2 3 2" xfId="8188" xr:uid="{00000000-0005-0000-0000-000001200000}"/>
    <cellStyle name="Normal 47 2 2 3 2 2" xfId="8189" xr:uid="{00000000-0005-0000-0000-000002200000}"/>
    <cellStyle name="Normal 47 2 2 3 3" xfId="8190" xr:uid="{00000000-0005-0000-0000-000003200000}"/>
    <cellStyle name="Normal 47 2 2 4" xfId="8191" xr:uid="{00000000-0005-0000-0000-000004200000}"/>
    <cellStyle name="Normal 47 2 2 4 2" xfId="8192" xr:uid="{00000000-0005-0000-0000-000005200000}"/>
    <cellStyle name="Normal 47 2 2 4 2 2" xfId="8193" xr:uid="{00000000-0005-0000-0000-000006200000}"/>
    <cellStyle name="Normal 47 2 2 4 3" xfId="8194" xr:uid="{00000000-0005-0000-0000-000007200000}"/>
    <cellStyle name="Normal 47 2 2 5" xfId="8195" xr:uid="{00000000-0005-0000-0000-000008200000}"/>
    <cellStyle name="Normal 47 2 2 5 2" xfId="8196" xr:uid="{00000000-0005-0000-0000-000009200000}"/>
    <cellStyle name="Normal 47 2 2 6" xfId="8197" xr:uid="{00000000-0005-0000-0000-00000A200000}"/>
    <cellStyle name="Normal 47 2 3" xfId="8198" xr:uid="{00000000-0005-0000-0000-00000B200000}"/>
    <cellStyle name="Normal 47 2 3 2" xfId="8199" xr:uid="{00000000-0005-0000-0000-00000C200000}"/>
    <cellStyle name="Normal 47 2 3 2 2" xfId="8200" xr:uid="{00000000-0005-0000-0000-00000D200000}"/>
    <cellStyle name="Normal 47 2 3 2 2 2" xfId="8201" xr:uid="{00000000-0005-0000-0000-00000E200000}"/>
    <cellStyle name="Normal 47 2 3 2 3" xfId="8202" xr:uid="{00000000-0005-0000-0000-00000F200000}"/>
    <cellStyle name="Normal 47 2 3 3" xfId="8203" xr:uid="{00000000-0005-0000-0000-000010200000}"/>
    <cellStyle name="Normal 47 2 3 3 2" xfId="8204" xr:uid="{00000000-0005-0000-0000-000011200000}"/>
    <cellStyle name="Normal 47 2 3 3 2 2" xfId="8205" xr:uid="{00000000-0005-0000-0000-000012200000}"/>
    <cellStyle name="Normal 47 2 3 3 3" xfId="8206" xr:uid="{00000000-0005-0000-0000-000013200000}"/>
    <cellStyle name="Normal 47 2 3 4" xfId="8207" xr:uid="{00000000-0005-0000-0000-000014200000}"/>
    <cellStyle name="Normal 47 2 3 4 2" xfId="8208" xr:uid="{00000000-0005-0000-0000-000015200000}"/>
    <cellStyle name="Normal 47 2 3 5" xfId="8209" xr:uid="{00000000-0005-0000-0000-000016200000}"/>
    <cellStyle name="Normal 47 2 4" xfId="8210" xr:uid="{00000000-0005-0000-0000-000017200000}"/>
    <cellStyle name="Normal 47 2 4 2" xfId="8211" xr:uid="{00000000-0005-0000-0000-000018200000}"/>
    <cellStyle name="Normal 47 2 4 2 2" xfId="8212" xr:uid="{00000000-0005-0000-0000-000019200000}"/>
    <cellStyle name="Normal 47 2 4 3" xfId="8213" xr:uid="{00000000-0005-0000-0000-00001A200000}"/>
    <cellStyle name="Normal 47 2 5" xfId="8214" xr:uid="{00000000-0005-0000-0000-00001B200000}"/>
    <cellStyle name="Normal 47 2 5 2" xfId="8215" xr:uid="{00000000-0005-0000-0000-00001C200000}"/>
    <cellStyle name="Normal 47 2 5 2 2" xfId="8216" xr:uid="{00000000-0005-0000-0000-00001D200000}"/>
    <cellStyle name="Normal 47 2 5 3" xfId="8217" xr:uid="{00000000-0005-0000-0000-00001E200000}"/>
    <cellStyle name="Normal 47 2 6" xfId="8218" xr:uid="{00000000-0005-0000-0000-00001F200000}"/>
    <cellStyle name="Normal 47 2 6 2" xfId="8219" xr:uid="{00000000-0005-0000-0000-000020200000}"/>
    <cellStyle name="Normal 47 2 7" xfId="8220" xr:uid="{00000000-0005-0000-0000-000021200000}"/>
    <cellStyle name="Normal 47 3" xfId="8221" xr:uid="{00000000-0005-0000-0000-000022200000}"/>
    <cellStyle name="Normal 47 3 2" xfId="8222" xr:uid="{00000000-0005-0000-0000-000023200000}"/>
    <cellStyle name="Normal 47 4" xfId="8223" xr:uid="{00000000-0005-0000-0000-000024200000}"/>
    <cellStyle name="Normal 47 5" xfId="8224" xr:uid="{00000000-0005-0000-0000-000025200000}"/>
    <cellStyle name="Normal 48" xfId="8225" xr:uid="{00000000-0005-0000-0000-000026200000}"/>
    <cellStyle name="Normal 48 2" xfId="8226" xr:uid="{00000000-0005-0000-0000-000027200000}"/>
    <cellStyle name="Normal 48 2 2" xfId="8227" xr:uid="{00000000-0005-0000-0000-000028200000}"/>
    <cellStyle name="Normal 48 2 2 2" xfId="8228" xr:uid="{00000000-0005-0000-0000-000029200000}"/>
    <cellStyle name="Normal 48 2 2 2 2" xfId="8229" xr:uid="{00000000-0005-0000-0000-00002A200000}"/>
    <cellStyle name="Normal 48 2 2 2 2 2" xfId="8230" xr:uid="{00000000-0005-0000-0000-00002B200000}"/>
    <cellStyle name="Normal 48 2 2 2 2 2 2" xfId="8231" xr:uid="{00000000-0005-0000-0000-00002C200000}"/>
    <cellStyle name="Normal 48 2 2 2 2 3" xfId="8232" xr:uid="{00000000-0005-0000-0000-00002D200000}"/>
    <cellStyle name="Normal 48 2 2 2 3" xfId="8233" xr:uid="{00000000-0005-0000-0000-00002E200000}"/>
    <cellStyle name="Normal 48 2 2 2 3 2" xfId="8234" xr:uid="{00000000-0005-0000-0000-00002F200000}"/>
    <cellStyle name="Normal 48 2 2 2 3 2 2" xfId="8235" xr:uid="{00000000-0005-0000-0000-000030200000}"/>
    <cellStyle name="Normal 48 2 2 2 3 3" xfId="8236" xr:uid="{00000000-0005-0000-0000-000031200000}"/>
    <cellStyle name="Normal 48 2 2 2 4" xfId="8237" xr:uid="{00000000-0005-0000-0000-000032200000}"/>
    <cellStyle name="Normal 48 2 2 2 4 2" xfId="8238" xr:uid="{00000000-0005-0000-0000-000033200000}"/>
    <cellStyle name="Normal 48 2 2 2 5" xfId="8239" xr:uid="{00000000-0005-0000-0000-000034200000}"/>
    <cellStyle name="Normal 48 2 2 3" xfId="8240" xr:uid="{00000000-0005-0000-0000-000035200000}"/>
    <cellStyle name="Normal 48 2 2 3 2" xfId="8241" xr:uid="{00000000-0005-0000-0000-000036200000}"/>
    <cellStyle name="Normal 48 2 2 3 2 2" xfId="8242" xr:uid="{00000000-0005-0000-0000-000037200000}"/>
    <cellStyle name="Normal 48 2 2 3 3" xfId="8243" xr:uid="{00000000-0005-0000-0000-000038200000}"/>
    <cellStyle name="Normal 48 2 2 4" xfId="8244" xr:uid="{00000000-0005-0000-0000-000039200000}"/>
    <cellStyle name="Normal 48 2 2 4 2" xfId="8245" xr:uid="{00000000-0005-0000-0000-00003A200000}"/>
    <cellStyle name="Normal 48 2 2 4 2 2" xfId="8246" xr:uid="{00000000-0005-0000-0000-00003B200000}"/>
    <cellStyle name="Normal 48 2 2 4 3" xfId="8247" xr:uid="{00000000-0005-0000-0000-00003C200000}"/>
    <cellStyle name="Normal 48 2 2 5" xfId="8248" xr:uid="{00000000-0005-0000-0000-00003D200000}"/>
    <cellStyle name="Normal 48 2 2 5 2" xfId="8249" xr:uid="{00000000-0005-0000-0000-00003E200000}"/>
    <cellStyle name="Normal 48 2 2 6" xfId="8250" xr:uid="{00000000-0005-0000-0000-00003F200000}"/>
    <cellStyle name="Normal 48 2 3" xfId="8251" xr:uid="{00000000-0005-0000-0000-000040200000}"/>
    <cellStyle name="Normal 48 2 3 2" xfId="8252" xr:uid="{00000000-0005-0000-0000-000041200000}"/>
    <cellStyle name="Normal 48 2 3 2 2" xfId="8253" xr:uid="{00000000-0005-0000-0000-000042200000}"/>
    <cellStyle name="Normal 48 2 3 2 2 2" xfId="8254" xr:uid="{00000000-0005-0000-0000-000043200000}"/>
    <cellStyle name="Normal 48 2 3 2 3" xfId="8255" xr:uid="{00000000-0005-0000-0000-000044200000}"/>
    <cellStyle name="Normal 48 2 3 3" xfId="8256" xr:uid="{00000000-0005-0000-0000-000045200000}"/>
    <cellStyle name="Normal 48 2 3 3 2" xfId="8257" xr:uid="{00000000-0005-0000-0000-000046200000}"/>
    <cellStyle name="Normal 48 2 3 3 2 2" xfId="8258" xr:uid="{00000000-0005-0000-0000-000047200000}"/>
    <cellStyle name="Normal 48 2 3 3 3" xfId="8259" xr:uid="{00000000-0005-0000-0000-000048200000}"/>
    <cellStyle name="Normal 48 2 3 4" xfId="8260" xr:uid="{00000000-0005-0000-0000-000049200000}"/>
    <cellStyle name="Normal 48 2 3 4 2" xfId="8261" xr:uid="{00000000-0005-0000-0000-00004A200000}"/>
    <cellStyle name="Normal 48 2 3 5" xfId="8262" xr:uid="{00000000-0005-0000-0000-00004B200000}"/>
    <cellStyle name="Normal 48 2 4" xfId="8263" xr:uid="{00000000-0005-0000-0000-00004C200000}"/>
    <cellStyle name="Normal 48 2 4 2" xfId="8264" xr:uid="{00000000-0005-0000-0000-00004D200000}"/>
    <cellStyle name="Normal 48 2 4 2 2" xfId="8265" xr:uid="{00000000-0005-0000-0000-00004E200000}"/>
    <cellStyle name="Normal 48 2 4 3" xfId="8266" xr:uid="{00000000-0005-0000-0000-00004F200000}"/>
    <cellStyle name="Normal 48 2 5" xfId="8267" xr:uid="{00000000-0005-0000-0000-000050200000}"/>
    <cellStyle name="Normal 48 2 5 2" xfId="8268" xr:uid="{00000000-0005-0000-0000-000051200000}"/>
    <cellStyle name="Normal 48 2 5 2 2" xfId="8269" xr:uid="{00000000-0005-0000-0000-000052200000}"/>
    <cellStyle name="Normal 48 2 5 3" xfId="8270" xr:uid="{00000000-0005-0000-0000-000053200000}"/>
    <cellStyle name="Normal 48 2 6" xfId="8271" xr:uid="{00000000-0005-0000-0000-000054200000}"/>
    <cellStyle name="Normal 48 2 6 2" xfId="8272" xr:uid="{00000000-0005-0000-0000-000055200000}"/>
    <cellStyle name="Normal 48 2 7" xfId="8273" xr:uid="{00000000-0005-0000-0000-000056200000}"/>
    <cellStyle name="Normal 48 3" xfId="8274" xr:uid="{00000000-0005-0000-0000-000057200000}"/>
    <cellStyle name="Normal 48 3 2" xfId="8275" xr:uid="{00000000-0005-0000-0000-000058200000}"/>
    <cellStyle name="Normal 48 3 2 2" xfId="8276" xr:uid="{00000000-0005-0000-0000-000059200000}"/>
    <cellStyle name="Normal 48 3 2 2 2" xfId="8277" xr:uid="{00000000-0005-0000-0000-00005A200000}"/>
    <cellStyle name="Normal 48 3 2 2 2 2" xfId="8278" xr:uid="{00000000-0005-0000-0000-00005B200000}"/>
    <cellStyle name="Normal 48 3 2 2 3" xfId="8279" xr:uid="{00000000-0005-0000-0000-00005C200000}"/>
    <cellStyle name="Normal 48 3 2 3" xfId="8280" xr:uid="{00000000-0005-0000-0000-00005D200000}"/>
    <cellStyle name="Normal 48 3 2 3 2" xfId="8281" xr:uid="{00000000-0005-0000-0000-00005E200000}"/>
    <cellStyle name="Normal 48 3 2 3 2 2" xfId="8282" xr:uid="{00000000-0005-0000-0000-00005F200000}"/>
    <cellStyle name="Normal 48 3 2 3 3" xfId="8283" xr:uid="{00000000-0005-0000-0000-000060200000}"/>
    <cellStyle name="Normal 48 3 2 4" xfId="8284" xr:uid="{00000000-0005-0000-0000-000061200000}"/>
    <cellStyle name="Normal 48 3 2 4 2" xfId="8285" xr:uid="{00000000-0005-0000-0000-000062200000}"/>
    <cellStyle name="Normal 48 3 2 5" xfId="8286" xr:uid="{00000000-0005-0000-0000-000063200000}"/>
    <cellStyle name="Normal 48 3 3" xfId="8287" xr:uid="{00000000-0005-0000-0000-000064200000}"/>
    <cellStyle name="Normal 48 3 3 2" xfId="8288" xr:uid="{00000000-0005-0000-0000-000065200000}"/>
    <cellStyle name="Normal 48 3 3 2 2" xfId="8289" xr:uid="{00000000-0005-0000-0000-000066200000}"/>
    <cellStyle name="Normal 48 3 3 3" xfId="8290" xr:uid="{00000000-0005-0000-0000-000067200000}"/>
    <cellStyle name="Normal 48 3 4" xfId="8291" xr:uid="{00000000-0005-0000-0000-000068200000}"/>
    <cellStyle name="Normal 48 3 4 2" xfId="8292" xr:uid="{00000000-0005-0000-0000-000069200000}"/>
    <cellStyle name="Normal 48 3 4 2 2" xfId="8293" xr:uid="{00000000-0005-0000-0000-00006A200000}"/>
    <cellStyle name="Normal 48 3 4 3" xfId="8294" xr:uid="{00000000-0005-0000-0000-00006B200000}"/>
    <cellStyle name="Normal 48 3 5" xfId="8295" xr:uid="{00000000-0005-0000-0000-00006C200000}"/>
    <cellStyle name="Normal 48 3 5 2" xfId="8296" xr:uid="{00000000-0005-0000-0000-00006D200000}"/>
    <cellStyle name="Normal 48 3 6" xfId="8297" xr:uid="{00000000-0005-0000-0000-00006E200000}"/>
    <cellStyle name="Normal 48 4" xfId="8298" xr:uid="{00000000-0005-0000-0000-00006F200000}"/>
    <cellStyle name="Normal 48 4 2" xfId="8299" xr:uid="{00000000-0005-0000-0000-000070200000}"/>
    <cellStyle name="Normal 48 4 2 2" xfId="8300" xr:uid="{00000000-0005-0000-0000-000071200000}"/>
    <cellStyle name="Normal 48 4 2 2 2" xfId="8301" xr:uid="{00000000-0005-0000-0000-000072200000}"/>
    <cellStyle name="Normal 48 4 2 3" xfId="8302" xr:uid="{00000000-0005-0000-0000-000073200000}"/>
    <cellStyle name="Normal 48 4 3" xfId="8303" xr:uid="{00000000-0005-0000-0000-000074200000}"/>
    <cellStyle name="Normal 48 4 3 2" xfId="8304" xr:uid="{00000000-0005-0000-0000-000075200000}"/>
    <cellStyle name="Normal 48 4 3 2 2" xfId="8305" xr:uid="{00000000-0005-0000-0000-000076200000}"/>
    <cellStyle name="Normal 48 4 3 3" xfId="8306" xr:uid="{00000000-0005-0000-0000-000077200000}"/>
    <cellStyle name="Normal 48 4 4" xfId="8307" xr:uid="{00000000-0005-0000-0000-000078200000}"/>
    <cellStyle name="Normal 48 4 4 2" xfId="8308" xr:uid="{00000000-0005-0000-0000-000079200000}"/>
    <cellStyle name="Normal 48 4 5" xfId="8309" xr:uid="{00000000-0005-0000-0000-00007A200000}"/>
    <cellStyle name="Normal 48 5" xfId="8310" xr:uid="{00000000-0005-0000-0000-00007B200000}"/>
    <cellStyle name="Normal 48 5 2" xfId="8311" xr:uid="{00000000-0005-0000-0000-00007C200000}"/>
    <cellStyle name="Normal 48 5 2 2" xfId="8312" xr:uid="{00000000-0005-0000-0000-00007D200000}"/>
    <cellStyle name="Normal 48 5 3" xfId="8313" xr:uid="{00000000-0005-0000-0000-00007E200000}"/>
    <cellStyle name="Normal 48 6" xfId="8314" xr:uid="{00000000-0005-0000-0000-00007F200000}"/>
    <cellStyle name="Normal 48 6 2" xfId="8315" xr:uid="{00000000-0005-0000-0000-000080200000}"/>
    <cellStyle name="Normal 48 6 2 2" xfId="8316" xr:uid="{00000000-0005-0000-0000-000081200000}"/>
    <cellStyle name="Normal 48 6 3" xfId="8317" xr:uid="{00000000-0005-0000-0000-000082200000}"/>
    <cellStyle name="Normal 48 7" xfId="8318" xr:uid="{00000000-0005-0000-0000-000083200000}"/>
    <cellStyle name="Normal 48 7 2" xfId="8319" xr:uid="{00000000-0005-0000-0000-000084200000}"/>
    <cellStyle name="Normal 48 8" xfId="8320" xr:uid="{00000000-0005-0000-0000-000085200000}"/>
    <cellStyle name="Normal 48 9" xfId="8321" xr:uid="{00000000-0005-0000-0000-000086200000}"/>
    <cellStyle name="Normal 49" xfId="8322" xr:uid="{00000000-0005-0000-0000-000087200000}"/>
    <cellStyle name="Normal 49 2" xfId="8323" xr:uid="{00000000-0005-0000-0000-000088200000}"/>
    <cellStyle name="Normal 49 2 2" xfId="8324" xr:uid="{00000000-0005-0000-0000-000089200000}"/>
    <cellStyle name="Normal 49 2 2 2" xfId="8325" xr:uid="{00000000-0005-0000-0000-00008A200000}"/>
    <cellStyle name="Normal 49 2 2 2 2" xfId="8326" xr:uid="{00000000-0005-0000-0000-00008B200000}"/>
    <cellStyle name="Normal 49 2 2 2 2 2" xfId="8327" xr:uid="{00000000-0005-0000-0000-00008C200000}"/>
    <cellStyle name="Normal 49 2 2 2 2 2 2" xfId="8328" xr:uid="{00000000-0005-0000-0000-00008D200000}"/>
    <cellStyle name="Normal 49 2 2 2 2 3" xfId="8329" xr:uid="{00000000-0005-0000-0000-00008E200000}"/>
    <cellStyle name="Normal 49 2 2 2 3" xfId="8330" xr:uid="{00000000-0005-0000-0000-00008F200000}"/>
    <cellStyle name="Normal 49 2 2 2 3 2" xfId="8331" xr:uid="{00000000-0005-0000-0000-000090200000}"/>
    <cellStyle name="Normal 49 2 2 2 3 2 2" xfId="8332" xr:uid="{00000000-0005-0000-0000-000091200000}"/>
    <cellStyle name="Normal 49 2 2 2 3 3" xfId="8333" xr:uid="{00000000-0005-0000-0000-000092200000}"/>
    <cellStyle name="Normal 49 2 2 2 4" xfId="8334" xr:uid="{00000000-0005-0000-0000-000093200000}"/>
    <cellStyle name="Normal 49 2 2 2 4 2" xfId="8335" xr:uid="{00000000-0005-0000-0000-000094200000}"/>
    <cellStyle name="Normal 49 2 2 2 5" xfId="8336" xr:uid="{00000000-0005-0000-0000-000095200000}"/>
    <cellStyle name="Normal 49 2 2 3" xfId="8337" xr:uid="{00000000-0005-0000-0000-000096200000}"/>
    <cellStyle name="Normal 49 2 2 3 2" xfId="8338" xr:uid="{00000000-0005-0000-0000-000097200000}"/>
    <cellStyle name="Normal 49 2 2 3 2 2" xfId="8339" xr:uid="{00000000-0005-0000-0000-000098200000}"/>
    <cellStyle name="Normal 49 2 2 3 3" xfId="8340" xr:uid="{00000000-0005-0000-0000-000099200000}"/>
    <cellStyle name="Normal 49 2 2 4" xfId="8341" xr:uid="{00000000-0005-0000-0000-00009A200000}"/>
    <cellStyle name="Normal 49 2 2 4 2" xfId="8342" xr:uid="{00000000-0005-0000-0000-00009B200000}"/>
    <cellStyle name="Normal 49 2 2 4 2 2" xfId="8343" xr:uid="{00000000-0005-0000-0000-00009C200000}"/>
    <cellStyle name="Normal 49 2 2 4 3" xfId="8344" xr:uid="{00000000-0005-0000-0000-00009D200000}"/>
    <cellStyle name="Normal 49 2 2 5" xfId="8345" xr:uid="{00000000-0005-0000-0000-00009E200000}"/>
    <cellStyle name="Normal 49 2 2 5 2" xfId="8346" xr:uid="{00000000-0005-0000-0000-00009F200000}"/>
    <cellStyle name="Normal 49 2 2 6" xfId="8347" xr:uid="{00000000-0005-0000-0000-0000A0200000}"/>
    <cellStyle name="Normal 49 2 3" xfId="8348" xr:uid="{00000000-0005-0000-0000-0000A1200000}"/>
    <cellStyle name="Normal 49 2 3 2" xfId="8349" xr:uid="{00000000-0005-0000-0000-0000A2200000}"/>
    <cellStyle name="Normal 49 2 3 2 2" xfId="8350" xr:uid="{00000000-0005-0000-0000-0000A3200000}"/>
    <cellStyle name="Normal 49 2 3 2 2 2" xfId="8351" xr:uid="{00000000-0005-0000-0000-0000A4200000}"/>
    <cellStyle name="Normal 49 2 3 2 3" xfId="8352" xr:uid="{00000000-0005-0000-0000-0000A5200000}"/>
    <cellStyle name="Normal 49 2 3 3" xfId="8353" xr:uid="{00000000-0005-0000-0000-0000A6200000}"/>
    <cellStyle name="Normal 49 2 3 3 2" xfId="8354" xr:uid="{00000000-0005-0000-0000-0000A7200000}"/>
    <cellStyle name="Normal 49 2 3 3 2 2" xfId="8355" xr:uid="{00000000-0005-0000-0000-0000A8200000}"/>
    <cellStyle name="Normal 49 2 3 3 3" xfId="8356" xr:uid="{00000000-0005-0000-0000-0000A9200000}"/>
    <cellStyle name="Normal 49 2 3 4" xfId="8357" xr:uid="{00000000-0005-0000-0000-0000AA200000}"/>
    <cellStyle name="Normal 49 2 3 4 2" xfId="8358" xr:uid="{00000000-0005-0000-0000-0000AB200000}"/>
    <cellStyle name="Normal 49 2 3 5" xfId="8359" xr:uid="{00000000-0005-0000-0000-0000AC200000}"/>
    <cellStyle name="Normal 49 2 4" xfId="8360" xr:uid="{00000000-0005-0000-0000-0000AD200000}"/>
    <cellStyle name="Normal 49 2 4 2" xfId="8361" xr:uid="{00000000-0005-0000-0000-0000AE200000}"/>
    <cellStyle name="Normal 49 2 4 2 2" xfId="8362" xr:uid="{00000000-0005-0000-0000-0000AF200000}"/>
    <cellStyle name="Normal 49 2 4 3" xfId="8363" xr:uid="{00000000-0005-0000-0000-0000B0200000}"/>
    <cellStyle name="Normal 49 2 5" xfId="8364" xr:uid="{00000000-0005-0000-0000-0000B1200000}"/>
    <cellStyle name="Normal 49 2 5 2" xfId="8365" xr:uid="{00000000-0005-0000-0000-0000B2200000}"/>
    <cellStyle name="Normal 49 2 5 2 2" xfId="8366" xr:uid="{00000000-0005-0000-0000-0000B3200000}"/>
    <cellStyle name="Normal 49 2 5 3" xfId="8367" xr:uid="{00000000-0005-0000-0000-0000B4200000}"/>
    <cellStyle name="Normal 49 2 6" xfId="8368" xr:uid="{00000000-0005-0000-0000-0000B5200000}"/>
    <cellStyle name="Normal 49 2 6 2" xfId="8369" xr:uid="{00000000-0005-0000-0000-0000B6200000}"/>
    <cellStyle name="Normal 49 2 7" xfId="8370" xr:uid="{00000000-0005-0000-0000-0000B7200000}"/>
    <cellStyle name="Normal 49 3" xfId="8371" xr:uid="{00000000-0005-0000-0000-0000B8200000}"/>
    <cellStyle name="Normal 49 3 2" xfId="8372" xr:uid="{00000000-0005-0000-0000-0000B9200000}"/>
    <cellStyle name="Normal 49 3 2 2" xfId="8373" xr:uid="{00000000-0005-0000-0000-0000BA200000}"/>
    <cellStyle name="Normal 49 3 2 2 2" xfId="8374" xr:uid="{00000000-0005-0000-0000-0000BB200000}"/>
    <cellStyle name="Normal 49 3 2 2 2 2" xfId="8375" xr:uid="{00000000-0005-0000-0000-0000BC200000}"/>
    <cellStyle name="Normal 49 3 2 2 3" xfId="8376" xr:uid="{00000000-0005-0000-0000-0000BD200000}"/>
    <cellStyle name="Normal 49 3 2 3" xfId="8377" xr:uid="{00000000-0005-0000-0000-0000BE200000}"/>
    <cellStyle name="Normal 49 3 2 3 2" xfId="8378" xr:uid="{00000000-0005-0000-0000-0000BF200000}"/>
    <cellStyle name="Normal 49 3 2 3 2 2" xfId="8379" xr:uid="{00000000-0005-0000-0000-0000C0200000}"/>
    <cellStyle name="Normal 49 3 2 3 3" xfId="8380" xr:uid="{00000000-0005-0000-0000-0000C1200000}"/>
    <cellStyle name="Normal 49 3 2 4" xfId="8381" xr:uid="{00000000-0005-0000-0000-0000C2200000}"/>
    <cellStyle name="Normal 49 3 2 4 2" xfId="8382" xr:uid="{00000000-0005-0000-0000-0000C3200000}"/>
    <cellStyle name="Normal 49 3 2 5" xfId="8383" xr:uid="{00000000-0005-0000-0000-0000C4200000}"/>
    <cellStyle name="Normal 49 3 3" xfId="8384" xr:uid="{00000000-0005-0000-0000-0000C5200000}"/>
    <cellStyle name="Normal 49 3 3 2" xfId="8385" xr:uid="{00000000-0005-0000-0000-0000C6200000}"/>
    <cellStyle name="Normal 49 3 3 2 2" xfId="8386" xr:uid="{00000000-0005-0000-0000-0000C7200000}"/>
    <cellStyle name="Normal 49 3 3 3" xfId="8387" xr:uid="{00000000-0005-0000-0000-0000C8200000}"/>
    <cellStyle name="Normal 49 3 4" xfId="8388" xr:uid="{00000000-0005-0000-0000-0000C9200000}"/>
    <cellStyle name="Normal 49 3 4 2" xfId="8389" xr:uid="{00000000-0005-0000-0000-0000CA200000}"/>
    <cellStyle name="Normal 49 3 4 2 2" xfId="8390" xr:uid="{00000000-0005-0000-0000-0000CB200000}"/>
    <cellStyle name="Normal 49 3 4 3" xfId="8391" xr:uid="{00000000-0005-0000-0000-0000CC200000}"/>
    <cellStyle name="Normal 49 3 5" xfId="8392" xr:uid="{00000000-0005-0000-0000-0000CD200000}"/>
    <cellStyle name="Normal 49 3 5 2" xfId="8393" xr:uid="{00000000-0005-0000-0000-0000CE200000}"/>
    <cellStyle name="Normal 49 3 6" xfId="8394" xr:uid="{00000000-0005-0000-0000-0000CF200000}"/>
    <cellStyle name="Normal 49 4" xfId="8395" xr:uid="{00000000-0005-0000-0000-0000D0200000}"/>
    <cellStyle name="Normal 49 4 2" xfId="8396" xr:uid="{00000000-0005-0000-0000-0000D1200000}"/>
    <cellStyle name="Normal 49 4 2 2" xfId="8397" xr:uid="{00000000-0005-0000-0000-0000D2200000}"/>
    <cellStyle name="Normal 49 4 2 2 2" xfId="8398" xr:uid="{00000000-0005-0000-0000-0000D3200000}"/>
    <cellStyle name="Normal 49 4 2 3" xfId="8399" xr:uid="{00000000-0005-0000-0000-0000D4200000}"/>
    <cellStyle name="Normal 49 4 3" xfId="8400" xr:uid="{00000000-0005-0000-0000-0000D5200000}"/>
    <cellStyle name="Normal 49 4 3 2" xfId="8401" xr:uid="{00000000-0005-0000-0000-0000D6200000}"/>
    <cellStyle name="Normal 49 4 3 2 2" xfId="8402" xr:uid="{00000000-0005-0000-0000-0000D7200000}"/>
    <cellStyle name="Normal 49 4 3 3" xfId="8403" xr:uid="{00000000-0005-0000-0000-0000D8200000}"/>
    <cellStyle name="Normal 49 4 4" xfId="8404" xr:uid="{00000000-0005-0000-0000-0000D9200000}"/>
    <cellStyle name="Normal 49 4 4 2" xfId="8405" xr:uid="{00000000-0005-0000-0000-0000DA200000}"/>
    <cellStyle name="Normal 49 4 5" xfId="8406" xr:uid="{00000000-0005-0000-0000-0000DB200000}"/>
    <cellStyle name="Normal 49 5" xfId="8407" xr:uid="{00000000-0005-0000-0000-0000DC200000}"/>
    <cellStyle name="Normal 49 5 2" xfId="8408" xr:uid="{00000000-0005-0000-0000-0000DD200000}"/>
    <cellStyle name="Normal 49 5 2 2" xfId="8409" xr:uid="{00000000-0005-0000-0000-0000DE200000}"/>
    <cellStyle name="Normal 49 5 3" xfId="8410" xr:uid="{00000000-0005-0000-0000-0000DF200000}"/>
    <cellStyle name="Normal 49 6" xfId="8411" xr:uid="{00000000-0005-0000-0000-0000E0200000}"/>
    <cellStyle name="Normal 49 6 2" xfId="8412" xr:uid="{00000000-0005-0000-0000-0000E1200000}"/>
    <cellStyle name="Normal 49 6 2 2" xfId="8413" xr:uid="{00000000-0005-0000-0000-0000E2200000}"/>
    <cellStyle name="Normal 49 6 3" xfId="8414" xr:uid="{00000000-0005-0000-0000-0000E3200000}"/>
    <cellStyle name="Normal 49 7" xfId="8415" xr:uid="{00000000-0005-0000-0000-0000E4200000}"/>
    <cellStyle name="Normal 49 7 2" xfId="8416" xr:uid="{00000000-0005-0000-0000-0000E5200000}"/>
    <cellStyle name="Normal 49 8" xfId="8417" xr:uid="{00000000-0005-0000-0000-0000E6200000}"/>
    <cellStyle name="Normal 49 9" xfId="8418" xr:uid="{00000000-0005-0000-0000-0000E7200000}"/>
    <cellStyle name="Normal 5" xfId="8419" xr:uid="{00000000-0005-0000-0000-0000E8200000}"/>
    <cellStyle name="Normal 5 10" xfId="8420" xr:uid="{00000000-0005-0000-0000-0000E9200000}"/>
    <cellStyle name="Normal 5 10 2" xfId="8421" xr:uid="{00000000-0005-0000-0000-0000EA200000}"/>
    <cellStyle name="Normal 5 11" xfId="8422" xr:uid="{00000000-0005-0000-0000-0000EB200000}"/>
    <cellStyle name="Normal 5 12" xfId="8423" xr:uid="{00000000-0005-0000-0000-0000EC200000}"/>
    <cellStyle name="Normal 5 2" xfId="8424" xr:uid="{00000000-0005-0000-0000-0000ED200000}"/>
    <cellStyle name="Normal 5 2 10" xfId="8425" xr:uid="{00000000-0005-0000-0000-0000EE200000}"/>
    <cellStyle name="Normal 5 2 10 2" xfId="8426" xr:uid="{00000000-0005-0000-0000-0000EF200000}"/>
    <cellStyle name="Normal 5 2 11" xfId="8427" xr:uid="{00000000-0005-0000-0000-0000F0200000}"/>
    <cellStyle name="Normal 5 2 11 2" xfId="8428" xr:uid="{00000000-0005-0000-0000-0000F1200000}"/>
    <cellStyle name="Normal 5 2 12" xfId="8429" xr:uid="{00000000-0005-0000-0000-0000F2200000}"/>
    <cellStyle name="Normal 5 2 13" xfId="8430" xr:uid="{00000000-0005-0000-0000-0000F3200000}"/>
    <cellStyle name="Normal 5 2 2" xfId="8431" xr:uid="{00000000-0005-0000-0000-0000F4200000}"/>
    <cellStyle name="Normal 5 2 2 2" xfId="8432" xr:uid="{00000000-0005-0000-0000-0000F5200000}"/>
    <cellStyle name="Normal 5 2 2 2 2" xfId="8433" xr:uid="{00000000-0005-0000-0000-0000F6200000}"/>
    <cellStyle name="Normal 5 2 2 2 2 2" xfId="8434" xr:uid="{00000000-0005-0000-0000-0000F7200000}"/>
    <cellStyle name="Normal 5 2 2 2 2 2 2" xfId="8435" xr:uid="{00000000-0005-0000-0000-0000F8200000}"/>
    <cellStyle name="Normal 5 2 2 2 2 2 2 2" xfId="8436" xr:uid="{00000000-0005-0000-0000-0000F9200000}"/>
    <cellStyle name="Normal 5 2 2 2 2 2 2 2 2" xfId="8437" xr:uid="{00000000-0005-0000-0000-0000FA200000}"/>
    <cellStyle name="Normal 5 2 2 2 2 2 2 3" xfId="8438" xr:uid="{00000000-0005-0000-0000-0000FB200000}"/>
    <cellStyle name="Normal 5 2 2 2 2 2 3" xfId="8439" xr:uid="{00000000-0005-0000-0000-0000FC200000}"/>
    <cellStyle name="Normal 5 2 2 2 2 2 3 2" xfId="8440" xr:uid="{00000000-0005-0000-0000-0000FD200000}"/>
    <cellStyle name="Normal 5 2 2 2 2 2 3 2 2" xfId="8441" xr:uid="{00000000-0005-0000-0000-0000FE200000}"/>
    <cellStyle name="Normal 5 2 2 2 2 2 3 3" xfId="8442" xr:uid="{00000000-0005-0000-0000-0000FF200000}"/>
    <cellStyle name="Normal 5 2 2 2 2 2 4" xfId="8443" xr:uid="{00000000-0005-0000-0000-000000210000}"/>
    <cellStyle name="Normal 5 2 2 2 2 2 4 2" xfId="8444" xr:uid="{00000000-0005-0000-0000-000001210000}"/>
    <cellStyle name="Normal 5 2 2 2 2 2 5" xfId="8445" xr:uid="{00000000-0005-0000-0000-000002210000}"/>
    <cellStyle name="Normal 5 2 2 2 2 3" xfId="8446" xr:uid="{00000000-0005-0000-0000-000003210000}"/>
    <cellStyle name="Normal 5 2 2 2 2 3 2" xfId="8447" xr:uid="{00000000-0005-0000-0000-000004210000}"/>
    <cellStyle name="Normal 5 2 2 2 2 3 2 2" xfId="8448" xr:uid="{00000000-0005-0000-0000-000005210000}"/>
    <cellStyle name="Normal 5 2 2 2 2 3 3" xfId="8449" xr:uid="{00000000-0005-0000-0000-000006210000}"/>
    <cellStyle name="Normal 5 2 2 2 2 4" xfId="8450" xr:uid="{00000000-0005-0000-0000-000007210000}"/>
    <cellStyle name="Normal 5 2 2 2 2 4 2" xfId="8451" xr:uid="{00000000-0005-0000-0000-000008210000}"/>
    <cellStyle name="Normal 5 2 2 2 2 4 2 2" xfId="8452" xr:uid="{00000000-0005-0000-0000-000009210000}"/>
    <cellStyle name="Normal 5 2 2 2 2 4 3" xfId="8453" xr:uid="{00000000-0005-0000-0000-00000A210000}"/>
    <cellStyle name="Normal 5 2 2 2 2 5" xfId="8454" xr:uid="{00000000-0005-0000-0000-00000B210000}"/>
    <cellStyle name="Normal 5 2 2 2 2 5 2" xfId="8455" xr:uid="{00000000-0005-0000-0000-00000C210000}"/>
    <cellStyle name="Normal 5 2 2 2 2 6" xfId="8456" xr:uid="{00000000-0005-0000-0000-00000D210000}"/>
    <cellStyle name="Normal 5 2 2 2 3" xfId="8457" xr:uid="{00000000-0005-0000-0000-00000E210000}"/>
    <cellStyle name="Normal 5 2 2 2 3 2" xfId="8458" xr:uid="{00000000-0005-0000-0000-00000F210000}"/>
    <cellStyle name="Normal 5 2 2 2 3 2 2" xfId="8459" xr:uid="{00000000-0005-0000-0000-000010210000}"/>
    <cellStyle name="Normal 5 2 2 2 3 2 2 2" xfId="8460" xr:uid="{00000000-0005-0000-0000-000011210000}"/>
    <cellStyle name="Normal 5 2 2 2 3 2 3" xfId="8461" xr:uid="{00000000-0005-0000-0000-000012210000}"/>
    <cellStyle name="Normal 5 2 2 2 3 3" xfId="8462" xr:uid="{00000000-0005-0000-0000-000013210000}"/>
    <cellStyle name="Normal 5 2 2 2 3 3 2" xfId="8463" xr:uid="{00000000-0005-0000-0000-000014210000}"/>
    <cellStyle name="Normal 5 2 2 2 3 3 2 2" xfId="8464" xr:uid="{00000000-0005-0000-0000-000015210000}"/>
    <cellStyle name="Normal 5 2 2 2 3 3 3" xfId="8465" xr:uid="{00000000-0005-0000-0000-000016210000}"/>
    <cellStyle name="Normal 5 2 2 2 3 4" xfId="8466" xr:uid="{00000000-0005-0000-0000-000017210000}"/>
    <cellStyle name="Normal 5 2 2 2 3 4 2" xfId="8467" xr:uid="{00000000-0005-0000-0000-000018210000}"/>
    <cellStyle name="Normal 5 2 2 2 3 5" xfId="8468" xr:uid="{00000000-0005-0000-0000-000019210000}"/>
    <cellStyle name="Normal 5 2 2 2 4" xfId="8469" xr:uid="{00000000-0005-0000-0000-00001A210000}"/>
    <cellStyle name="Normal 5 2 2 2 4 2" xfId="8470" xr:uid="{00000000-0005-0000-0000-00001B210000}"/>
    <cellStyle name="Normal 5 2 2 2 4 2 2" xfId="8471" xr:uid="{00000000-0005-0000-0000-00001C210000}"/>
    <cellStyle name="Normal 5 2 2 2 4 3" xfId="8472" xr:uid="{00000000-0005-0000-0000-00001D210000}"/>
    <cellStyle name="Normal 5 2 2 2 5" xfId="8473" xr:uid="{00000000-0005-0000-0000-00001E210000}"/>
    <cellStyle name="Normal 5 2 2 2 5 2" xfId="8474" xr:uid="{00000000-0005-0000-0000-00001F210000}"/>
    <cellStyle name="Normal 5 2 2 2 5 2 2" xfId="8475" xr:uid="{00000000-0005-0000-0000-000020210000}"/>
    <cellStyle name="Normal 5 2 2 2 5 3" xfId="8476" xr:uid="{00000000-0005-0000-0000-000021210000}"/>
    <cellStyle name="Normal 5 2 2 2 6" xfId="8477" xr:uid="{00000000-0005-0000-0000-000022210000}"/>
    <cellStyle name="Normal 5 2 2 2 6 2" xfId="8478" xr:uid="{00000000-0005-0000-0000-000023210000}"/>
    <cellStyle name="Normal 5 2 2 2 7" xfId="8479" xr:uid="{00000000-0005-0000-0000-000024210000}"/>
    <cellStyle name="Normal 5 2 2 3" xfId="8480" xr:uid="{00000000-0005-0000-0000-000025210000}"/>
    <cellStyle name="Normal 5 2 2 3 2" xfId="8481" xr:uid="{00000000-0005-0000-0000-000026210000}"/>
    <cellStyle name="Normal 5 2 2 3 2 2" xfId="8482" xr:uid="{00000000-0005-0000-0000-000027210000}"/>
    <cellStyle name="Normal 5 2 2 3 2 2 2" xfId="8483" xr:uid="{00000000-0005-0000-0000-000028210000}"/>
    <cellStyle name="Normal 5 2 2 3 2 2 2 2" xfId="8484" xr:uid="{00000000-0005-0000-0000-000029210000}"/>
    <cellStyle name="Normal 5 2 2 3 2 2 3" xfId="8485" xr:uid="{00000000-0005-0000-0000-00002A210000}"/>
    <cellStyle name="Normal 5 2 2 3 2 3" xfId="8486" xr:uid="{00000000-0005-0000-0000-00002B210000}"/>
    <cellStyle name="Normal 5 2 2 3 2 3 2" xfId="8487" xr:uid="{00000000-0005-0000-0000-00002C210000}"/>
    <cellStyle name="Normal 5 2 2 3 2 3 2 2" xfId="8488" xr:uid="{00000000-0005-0000-0000-00002D210000}"/>
    <cellStyle name="Normal 5 2 2 3 2 3 3" xfId="8489" xr:uid="{00000000-0005-0000-0000-00002E210000}"/>
    <cellStyle name="Normal 5 2 2 3 2 4" xfId="8490" xr:uid="{00000000-0005-0000-0000-00002F210000}"/>
    <cellStyle name="Normal 5 2 2 3 2 4 2" xfId="8491" xr:uid="{00000000-0005-0000-0000-000030210000}"/>
    <cellStyle name="Normal 5 2 2 3 2 5" xfId="8492" xr:uid="{00000000-0005-0000-0000-000031210000}"/>
    <cellStyle name="Normal 5 2 2 3 3" xfId="8493" xr:uid="{00000000-0005-0000-0000-000032210000}"/>
    <cellStyle name="Normal 5 2 2 3 3 2" xfId="8494" xr:uid="{00000000-0005-0000-0000-000033210000}"/>
    <cellStyle name="Normal 5 2 2 3 3 2 2" xfId="8495" xr:uid="{00000000-0005-0000-0000-000034210000}"/>
    <cellStyle name="Normal 5 2 2 3 3 3" xfId="8496" xr:uid="{00000000-0005-0000-0000-000035210000}"/>
    <cellStyle name="Normal 5 2 2 3 4" xfId="8497" xr:uid="{00000000-0005-0000-0000-000036210000}"/>
    <cellStyle name="Normal 5 2 2 3 4 2" xfId="8498" xr:uid="{00000000-0005-0000-0000-000037210000}"/>
    <cellStyle name="Normal 5 2 2 3 4 2 2" xfId="8499" xr:uid="{00000000-0005-0000-0000-000038210000}"/>
    <cellStyle name="Normal 5 2 2 3 4 3" xfId="8500" xr:uid="{00000000-0005-0000-0000-000039210000}"/>
    <cellStyle name="Normal 5 2 2 3 5" xfId="8501" xr:uid="{00000000-0005-0000-0000-00003A210000}"/>
    <cellStyle name="Normal 5 2 2 3 5 2" xfId="8502" xr:uid="{00000000-0005-0000-0000-00003B210000}"/>
    <cellStyle name="Normal 5 2 2 3 6" xfId="8503" xr:uid="{00000000-0005-0000-0000-00003C210000}"/>
    <cellStyle name="Normal 5 2 2 4" xfId="8504" xr:uid="{00000000-0005-0000-0000-00003D210000}"/>
    <cellStyle name="Normal 5 2 2 4 2" xfId="8505" xr:uid="{00000000-0005-0000-0000-00003E210000}"/>
    <cellStyle name="Normal 5 2 2 4 2 2" xfId="8506" xr:uid="{00000000-0005-0000-0000-00003F210000}"/>
    <cellStyle name="Normal 5 2 2 4 2 2 2" xfId="8507" xr:uid="{00000000-0005-0000-0000-000040210000}"/>
    <cellStyle name="Normal 5 2 2 4 2 3" xfId="8508" xr:uid="{00000000-0005-0000-0000-000041210000}"/>
    <cellStyle name="Normal 5 2 2 4 3" xfId="8509" xr:uid="{00000000-0005-0000-0000-000042210000}"/>
    <cellStyle name="Normal 5 2 2 4 3 2" xfId="8510" xr:uid="{00000000-0005-0000-0000-000043210000}"/>
    <cellStyle name="Normal 5 2 2 4 3 2 2" xfId="8511" xr:uid="{00000000-0005-0000-0000-000044210000}"/>
    <cellStyle name="Normal 5 2 2 4 3 3" xfId="8512" xr:uid="{00000000-0005-0000-0000-000045210000}"/>
    <cellStyle name="Normal 5 2 2 4 4" xfId="8513" xr:uid="{00000000-0005-0000-0000-000046210000}"/>
    <cellStyle name="Normal 5 2 2 4 4 2" xfId="8514" xr:uid="{00000000-0005-0000-0000-000047210000}"/>
    <cellStyle name="Normal 5 2 2 4 5" xfId="8515" xr:uid="{00000000-0005-0000-0000-000048210000}"/>
    <cellStyle name="Normal 5 2 2 5" xfId="8516" xr:uid="{00000000-0005-0000-0000-000049210000}"/>
    <cellStyle name="Normal 5 2 2 5 2" xfId="8517" xr:uid="{00000000-0005-0000-0000-00004A210000}"/>
    <cellStyle name="Normal 5 2 2 5 2 2" xfId="8518" xr:uid="{00000000-0005-0000-0000-00004B210000}"/>
    <cellStyle name="Normal 5 2 2 5 3" xfId="8519" xr:uid="{00000000-0005-0000-0000-00004C210000}"/>
    <cellStyle name="Normal 5 2 2 6" xfId="8520" xr:uid="{00000000-0005-0000-0000-00004D210000}"/>
    <cellStyle name="Normal 5 2 2 6 2" xfId="8521" xr:uid="{00000000-0005-0000-0000-00004E210000}"/>
    <cellStyle name="Normal 5 2 2 6 2 2" xfId="8522" xr:uid="{00000000-0005-0000-0000-00004F210000}"/>
    <cellStyle name="Normal 5 2 2 6 3" xfId="8523" xr:uid="{00000000-0005-0000-0000-000050210000}"/>
    <cellStyle name="Normal 5 2 2 7" xfId="8524" xr:uid="{00000000-0005-0000-0000-000051210000}"/>
    <cellStyle name="Normal 5 2 2 7 2" xfId="8525" xr:uid="{00000000-0005-0000-0000-000052210000}"/>
    <cellStyle name="Normal 5 2 2 8" xfId="8526" xr:uid="{00000000-0005-0000-0000-000053210000}"/>
    <cellStyle name="Normal 5 2 3" xfId="8527" xr:uid="{00000000-0005-0000-0000-000054210000}"/>
    <cellStyle name="Normal 5 2 3 2" xfId="8528" xr:uid="{00000000-0005-0000-0000-000055210000}"/>
    <cellStyle name="Normal 5 2 3 2 2" xfId="8529" xr:uid="{00000000-0005-0000-0000-000056210000}"/>
    <cellStyle name="Normal 5 2 3 2 2 2" xfId="8530" xr:uid="{00000000-0005-0000-0000-000057210000}"/>
    <cellStyle name="Normal 5 2 3 2 2 2 2" xfId="8531" xr:uid="{00000000-0005-0000-0000-000058210000}"/>
    <cellStyle name="Normal 5 2 3 2 2 2 2 2" xfId="8532" xr:uid="{00000000-0005-0000-0000-000059210000}"/>
    <cellStyle name="Normal 5 2 3 2 2 2 3" xfId="8533" xr:uid="{00000000-0005-0000-0000-00005A210000}"/>
    <cellStyle name="Normal 5 2 3 2 2 3" xfId="8534" xr:uid="{00000000-0005-0000-0000-00005B210000}"/>
    <cellStyle name="Normal 5 2 3 2 2 3 2" xfId="8535" xr:uid="{00000000-0005-0000-0000-00005C210000}"/>
    <cellStyle name="Normal 5 2 3 2 2 3 2 2" xfId="8536" xr:uid="{00000000-0005-0000-0000-00005D210000}"/>
    <cellStyle name="Normal 5 2 3 2 2 3 3" xfId="8537" xr:uid="{00000000-0005-0000-0000-00005E210000}"/>
    <cellStyle name="Normal 5 2 3 2 2 4" xfId="8538" xr:uid="{00000000-0005-0000-0000-00005F210000}"/>
    <cellStyle name="Normal 5 2 3 2 2 4 2" xfId="8539" xr:uid="{00000000-0005-0000-0000-000060210000}"/>
    <cellStyle name="Normal 5 2 3 2 2 5" xfId="8540" xr:uid="{00000000-0005-0000-0000-000061210000}"/>
    <cellStyle name="Normal 5 2 3 2 3" xfId="8541" xr:uid="{00000000-0005-0000-0000-000062210000}"/>
    <cellStyle name="Normal 5 2 3 2 3 2" xfId="8542" xr:uid="{00000000-0005-0000-0000-000063210000}"/>
    <cellStyle name="Normal 5 2 3 2 3 2 2" xfId="8543" xr:uid="{00000000-0005-0000-0000-000064210000}"/>
    <cellStyle name="Normal 5 2 3 2 3 3" xfId="8544" xr:uid="{00000000-0005-0000-0000-000065210000}"/>
    <cellStyle name="Normal 5 2 3 2 4" xfId="8545" xr:uid="{00000000-0005-0000-0000-000066210000}"/>
    <cellStyle name="Normal 5 2 3 2 4 2" xfId="8546" xr:uid="{00000000-0005-0000-0000-000067210000}"/>
    <cellStyle name="Normal 5 2 3 2 4 2 2" xfId="8547" xr:uid="{00000000-0005-0000-0000-000068210000}"/>
    <cellStyle name="Normal 5 2 3 2 4 3" xfId="8548" xr:uid="{00000000-0005-0000-0000-000069210000}"/>
    <cellStyle name="Normal 5 2 3 2 5" xfId="8549" xr:uid="{00000000-0005-0000-0000-00006A210000}"/>
    <cellStyle name="Normal 5 2 3 2 5 2" xfId="8550" xr:uid="{00000000-0005-0000-0000-00006B210000}"/>
    <cellStyle name="Normal 5 2 3 2 6" xfId="8551" xr:uid="{00000000-0005-0000-0000-00006C210000}"/>
    <cellStyle name="Normal 5 2 3 3" xfId="8552" xr:uid="{00000000-0005-0000-0000-00006D210000}"/>
    <cellStyle name="Normal 5 2 3 3 2" xfId="8553" xr:uid="{00000000-0005-0000-0000-00006E210000}"/>
    <cellStyle name="Normal 5 2 3 3 2 2" xfId="8554" xr:uid="{00000000-0005-0000-0000-00006F210000}"/>
    <cellStyle name="Normal 5 2 3 3 2 2 2" xfId="8555" xr:uid="{00000000-0005-0000-0000-000070210000}"/>
    <cellStyle name="Normal 5 2 3 3 2 3" xfId="8556" xr:uid="{00000000-0005-0000-0000-000071210000}"/>
    <cellStyle name="Normal 5 2 3 3 3" xfId="8557" xr:uid="{00000000-0005-0000-0000-000072210000}"/>
    <cellStyle name="Normal 5 2 3 3 3 2" xfId="8558" xr:uid="{00000000-0005-0000-0000-000073210000}"/>
    <cellStyle name="Normal 5 2 3 3 3 2 2" xfId="8559" xr:uid="{00000000-0005-0000-0000-000074210000}"/>
    <cellStyle name="Normal 5 2 3 3 3 3" xfId="8560" xr:uid="{00000000-0005-0000-0000-000075210000}"/>
    <cellStyle name="Normal 5 2 3 3 4" xfId="8561" xr:uid="{00000000-0005-0000-0000-000076210000}"/>
    <cellStyle name="Normal 5 2 3 3 4 2" xfId="8562" xr:uid="{00000000-0005-0000-0000-000077210000}"/>
    <cellStyle name="Normal 5 2 3 3 5" xfId="8563" xr:uid="{00000000-0005-0000-0000-000078210000}"/>
    <cellStyle name="Normal 5 2 3 4" xfId="8564" xr:uid="{00000000-0005-0000-0000-000079210000}"/>
    <cellStyle name="Normal 5 2 3 4 2" xfId="8565" xr:uid="{00000000-0005-0000-0000-00007A210000}"/>
    <cellStyle name="Normal 5 2 3 4 2 2" xfId="8566" xr:uid="{00000000-0005-0000-0000-00007B210000}"/>
    <cellStyle name="Normal 5 2 3 4 3" xfId="8567" xr:uid="{00000000-0005-0000-0000-00007C210000}"/>
    <cellStyle name="Normal 5 2 3 4 3 2" xfId="8568" xr:uid="{00000000-0005-0000-0000-00007D210000}"/>
    <cellStyle name="Normal 5 2 3 4 4" xfId="8569" xr:uid="{00000000-0005-0000-0000-00007E210000}"/>
    <cellStyle name="Normal 5 2 3 5" xfId="8570" xr:uid="{00000000-0005-0000-0000-00007F210000}"/>
    <cellStyle name="Normal 5 2 3 5 2" xfId="8571" xr:uid="{00000000-0005-0000-0000-000080210000}"/>
    <cellStyle name="Normal 5 2 3 5 2 2" xfId="8572" xr:uid="{00000000-0005-0000-0000-000081210000}"/>
    <cellStyle name="Normal 5 2 3 5 3" xfId="8573" xr:uid="{00000000-0005-0000-0000-000082210000}"/>
    <cellStyle name="Normal 5 2 3 6" xfId="8574" xr:uid="{00000000-0005-0000-0000-000083210000}"/>
    <cellStyle name="Normal 5 2 3 6 2" xfId="8575" xr:uid="{00000000-0005-0000-0000-000084210000}"/>
    <cellStyle name="Normal 5 2 3 7" xfId="8576" xr:uid="{00000000-0005-0000-0000-000085210000}"/>
    <cellStyle name="Normal 5 2 4" xfId="8577" xr:uid="{00000000-0005-0000-0000-000086210000}"/>
    <cellStyle name="Normal 5 2 4 2" xfId="8578" xr:uid="{00000000-0005-0000-0000-000087210000}"/>
    <cellStyle name="Normal 5 2 4 2 2" xfId="8579" xr:uid="{00000000-0005-0000-0000-000088210000}"/>
    <cellStyle name="Normal 5 2 4 2 2 2" xfId="8580" xr:uid="{00000000-0005-0000-0000-000089210000}"/>
    <cellStyle name="Normal 5 2 4 2 2 2 2" xfId="8581" xr:uid="{00000000-0005-0000-0000-00008A210000}"/>
    <cellStyle name="Normal 5 2 4 2 2 3" xfId="8582" xr:uid="{00000000-0005-0000-0000-00008B210000}"/>
    <cellStyle name="Normal 5 2 4 2 3" xfId="8583" xr:uid="{00000000-0005-0000-0000-00008C210000}"/>
    <cellStyle name="Normal 5 2 4 2 3 2" xfId="8584" xr:uid="{00000000-0005-0000-0000-00008D210000}"/>
    <cellStyle name="Normal 5 2 4 2 3 2 2" xfId="8585" xr:uid="{00000000-0005-0000-0000-00008E210000}"/>
    <cellStyle name="Normal 5 2 4 2 3 3" xfId="8586" xr:uid="{00000000-0005-0000-0000-00008F210000}"/>
    <cellStyle name="Normal 5 2 4 2 4" xfId="8587" xr:uid="{00000000-0005-0000-0000-000090210000}"/>
    <cellStyle name="Normal 5 2 4 2 4 2" xfId="8588" xr:uid="{00000000-0005-0000-0000-000091210000}"/>
    <cellStyle name="Normal 5 2 4 2 5" xfId="8589" xr:uid="{00000000-0005-0000-0000-000092210000}"/>
    <cellStyle name="Normal 5 2 4 2 5 2" xfId="8590" xr:uid="{00000000-0005-0000-0000-000093210000}"/>
    <cellStyle name="Normal 5 2 4 2 6" xfId="8591" xr:uid="{00000000-0005-0000-0000-000094210000}"/>
    <cellStyle name="Normal 5 2 4 3" xfId="8592" xr:uid="{00000000-0005-0000-0000-000095210000}"/>
    <cellStyle name="Normal 5 2 4 3 2" xfId="8593" xr:uid="{00000000-0005-0000-0000-000096210000}"/>
    <cellStyle name="Normal 5 2 4 3 2 2" xfId="8594" xr:uid="{00000000-0005-0000-0000-000097210000}"/>
    <cellStyle name="Normal 5 2 4 3 3" xfId="8595" xr:uid="{00000000-0005-0000-0000-000098210000}"/>
    <cellStyle name="Normal 5 2 4 3 3 2" xfId="8596" xr:uid="{00000000-0005-0000-0000-000099210000}"/>
    <cellStyle name="Normal 5 2 4 3 4" xfId="8597" xr:uid="{00000000-0005-0000-0000-00009A210000}"/>
    <cellStyle name="Normal 5 2 4 4" xfId="8598" xr:uid="{00000000-0005-0000-0000-00009B210000}"/>
    <cellStyle name="Normal 5 2 4 4 2" xfId="8599" xr:uid="{00000000-0005-0000-0000-00009C210000}"/>
    <cellStyle name="Normal 5 2 4 4 2 2" xfId="8600" xr:uid="{00000000-0005-0000-0000-00009D210000}"/>
    <cellStyle name="Normal 5 2 4 4 3" xfId="8601" xr:uid="{00000000-0005-0000-0000-00009E210000}"/>
    <cellStyle name="Normal 5 2 4 4 3 2" xfId="8602" xr:uid="{00000000-0005-0000-0000-00009F210000}"/>
    <cellStyle name="Normal 5 2 4 4 4" xfId="8603" xr:uid="{00000000-0005-0000-0000-0000A0210000}"/>
    <cellStyle name="Normal 5 2 4 5" xfId="8604" xr:uid="{00000000-0005-0000-0000-0000A1210000}"/>
    <cellStyle name="Normal 5 2 4 5 2" xfId="8605" xr:uid="{00000000-0005-0000-0000-0000A2210000}"/>
    <cellStyle name="Normal 5 2 4 6" xfId="8606" xr:uid="{00000000-0005-0000-0000-0000A3210000}"/>
    <cellStyle name="Normal 5 2 4 6 2" xfId="8607" xr:uid="{00000000-0005-0000-0000-0000A4210000}"/>
    <cellStyle name="Normal 5 2 4 7" xfId="8608" xr:uid="{00000000-0005-0000-0000-0000A5210000}"/>
    <cellStyle name="Normal 5 2 5" xfId="8609" xr:uid="{00000000-0005-0000-0000-0000A6210000}"/>
    <cellStyle name="Normal 5 2 5 10" xfId="8610" xr:uid="{00000000-0005-0000-0000-0000A7210000}"/>
    <cellStyle name="Normal 5 2 5 10 2" xfId="8611" xr:uid="{00000000-0005-0000-0000-0000A8210000}"/>
    <cellStyle name="Normal 5 2 5 10 2 2" xfId="8612" xr:uid="{00000000-0005-0000-0000-0000A9210000}"/>
    <cellStyle name="Normal 5 2 5 10 3" xfId="8613" xr:uid="{00000000-0005-0000-0000-0000AA210000}"/>
    <cellStyle name="Normal 5 2 5 10 3 2" xfId="8614" xr:uid="{00000000-0005-0000-0000-0000AB210000}"/>
    <cellStyle name="Normal 5 2 5 10 4" xfId="8615" xr:uid="{00000000-0005-0000-0000-0000AC210000}"/>
    <cellStyle name="Normal 5 2 5 11" xfId="8616" xr:uid="{00000000-0005-0000-0000-0000AD210000}"/>
    <cellStyle name="Normal 5 2 5 11 2" xfId="8617" xr:uid="{00000000-0005-0000-0000-0000AE210000}"/>
    <cellStyle name="Normal 5 2 5 11 2 2" xfId="8618" xr:uid="{00000000-0005-0000-0000-0000AF210000}"/>
    <cellStyle name="Normal 5 2 5 11 3" xfId="8619" xr:uid="{00000000-0005-0000-0000-0000B0210000}"/>
    <cellStyle name="Normal 5 2 5 12" xfId="8620" xr:uid="{00000000-0005-0000-0000-0000B1210000}"/>
    <cellStyle name="Normal 5 2 5 12 2" xfId="8621" xr:uid="{00000000-0005-0000-0000-0000B2210000}"/>
    <cellStyle name="Normal 5 2 5 12 2 2" xfId="8622" xr:uid="{00000000-0005-0000-0000-0000B3210000}"/>
    <cellStyle name="Normal 5 2 5 12 3" xfId="8623" xr:uid="{00000000-0005-0000-0000-0000B4210000}"/>
    <cellStyle name="Normal 5 2 5 13" xfId="8624" xr:uid="{00000000-0005-0000-0000-0000B5210000}"/>
    <cellStyle name="Normal 5 2 5 13 2" xfId="8625" xr:uid="{00000000-0005-0000-0000-0000B6210000}"/>
    <cellStyle name="Normal 5 2 5 14" xfId="8626" xr:uid="{00000000-0005-0000-0000-0000B7210000}"/>
    <cellStyle name="Normal 5 2 5 14 2" xfId="8627" xr:uid="{00000000-0005-0000-0000-0000B8210000}"/>
    <cellStyle name="Normal 5 2 5 15" xfId="8628" xr:uid="{00000000-0005-0000-0000-0000B9210000}"/>
    <cellStyle name="Normal 5 2 5 15 2" xfId="8629" xr:uid="{00000000-0005-0000-0000-0000BA210000}"/>
    <cellStyle name="Normal 5 2 5 16" xfId="8630" xr:uid="{00000000-0005-0000-0000-0000BB210000}"/>
    <cellStyle name="Normal 5 2 5 16 2" xfId="8631" xr:uid="{00000000-0005-0000-0000-0000BC210000}"/>
    <cellStyle name="Normal 5 2 5 17" xfId="8632" xr:uid="{00000000-0005-0000-0000-0000BD210000}"/>
    <cellStyle name="Normal 5 2 5 17 2" xfId="8633" xr:uid="{00000000-0005-0000-0000-0000BE210000}"/>
    <cellStyle name="Normal 5 2 5 18" xfId="8634" xr:uid="{00000000-0005-0000-0000-0000BF210000}"/>
    <cellStyle name="Normal 5 2 5 18 2" xfId="8635" xr:uid="{00000000-0005-0000-0000-0000C0210000}"/>
    <cellStyle name="Normal 5 2 5 19" xfId="8636" xr:uid="{00000000-0005-0000-0000-0000C1210000}"/>
    <cellStyle name="Normal 5 2 5 19 2" xfId="8637" xr:uid="{00000000-0005-0000-0000-0000C2210000}"/>
    <cellStyle name="Normal 5 2 5 19 2 2" xfId="8638" xr:uid="{00000000-0005-0000-0000-0000C3210000}"/>
    <cellStyle name="Normal 5 2 5 19 3" xfId="8639" xr:uid="{00000000-0005-0000-0000-0000C4210000}"/>
    <cellStyle name="Normal 5 2 5 19 3 2" xfId="8640" xr:uid="{00000000-0005-0000-0000-0000C5210000}"/>
    <cellStyle name="Normal 5 2 5 19 4" xfId="8641" xr:uid="{00000000-0005-0000-0000-0000C6210000}"/>
    <cellStyle name="Normal 5 2 5 19 4 2" xfId="8642" xr:uid="{00000000-0005-0000-0000-0000C7210000}"/>
    <cellStyle name="Normal 5 2 5 19 5" xfId="8643" xr:uid="{00000000-0005-0000-0000-0000C8210000}"/>
    <cellStyle name="Normal 5 2 5 19 5 2" xfId="8644" xr:uid="{00000000-0005-0000-0000-0000C9210000}"/>
    <cellStyle name="Normal 5 2 5 19 6" xfId="8645" xr:uid="{00000000-0005-0000-0000-0000CA210000}"/>
    <cellStyle name="Normal 5 2 5 19 6 2" xfId="8646" xr:uid="{00000000-0005-0000-0000-0000CB210000}"/>
    <cellStyle name="Normal 5 2 5 19 7" xfId="8647" xr:uid="{00000000-0005-0000-0000-0000CC210000}"/>
    <cellStyle name="Normal 5 2 5 19 7 2" xfId="8648" xr:uid="{00000000-0005-0000-0000-0000CD210000}"/>
    <cellStyle name="Normal 5 2 5 19 8" xfId="8649" xr:uid="{00000000-0005-0000-0000-0000CE210000}"/>
    <cellStyle name="Normal 5 2 5 2" xfId="8650" xr:uid="{00000000-0005-0000-0000-0000CF210000}"/>
    <cellStyle name="Normal 5 2 5 2 2" xfId="8651" xr:uid="{00000000-0005-0000-0000-0000D0210000}"/>
    <cellStyle name="Normal 5 2 5 2 2 2" xfId="8652" xr:uid="{00000000-0005-0000-0000-0000D1210000}"/>
    <cellStyle name="Normal 5 2 5 2 2 2 2" xfId="8653" xr:uid="{00000000-0005-0000-0000-0000D2210000}"/>
    <cellStyle name="Normal 5 2 5 2 2 3" xfId="8654" xr:uid="{00000000-0005-0000-0000-0000D3210000}"/>
    <cellStyle name="Normal 5 2 5 2 2 3 2" xfId="8655" xr:uid="{00000000-0005-0000-0000-0000D4210000}"/>
    <cellStyle name="Normal 5 2 5 2 2 4" xfId="8656" xr:uid="{00000000-0005-0000-0000-0000D5210000}"/>
    <cellStyle name="Normal 5 2 5 2 2 4 2" xfId="8657" xr:uid="{00000000-0005-0000-0000-0000D6210000}"/>
    <cellStyle name="Normal 5 2 5 2 2 5" xfId="8658" xr:uid="{00000000-0005-0000-0000-0000D7210000}"/>
    <cellStyle name="Normal 5 2 5 2 2 5 2" xfId="8659" xr:uid="{00000000-0005-0000-0000-0000D8210000}"/>
    <cellStyle name="Normal 5 2 5 2 2 6" xfId="8660" xr:uid="{00000000-0005-0000-0000-0000D9210000}"/>
    <cellStyle name="Normal 5 2 5 2 3" xfId="8661" xr:uid="{00000000-0005-0000-0000-0000DA210000}"/>
    <cellStyle name="Normal 5 2 5 2 3 2" xfId="8662" xr:uid="{00000000-0005-0000-0000-0000DB210000}"/>
    <cellStyle name="Normal 5 2 5 2 3 2 2" xfId="8663" xr:uid="{00000000-0005-0000-0000-0000DC210000}"/>
    <cellStyle name="Normal 5 2 5 2 3 3" xfId="8664" xr:uid="{00000000-0005-0000-0000-0000DD210000}"/>
    <cellStyle name="Normal 5 2 5 2 3 3 2" xfId="8665" xr:uid="{00000000-0005-0000-0000-0000DE210000}"/>
    <cellStyle name="Normal 5 2 5 2 3 4" xfId="8666" xr:uid="{00000000-0005-0000-0000-0000DF210000}"/>
    <cellStyle name="Normal 5 2 5 2 4" xfId="8667" xr:uid="{00000000-0005-0000-0000-0000E0210000}"/>
    <cellStyle name="Normal 5 2 5 2 4 2" xfId="8668" xr:uid="{00000000-0005-0000-0000-0000E1210000}"/>
    <cellStyle name="Normal 5 2 5 2 4 2 2" xfId="8669" xr:uid="{00000000-0005-0000-0000-0000E2210000}"/>
    <cellStyle name="Normal 5 2 5 2 4 3" xfId="8670" xr:uid="{00000000-0005-0000-0000-0000E3210000}"/>
    <cellStyle name="Normal 5 2 5 2 4 3 2" xfId="8671" xr:uid="{00000000-0005-0000-0000-0000E4210000}"/>
    <cellStyle name="Normal 5 2 5 2 4 4" xfId="8672" xr:uid="{00000000-0005-0000-0000-0000E5210000}"/>
    <cellStyle name="Normal 5 2 5 2 5" xfId="8673" xr:uid="{00000000-0005-0000-0000-0000E6210000}"/>
    <cellStyle name="Normal 5 2 5 2 5 2" xfId="8674" xr:uid="{00000000-0005-0000-0000-0000E7210000}"/>
    <cellStyle name="Normal 5 2 5 2 6" xfId="8675" xr:uid="{00000000-0005-0000-0000-0000E8210000}"/>
    <cellStyle name="Normal 5 2 5 2 6 2" xfId="8676" xr:uid="{00000000-0005-0000-0000-0000E9210000}"/>
    <cellStyle name="Normal 5 2 5 2 7" xfId="8677" xr:uid="{00000000-0005-0000-0000-0000EA210000}"/>
    <cellStyle name="Normal 5 2 5 20" xfId="8678" xr:uid="{00000000-0005-0000-0000-0000EB210000}"/>
    <cellStyle name="Normal 5 2 5 20 2" xfId="8679" xr:uid="{00000000-0005-0000-0000-0000EC210000}"/>
    <cellStyle name="Normal 5 2 5 21" xfId="8680" xr:uid="{00000000-0005-0000-0000-0000ED210000}"/>
    <cellStyle name="Normal 5 2 5 21 2" xfId="8681" xr:uid="{00000000-0005-0000-0000-0000EE210000}"/>
    <cellStyle name="Normal 5 2 5 22" xfId="8682" xr:uid="{00000000-0005-0000-0000-0000EF210000}"/>
    <cellStyle name="Normal 5 2 5 22 2" xfId="8683" xr:uid="{00000000-0005-0000-0000-0000F0210000}"/>
    <cellStyle name="Normal 5 2 5 23" xfId="8684" xr:uid="{00000000-0005-0000-0000-0000F1210000}"/>
    <cellStyle name="Normal 5 2 5 23 2" xfId="8685" xr:uid="{00000000-0005-0000-0000-0000F2210000}"/>
    <cellStyle name="Normal 5 2 5 24" xfId="8686" xr:uid="{00000000-0005-0000-0000-0000F3210000}"/>
    <cellStyle name="Normal 5 2 5 24 2" xfId="8687" xr:uid="{00000000-0005-0000-0000-0000F4210000}"/>
    <cellStyle name="Normal 5 2 5 25" xfId="8688" xr:uid="{00000000-0005-0000-0000-0000F5210000}"/>
    <cellStyle name="Normal 5 2 5 25 2" xfId="8689" xr:uid="{00000000-0005-0000-0000-0000F6210000}"/>
    <cellStyle name="Normal 5 2 5 26" xfId="8690" xr:uid="{00000000-0005-0000-0000-0000F7210000}"/>
    <cellStyle name="Normal 5 2 5 26 2" xfId="8691" xr:uid="{00000000-0005-0000-0000-0000F8210000}"/>
    <cellStyle name="Normal 5 2 5 27" xfId="8692" xr:uid="{00000000-0005-0000-0000-0000F9210000}"/>
    <cellStyle name="Normal 5 2 5 27 2" xfId="8693" xr:uid="{00000000-0005-0000-0000-0000FA210000}"/>
    <cellStyle name="Normal 5 2 5 28" xfId="8694" xr:uid="{00000000-0005-0000-0000-0000FB210000}"/>
    <cellStyle name="Normal 5 2 5 3" xfId="8695" xr:uid="{00000000-0005-0000-0000-0000FC210000}"/>
    <cellStyle name="Normal 5 2 5 3 10" xfId="8696" xr:uid="{00000000-0005-0000-0000-0000FD210000}"/>
    <cellStyle name="Normal 5 2 5 3 10 2" xfId="8697" xr:uid="{00000000-0005-0000-0000-0000FE210000}"/>
    <cellStyle name="Normal 5 2 5 3 11" xfId="8698" xr:uid="{00000000-0005-0000-0000-0000FF210000}"/>
    <cellStyle name="Normal 5 2 5 3 11 2" xfId="8699" xr:uid="{00000000-0005-0000-0000-000000220000}"/>
    <cellStyle name="Normal 5 2 5 3 12" xfId="8700" xr:uid="{00000000-0005-0000-0000-000001220000}"/>
    <cellStyle name="Normal 5 2 5 3 12 2" xfId="8701" xr:uid="{00000000-0005-0000-0000-000002220000}"/>
    <cellStyle name="Normal 5 2 5 3 13" xfId="8702" xr:uid="{00000000-0005-0000-0000-000003220000}"/>
    <cellStyle name="Normal 5 2 5 3 13 2" xfId="8703" xr:uid="{00000000-0005-0000-0000-000004220000}"/>
    <cellStyle name="Normal 5 2 5 3 14" xfId="8704" xr:uid="{00000000-0005-0000-0000-000005220000}"/>
    <cellStyle name="Normal 5 2 5 3 14 2" xfId="8705" xr:uid="{00000000-0005-0000-0000-000006220000}"/>
    <cellStyle name="Normal 5 2 5 3 15" xfId="8706" xr:uid="{00000000-0005-0000-0000-000007220000}"/>
    <cellStyle name="Normal 5 2 5 3 15 2" xfId="8707" xr:uid="{00000000-0005-0000-0000-000008220000}"/>
    <cellStyle name="Normal 5 2 5 3 16" xfId="8708" xr:uid="{00000000-0005-0000-0000-000009220000}"/>
    <cellStyle name="Normal 5 2 5 3 16 2" xfId="8709" xr:uid="{00000000-0005-0000-0000-00000A220000}"/>
    <cellStyle name="Normal 5 2 5 3 17" xfId="8710" xr:uid="{00000000-0005-0000-0000-00000B220000}"/>
    <cellStyle name="Normal 5 2 5 3 17 2" xfId="8711" xr:uid="{00000000-0005-0000-0000-00000C220000}"/>
    <cellStyle name="Normal 5 2 5 3 18" xfId="8712" xr:uid="{00000000-0005-0000-0000-00000D220000}"/>
    <cellStyle name="Normal 5 2 5 3 18 2" xfId="8713" xr:uid="{00000000-0005-0000-0000-00000E220000}"/>
    <cellStyle name="Normal 5 2 5 3 19" xfId="8714" xr:uid="{00000000-0005-0000-0000-00000F220000}"/>
    <cellStyle name="Normal 5 2 5 3 19 2" xfId="8715" xr:uid="{00000000-0005-0000-0000-000010220000}"/>
    <cellStyle name="Normal 5 2 5 3 2" xfId="8716" xr:uid="{00000000-0005-0000-0000-000011220000}"/>
    <cellStyle name="Normal 5 2 5 3 2 2" xfId="8717" xr:uid="{00000000-0005-0000-0000-000012220000}"/>
    <cellStyle name="Normal 5 2 5 3 2 2 2" xfId="8718" xr:uid="{00000000-0005-0000-0000-000013220000}"/>
    <cellStyle name="Normal 5 2 5 3 2 2 2 2" xfId="8719" xr:uid="{00000000-0005-0000-0000-000014220000}"/>
    <cellStyle name="Normal 5 2 5 3 2 2 3" xfId="8720" xr:uid="{00000000-0005-0000-0000-000015220000}"/>
    <cellStyle name="Normal 5 2 5 3 2 2 3 2" xfId="8721" xr:uid="{00000000-0005-0000-0000-000016220000}"/>
    <cellStyle name="Normal 5 2 5 3 2 2 4" xfId="8722" xr:uid="{00000000-0005-0000-0000-000017220000}"/>
    <cellStyle name="Normal 5 2 5 3 2 3" xfId="8723" xr:uid="{00000000-0005-0000-0000-000018220000}"/>
    <cellStyle name="Normal 5 2 5 3 2 3 2" xfId="8724" xr:uid="{00000000-0005-0000-0000-000019220000}"/>
    <cellStyle name="Normal 5 2 5 3 2 3 2 2" xfId="8725" xr:uid="{00000000-0005-0000-0000-00001A220000}"/>
    <cellStyle name="Normal 5 2 5 3 2 3 3" xfId="8726" xr:uid="{00000000-0005-0000-0000-00001B220000}"/>
    <cellStyle name="Normal 5 2 5 3 2 3 3 2" xfId="8727" xr:uid="{00000000-0005-0000-0000-00001C220000}"/>
    <cellStyle name="Normal 5 2 5 3 2 3 4" xfId="8728" xr:uid="{00000000-0005-0000-0000-00001D220000}"/>
    <cellStyle name="Normal 5 2 5 3 2 4" xfId="8729" xr:uid="{00000000-0005-0000-0000-00001E220000}"/>
    <cellStyle name="Normal 5 2 5 3 2 4 2" xfId="8730" xr:uid="{00000000-0005-0000-0000-00001F220000}"/>
    <cellStyle name="Normal 5 2 5 3 2 5" xfId="8731" xr:uid="{00000000-0005-0000-0000-000020220000}"/>
    <cellStyle name="Normal 5 2 5 3 2 5 2" xfId="8732" xr:uid="{00000000-0005-0000-0000-000021220000}"/>
    <cellStyle name="Normal 5 2 5 3 2 6" xfId="8733" xr:uid="{00000000-0005-0000-0000-000022220000}"/>
    <cellStyle name="Normal 5 2 5 3 20" xfId="8734" xr:uid="{00000000-0005-0000-0000-000023220000}"/>
    <cellStyle name="Normal 5 2 5 3 3" xfId="8735" xr:uid="{00000000-0005-0000-0000-000024220000}"/>
    <cellStyle name="Normal 5 2 5 3 3 2" xfId="8736" xr:uid="{00000000-0005-0000-0000-000025220000}"/>
    <cellStyle name="Normal 5 2 5 3 3 2 2" xfId="8737" xr:uid="{00000000-0005-0000-0000-000026220000}"/>
    <cellStyle name="Normal 5 2 5 3 3 3" xfId="8738" xr:uid="{00000000-0005-0000-0000-000027220000}"/>
    <cellStyle name="Normal 5 2 5 3 3 3 2" xfId="8739" xr:uid="{00000000-0005-0000-0000-000028220000}"/>
    <cellStyle name="Normal 5 2 5 3 3 4" xfId="8740" xr:uid="{00000000-0005-0000-0000-000029220000}"/>
    <cellStyle name="Normal 5 2 5 3 3 4 2" xfId="8741" xr:uid="{00000000-0005-0000-0000-00002A220000}"/>
    <cellStyle name="Normal 5 2 5 3 3 5" xfId="8742" xr:uid="{00000000-0005-0000-0000-00002B220000}"/>
    <cellStyle name="Normal 5 2 5 3 3 5 2" xfId="8743" xr:uid="{00000000-0005-0000-0000-00002C220000}"/>
    <cellStyle name="Normal 5 2 5 3 3 6" xfId="8744" xr:uid="{00000000-0005-0000-0000-00002D220000}"/>
    <cellStyle name="Normal 5 2 5 3 4" xfId="8745" xr:uid="{00000000-0005-0000-0000-00002E220000}"/>
    <cellStyle name="Normal 5 2 5 3 4 2" xfId="8746" xr:uid="{00000000-0005-0000-0000-00002F220000}"/>
    <cellStyle name="Normal 5 2 5 3 4 2 2" xfId="8747" xr:uid="{00000000-0005-0000-0000-000030220000}"/>
    <cellStyle name="Normal 5 2 5 3 4 3" xfId="8748" xr:uid="{00000000-0005-0000-0000-000031220000}"/>
    <cellStyle name="Normal 5 2 5 3 4 3 2" xfId="8749" xr:uid="{00000000-0005-0000-0000-000032220000}"/>
    <cellStyle name="Normal 5 2 5 3 4 4" xfId="8750" xr:uid="{00000000-0005-0000-0000-000033220000}"/>
    <cellStyle name="Normal 5 2 5 3 5" xfId="8751" xr:uid="{00000000-0005-0000-0000-000034220000}"/>
    <cellStyle name="Normal 5 2 5 3 5 2" xfId="8752" xr:uid="{00000000-0005-0000-0000-000035220000}"/>
    <cellStyle name="Normal 5 2 5 3 5 2 2" xfId="8753" xr:uid="{00000000-0005-0000-0000-000036220000}"/>
    <cellStyle name="Normal 5 2 5 3 5 3" xfId="8754" xr:uid="{00000000-0005-0000-0000-000037220000}"/>
    <cellStyle name="Normal 5 2 5 3 5 3 2" xfId="8755" xr:uid="{00000000-0005-0000-0000-000038220000}"/>
    <cellStyle name="Normal 5 2 5 3 5 4" xfId="8756" xr:uid="{00000000-0005-0000-0000-000039220000}"/>
    <cellStyle name="Normal 5 2 5 3 6" xfId="8757" xr:uid="{00000000-0005-0000-0000-00003A220000}"/>
    <cellStyle name="Normal 5 2 5 3 6 2" xfId="8758" xr:uid="{00000000-0005-0000-0000-00003B220000}"/>
    <cellStyle name="Normal 5 2 5 3 7" xfId="8759" xr:uid="{00000000-0005-0000-0000-00003C220000}"/>
    <cellStyle name="Normal 5 2 5 3 7 2" xfId="8760" xr:uid="{00000000-0005-0000-0000-00003D220000}"/>
    <cellStyle name="Normal 5 2 5 3 8" xfId="8761" xr:uid="{00000000-0005-0000-0000-00003E220000}"/>
    <cellStyle name="Normal 5 2 5 3 8 2" xfId="8762" xr:uid="{00000000-0005-0000-0000-00003F220000}"/>
    <cellStyle name="Normal 5 2 5 3 9" xfId="8763" xr:uid="{00000000-0005-0000-0000-000040220000}"/>
    <cellStyle name="Normal 5 2 5 3 9 2" xfId="8764" xr:uid="{00000000-0005-0000-0000-000041220000}"/>
    <cellStyle name="Normal 5 2 5 4" xfId="8765" xr:uid="{00000000-0005-0000-0000-000042220000}"/>
    <cellStyle name="Normal 5 2 5 4 2" xfId="8766" xr:uid="{00000000-0005-0000-0000-000043220000}"/>
    <cellStyle name="Normal 5 2 5 4 2 2" xfId="8767" xr:uid="{00000000-0005-0000-0000-000044220000}"/>
    <cellStyle name="Normal 5 2 5 4 2 2 2" xfId="8768" xr:uid="{00000000-0005-0000-0000-000045220000}"/>
    <cellStyle name="Normal 5 2 5 4 2 3" xfId="8769" xr:uid="{00000000-0005-0000-0000-000046220000}"/>
    <cellStyle name="Normal 5 2 5 4 2 3 2" xfId="8770" xr:uid="{00000000-0005-0000-0000-000047220000}"/>
    <cellStyle name="Normal 5 2 5 4 2 4" xfId="8771" xr:uid="{00000000-0005-0000-0000-000048220000}"/>
    <cellStyle name="Normal 5 2 5 4 2 4 2" xfId="8772" xr:uid="{00000000-0005-0000-0000-000049220000}"/>
    <cellStyle name="Normal 5 2 5 4 2 5" xfId="8773" xr:uid="{00000000-0005-0000-0000-00004A220000}"/>
    <cellStyle name="Normal 5 2 5 4 2 5 2" xfId="8774" xr:uid="{00000000-0005-0000-0000-00004B220000}"/>
    <cellStyle name="Normal 5 2 5 4 2 6" xfId="8775" xr:uid="{00000000-0005-0000-0000-00004C220000}"/>
    <cellStyle name="Normal 5 2 5 4 3" xfId="8776" xr:uid="{00000000-0005-0000-0000-00004D220000}"/>
    <cellStyle name="Normal 5 2 5 4 3 2" xfId="8777" xr:uid="{00000000-0005-0000-0000-00004E220000}"/>
    <cellStyle name="Normal 5 2 5 4 3 2 2" xfId="8778" xr:uid="{00000000-0005-0000-0000-00004F220000}"/>
    <cellStyle name="Normal 5 2 5 4 3 3" xfId="8779" xr:uid="{00000000-0005-0000-0000-000050220000}"/>
    <cellStyle name="Normal 5 2 5 4 3 3 2" xfId="8780" xr:uid="{00000000-0005-0000-0000-000051220000}"/>
    <cellStyle name="Normal 5 2 5 4 3 4" xfId="8781" xr:uid="{00000000-0005-0000-0000-000052220000}"/>
    <cellStyle name="Normal 5 2 5 4 4" xfId="8782" xr:uid="{00000000-0005-0000-0000-000053220000}"/>
    <cellStyle name="Normal 5 2 5 4 4 2" xfId="8783" xr:uid="{00000000-0005-0000-0000-000054220000}"/>
    <cellStyle name="Normal 5 2 5 4 4 2 2" xfId="8784" xr:uid="{00000000-0005-0000-0000-000055220000}"/>
    <cellStyle name="Normal 5 2 5 4 4 3" xfId="8785" xr:uid="{00000000-0005-0000-0000-000056220000}"/>
    <cellStyle name="Normal 5 2 5 4 4 3 2" xfId="8786" xr:uid="{00000000-0005-0000-0000-000057220000}"/>
    <cellStyle name="Normal 5 2 5 4 4 4" xfId="8787" xr:uid="{00000000-0005-0000-0000-000058220000}"/>
    <cellStyle name="Normal 5 2 5 4 5" xfId="8788" xr:uid="{00000000-0005-0000-0000-000059220000}"/>
    <cellStyle name="Normal 5 2 5 4 5 2" xfId="8789" xr:uid="{00000000-0005-0000-0000-00005A220000}"/>
    <cellStyle name="Normal 5 2 5 4 6" xfId="8790" xr:uid="{00000000-0005-0000-0000-00005B220000}"/>
    <cellStyle name="Normal 5 2 5 4 6 2" xfId="8791" xr:uid="{00000000-0005-0000-0000-00005C220000}"/>
    <cellStyle name="Normal 5 2 5 4 7" xfId="8792" xr:uid="{00000000-0005-0000-0000-00005D220000}"/>
    <cellStyle name="Normal 5 2 5 5" xfId="8793" xr:uid="{00000000-0005-0000-0000-00005E220000}"/>
    <cellStyle name="Normal 5 2 5 5 2" xfId="8794" xr:uid="{00000000-0005-0000-0000-00005F220000}"/>
    <cellStyle name="Normal 5 2 5 5 2 2" xfId="8795" xr:uid="{00000000-0005-0000-0000-000060220000}"/>
    <cellStyle name="Normal 5 2 5 5 2 2 2" xfId="8796" xr:uid="{00000000-0005-0000-0000-000061220000}"/>
    <cellStyle name="Normal 5 2 5 5 2 3" xfId="8797" xr:uid="{00000000-0005-0000-0000-000062220000}"/>
    <cellStyle name="Normal 5 2 5 5 2 3 2" xfId="8798" xr:uid="{00000000-0005-0000-0000-000063220000}"/>
    <cellStyle name="Normal 5 2 5 5 2 4" xfId="8799" xr:uid="{00000000-0005-0000-0000-000064220000}"/>
    <cellStyle name="Normal 5 2 5 5 2 4 2" xfId="8800" xr:uid="{00000000-0005-0000-0000-000065220000}"/>
    <cellStyle name="Normal 5 2 5 5 2 5" xfId="8801" xr:uid="{00000000-0005-0000-0000-000066220000}"/>
    <cellStyle name="Normal 5 2 5 5 2 5 2" xfId="8802" xr:uid="{00000000-0005-0000-0000-000067220000}"/>
    <cellStyle name="Normal 5 2 5 5 2 6" xfId="8803" xr:uid="{00000000-0005-0000-0000-000068220000}"/>
    <cellStyle name="Normal 5 2 5 5 3" xfId="8804" xr:uid="{00000000-0005-0000-0000-000069220000}"/>
    <cellStyle name="Normal 5 2 5 5 3 2" xfId="8805" xr:uid="{00000000-0005-0000-0000-00006A220000}"/>
    <cellStyle name="Normal 5 2 5 5 3 2 2" xfId="8806" xr:uid="{00000000-0005-0000-0000-00006B220000}"/>
    <cellStyle name="Normal 5 2 5 5 3 3" xfId="8807" xr:uid="{00000000-0005-0000-0000-00006C220000}"/>
    <cellStyle name="Normal 5 2 5 5 3 3 2" xfId="8808" xr:uid="{00000000-0005-0000-0000-00006D220000}"/>
    <cellStyle name="Normal 5 2 5 5 3 4" xfId="8809" xr:uid="{00000000-0005-0000-0000-00006E220000}"/>
    <cellStyle name="Normal 5 2 5 5 4" xfId="8810" xr:uid="{00000000-0005-0000-0000-00006F220000}"/>
    <cellStyle name="Normal 5 2 5 5 4 2" xfId="8811" xr:uid="{00000000-0005-0000-0000-000070220000}"/>
    <cellStyle name="Normal 5 2 5 5 4 2 2" xfId="8812" xr:uid="{00000000-0005-0000-0000-000071220000}"/>
    <cellStyle name="Normal 5 2 5 5 4 3" xfId="8813" xr:uid="{00000000-0005-0000-0000-000072220000}"/>
    <cellStyle name="Normal 5 2 5 5 4 3 2" xfId="8814" xr:uid="{00000000-0005-0000-0000-000073220000}"/>
    <cellStyle name="Normal 5 2 5 5 4 4" xfId="8815" xr:uid="{00000000-0005-0000-0000-000074220000}"/>
    <cellStyle name="Normal 5 2 5 5 5" xfId="8816" xr:uid="{00000000-0005-0000-0000-000075220000}"/>
    <cellStyle name="Normal 5 2 5 5 5 2" xfId="8817" xr:uid="{00000000-0005-0000-0000-000076220000}"/>
    <cellStyle name="Normal 5 2 5 5 6" xfId="8818" xr:uid="{00000000-0005-0000-0000-000077220000}"/>
    <cellStyle name="Normal 5 2 5 5 6 2" xfId="8819" xr:uid="{00000000-0005-0000-0000-000078220000}"/>
    <cellStyle name="Normal 5 2 5 5 7" xfId="8820" xr:uid="{00000000-0005-0000-0000-000079220000}"/>
    <cellStyle name="Normal 5 2 5 6" xfId="8821" xr:uid="{00000000-0005-0000-0000-00007A220000}"/>
    <cellStyle name="Normal 5 2 5 6 2" xfId="8822" xr:uid="{00000000-0005-0000-0000-00007B220000}"/>
    <cellStyle name="Normal 5 2 5 6 2 2" xfId="8823" xr:uid="{00000000-0005-0000-0000-00007C220000}"/>
    <cellStyle name="Normal 5 2 5 6 2 2 2" xfId="8824" xr:uid="{00000000-0005-0000-0000-00007D220000}"/>
    <cellStyle name="Normal 5 2 5 6 2 3" xfId="8825" xr:uid="{00000000-0005-0000-0000-00007E220000}"/>
    <cellStyle name="Normal 5 2 5 6 2 3 2" xfId="8826" xr:uid="{00000000-0005-0000-0000-00007F220000}"/>
    <cellStyle name="Normal 5 2 5 6 2 4" xfId="8827" xr:uid="{00000000-0005-0000-0000-000080220000}"/>
    <cellStyle name="Normal 5 2 5 6 2 4 2" xfId="8828" xr:uid="{00000000-0005-0000-0000-000081220000}"/>
    <cellStyle name="Normal 5 2 5 6 2 5" xfId="8829" xr:uid="{00000000-0005-0000-0000-000082220000}"/>
    <cellStyle name="Normal 5 2 5 6 2 5 2" xfId="8830" xr:uid="{00000000-0005-0000-0000-000083220000}"/>
    <cellStyle name="Normal 5 2 5 6 2 6" xfId="8831" xr:uid="{00000000-0005-0000-0000-000084220000}"/>
    <cellStyle name="Normal 5 2 5 6 3" xfId="8832" xr:uid="{00000000-0005-0000-0000-000085220000}"/>
    <cellStyle name="Normal 5 2 5 6 3 2" xfId="8833" xr:uid="{00000000-0005-0000-0000-000086220000}"/>
    <cellStyle name="Normal 5 2 5 6 3 2 2" xfId="8834" xr:uid="{00000000-0005-0000-0000-000087220000}"/>
    <cellStyle name="Normal 5 2 5 6 3 3" xfId="8835" xr:uid="{00000000-0005-0000-0000-000088220000}"/>
    <cellStyle name="Normal 5 2 5 6 3 3 2" xfId="8836" xr:uid="{00000000-0005-0000-0000-000089220000}"/>
    <cellStyle name="Normal 5 2 5 6 3 4" xfId="8837" xr:uid="{00000000-0005-0000-0000-00008A220000}"/>
    <cellStyle name="Normal 5 2 5 6 4" xfId="8838" xr:uid="{00000000-0005-0000-0000-00008B220000}"/>
    <cellStyle name="Normal 5 2 5 6 4 2" xfId="8839" xr:uid="{00000000-0005-0000-0000-00008C220000}"/>
    <cellStyle name="Normal 5 2 5 6 4 2 2" xfId="8840" xr:uid="{00000000-0005-0000-0000-00008D220000}"/>
    <cellStyle name="Normal 5 2 5 6 4 3" xfId="8841" xr:uid="{00000000-0005-0000-0000-00008E220000}"/>
    <cellStyle name="Normal 5 2 5 6 4 3 2" xfId="8842" xr:uid="{00000000-0005-0000-0000-00008F220000}"/>
    <cellStyle name="Normal 5 2 5 6 4 4" xfId="8843" xr:uid="{00000000-0005-0000-0000-000090220000}"/>
    <cellStyle name="Normal 5 2 5 6 5" xfId="8844" xr:uid="{00000000-0005-0000-0000-000091220000}"/>
    <cellStyle name="Normal 5 2 5 6 5 2" xfId="8845" xr:uid="{00000000-0005-0000-0000-000092220000}"/>
    <cellStyle name="Normal 5 2 5 6 6" xfId="8846" xr:uid="{00000000-0005-0000-0000-000093220000}"/>
    <cellStyle name="Normal 5 2 5 6 6 2" xfId="8847" xr:uid="{00000000-0005-0000-0000-000094220000}"/>
    <cellStyle name="Normal 5 2 5 6 7" xfId="8848" xr:uid="{00000000-0005-0000-0000-000095220000}"/>
    <cellStyle name="Normal 5 2 5 7" xfId="8849" xr:uid="{00000000-0005-0000-0000-000096220000}"/>
    <cellStyle name="Normal 5 2 5 7 2" xfId="8850" xr:uid="{00000000-0005-0000-0000-000097220000}"/>
    <cellStyle name="Normal 5 2 5 7 2 2" xfId="8851" xr:uid="{00000000-0005-0000-0000-000098220000}"/>
    <cellStyle name="Normal 5 2 5 7 2 2 2" xfId="8852" xr:uid="{00000000-0005-0000-0000-000099220000}"/>
    <cellStyle name="Normal 5 2 5 7 2 3" xfId="8853" xr:uid="{00000000-0005-0000-0000-00009A220000}"/>
    <cellStyle name="Normal 5 2 5 7 2 3 2" xfId="8854" xr:uid="{00000000-0005-0000-0000-00009B220000}"/>
    <cellStyle name="Normal 5 2 5 7 2 4" xfId="8855" xr:uid="{00000000-0005-0000-0000-00009C220000}"/>
    <cellStyle name="Normal 5 2 5 7 3" xfId="8856" xr:uid="{00000000-0005-0000-0000-00009D220000}"/>
    <cellStyle name="Normal 5 2 5 7 3 2" xfId="8857" xr:uid="{00000000-0005-0000-0000-00009E220000}"/>
    <cellStyle name="Normal 5 2 5 7 3 2 2" xfId="8858" xr:uid="{00000000-0005-0000-0000-00009F220000}"/>
    <cellStyle name="Normal 5 2 5 7 3 3" xfId="8859" xr:uid="{00000000-0005-0000-0000-0000A0220000}"/>
    <cellStyle name="Normal 5 2 5 7 3 3 2" xfId="8860" xr:uid="{00000000-0005-0000-0000-0000A1220000}"/>
    <cellStyle name="Normal 5 2 5 7 3 4" xfId="8861" xr:uid="{00000000-0005-0000-0000-0000A2220000}"/>
    <cellStyle name="Normal 5 2 5 7 4" xfId="8862" xr:uid="{00000000-0005-0000-0000-0000A3220000}"/>
    <cellStyle name="Normal 5 2 5 7 4 2" xfId="8863" xr:uid="{00000000-0005-0000-0000-0000A4220000}"/>
    <cellStyle name="Normal 5 2 5 7 4 2 2" xfId="8864" xr:uid="{00000000-0005-0000-0000-0000A5220000}"/>
    <cellStyle name="Normal 5 2 5 7 4 3" xfId="8865" xr:uid="{00000000-0005-0000-0000-0000A6220000}"/>
    <cellStyle name="Normal 5 2 5 7 5" xfId="8866" xr:uid="{00000000-0005-0000-0000-0000A7220000}"/>
    <cellStyle name="Normal 5 2 5 7 5 2" xfId="8867" xr:uid="{00000000-0005-0000-0000-0000A8220000}"/>
    <cellStyle name="Normal 5 2 5 7 6" xfId="8868" xr:uid="{00000000-0005-0000-0000-0000A9220000}"/>
    <cellStyle name="Normal 5 2 5 7 6 2" xfId="8869" xr:uid="{00000000-0005-0000-0000-0000AA220000}"/>
    <cellStyle name="Normal 5 2 5 7 7" xfId="8870" xr:uid="{00000000-0005-0000-0000-0000AB220000}"/>
    <cellStyle name="Normal 5 2 5 8" xfId="8871" xr:uid="{00000000-0005-0000-0000-0000AC220000}"/>
    <cellStyle name="Normal 5 2 5 8 2" xfId="8872" xr:uid="{00000000-0005-0000-0000-0000AD220000}"/>
    <cellStyle name="Normal 5 2 5 8 2 2" xfId="8873" xr:uid="{00000000-0005-0000-0000-0000AE220000}"/>
    <cellStyle name="Normal 5 2 5 8 3" xfId="8874" xr:uid="{00000000-0005-0000-0000-0000AF220000}"/>
    <cellStyle name="Normal 5 2 5 8 3 2" xfId="8875" xr:uid="{00000000-0005-0000-0000-0000B0220000}"/>
    <cellStyle name="Normal 5 2 5 8 4" xfId="8876" xr:uid="{00000000-0005-0000-0000-0000B1220000}"/>
    <cellStyle name="Normal 5 2 5 8 4 2" xfId="8877" xr:uid="{00000000-0005-0000-0000-0000B2220000}"/>
    <cellStyle name="Normal 5 2 5 8 5" xfId="8878" xr:uid="{00000000-0005-0000-0000-0000B3220000}"/>
    <cellStyle name="Normal 5 2 5 8 5 2" xfId="8879" xr:uid="{00000000-0005-0000-0000-0000B4220000}"/>
    <cellStyle name="Normal 5 2 5 8 6" xfId="8880" xr:uid="{00000000-0005-0000-0000-0000B5220000}"/>
    <cellStyle name="Normal 5 2 5 9" xfId="8881" xr:uid="{00000000-0005-0000-0000-0000B6220000}"/>
    <cellStyle name="Normal 5 2 5 9 2" xfId="8882" xr:uid="{00000000-0005-0000-0000-0000B7220000}"/>
    <cellStyle name="Normal 5 2 5 9 2 2" xfId="8883" xr:uid="{00000000-0005-0000-0000-0000B8220000}"/>
    <cellStyle name="Normal 5 2 5 9 3" xfId="8884" xr:uid="{00000000-0005-0000-0000-0000B9220000}"/>
    <cellStyle name="Normal 5 2 5 9 3 2" xfId="8885" xr:uid="{00000000-0005-0000-0000-0000BA220000}"/>
    <cellStyle name="Normal 5 2 5 9 4" xfId="8886" xr:uid="{00000000-0005-0000-0000-0000BB220000}"/>
    <cellStyle name="Normal 5 2 5_10070" xfId="8887" xr:uid="{00000000-0005-0000-0000-0000BC220000}"/>
    <cellStyle name="Normal 5 2 6" xfId="8888" xr:uid="{00000000-0005-0000-0000-0000BD220000}"/>
    <cellStyle name="Normal 5 2 6 2" xfId="8889" xr:uid="{00000000-0005-0000-0000-0000BE220000}"/>
    <cellStyle name="Normal 5 2 6 2 2" xfId="8890" xr:uid="{00000000-0005-0000-0000-0000BF220000}"/>
    <cellStyle name="Normal 5 2 6 2 2 2" xfId="8891" xr:uid="{00000000-0005-0000-0000-0000C0220000}"/>
    <cellStyle name="Normal 5 2 6 2 3" xfId="8892" xr:uid="{00000000-0005-0000-0000-0000C1220000}"/>
    <cellStyle name="Normal 5 2 6 2 3 2" xfId="8893" xr:uid="{00000000-0005-0000-0000-0000C2220000}"/>
    <cellStyle name="Normal 5 2 6 2 4" xfId="8894" xr:uid="{00000000-0005-0000-0000-0000C3220000}"/>
    <cellStyle name="Normal 5 2 6 3" xfId="8895" xr:uid="{00000000-0005-0000-0000-0000C4220000}"/>
    <cellStyle name="Normal 5 2 6 3 2" xfId="8896" xr:uid="{00000000-0005-0000-0000-0000C5220000}"/>
    <cellStyle name="Normal 5 2 6 3 2 2" xfId="8897" xr:uid="{00000000-0005-0000-0000-0000C6220000}"/>
    <cellStyle name="Normal 5 2 6 3 3" xfId="8898" xr:uid="{00000000-0005-0000-0000-0000C7220000}"/>
    <cellStyle name="Normal 5 2 6 3 3 2" xfId="8899" xr:uid="{00000000-0005-0000-0000-0000C8220000}"/>
    <cellStyle name="Normal 5 2 6 3 4" xfId="8900" xr:uid="{00000000-0005-0000-0000-0000C9220000}"/>
    <cellStyle name="Normal 5 2 6 4" xfId="8901" xr:uid="{00000000-0005-0000-0000-0000CA220000}"/>
    <cellStyle name="Normal 5 2 6 4 2" xfId="8902" xr:uid="{00000000-0005-0000-0000-0000CB220000}"/>
    <cellStyle name="Normal 5 2 6 5" xfId="8903" xr:uid="{00000000-0005-0000-0000-0000CC220000}"/>
    <cellStyle name="Normal 5 2 6 5 2" xfId="8904" xr:uid="{00000000-0005-0000-0000-0000CD220000}"/>
    <cellStyle name="Normal 5 2 6 6" xfId="8905" xr:uid="{00000000-0005-0000-0000-0000CE220000}"/>
    <cellStyle name="Normal 5 2 7" xfId="8906" xr:uid="{00000000-0005-0000-0000-0000CF220000}"/>
    <cellStyle name="Normal 5 2 7 2" xfId="8907" xr:uid="{00000000-0005-0000-0000-0000D0220000}"/>
    <cellStyle name="Normal 5 2 7 2 2" xfId="8908" xr:uid="{00000000-0005-0000-0000-0000D1220000}"/>
    <cellStyle name="Normal 5 2 7 3" xfId="8909" xr:uid="{00000000-0005-0000-0000-0000D2220000}"/>
    <cellStyle name="Normal 5 2 7 3 2" xfId="8910" xr:uid="{00000000-0005-0000-0000-0000D3220000}"/>
    <cellStyle name="Normal 5 2 7 4" xfId="8911" xr:uid="{00000000-0005-0000-0000-0000D4220000}"/>
    <cellStyle name="Normal 5 2 7 4 2" xfId="8912" xr:uid="{00000000-0005-0000-0000-0000D5220000}"/>
    <cellStyle name="Normal 5 2 7 5" xfId="8913" xr:uid="{00000000-0005-0000-0000-0000D6220000}"/>
    <cellStyle name="Normal 5 2 7 5 2" xfId="8914" xr:uid="{00000000-0005-0000-0000-0000D7220000}"/>
    <cellStyle name="Normal 5 2 7 6" xfId="8915" xr:uid="{00000000-0005-0000-0000-0000D8220000}"/>
    <cellStyle name="Normal 5 2 8" xfId="8916" xr:uid="{00000000-0005-0000-0000-0000D9220000}"/>
    <cellStyle name="Normal 5 2 8 2" xfId="8917" xr:uid="{00000000-0005-0000-0000-0000DA220000}"/>
    <cellStyle name="Normal 5 2 9" xfId="8918" xr:uid="{00000000-0005-0000-0000-0000DB220000}"/>
    <cellStyle name="Normal 5 2 9 2" xfId="8919" xr:uid="{00000000-0005-0000-0000-0000DC220000}"/>
    <cellStyle name="Normal 5 3" xfId="8920" xr:uid="{00000000-0005-0000-0000-0000DD220000}"/>
    <cellStyle name="Normal 5 3 2" xfId="8921" xr:uid="{00000000-0005-0000-0000-0000DE220000}"/>
    <cellStyle name="Normal 5 3 2 2" xfId="8922" xr:uid="{00000000-0005-0000-0000-0000DF220000}"/>
    <cellStyle name="Normal 5 3 2 2 2" xfId="8923" xr:uid="{00000000-0005-0000-0000-0000E0220000}"/>
    <cellStyle name="Normal 5 3 2 2 2 2" xfId="8924" xr:uid="{00000000-0005-0000-0000-0000E1220000}"/>
    <cellStyle name="Normal 5 3 2 2 2 2 2" xfId="8925" xr:uid="{00000000-0005-0000-0000-0000E2220000}"/>
    <cellStyle name="Normal 5 3 2 2 2 2 2 2" xfId="8926" xr:uid="{00000000-0005-0000-0000-0000E3220000}"/>
    <cellStyle name="Normal 5 3 2 2 2 2 3" xfId="8927" xr:uid="{00000000-0005-0000-0000-0000E4220000}"/>
    <cellStyle name="Normal 5 3 2 2 2 3" xfId="8928" xr:uid="{00000000-0005-0000-0000-0000E5220000}"/>
    <cellStyle name="Normal 5 3 2 2 2 3 2" xfId="8929" xr:uid="{00000000-0005-0000-0000-0000E6220000}"/>
    <cellStyle name="Normal 5 3 2 2 2 3 2 2" xfId="8930" xr:uid="{00000000-0005-0000-0000-0000E7220000}"/>
    <cellStyle name="Normal 5 3 2 2 2 3 3" xfId="8931" xr:uid="{00000000-0005-0000-0000-0000E8220000}"/>
    <cellStyle name="Normal 5 3 2 2 2 4" xfId="8932" xr:uid="{00000000-0005-0000-0000-0000E9220000}"/>
    <cellStyle name="Normal 5 3 2 2 2 4 2" xfId="8933" xr:uid="{00000000-0005-0000-0000-0000EA220000}"/>
    <cellStyle name="Normal 5 3 2 2 2 5" xfId="8934" xr:uid="{00000000-0005-0000-0000-0000EB220000}"/>
    <cellStyle name="Normal 5 3 2 2 3" xfId="8935" xr:uid="{00000000-0005-0000-0000-0000EC220000}"/>
    <cellStyle name="Normal 5 3 2 2 3 2" xfId="8936" xr:uid="{00000000-0005-0000-0000-0000ED220000}"/>
    <cellStyle name="Normal 5 3 2 2 3 2 2" xfId="8937" xr:uid="{00000000-0005-0000-0000-0000EE220000}"/>
    <cellStyle name="Normal 5 3 2 2 3 3" xfId="8938" xr:uid="{00000000-0005-0000-0000-0000EF220000}"/>
    <cellStyle name="Normal 5 3 2 2 4" xfId="8939" xr:uid="{00000000-0005-0000-0000-0000F0220000}"/>
    <cellStyle name="Normal 5 3 2 2 4 2" xfId="8940" xr:uid="{00000000-0005-0000-0000-0000F1220000}"/>
    <cellStyle name="Normal 5 3 2 2 4 2 2" xfId="8941" xr:uid="{00000000-0005-0000-0000-0000F2220000}"/>
    <cellStyle name="Normal 5 3 2 2 4 3" xfId="8942" xr:uid="{00000000-0005-0000-0000-0000F3220000}"/>
    <cellStyle name="Normal 5 3 2 2 5" xfId="8943" xr:uid="{00000000-0005-0000-0000-0000F4220000}"/>
    <cellStyle name="Normal 5 3 2 2 5 2" xfId="8944" xr:uid="{00000000-0005-0000-0000-0000F5220000}"/>
    <cellStyle name="Normal 5 3 2 2 6" xfId="8945" xr:uid="{00000000-0005-0000-0000-0000F6220000}"/>
    <cellStyle name="Normal 5 3 2 3" xfId="8946" xr:uid="{00000000-0005-0000-0000-0000F7220000}"/>
    <cellStyle name="Normal 5 3 2 3 2" xfId="8947" xr:uid="{00000000-0005-0000-0000-0000F8220000}"/>
    <cellStyle name="Normal 5 3 2 3 2 2" xfId="8948" xr:uid="{00000000-0005-0000-0000-0000F9220000}"/>
    <cellStyle name="Normal 5 3 2 3 2 2 2" xfId="8949" xr:uid="{00000000-0005-0000-0000-0000FA220000}"/>
    <cellStyle name="Normal 5 3 2 3 2 3" xfId="8950" xr:uid="{00000000-0005-0000-0000-0000FB220000}"/>
    <cellStyle name="Normal 5 3 2 3 3" xfId="8951" xr:uid="{00000000-0005-0000-0000-0000FC220000}"/>
    <cellStyle name="Normal 5 3 2 3 3 2" xfId="8952" xr:uid="{00000000-0005-0000-0000-0000FD220000}"/>
    <cellStyle name="Normal 5 3 2 3 3 2 2" xfId="8953" xr:uid="{00000000-0005-0000-0000-0000FE220000}"/>
    <cellStyle name="Normal 5 3 2 3 3 3" xfId="8954" xr:uid="{00000000-0005-0000-0000-0000FF220000}"/>
    <cellStyle name="Normal 5 3 2 3 4" xfId="8955" xr:uid="{00000000-0005-0000-0000-000000230000}"/>
    <cellStyle name="Normal 5 3 2 3 4 2" xfId="8956" xr:uid="{00000000-0005-0000-0000-000001230000}"/>
    <cellStyle name="Normal 5 3 2 3 5" xfId="8957" xr:uid="{00000000-0005-0000-0000-000002230000}"/>
    <cellStyle name="Normal 5 3 2 4" xfId="8958" xr:uid="{00000000-0005-0000-0000-000003230000}"/>
    <cellStyle name="Normal 5 3 2 4 2" xfId="8959" xr:uid="{00000000-0005-0000-0000-000004230000}"/>
    <cellStyle name="Normal 5 3 2 4 2 2" xfId="8960" xr:uid="{00000000-0005-0000-0000-000005230000}"/>
    <cellStyle name="Normal 5 3 2 4 3" xfId="8961" xr:uid="{00000000-0005-0000-0000-000006230000}"/>
    <cellStyle name="Normal 5 3 2 5" xfId="8962" xr:uid="{00000000-0005-0000-0000-000007230000}"/>
    <cellStyle name="Normal 5 3 2 5 2" xfId="8963" xr:uid="{00000000-0005-0000-0000-000008230000}"/>
    <cellStyle name="Normal 5 3 2 5 2 2" xfId="8964" xr:uid="{00000000-0005-0000-0000-000009230000}"/>
    <cellStyle name="Normal 5 3 2 5 3" xfId="8965" xr:uid="{00000000-0005-0000-0000-00000A230000}"/>
    <cellStyle name="Normal 5 3 2 6" xfId="8966" xr:uid="{00000000-0005-0000-0000-00000B230000}"/>
    <cellStyle name="Normal 5 3 2 6 2" xfId="8967" xr:uid="{00000000-0005-0000-0000-00000C230000}"/>
    <cellStyle name="Normal 5 3 2 7" xfId="8968" xr:uid="{00000000-0005-0000-0000-00000D230000}"/>
    <cellStyle name="Normal 5 3 3" xfId="8969" xr:uid="{00000000-0005-0000-0000-00000E230000}"/>
    <cellStyle name="Normal 5 3 3 2" xfId="8970" xr:uid="{00000000-0005-0000-0000-00000F230000}"/>
    <cellStyle name="Normal 5 3 3 2 2" xfId="8971" xr:uid="{00000000-0005-0000-0000-000010230000}"/>
    <cellStyle name="Normal 5 3 3 2 2 2" xfId="8972" xr:uid="{00000000-0005-0000-0000-000011230000}"/>
    <cellStyle name="Normal 5 3 3 2 2 2 2" xfId="8973" xr:uid="{00000000-0005-0000-0000-000012230000}"/>
    <cellStyle name="Normal 5 3 3 2 2 3" xfId="8974" xr:uid="{00000000-0005-0000-0000-000013230000}"/>
    <cellStyle name="Normal 5 3 3 2 3" xfId="8975" xr:uid="{00000000-0005-0000-0000-000014230000}"/>
    <cellStyle name="Normal 5 3 3 2 3 2" xfId="8976" xr:uid="{00000000-0005-0000-0000-000015230000}"/>
    <cellStyle name="Normal 5 3 3 2 3 2 2" xfId="8977" xr:uid="{00000000-0005-0000-0000-000016230000}"/>
    <cellStyle name="Normal 5 3 3 2 3 3" xfId="8978" xr:uid="{00000000-0005-0000-0000-000017230000}"/>
    <cellStyle name="Normal 5 3 3 2 4" xfId="8979" xr:uid="{00000000-0005-0000-0000-000018230000}"/>
    <cellStyle name="Normal 5 3 3 2 4 2" xfId="8980" xr:uid="{00000000-0005-0000-0000-000019230000}"/>
    <cellStyle name="Normal 5 3 3 2 5" xfId="8981" xr:uid="{00000000-0005-0000-0000-00001A230000}"/>
    <cellStyle name="Normal 5 3 3 3" xfId="8982" xr:uid="{00000000-0005-0000-0000-00001B230000}"/>
    <cellStyle name="Normal 5 3 3 3 2" xfId="8983" xr:uid="{00000000-0005-0000-0000-00001C230000}"/>
    <cellStyle name="Normal 5 3 3 3 2 2" xfId="8984" xr:uid="{00000000-0005-0000-0000-00001D230000}"/>
    <cellStyle name="Normal 5 3 3 3 3" xfId="8985" xr:uid="{00000000-0005-0000-0000-00001E230000}"/>
    <cellStyle name="Normal 5 3 3 4" xfId="8986" xr:uid="{00000000-0005-0000-0000-00001F230000}"/>
    <cellStyle name="Normal 5 3 3 4 2" xfId="8987" xr:uid="{00000000-0005-0000-0000-000020230000}"/>
    <cellStyle name="Normal 5 3 3 4 2 2" xfId="8988" xr:uid="{00000000-0005-0000-0000-000021230000}"/>
    <cellStyle name="Normal 5 3 3 4 3" xfId="8989" xr:uid="{00000000-0005-0000-0000-000022230000}"/>
    <cellStyle name="Normal 5 3 3 5" xfId="8990" xr:uid="{00000000-0005-0000-0000-000023230000}"/>
    <cellStyle name="Normal 5 3 3 5 2" xfId="8991" xr:uid="{00000000-0005-0000-0000-000024230000}"/>
    <cellStyle name="Normal 5 3 3 6" xfId="8992" xr:uid="{00000000-0005-0000-0000-000025230000}"/>
    <cellStyle name="Normal 5 3 4" xfId="8993" xr:uid="{00000000-0005-0000-0000-000026230000}"/>
    <cellStyle name="Normal 5 3 4 2" xfId="8994" xr:uid="{00000000-0005-0000-0000-000027230000}"/>
    <cellStyle name="Normal 5 3 4 2 2" xfId="8995" xr:uid="{00000000-0005-0000-0000-000028230000}"/>
    <cellStyle name="Normal 5 3 4 2 2 2" xfId="8996" xr:uid="{00000000-0005-0000-0000-000029230000}"/>
    <cellStyle name="Normal 5 3 4 2 3" xfId="8997" xr:uid="{00000000-0005-0000-0000-00002A230000}"/>
    <cellStyle name="Normal 5 3 4 3" xfId="8998" xr:uid="{00000000-0005-0000-0000-00002B230000}"/>
    <cellStyle name="Normal 5 3 4 3 2" xfId="8999" xr:uid="{00000000-0005-0000-0000-00002C230000}"/>
    <cellStyle name="Normal 5 3 4 3 2 2" xfId="9000" xr:uid="{00000000-0005-0000-0000-00002D230000}"/>
    <cellStyle name="Normal 5 3 4 3 3" xfId="9001" xr:uid="{00000000-0005-0000-0000-00002E230000}"/>
    <cellStyle name="Normal 5 3 4 4" xfId="9002" xr:uid="{00000000-0005-0000-0000-00002F230000}"/>
    <cellStyle name="Normal 5 3 4 4 2" xfId="9003" xr:uid="{00000000-0005-0000-0000-000030230000}"/>
    <cellStyle name="Normal 5 3 4 5" xfId="9004" xr:uid="{00000000-0005-0000-0000-000031230000}"/>
    <cellStyle name="Normal 5 3 5" xfId="9005" xr:uid="{00000000-0005-0000-0000-000032230000}"/>
    <cellStyle name="Normal 5 3 5 2" xfId="9006" xr:uid="{00000000-0005-0000-0000-000033230000}"/>
    <cellStyle name="Normal 5 3 5 2 2" xfId="9007" xr:uid="{00000000-0005-0000-0000-000034230000}"/>
    <cellStyle name="Normal 5 3 5 3" xfId="9008" xr:uid="{00000000-0005-0000-0000-000035230000}"/>
    <cellStyle name="Normal 5 3 6" xfId="9009" xr:uid="{00000000-0005-0000-0000-000036230000}"/>
    <cellStyle name="Normal 5 3 6 2" xfId="9010" xr:uid="{00000000-0005-0000-0000-000037230000}"/>
    <cellStyle name="Normal 5 3 6 2 2" xfId="9011" xr:uid="{00000000-0005-0000-0000-000038230000}"/>
    <cellStyle name="Normal 5 3 6 3" xfId="9012" xr:uid="{00000000-0005-0000-0000-000039230000}"/>
    <cellStyle name="Normal 5 3 7" xfId="9013" xr:uid="{00000000-0005-0000-0000-00003A230000}"/>
    <cellStyle name="Normal 5 3 7 2" xfId="9014" xr:uid="{00000000-0005-0000-0000-00003B230000}"/>
    <cellStyle name="Normal 5 3 8" xfId="9015" xr:uid="{00000000-0005-0000-0000-00003C230000}"/>
    <cellStyle name="Normal 5 3 9" xfId="9016" xr:uid="{00000000-0005-0000-0000-00003D230000}"/>
    <cellStyle name="Normal 5 4" xfId="9017" xr:uid="{00000000-0005-0000-0000-00003E230000}"/>
    <cellStyle name="Normal 5 4 2" xfId="9018" xr:uid="{00000000-0005-0000-0000-00003F230000}"/>
    <cellStyle name="Normal 5 4 2 2" xfId="9019" xr:uid="{00000000-0005-0000-0000-000040230000}"/>
    <cellStyle name="Normal 5 4 2 2 2" xfId="9020" xr:uid="{00000000-0005-0000-0000-000041230000}"/>
    <cellStyle name="Normal 5 4 2 2 2 2" xfId="9021" xr:uid="{00000000-0005-0000-0000-000042230000}"/>
    <cellStyle name="Normal 5 4 2 2 2 2 2" xfId="9022" xr:uid="{00000000-0005-0000-0000-000043230000}"/>
    <cellStyle name="Normal 5 4 2 2 2 2 2 2" xfId="9023" xr:uid="{00000000-0005-0000-0000-000044230000}"/>
    <cellStyle name="Normal 5 4 2 2 2 2 3" xfId="9024" xr:uid="{00000000-0005-0000-0000-000045230000}"/>
    <cellStyle name="Normal 5 4 2 2 2 3" xfId="9025" xr:uid="{00000000-0005-0000-0000-000046230000}"/>
    <cellStyle name="Normal 5 4 2 2 2 3 2" xfId="9026" xr:uid="{00000000-0005-0000-0000-000047230000}"/>
    <cellStyle name="Normal 5 4 2 2 2 3 2 2" xfId="9027" xr:uid="{00000000-0005-0000-0000-000048230000}"/>
    <cellStyle name="Normal 5 4 2 2 2 3 3" xfId="9028" xr:uid="{00000000-0005-0000-0000-000049230000}"/>
    <cellStyle name="Normal 5 4 2 2 2 4" xfId="9029" xr:uid="{00000000-0005-0000-0000-00004A230000}"/>
    <cellStyle name="Normal 5 4 2 2 2 4 2" xfId="9030" xr:uid="{00000000-0005-0000-0000-00004B230000}"/>
    <cellStyle name="Normal 5 4 2 2 2 5" xfId="9031" xr:uid="{00000000-0005-0000-0000-00004C230000}"/>
    <cellStyle name="Normal 5 4 2 2 3" xfId="9032" xr:uid="{00000000-0005-0000-0000-00004D230000}"/>
    <cellStyle name="Normal 5 4 2 2 3 2" xfId="9033" xr:uid="{00000000-0005-0000-0000-00004E230000}"/>
    <cellStyle name="Normal 5 4 2 2 3 2 2" xfId="9034" xr:uid="{00000000-0005-0000-0000-00004F230000}"/>
    <cellStyle name="Normal 5 4 2 2 3 3" xfId="9035" xr:uid="{00000000-0005-0000-0000-000050230000}"/>
    <cellStyle name="Normal 5 4 2 2 4" xfId="9036" xr:uid="{00000000-0005-0000-0000-000051230000}"/>
    <cellStyle name="Normal 5 4 2 2 4 2" xfId="9037" xr:uid="{00000000-0005-0000-0000-000052230000}"/>
    <cellStyle name="Normal 5 4 2 2 4 2 2" xfId="9038" xr:uid="{00000000-0005-0000-0000-000053230000}"/>
    <cellStyle name="Normal 5 4 2 2 4 3" xfId="9039" xr:uid="{00000000-0005-0000-0000-000054230000}"/>
    <cellStyle name="Normal 5 4 2 2 5" xfId="9040" xr:uid="{00000000-0005-0000-0000-000055230000}"/>
    <cellStyle name="Normal 5 4 2 2 5 2" xfId="9041" xr:uid="{00000000-0005-0000-0000-000056230000}"/>
    <cellStyle name="Normal 5 4 2 2 6" xfId="9042" xr:uid="{00000000-0005-0000-0000-000057230000}"/>
    <cellStyle name="Normal 5 4 2 3" xfId="9043" xr:uid="{00000000-0005-0000-0000-000058230000}"/>
    <cellStyle name="Normal 5 4 2 3 2" xfId="9044" xr:uid="{00000000-0005-0000-0000-000059230000}"/>
    <cellStyle name="Normal 5 4 2 3 2 2" xfId="9045" xr:uid="{00000000-0005-0000-0000-00005A230000}"/>
    <cellStyle name="Normal 5 4 2 3 2 2 2" xfId="9046" xr:uid="{00000000-0005-0000-0000-00005B230000}"/>
    <cellStyle name="Normal 5 4 2 3 2 3" xfId="9047" xr:uid="{00000000-0005-0000-0000-00005C230000}"/>
    <cellStyle name="Normal 5 4 2 3 3" xfId="9048" xr:uid="{00000000-0005-0000-0000-00005D230000}"/>
    <cellStyle name="Normal 5 4 2 3 3 2" xfId="9049" xr:uid="{00000000-0005-0000-0000-00005E230000}"/>
    <cellStyle name="Normal 5 4 2 3 3 2 2" xfId="9050" xr:uid="{00000000-0005-0000-0000-00005F230000}"/>
    <cellStyle name="Normal 5 4 2 3 3 3" xfId="9051" xr:uid="{00000000-0005-0000-0000-000060230000}"/>
    <cellStyle name="Normal 5 4 2 3 4" xfId="9052" xr:uid="{00000000-0005-0000-0000-000061230000}"/>
    <cellStyle name="Normal 5 4 2 3 4 2" xfId="9053" xr:uid="{00000000-0005-0000-0000-000062230000}"/>
    <cellStyle name="Normal 5 4 2 3 5" xfId="9054" xr:uid="{00000000-0005-0000-0000-000063230000}"/>
    <cellStyle name="Normal 5 4 2 4" xfId="9055" xr:uid="{00000000-0005-0000-0000-000064230000}"/>
    <cellStyle name="Normal 5 4 2 4 2" xfId="9056" xr:uid="{00000000-0005-0000-0000-000065230000}"/>
    <cellStyle name="Normal 5 4 2 4 2 2" xfId="9057" xr:uid="{00000000-0005-0000-0000-000066230000}"/>
    <cellStyle name="Normal 5 4 2 4 3" xfId="9058" xr:uid="{00000000-0005-0000-0000-000067230000}"/>
    <cellStyle name="Normal 5 4 2 5" xfId="9059" xr:uid="{00000000-0005-0000-0000-000068230000}"/>
    <cellStyle name="Normal 5 4 2 5 2" xfId="9060" xr:uid="{00000000-0005-0000-0000-000069230000}"/>
    <cellStyle name="Normal 5 4 2 5 2 2" xfId="9061" xr:uid="{00000000-0005-0000-0000-00006A230000}"/>
    <cellStyle name="Normal 5 4 2 5 3" xfId="9062" xr:uid="{00000000-0005-0000-0000-00006B230000}"/>
    <cellStyle name="Normal 5 4 2 6" xfId="9063" xr:uid="{00000000-0005-0000-0000-00006C230000}"/>
    <cellStyle name="Normal 5 4 2 6 2" xfId="9064" xr:uid="{00000000-0005-0000-0000-00006D230000}"/>
    <cellStyle name="Normal 5 4 2 7" xfId="9065" xr:uid="{00000000-0005-0000-0000-00006E230000}"/>
    <cellStyle name="Normal 5 4 3" xfId="9066" xr:uid="{00000000-0005-0000-0000-00006F230000}"/>
    <cellStyle name="Normal 5 4 3 2" xfId="9067" xr:uid="{00000000-0005-0000-0000-000070230000}"/>
    <cellStyle name="Normal 5 4 3 2 2" xfId="9068" xr:uid="{00000000-0005-0000-0000-000071230000}"/>
    <cellStyle name="Normal 5 4 3 2 2 2" xfId="9069" xr:uid="{00000000-0005-0000-0000-000072230000}"/>
    <cellStyle name="Normal 5 4 3 2 2 2 2" xfId="9070" xr:uid="{00000000-0005-0000-0000-000073230000}"/>
    <cellStyle name="Normal 5 4 3 2 2 3" xfId="9071" xr:uid="{00000000-0005-0000-0000-000074230000}"/>
    <cellStyle name="Normal 5 4 3 2 3" xfId="9072" xr:uid="{00000000-0005-0000-0000-000075230000}"/>
    <cellStyle name="Normal 5 4 3 2 3 2" xfId="9073" xr:uid="{00000000-0005-0000-0000-000076230000}"/>
    <cellStyle name="Normal 5 4 3 2 3 2 2" xfId="9074" xr:uid="{00000000-0005-0000-0000-000077230000}"/>
    <cellStyle name="Normal 5 4 3 2 3 3" xfId="9075" xr:uid="{00000000-0005-0000-0000-000078230000}"/>
    <cellStyle name="Normal 5 4 3 2 4" xfId="9076" xr:uid="{00000000-0005-0000-0000-000079230000}"/>
    <cellStyle name="Normal 5 4 3 2 4 2" xfId="9077" xr:uid="{00000000-0005-0000-0000-00007A230000}"/>
    <cellStyle name="Normal 5 4 3 2 5" xfId="9078" xr:uid="{00000000-0005-0000-0000-00007B230000}"/>
    <cellStyle name="Normal 5 4 3 3" xfId="9079" xr:uid="{00000000-0005-0000-0000-00007C230000}"/>
    <cellStyle name="Normal 5 4 3 3 2" xfId="9080" xr:uid="{00000000-0005-0000-0000-00007D230000}"/>
    <cellStyle name="Normal 5 4 3 3 2 2" xfId="9081" xr:uid="{00000000-0005-0000-0000-00007E230000}"/>
    <cellStyle name="Normal 5 4 3 3 3" xfId="9082" xr:uid="{00000000-0005-0000-0000-00007F230000}"/>
    <cellStyle name="Normal 5 4 3 4" xfId="9083" xr:uid="{00000000-0005-0000-0000-000080230000}"/>
    <cellStyle name="Normal 5 4 3 4 2" xfId="9084" xr:uid="{00000000-0005-0000-0000-000081230000}"/>
    <cellStyle name="Normal 5 4 3 4 2 2" xfId="9085" xr:uid="{00000000-0005-0000-0000-000082230000}"/>
    <cellStyle name="Normal 5 4 3 4 3" xfId="9086" xr:uid="{00000000-0005-0000-0000-000083230000}"/>
    <cellStyle name="Normal 5 4 3 5" xfId="9087" xr:uid="{00000000-0005-0000-0000-000084230000}"/>
    <cellStyle name="Normal 5 4 3 5 2" xfId="9088" xr:uid="{00000000-0005-0000-0000-000085230000}"/>
    <cellStyle name="Normal 5 4 3 6" xfId="9089" xr:uid="{00000000-0005-0000-0000-000086230000}"/>
    <cellStyle name="Normal 5 4 4" xfId="9090" xr:uid="{00000000-0005-0000-0000-000087230000}"/>
    <cellStyle name="Normal 5 4 4 2" xfId="9091" xr:uid="{00000000-0005-0000-0000-000088230000}"/>
    <cellStyle name="Normal 5 4 4 2 2" xfId="9092" xr:uid="{00000000-0005-0000-0000-000089230000}"/>
    <cellStyle name="Normal 5 4 4 2 2 2" xfId="9093" xr:uid="{00000000-0005-0000-0000-00008A230000}"/>
    <cellStyle name="Normal 5 4 4 2 3" xfId="9094" xr:uid="{00000000-0005-0000-0000-00008B230000}"/>
    <cellStyle name="Normal 5 4 4 3" xfId="9095" xr:uid="{00000000-0005-0000-0000-00008C230000}"/>
    <cellStyle name="Normal 5 4 4 3 2" xfId="9096" xr:uid="{00000000-0005-0000-0000-00008D230000}"/>
    <cellStyle name="Normal 5 4 4 3 2 2" xfId="9097" xr:uid="{00000000-0005-0000-0000-00008E230000}"/>
    <cellStyle name="Normal 5 4 4 3 3" xfId="9098" xr:uid="{00000000-0005-0000-0000-00008F230000}"/>
    <cellStyle name="Normal 5 4 4 4" xfId="9099" xr:uid="{00000000-0005-0000-0000-000090230000}"/>
    <cellStyle name="Normal 5 4 4 4 2" xfId="9100" xr:uid="{00000000-0005-0000-0000-000091230000}"/>
    <cellStyle name="Normal 5 4 4 5" xfId="9101" xr:uid="{00000000-0005-0000-0000-000092230000}"/>
    <cellStyle name="Normal 5 4 5" xfId="9102" xr:uid="{00000000-0005-0000-0000-000093230000}"/>
    <cellStyle name="Normal 5 4 5 2" xfId="9103" xr:uid="{00000000-0005-0000-0000-000094230000}"/>
    <cellStyle name="Normal 5 4 5 2 2" xfId="9104" xr:uid="{00000000-0005-0000-0000-000095230000}"/>
    <cellStyle name="Normal 5 4 5 3" xfId="9105" xr:uid="{00000000-0005-0000-0000-000096230000}"/>
    <cellStyle name="Normal 5 4 6" xfId="9106" xr:uid="{00000000-0005-0000-0000-000097230000}"/>
    <cellStyle name="Normal 5 4 6 2" xfId="9107" xr:uid="{00000000-0005-0000-0000-000098230000}"/>
    <cellStyle name="Normal 5 4 6 2 2" xfId="9108" xr:uid="{00000000-0005-0000-0000-000099230000}"/>
    <cellStyle name="Normal 5 4 6 3" xfId="9109" xr:uid="{00000000-0005-0000-0000-00009A230000}"/>
    <cellStyle name="Normal 5 4 7" xfId="9110" xr:uid="{00000000-0005-0000-0000-00009B230000}"/>
    <cellStyle name="Normal 5 4 7 2" xfId="9111" xr:uid="{00000000-0005-0000-0000-00009C230000}"/>
    <cellStyle name="Normal 5 4 8" xfId="9112" xr:uid="{00000000-0005-0000-0000-00009D230000}"/>
    <cellStyle name="Normal 5 4 9" xfId="9113" xr:uid="{00000000-0005-0000-0000-00009E230000}"/>
    <cellStyle name="Normal 5 5" xfId="9114" xr:uid="{00000000-0005-0000-0000-00009F230000}"/>
    <cellStyle name="Normal 5 5 2" xfId="9115" xr:uid="{00000000-0005-0000-0000-0000A0230000}"/>
    <cellStyle name="Normal 5 5 2 2" xfId="9116" xr:uid="{00000000-0005-0000-0000-0000A1230000}"/>
    <cellStyle name="Normal 5 5 2 2 2" xfId="9117" xr:uid="{00000000-0005-0000-0000-0000A2230000}"/>
    <cellStyle name="Normal 5 5 2 2 2 2" xfId="9118" xr:uid="{00000000-0005-0000-0000-0000A3230000}"/>
    <cellStyle name="Normal 5 5 2 2 2 2 2" xfId="9119" xr:uid="{00000000-0005-0000-0000-0000A4230000}"/>
    <cellStyle name="Normal 5 5 2 2 2 3" xfId="9120" xr:uid="{00000000-0005-0000-0000-0000A5230000}"/>
    <cellStyle name="Normal 5 5 2 2 3" xfId="9121" xr:uid="{00000000-0005-0000-0000-0000A6230000}"/>
    <cellStyle name="Normal 5 5 2 2 3 2" xfId="9122" xr:uid="{00000000-0005-0000-0000-0000A7230000}"/>
    <cellStyle name="Normal 5 5 2 2 3 2 2" xfId="9123" xr:uid="{00000000-0005-0000-0000-0000A8230000}"/>
    <cellStyle name="Normal 5 5 2 2 3 3" xfId="9124" xr:uid="{00000000-0005-0000-0000-0000A9230000}"/>
    <cellStyle name="Normal 5 5 2 2 4" xfId="9125" xr:uid="{00000000-0005-0000-0000-0000AA230000}"/>
    <cellStyle name="Normal 5 5 2 2 4 2" xfId="9126" xr:uid="{00000000-0005-0000-0000-0000AB230000}"/>
    <cellStyle name="Normal 5 5 2 2 5" xfId="9127" xr:uid="{00000000-0005-0000-0000-0000AC230000}"/>
    <cellStyle name="Normal 5 5 2 3" xfId="9128" xr:uid="{00000000-0005-0000-0000-0000AD230000}"/>
    <cellStyle name="Normal 5 5 2 3 2" xfId="9129" xr:uid="{00000000-0005-0000-0000-0000AE230000}"/>
    <cellStyle name="Normal 5 5 2 3 2 2" xfId="9130" xr:uid="{00000000-0005-0000-0000-0000AF230000}"/>
    <cellStyle name="Normal 5 5 2 3 3" xfId="9131" xr:uid="{00000000-0005-0000-0000-0000B0230000}"/>
    <cellStyle name="Normal 5 5 2 4" xfId="9132" xr:uid="{00000000-0005-0000-0000-0000B1230000}"/>
    <cellStyle name="Normal 5 5 2 4 2" xfId="9133" xr:uid="{00000000-0005-0000-0000-0000B2230000}"/>
    <cellStyle name="Normal 5 5 2 4 2 2" xfId="9134" xr:uid="{00000000-0005-0000-0000-0000B3230000}"/>
    <cellStyle name="Normal 5 5 2 4 3" xfId="9135" xr:uid="{00000000-0005-0000-0000-0000B4230000}"/>
    <cellStyle name="Normal 5 5 2 5" xfId="9136" xr:uid="{00000000-0005-0000-0000-0000B5230000}"/>
    <cellStyle name="Normal 5 5 2 5 2" xfId="9137" xr:uid="{00000000-0005-0000-0000-0000B6230000}"/>
    <cellStyle name="Normal 5 5 2 6" xfId="9138" xr:uid="{00000000-0005-0000-0000-0000B7230000}"/>
    <cellStyle name="Normal 5 5 3" xfId="9139" xr:uid="{00000000-0005-0000-0000-0000B8230000}"/>
    <cellStyle name="Normal 5 5 3 2" xfId="9140" xr:uid="{00000000-0005-0000-0000-0000B9230000}"/>
    <cellStyle name="Normal 5 5 3 2 2" xfId="9141" xr:uid="{00000000-0005-0000-0000-0000BA230000}"/>
    <cellStyle name="Normal 5 5 3 2 2 2" xfId="9142" xr:uid="{00000000-0005-0000-0000-0000BB230000}"/>
    <cellStyle name="Normal 5 5 3 2 3" xfId="9143" xr:uid="{00000000-0005-0000-0000-0000BC230000}"/>
    <cellStyle name="Normal 5 5 3 3" xfId="9144" xr:uid="{00000000-0005-0000-0000-0000BD230000}"/>
    <cellStyle name="Normal 5 5 3 3 2" xfId="9145" xr:uid="{00000000-0005-0000-0000-0000BE230000}"/>
    <cellStyle name="Normal 5 5 3 3 2 2" xfId="9146" xr:uid="{00000000-0005-0000-0000-0000BF230000}"/>
    <cellStyle name="Normal 5 5 3 3 3" xfId="9147" xr:uid="{00000000-0005-0000-0000-0000C0230000}"/>
    <cellStyle name="Normal 5 5 3 4" xfId="9148" xr:uid="{00000000-0005-0000-0000-0000C1230000}"/>
    <cellStyle name="Normal 5 5 3 4 2" xfId="9149" xr:uid="{00000000-0005-0000-0000-0000C2230000}"/>
    <cellStyle name="Normal 5 5 3 5" xfId="9150" xr:uid="{00000000-0005-0000-0000-0000C3230000}"/>
    <cellStyle name="Normal 5 5 4" xfId="9151" xr:uid="{00000000-0005-0000-0000-0000C4230000}"/>
    <cellStyle name="Normal 5 5 4 2" xfId="9152" xr:uid="{00000000-0005-0000-0000-0000C5230000}"/>
    <cellStyle name="Normal 5 5 4 2 2" xfId="9153" xr:uid="{00000000-0005-0000-0000-0000C6230000}"/>
    <cellStyle name="Normal 5 5 4 3" xfId="9154" xr:uid="{00000000-0005-0000-0000-0000C7230000}"/>
    <cellStyle name="Normal 5 5 5" xfId="9155" xr:uid="{00000000-0005-0000-0000-0000C8230000}"/>
    <cellStyle name="Normal 5 5 5 2" xfId="9156" xr:uid="{00000000-0005-0000-0000-0000C9230000}"/>
    <cellStyle name="Normal 5 5 5 2 2" xfId="9157" xr:uid="{00000000-0005-0000-0000-0000CA230000}"/>
    <cellStyle name="Normal 5 5 5 3" xfId="9158" xr:uid="{00000000-0005-0000-0000-0000CB230000}"/>
    <cellStyle name="Normal 5 5 6" xfId="9159" xr:uid="{00000000-0005-0000-0000-0000CC230000}"/>
    <cellStyle name="Normal 5 5 6 2" xfId="9160" xr:uid="{00000000-0005-0000-0000-0000CD230000}"/>
    <cellStyle name="Normal 5 5 7" xfId="9161" xr:uid="{00000000-0005-0000-0000-0000CE230000}"/>
    <cellStyle name="Normal 5 6" xfId="9162" xr:uid="{00000000-0005-0000-0000-0000CF230000}"/>
    <cellStyle name="Normal 5 6 2" xfId="9163" xr:uid="{00000000-0005-0000-0000-0000D0230000}"/>
    <cellStyle name="Normal 5 6 2 2" xfId="9164" xr:uid="{00000000-0005-0000-0000-0000D1230000}"/>
    <cellStyle name="Normal 5 6 2 2 2" xfId="9165" xr:uid="{00000000-0005-0000-0000-0000D2230000}"/>
    <cellStyle name="Normal 5 6 2 2 2 2" xfId="9166" xr:uid="{00000000-0005-0000-0000-0000D3230000}"/>
    <cellStyle name="Normal 5 6 2 2 3" xfId="9167" xr:uid="{00000000-0005-0000-0000-0000D4230000}"/>
    <cellStyle name="Normal 5 6 2 3" xfId="9168" xr:uid="{00000000-0005-0000-0000-0000D5230000}"/>
    <cellStyle name="Normal 5 6 2 3 2" xfId="9169" xr:uid="{00000000-0005-0000-0000-0000D6230000}"/>
    <cellStyle name="Normal 5 6 2 3 2 2" xfId="9170" xr:uid="{00000000-0005-0000-0000-0000D7230000}"/>
    <cellStyle name="Normal 5 6 2 3 3" xfId="9171" xr:uid="{00000000-0005-0000-0000-0000D8230000}"/>
    <cellStyle name="Normal 5 6 2 4" xfId="9172" xr:uid="{00000000-0005-0000-0000-0000D9230000}"/>
    <cellStyle name="Normal 5 6 2 4 2" xfId="9173" xr:uid="{00000000-0005-0000-0000-0000DA230000}"/>
    <cellStyle name="Normal 5 6 2 5" xfId="9174" xr:uid="{00000000-0005-0000-0000-0000DB230000}"/>
    <cellStyle name="Normal 5 6 3" xfId="9175" xr:uid="{00000000-0005-0000-0000-0000DC230000}"/>
    <cellStyle name="Normal 5 6 3 2" xfId="9176" xr:uid="{00000000-0005-0000-0000-0000DD230000}"/>
    <cellStyle name="Normal 5 6 3 2 2" xfId="9177" xr:uid="{00000000-0005-0000-0000-0000DE230000}"/>
    <cellStyle name="Normal 5 6 3 3" xfId="9178" xr:uid="{00000000-0005-0000-0000-0000DF230000}"/>
    <cellStyle name="Normal 5 6 4" xfId="9179" xr:uid="{00000000-0005-0000-0000-0000E0230000}"/>
    <cellStyle name="Normal 5 6 4 2" xfId="9180" xr:uid="{00000000-0005-0000-0000-0000E1230000}"/>
    <cellStyle name="Normal 5 6 4 2 2" xfId="9181" xr:uid="{00000000-0005-0000-0000-0000E2230000}"/>
    <cellStyle name="Normal 5 6 4 3" xfId="9182" xr:uid="{00000000-0005-0000-0000-0000E3230000}"/>
    <cellStyle name="Normal 5 6 5" xfId="9183" xr:uid="{00000000-0005-0000-0000-0000E4230000}"/>
    <cellStyle name="Normal 5 6 5 2" xfId="9184" xr:uid="{00000000-0005-0000-0000-0000E5230000}"/>
    <cellStyle name="Normal 5 6 6" xfId="9185" xr:uid="{00000000-0005-0000-0000-0000E6230000}"/>
    <cellStyle name="Normal 5 7" xfId="9186" xr:uid="{00000000-0005-0000-0000-0000E7230000}"/>
    <cellStyle name="Normal 5 7 2" xfId="9187" xr:uid="{00000000-0005-0000-0000-0000E8230000}"/>
    <cellStyle name="Normal 5 7 2 2" xfId="9188" xr:uid="{00000000-0005-0000-0000-0000E9230000}"/>
    <cellStyle name="Normal 5 7 2 2 2" xfId="9189" xr:uid="{00000000-0005-0000-0000-0000EA230000}"/>
    <cellStyle name="Normal 5 7 2 3" xfId="9190" xr:uid="{00000000-0005-0000-0000-0000EB230000}"/>
    <cellStyle name="Normal 5 7 3" xfId="9191" xr:uid="{00000000-0005-0000-0000-0000EC230000}"/>
    <cellStyle name="Normal 5 7 3 2" xfId="9192" xr:uid="{00000000-0005-0000-0000-0000ED230000}"/>
    <cellStyle name="Normal 5 7 3 2 2" xfId="9193" xr:uid="{00000000-0005-0000-0000-0000EE230000}"/>
    <cellStyle name="Normal 5 7 3 3" xfId="9194" xr:uid="{00000000-0005-0000-0000-0000EF230000}"/>
    <cellStyle name="Normal 5 7 4" xfId="9195" xr:uid="{00000000-0005-0000-0000-0000F0230000}"/>
    <cellStyle name="Normal 5 7 4 2" xfId="9196" xr:uid="{00000000-0005-0000-0000-0000F1230000}"/>
    <cellStyle name="Normal 5 7 5" xfId="9197" xr:uid="{00000000-0005-0000-0000-0000F2230000}"/>
    <cellStyle name="Normal 5 8" xfId="9198" xr:uid="{00000000-0005-0000-0000-0000F3230000}"/>
    <cellStyle name="Normal 5 8 2" xfId="9199" xr:uid="{00000000-0005-0000-0000-0000F4230000}"/>
    <cellStyle name="Normal 5 8 2 2" xfId="9200" xr:uid="{00000000-0005-0000-0000-0000F5230000}"/>
    <cellStyle name="Normal 5 8 3" xfId="9201" xr:uid="{00000000-0005-0000-0000-0000F6230000}"/>
    <cellStyle name="Normal 5 9" xfId="9202" xr:uid="{00000000-0005-0000-0000-0000F7230000}"/>
    <cellStyle name="Normal 5 9 2" xfId="9203" xr:uid="{00000000-0005-0000-0000-0000F8230000}"/>
    <cellStyle name="Normal 5 9 2 2" xfId="9204" xr:uid="{00000000-0005-0000-0000-0000F9230000}"/>
    <cellStyle name="Normal 5 9 3" xfId="9205" xr:uid="{00000000-0005-0000-0000-0000FA230000}"/>
    <cellStyle name="Normal 5_10051" xfId="9206" xr:uid="{00000000-0005-0000-0000-0000FB230000}"/>
    <cellStyle name="Normal 50" xfId="9207" xr:uid="{00000000-0005-0000-0000-0000FC230000}"/>
    <cellStyle name="Normal 50 2" xfId="9208" xr:uid="{00000000-0005-0000-0000-0000FD230000}"/>
    <cellStyle name="Normal 50 2 2" xfId="9209" xr:uid="{00000000-0005-0000-0000-0000FE230000}"/>
    <cellStyle name="Normal 50 2 2 2" xfId="9210" xr:uid="{00000000-0005-0000-0000-0000FF230000}"/>
    <cellStyle name="Normal 50 2 2 2 2" xfId="9211" xr:uid="{00000000-0005-0000-0000-000000240000}"/>
    <cellStyle name="Normal 50 2 2 2 2 2" xfId="9212" xr:uid="{00000000-0005-0000-0000-000001240000}"/>
    <cellStyle name="Normal 50 2 2 2 2 2 2" xfId="9213" xr:uid="{00000000-0005-0000-0000-000002240000}"/>
    <cellStyle name="Normal 50 2 2 2 2 3" xfId="9214" xr:uid="{00000000-0005-0000-0000-000003240000}"/>
    <cellStyle name="Normal 50 2 2 2 3" xfId="9215" xr:uid="{00000000-0005-0000-0000-000004240000}"/>
    <cellStyle name="Normal 50 2 2 2 3 2" xfId="9216" xr:uid="{00000000-0005-0000-0000-000005240000}"/>
    <cellStyle name="Normal 50 2 2 2 3 2 2" xfId="9217" xr:uid="{00000000-0005-0000-0000-000006240000}"/>
    <cellStyle name="Normal 50 2 2 2 3 3" xfId="9218" xr:uid="{00000000-0005-0000-0000-000007240000}"/>
    <cellStyle name="Normal 50 2 2 2 4" xfId="9219" xr:uid="{00000000-0005-0000-0000-000008240000}"/>
    <cellStyle name="Normal 50 2 2 2 4 2" xfId="9220" xr:uid="{00000000-0005-0000-0000-000009240000}"/>
    <cellStyle name="Normal 50 2 2 2 5" xfId="9221" xr:uid="{00000000-0005-0000-0000-00000A240000}"/>
    <cellStyle name="Normal 50 2 2 3" xfId="9222" xr:uid="{00000000-0005-0000-0000-00000B240000}"/>
    <cellStyle name="Normal 50 2 2 3 2" xfId="9223" xr:uid="{00000000-0005-0000-0000-00000C240000}"/>
    <cellStyle name="Normal 50 2 2 3 2 2" xfId="9224" xr:uid="{00000000-0005-0000-0000-00000D240000}"/>
    <cellStyle name="Normal 50 2 2 3 3" xfId="9225" xr:uid="{00000000-0005-0000-0000-00000E240000}"/>
    <cellStyle name="Normal 50 2 2 4" xfId="9226" xr:uid="{00000000-0005-0000-0000-00000F240000}"/>
    <cellStyle name="Normal 50 2 2 4 2" xfId="9227" xr:uid="{00000000-0005-0000-0000-000010240000}"/>
    <cellStyle name="Normal 50 2 2 4 2 2" xfId="9228" xr:uid="{00000000-0005-0000-0000-000011240000}"/>
    <cellStyle name="Normal 50 2 2 4 3" xfId="9229" xr:uid="{00000000-0005-0000-0000-000012240000}"/>
    <cellStyle name="Normal 50 2 2 5" xfId="9230" xr:uid="{00000000-0005-0000-0000-000013240000}"/>
    <cellStyle name="Normal 50 2 2 5 2" xfId="9231" xr:uid="{00000000-0005-0000-0000-000014240000}"/>
    <cellStyle name="Normal 50 2 2 6" xfId="9232" xr:uid="{00000000-0005-0000-0000-000015240000}"/>
    <cellStyle name="Normal 50 2 3" xfId="9233" xr:uid="{00000000-0005-0000-0000-000016240000}"/>
    <cellStyle name="Normal 50 2 3 2" xfId="9234" xr:uid="{00000000-0005-0000-0000-000017240000}"/>
    <cellStyle name="Normal 50 2 3 2 2" xfId="9235" xr:uid="{00000000-0005-0000-0000-000018240000}"/>
    <cellStyle name="Normal 50 2 3 2 2 2" xfId="9236" xr:uid="{00000000-0005-0000-0000-000019240000}"/>
    <cellStyle name="Normal 50 2 3 2 3" xfId="9237" xr:uid="{00000000-0005-0000-0000-00001A240000}"/>
    <cellStyle name="Normal 50 2 3 3" xfId="9238" xr:uid="{00000000-0005-0000-0000-00001B240000}"/>
    <cellStyle name="Normal 50 2 3 3 2" xfId="9239" xr:uid="{00000000-0005-0000-0000-00001C240000}"/>
    <cellStyle name="Normal 50 2 3 3 2 2" xfId="9240" xr:uid="{00000000-0005-0000-0000-00001D240000}"/>
    <cellStyle name="Normal 50 2 3 3 3" xfId="9241" xr:uid="{00000000-0005-0000-0000-00001E240000}"/>
    <cellStyle name="Normal 50 2 3 4" xfId="9242" xr:uid="{00000000-0005-0000-0000-00001F240000}"/>
    <cellStyle name="Normal 50 2 3 4 2" xfId="9243" xr:uid="{00000000-0005-0000-0000-000020240000}"/>
    <cellStyle name="Normal 50 2 3 5" xfId="9244" xr:uid="{00000000-0005-0000-0000-000021240000}"/>
    <cellStyle name="Normal 50 2 4" xfId="9245" xr:uid="{00000000-0005-0000-0000-000022240000}"/>
    <cellStyle name="Normal 50 2 4 2" xfId="9246" xr:uid="{00000000-0005-0000-0000-000023240000}"/>
    <cellStyle name="Normal 50 2 4 2 2" xfId="9247" xr:uid="{00000000-0005-0000-0000-000024240000}"/>
    <cellStyle name="Normal 50 2 4 3" xfId="9248" xr:uid="{00000000-0005-0000-0000-000025240000}"/>
    <cellStyle name="Normal 50 2 5" xfId="9249" xr:uid="{00000000-0005-0000-0000-000026240000}"/>
    <cellStyle name="Normal 50 2 5 2" xfId="9250" xr:uid="{00000000-0005-0000-0000-000027240000}"/>
    <cellStyle name="Normal 50 2 5 2 2" xfId="9251" xr:uid="{00000000-0005-0000-0000-000028240000}"/>
    <cellStyle name="Normal 50 2 5 3" xfId="9252" xr:uid="{00000000-0005-0000-0000-000029240000}"/>
    <cellStyle name="Normal 50 2 6" xfId="9253" xr:uid="{00000000-0005-0000-0000-00002A240000}"/>
    <cellStyle name="Normal 50 2 6 2" xfId="9254" xr:uid="{00000000-0005-0000-0000-00002B240000}"/>
    <cellStyle name="Normal 50 2 7" xfId="9255" xr:uid="{00000000-0005-0000-0000-00002C240000}"/>
    <cellStyle name="Normal 50 3" xfId="9256" xr:uid="{00000000-0005-0000-0000-00002D240000}"/>
    <cellStyle name="Normal 50 3 2" xfId="9257" xr:uid="{00000000-0005-0000-0000-00002E240000}"/>
    <cellStyle name="Normal 50 3 2 2" xfId="9258" xr:uid="{00000000-0005-0000-0000-00002F240000}"/>
    <cellStyle name="Normal 50 3 2 2 2" xfId="9259" xr:uid="{00000000-0005-0000-0000-000030240000}"/>
    <cellStyle name="Normal 50 3 2 2 2 2" xfId="9260" xr:uid="{00000000-0005-0000-0000-000031240000}"/>
    <cellStyle name="Normal 50 3 2 2 3" xfId="9261" xr:uid="{00000000-0005-0000-0000-000032240000}"/>
    <cellStyle name="Normal 50 3 2 3" xfId="9262" xr:uid="{00000000-0005-0000-0000-000033240000}"/>
    <cellStyle name="Normal 50 3 2 3 2" xfId="9263" xr:uid="{00000000-0005-0000-0000-000034240000}"/>
    <cellStyle name="Normal 50 3 2 3 2 2" xfId="9264" xr:uid="{00000000-0005-0000-0000-000035240000}"/>
    <cellStyle name="Normal 50 3 2 3 3" xfId="9265" xr:uid="{00000000-0005-0000-0000-000036240000}"/>
    <cellStyle name="Normal 50 3 2 4" xfId="9266" xr:uid="{00000000-0005-0000-0000-000037240000}"/>
    <cellStyle name="Normal 50 3 2 4 2" xfId="9267" xr:uid="{00000000-0005-0000-0000-000038240000}"/>
    <cellStyle name="Normal 50 3 2 5" xfId="9268" xr:uid="{00000000-0005-0000-0000-000039240000}"/>
    <cellStyle name="Normal 50 3 3" xfId="9269" xr:uid="{00000000-0005-0000-0000-00003A240000}"/>
    <cellStyle name="Normal 50 3 3 2" xfId="9270" xr:uid="{00000000-0005-0000-0000-00003B240000}"/>
    <cellStyle name="Normal 50 3 3 2 2" xfId="9271" xr:uid="{00000000-0005-0000-0000-00003C240000}"/>
    <cellStyle name="Normal 50 3 3 3" xfId="9272" xr:uid="{00000000-0005-0000-0000-00003D240000}"/>
    <cellStyle name="Normal 50 3 4" xfId="9273" xr:uid="{00000000-0005-0000-0000-00003E240000}"/>
    <cellStyle name="Normal 50 3 4 2" xfId="9274" xr:uid="{00000000-0005-0000-0000-00003F240000}"/>
    <cellStyle name="Normal 50 3 4 2 2" xfId="9275" xr:uid="{00000000-0005-0000-0000-000040240000}"/>
    <cellStyle name="Normal 50 3 4 3" xfId="9276" xr:uid="{00000000-0005-0000-0000-000041240000}"/>
    <cellStyle name="Normal 50 3 5" xfId="9277" xr:uid="{00000000-0005-0000-0000-000042240000}"/>
    <cellStyle name="Normal 50 3 5 2" xfId="9278" xr:uid="{00000000-0005-0000-0000-000043240000}"/>
    <cellStyle name="Normal 50 3 6" xfId="9279" xr:uid="{00000000-0005-0000-0000-000044240000}"/>
    <cellStyle name="Normal 50 4" xfId="9280" xr:uid="{00000000-0005-0000-0000-000045240000}"/>
    <cellStyle name="Normal 50 4 2" xfId="9281" xr:uid="{00000000-0005-0000-0000-000046240000}"/>
    <cellStyle name="Normal 50 4 2 2" xfId="9282" xr:uid="{00000000-0005-0000-0000-000047240000}"/>
    <cellStyle name="Normal 50 4 2 2 2" xfId="9283" xr:uid="{00000000-0005-0000-0000-000048240000}"/>
    <cellStyle name="Normal 50 4 2 3" xfId="9284" xr:uid="{00000000-0005-0000-0000-000049240000}"/>
    <cellStyle name="Normal 50 4 3" xfId="9285" xr:uid="{00000000-0005-0000-0000-00004A240000}"/>
    <cellStyle name="Normal 50 4 3 2" xfId="9286" xr:uid="{00000000-0005-0000-0000-00004B240000}"/>
    <cellStyle name="Normal 50 4 3 2 2" xfId="9287" xr:uid="{00000000-0005-0000-0000-00004C240000}"/>
    <cellStyle name="Normal 50 4 3 3" xfId="9288" xr:uid="{00000000-0005-0000-0000-00004D240000}"/>
    <cellStyle name="Normal 50 4 4" xfId="9289" xr:uid="{00000000-0005-0000-0000-00004E240000}"/>
    <cellStyle name="Normal 50 4 4 2" xfId="9290" xr:uid="{00000000-0005-0000-0000-00004F240000}"/>
    <cellStyle name="Normal 50 4 5" xfId="9291" xr:uid="{00000000-0005-0000-0000-000050240000}"/>
    <cellStyle name="Normal 50 5" xfId="9292" xr:uid="{00000000-0005-0000-0000-000051240000}"/>
    <cellStyle name="Normal 50 5 2" xfId="9293" xr:uid="{00000000-0005-0000-0000-000052240000}"/>
    <cellStyle name="Normal 50 5 2 2" xfId="9294" xr:uid="{00000000-0005-0000-0000-000053240000}"/>
    <cellStyle name="Normal 50 5 3" xfId="9295" xr:uid="{00000000-0005-0000-0000-000054240000}"/>
    <cellStyle name="Normal 50 6" xfId="9296" xr:uid="{00000000-0005-0000-0000-000055240000}"/>
    <cellStyle name="Normal 50 6 2" xfId="9297" xr:uid="{00000000-0005-0000-0000-000056240000}"/>
    <cellStyle name="Normal 50 6 2 2" xfId="9298" xr:uid="{00000000-0005-0000-0000-000057240000}"/>
    <cellStyle name="Normal 50 6 3" xfId="9299" xr:uid="{00000000-0005-0000-0000-000058240000}"/>
    <cellStyle name="Normal 50 7" xfId="9300" xr:uid="{00000000-0005-0000-0000-000059240000}"/>
    <cellStyle name="Normal 50 7 2" xfId="9301" xr:uid="{00000000-0005-0000-0000-00005A240000}"/>
    <cellStyle name="Normal 50 8" xfId="9302" xr:uid="{00000000-0005-0000-0000-00005B240000}"/>
    <cellStyle name="Normal 50 9" xfId="9303" xr:uid="{00000000-0005-0000-0000-00005C240000}"/>
    <cellStyle name="Normal 51" xfId="9304" xr:uid="{00000000-0005-0000-0000-00005D240000}"/>
    <cellStyle name="Normal 51 2" xfId="9305" xr:uid="{00000000-0005-0000-0000-00005E240000}"/>
    <cellStyle name="Normal 51 2 2" xfId="9306" xr:uid="{00000000-0005-0000-0000-00005F240000}"/>
    <cellStyle name="Normal 51 2 2 2" xfId="9307" xr:uid="{00000000-0005-0000-0000-000060240000}"/>
    <cellStyle name="Normal 51 2 2 2 2" xfId="9308" xr:uid="{00000000-0005-0000-0000-000061240000}"/>
    <cellStyle name="Normal 51 2 2 2 2 2" xfId="9309" xr:uid="{00000000-0005-0000-0000-000062240000}"/>
    <cellStyle name="Normal 51 2 2 2 2 2 2" xfId="9310" xr:uid="{00000000-0005-0000-0000-000063240000}"/>
    <cellStyle name="Normal 51 2 2 2 2 3" xfId="9311" xr:uid="{00000000-0005-0000-0000-000064240000}"/>
    <cellStyle name="Normal 51 2 2 2 3" xfId="9312" xr:uid="{00000000-0005-0000-0000-000065240000}"/>
    <cellStyle name="Normal 51 2 2 2 3 2" xfId="9313" xr:uid="{00000000-0005-0000-0000-000066240000}"/>
    <cellStyle name="Normal 51 2 2 2 3 2 2" xfId="9314" xr:uid="{00000000-0005-0000-0000-000067240000}"/>
    <cellStyle name="Normal 51 2 2 2 3 3" xfId="9315" xr:uid="{00000000-0005-0000-0000-000068240000}"/>
    <cellStyle name="Normal 51 2 2 2 4" xfId="9316" xr:uid="{00000000-0005-0000-0000-000069240000}"/>
    <cellStyle name="Normal 51 2 2 2 4 2" xfId="9317" xr:uid="{00000000-0005-0000-0000-00006A240000}"/>
    <cellStyle name="Normal 51 2 2 2 5" xfId="9318" xr:uid="{00000000-0005-0000-0000-00006B240000}"/>
    <cellStyle name="Normal 51 2 2 3" xfId="9319" xr:uid="{00000000-0005-0000-0000-00006C240000}"/>
    <cellStyle name="Normal 51 2 2 3 2" xfId="9320" xr:uid="{00000000-0005-0000-0000-00006D240000}"/>
    <cellStyle name="Normal 51 2 2 3 2 2" xfId="9321" xr:uid="{00000000-0005-0000-0000-00006E240000}"/>
    <cellStyle name="Normal 51 2 2 3 3" xfId="9322" xr:uid="{00000000-0005-0000-0000-00006F240000}"/>
    <cellStyle name="Normal 51 2 2 4" xfId="9323" xr:uid="{00000000-0005-0000-0000-000070240000}"/>
    <cellStyle name="Normal 51 2 2 4 2" xfId="9324" xr:uid="{00000000-0005-0000-0000-000071240000}"/>
    <cellStyle name="Normal 51 2 2 4 2 2" xfId="9325" xr:uid="{00000000-0005-0000-0000-000072240000}"/>
    <cellStyle name="Normal 51 2 2 4 3" xfId="9326" xr:uid="{00000000-0005-0000-0000-000073240000}"/>
    <cellStyle name="Normal 51 2 2 5" xfId="9327" xr:uid="{00000000-0005-0000-0000-000074240000}"/>
    <cellStyle name="Normal 51 2 2 5 2" xfId="9328" xr:uid="{00000000-0005-0000-0000-000075240000}"/>
    <cellStyle name="Normal 51 2 2 6" xfId="9329" xr:uid="{00000000-0005-0000-0000-000076240000}"/>
    <cellStyle name="Normal 51 2 3" xfId="9330" xr:uid="{00000000-0005-0000-0000-000077240000}"/>
    <cellStyle name="Normal 51 2 3 2" xfId="9331" xr:uid="{00000000-0005-0000-0000-000078240000}"/>
    <cellStyle name="Normal 51 2 3 2 2" xfId="9332" xr:uid="{00000000-0005-0000-0000-000079240000}"/>
    <cellStyle name="Normal 51 2 3 2 2 2" xfId="9333" xr:uid="{00000000-0005-0000-0000-00007A240000}"/>
    <cellStyle name="Normal 51 2 3 2 3" xfId="9334" xr:uid="{00000000-0005-0000-0000-00007B240000}"/>
    <cellStyle name="Normal 51 2 3 3" xfId="9335" xr:uid="{00000000-0005-0000-0000-00007C240000}"/>
    <cellStyle name="Normal 51 2 3 3 2" xfId="9336" xr:uid="{00000000-0005-0000-0000-00007D240000}"/>
    <cellStyle name="Normal 51 2 3 3 2 2" xfId="9337" xr:uid="{00000000-0005-0000-0000-00007E240000}"/>
    <cellStyle name="Normal 51 2 3 3 3" xfId="9338" xr:uid="{00000000-0005-0000-0000-00007F240000}"/>
    <cellStyle name="Normal 51 2 3 4" xfId="9339" xr:uid="{00000000-0005-0000-0000-000080240000}"/>
    <cellStyle name="Normal 51 2 3 4 2" xfId="9340" xr:uid="{00000000-0005-0000-0000-000081240000}"/>
    <cellStyle name="Normal 51 2 3 5" xfId="9341" xr:uid="{00000000-0005-0000-0000-000082240000}"/>
    <cellStyle name="Normal 51 2 4" xfId="9342" xr:uid="{00000000-0005-0000-0000-000083240000}"/>
    <cellStyle name="Normal 51 2 4 2" xfId="9343" xr:uid="{00000000-0005-0000-0000-000084240000}"/>
    <cellStyle name="Normal 51 2 4 2 2" xfId="9344" xr:uid="{00000000-0005-0000-0000-000085240000}"/>
    <cellStyle name="Normal 51 2 4 3" xfId="9345" xr:uid="{00000000-0005-0000-0000-000086240000}"/>
    <cellStyle name="Normal 51 2 5" xfId="9346" xr:uid="{00000000-0005-0000-0000-000087240000}"/>
    <cellStyle name="Normal 51 2 5 2" xfId="9347" xr:uid="{00000000-0005-0000-0000-000088240000}"/>
    <cellStyle name="Normal 51 2 5 2 2" xfId="9348" xr:uid="{00000000-0005-0000-0000-000089240000}"/>
    <cellStyle name="Normal 51 2 5 3" xfId="9349" xr:uid="{00000000-0005-0000-0000-00008A240000}"/>
    <cellStyle name="Normal 51 2 6" xfId="9350" xr:uid="{00000000-0005-0000-0000-00008B240000}"/>
    <cellStyle name="Normal 51 2 6 2" xfId="9351" xr:uid="{00000000-0005-0000-0000-00008C240000}"/>
    <cellStyle name="Normal 51 2 7" xfId="9352" xr:uid="{00000000-0005-0000-0000-00008D240000}"/>
    <cellStyle name="Normal 51 3" xfId="9353" xr:uid="{00000000-0005-0000-0000-00008E240000}"/>
    <cellStyle name="Normal 51 3 2" xfId="9354" xr:uid="{00000000-0005-0000-0000-00008F240000}"/>
    <cellStyle name="Normal 51 3 2 2" xfId="9355" xr:uid="{00000000-0005-0000-0000-000090240000}"/>
    <cellStyle name="Normal 51 3 2 2 2" xfId="9356" xr:uid="{00000000-0005-0000-0000-000091240000}"/>
    <cellStyle name="Normal 51 3 2 2 2 2" xfId="9357" xr:uid="{00000000-0005-0000-0000-000092240000}"/>
    <cellStyle name="Normal 51 3 2 2 3" xfId="9358" xr:uid="{00000000-0005-0000-0000-000093240000}"/>
    <cellStyle name="Normal 51 3 2 3" xfId="9359" xr:uid="{00000000-0005-0000-0000-000094240000}"/>
    <cellStyle name="Normal 51 3 2 3 2" xfId="9360" xr:uid="{00000000-0005-0000-0000-000095240000}"/>
    <cellStyle name="Normal 51 3 2 3 2 2" xfId="9361" xr:uid="{00000000-0005-0000-0000-000096240000}"/>
    <cellStyle name="Normal 51 3 2 3 3" xfId="9362" xr:uid="{00000000-0005-0000-0000-000097240000}"/>
    <cellStyle name="Normal 51 3 2 4" xfId="9363" xr:uid="{00000000-0005-0000-0000-000098240000}"/>
    <cellStyle name="Normal 51 3 2 4 2" xfId="9364" xr:uid="{00000000-0005-0000-0000-000099240000}"/>
    <cellStyle name="Normal 51 3 2 5" xfId="9365" xr:uid="{00000000-0005-0000-0000-00009A240000}"/>
    <cellStyle name="Normal 51 3 3" xfId="9366" xr:uid="{00000000-0005-0000-0000-00009B240000}"/>
    <cellStyle name="Normal 51 3 3 2" xfId="9367" xr:uid="{00000000-0005-0000-0000-00009C240000}"/>
    <cellStyle name="Normal 51 3 3 2 2" xfId="9368" xr:uid="{00000000-0005-0000-0000-00009D240000}"/>
    <cellStyle name="Normal 51 3 3 3" xfId="9369" xr:uid="{00000000-0005-0000-0000-00009E240000}"/>
    <cellStyle name="Normal 51 3 4" xfId="9370" xr:uid="{00000000-0005-0000-0000-00009F240000}"/>
    <cellStyle name="Normal 51 3 4 2" xfId="9371" xr:uid="{00000000-0005-0000-0000-0000A0240000}"/>
    <cellStyle name="Normal 51 3 4 2 2" xfId="9372" xr:uid="{00000000-0005-0000-0000-0000A1240000}"/>
    <cellStyle name="Normal 51 3 4 3" xfId="9373" xr:uid="{00000000-0005-0000-0000-0000A2240000}"/>
    <cellStyle name="Normal 51 3 5" xfId="9374" xr:uid="{00000000-0005-0000-0000-0000A3240000}"/>
    <cellStyle name="Normal 51 3 5 2" xfId="9375" xr:uid="{00000000-0005-0000-0000-0000A4240000}"/>
    <cellStyle name="Normal 51 3 6" xfId="9376" xr:uid="{00000000-0005-0000-0000-0000A5240000}"/>
    <cellStyle name="Normal 51 4" xfId="9377" xr:uid="{00000000-0005-0000-0000-0000A6240000}"/>
    <cellStyle name="Normal 51 4 2" xfId="9378" xr:uid="{00000000-0005-0000-0000-0000A7240000}"/>
    <cellStyle name="Normal 51 4 2 2" xfId="9379" xr:uid="{00000000-0005-0000-0000-0000A8240000}"/>
    <cellStyle name="Normal 51 4 2 2 2" xfId="9380" xr:uid="{00000000-0005-0000-0000-0000A9240000}"/>
    <cellStyle name="Normal 51 4 2 3" xfId="9381" xr:uid="{00000000-0005-0000-0000-0000AA240000}"/>
    <cellStyle name="Normal 51 4 3" xfId="9382" xr:uid="{00000000-0005-0000-0000-0000AB240000}"/>
    <cellStyle name="Normal 51 4 3 2" xfId="9383" xr:uid="{00000000-0005-0000-0000-0000AC240000}"/>
    <cellStyle name="Normal 51 4 3 2 2" xfId="9384" xr:uid="{00000000-0005-0000-0000-0000AD240000}"/>
    <cellStyle name="Normal 51 4 3 3" xfId="9385" xr:uid="{00000000-0005-0000-0000-0000AE240000}"/>
    <cellStyle name="Normal 51 4 4" xfId="9386" xr:uid="{00000000-0005-0000-0000-0000AF240000}"/>
    <cellStyle name="Normal 51 4 4 2" xfId="9387" xr:uid="{00000000-0005-0000-0000-0000B0240000}"/>
    <cellStyle name="Normal 51 4 5" xfId="9388" xr:uid="{00000000-0005-0000-0000-0000B1240000}"/>
    <cellStyle name="Normal 51 5" xfId="9389" xr:uid="{00000000-0005-0000-0000-0000B2240000}"/>
    <cellStyle name="Normal 51 5 2" xfId="9390" xr:uid="{00000000-0005-0000-0000-0000B3240000}"/>
    <cellStyle name="Normal 51 5 2 2" xfId="9391" xr:uid="{00000000-0005-0000-0000-0000B4240000}"/>
    <cellStyle name="Normal 51 5 3" xfId="9392" xr:uid="{00000000-0005-0000-0000-0000B5240000}"/>
    <cellStyle name="Normal 51 6" xfId="9393" xr:uid="{00000000-0005-0000-0000-0000B6240000}"/>
    <cellStyle name="Normal 51 6 2" xfId="9394" xr:uid="{00000000-0005-0000-0000-0000B7240000}"/>
    <cellStyle name="Normal 51 6 2 2" xfId="9395" xr:uid="{00000000-0005-0000-0000-0000B8240000}"/>
    <cellStyle name="Normal 51 6 3" xfId="9396" xr:uid="{00000000-0005-0000-0000-0000B9240000}"/>
    <cellStyle name="Normal 51 7" xfId="9397" xr:uid="{00000000-0005-0000-0000-0000BA240000}"/>
    <cellStyle name="Normal 51 7 2" xfId="9398" xr:uid="{00000000-0005-0000-0000-0000BB240000}"/>
    <cellStyle name="Normal 51 8" xfId="9399" xr:uid="{00000000-0005-0000-0000-0000BC240000}"/>
    <cellStyle name="Normal 51 9" xfId="9400" xr:uid="{00000000-0005-0000-0000-0000BD240000}"/>
    <cellStyle name="Normal 52" xfId="9401" xr:uid="{00000000-0005-0000-0000-0000BE240000}"/>
    <cellStyle name="Normal 52 2" xfId="9402" xr:uid="{00000000-0005-0000-0000-0000BF240000}"/>
    <cellStyle name="Normal 52 2 2" xfId="9403" xr:uid="{00000000-0005-0000-0000-0000C0240000}"/>
    <cellStyle name="Normal 52 2 2 2" xfId="9404" xr:uid="{00000000-0005-0000-0000-0000C1240000}"/>
    <cellStyle name="Normal 52 2 2 2 2" xfId="9405" xr:uid="{00000000-0005-0000-0000-0000C2240000}"/>
    <cellStyle name="Normal 52 2 2 2 2 2" xfId="9406" xr:uid="{00000000-0005-0000-0000-0000C3240000}"/>
    <cellStyle name="Normal 52 2 2 2 2 2 2" xfId="9407" xr:uid="{00000000-0005-0000-0000-0000C4240000}"/>
    <cellStyle name="Normal 52 2 2 2 2 3" xfId="9408" xr:uid="{00000000-0005-0000-0000-0000C5240000}"/>
    <cellStyle name="Normal 52 2 2 2 3" xfId="9409" xr:uid="{00000000-0005-0000-0000-0000C6240000}"/>
    <cellStyle name="Normal 52 2 2 2 3 2" xfId="9410" xr:uid="{00000000-0005-0000-0000-0000C7240000}"/>
    <cellStyle name="Normal 52 2 2 2 3 2 2" xfId="9411" xr:uid="{00000000-0005-0000-0000-0000C8240000}"/>
    <cellStyle name="Normal 52 2 2 2 3 3" xfId="9412" xr:uid="{00000000-0005-0000-0000-0000C9240000}"/>
    <cellStyle name="Normal 52 2 2 2 4" xfId="9413" xr:uid="{00000000-0005-0000-0000-0000CA240000}"/>
    <cellStyle name="Normal 52 2 2 2 4 2" xfId="9414" xr:uid="{00000000-0005-0000-0000-0000CB240000}"/>
    <cellStyle name="Normal 52 2 2 2 5" xfId="9415" xr:uid="{00000000-0005-0000-0000-0000CC240000}"/>
    <cellStyle name="Normal 52 2 2 3" xfId="9416" xr:uid="{00000000-0005-0000-0000-0000CD240000}"/>
    <cellStyle name="Normal 52 2 2 3 2" xfId="9417" xr:uid="{00000000-0005-0000-0000-0000CE240000}"/>
    <cellStyle name="Normal 52 2 2 3 2 2" xfId="9418" xr:uid="{00000000-0005-0000-0000-0000CF240000}"/>
    <cellStyle name="Normal 52 2 2 3 3" xfId="9419" xr:uid="{00000000-0005-0000-0000-0000D0240000}"/>
    <cellStyle name="Normal 52 2 2 4" xfId="9420" xr:uid="{00000000-0005-0000-0000-0000D1240000}"/>
    <cellStyle name="Normal 52 2 2 4 2" xfId="9421" xr:uid="{00000000-0005-0000-0000-0000D2240000}"/>
    <cellStyle name="Normal 52 2 2 4 2 2" xfId="9422" xr:uid="{00000000-0005-0000-0000-0000D3240000}"/>
    <cellStyle name="Normal 52 2 2 4 3" xfId="9423" xr:uid="{00000000-0005-0000-0000-0000D4240000}"/>
    <cellStyle name="Normal 52 2 2 5" xfId="9424" xr:uid="{00000000-0005-0000-0000-0000D5240000}"/>
    <cellStyle name="Normal 52 2 2 5 2" xfId="9425" xr:uid="{00000000-0005-0000-0000-0000D6240000}"/>
    <cellStyle name="Normal 52 2 2 6" xfId="9426" xr:uid="{00000000-0005-0000-0000-0000D7240000}"/>
    <cellStyle name="Normal 52 2 3" xfId="9427" xr:uid="{00000000-0005-0000-0000-0000D8240000}"/>
    <cellStyle name="Normal 52 2 3 2" xfId="9428" xr:uid="{00000000-0005-0000-0000-0000D9240000}"/>
    <cellStyle name="Normal 52 2 3 2 2" xfId="9429" xr:uid="{00000000-0005-0000-0000-0000DA240000}"/>
    <cellStyle name="Normal 52 2 3 2 2 2" xfId="9430" xr:uid="{00000000-0005-0000-0000-0000DB240000}"/>
    <cellStyle name="Normal 52 2 3 2 3" xfId="9431" xr:uid="{00000000-0005-0000-0000-0000DC240000}"/>
    <cellStyle name="Normal 52 2 3 3" xfId="9432" xr:uid="{00000000-0005-0000-0000-0000DD240000}"/>
    <cellStyle name="Normal 52 2 3 3 2" xfId="9433" xr:uid="{00000000-0005-0000-0000-0000DE240000}"/>
    <cellStyle name="Normal 52 2 3 3 2 2" xfId="9434" xr:uid="{00000000-0005-0000-0000-0000DF240000}"/>
    <cellStyle name="Normal 52 2 3 3 3" xfId="9435" xr:uid="{00000000-0005-0000-0000-0000E0240000}"/>
    <cellStyle name="Normal 52 2 3 4" xfId="9436" xr:uid="{00000000-0005-0000-0000-0000E1240000}"/>
    <cellStyle name="Normal 52 2 3 4 2" xfId="9437" xr:uid="{00000000-0005-0000-0000-0000E2240000}"/>
    <cellStyle name="Normal 52 2 3 5" xfId="9438" xr:uid="{00000000-0005-0000-0000-0000E3240000}"/>
    <cellStyle name="Normal 52 2 4" xfId="9439" xr:uid="{00000000-0005-0000-0000-0000E4240000}"/>
    <cellStyle name="Normal 52 2 4 2" xfId="9440" xr:uid="{00000000-0005-0000-0000-0000E5240000}"/>
    <cellStyle name="Normal 52 2 4 2 2" xfId="9441" xr:uid="{00000000-0005-0000-0000-0000E6240000}"/>
    <cellStyle name="Normal 52 2 4 3" xfId="9442" xr:uid="{00000000-0005-0000-0000-0000E7240000}"/>
    <cellStyle name="Normal 52 2 5" xfId="9443" xr:uid="{00000000-0005-0000-0000-0000E8240000}"/>
    <cellStyle name="Normal 52 2 5 2" xfId="9444" xr:uid="{00000000-0005-0000-0000-0000E9240000}"/>
    <cellStyle name="Normal 52 2 5 2 2" xfId="9445" xr:uid="{00000000-0005-0000-0000-0000EA240000}"/>
    <cellStyle name="Normal 52 2 5 3" xfId="9446" xr:uid="{00000000-0005-0000-0000-0000EB240000}"/>
    <cellStyle name="Normal 52 2 6" xfId="9447" xr:uid="{00000000-0005-0000-0000-0000EC240000}"/>
    <cellStyle name="Normal 52 2 6 2" xfId="9448" xr:uid="{00000000-0005-0000-0000-0000ED240000}"/>
    <cellStyle name="Normal 52 2 7" xfId="9449" xr:uid="{00000000-0005-0000-0000-0000EE240000}"/>
    <cellStyle name="Normal 52 3" xfId="9450" xr:uid="{00000000-0005-0000-0000-0000EF240000}"/>
    <cellStyle name="Normal 52 3 2" xfId="9451" xr:uid="{00000000-0005-0000-0000-0000F0240000}"/>
    <cellStyle name="Normal 52 3 2 2" xfId="9452" xr:uid="{00000000-0005-0000-0000-0000F1240000}"/>
    <cellStyle name="Normal 52 3 2 2 2" xfId="9453" xr:uid="{00000000-0005-0000-0000-0000F2240000}"/>
    <cellStyle name="Normal 52 3 2 2 2 2" xfId="9454" xr:uid="{00000000-0005-0000-0000-0000F3240000}"/>
    <cellStyle name="Normal 52 3 2 2 3" xfId="9455" xr:uid="{00000000-0005-0000-0000-0000F4240000}"/>
    <cellStyle name="Normal 52 3 2 3" xfId="9456" xr:uid="{00000000-0005-0000-0000-0000F5240000}"/>
    <cellStyle name="Normal 52 3 2 3 2" xfId="9457" xr:uid="{00000000-0005-0000-0000-0000F6240000}"/>
    <cellStyle name="Normal 52 3 2 3 2 2" xfId="9458" xr:uid="{00000000-0005-0000-0000-0000F7240000}"/>
    <cellStyle name="Normal 52 3 2 3 3" xfId="9459" xr:uid="{00000000-0005-0000-0000-0000F8240000}"/>
    <cellStyle name="Normal 52 3 2 4" xfId="9460" xr:uid="{00000000-0005-0000-0000-0000F9240000}"/>
    <cellStyle name="Normal 52 3 2 4 2" xfId="9461" xr:uid="{00000000-0005-0000-0000-0000FA240000}"/>
    <cellStyle name="Normal 52 3 2 5" xfId="9462" xr:uid="{00000000-0005-0000-0000-0000FB240000}"/>
    <cellStyle name="Normal 52 3 3" xfId="9463" xr:uid="{00000000-0005-0000-0000-0000FC240000}"/>
    <cellStyle name="Normal 52 3 3 2" xfId="9464" xr:uid="{00000000-0005-0000-0000-0000FD240000}"/>
    <cellStyle name="Normal 52 3 3 2 2" xfId="9465" xr:uid="{00000000-0005-0000-0000-0000FE240000}"/>
    <cellStyle name="Normal 52 3 3 3" xfId="9466" xr:uid="{00000000-0005-0000-0000-0000FF240000}"/>
    <cellStyle name="Normal 52 3 4" xfId="9467" xr:uid="{00000000-0005-0000-0000-000000250000}"/>
    <cellStyle name="Normal 52 3 4 2" xfId="9468" xr:uid="{00000000-0005-0000-0000-000001250000}"/>
    <cellStyle name="Normal 52 3 4 2 2" xfId="9469" xr:uid="{00000000-0005-0000-0000-000002250000}"/>
    <cellStyle name="Normal 52 3 4 3" xfId="9470" xr:uid="{00000000-0005-0000-0000-000003250000}"/>
    <cellStyle name="Normal 52 3 5" xfId="9471" xr:uid="{00000000-0005-0000-0000-000004250000}"/>
    <cellStyle name="Normal 52 3 5 2" xfId="9472" xr:uid="{00000000-0005-0000-0000-000005250000}"/>
    <cellStyle name="Normal 52 3 6" xfId="9473" xr:uid="{00000000-0005-0000-0000-000006250000}"/>
    <cellStyle name="Normal 52 4" xfId="9474" xr:uid="{00000000-0005-0000-0000-000007250000}"/>
    <cellStyle name="Normal 52 4 2" xfId="9475" xr:uid="{00000000-0005-0000-0000-000008250000}"/>
    <cellStyle name="Normal 52 4 2 2" xfId="9476" xr:uid="{00000000-0005-0000-0000-000009250000}"/>
    <cellStyle name="Normal 52 4 2 2 2" xfId="9477" xr:uid="{00000000-0005-0000-0000-00000A250000}"/>
    <cellStyle name="Normal 52 4 2 3" xfId="9478" xr:uid="{00000000-0005-0000-0000-00000B250000}"/>
    <cellStyle name="Normal 52 4 3" xfId="9479" xr:uid="{00000000-0005-0000-0000-00000C250000}"/>
    <cellStyle name="Normal 52 4 3 2" xfId="9480" xr:uid="{00000000-0005-0000-0000-00000D250000}"/>
    <cellStyle name="Normal 52 4 3 2 2" xfId="9481" xr:uid="{00000000-0005-0000-0000-00000E250000}"/>
    <cellStyle name="Normal 52 4 3 3" xfId="9482" xr:uid="{00000000-0005-0000-0000-00000F250000}"/>
    <cellStyle name="Normal 52 4 4" xfId="9483" xr:uid="{00000000-0005-0000-0000-000010250000}"/>
    <cellStyle name="Normal 52 4 4 2" xfId="9484" xr:uid="{00000000-0005-0000-0000-000011250000}"/>
    <cellStyle name="Normal 52 4 5" xfId="9485" xr:uid="{00000000-0005-0000-0000-000012250000}"/>
    <cellStyle name="Normal 52 5" xfId="9486" xr:uid="{00000000-0005-0000-0000-000013250000}"/>
    <cellStyle name="Normal 52 5 2" xfId="9487" xr:uid="{00000000-0005-0000-0000-000014250000}"/>
    <cellStyle name="Normal 52 5 2 2" xfId="9488" xr:uid="{00000000-0005-0000-0000-000015250000}"/>
    <cellStyle name="Normal 52 5 3" xfId="9489" xr:uid="{00000000-0005-0000-0000-000016250000}"/>
    <cellStyle name="Normal 52 6" xfId="9490" xr:uid="{00000000-0005-0000-0000-000017250000}"/>
    <cellStyle name="Normal 52 6 2" xfId="9491" xr:uid="{00000000-0005-0000-0000-000018250000}"/>
    <cellStyle name="Normal 52 6 2 2" xfId="9492" xr:uid="{00000000-0005-0000-0000-000019250000}"/>
    <cellStyle name="Normal 52 6 3" xfId="9493" xr:uid="{00000000-0005-0000-0000-00001A250000}"/>
    <cellStyle name="Normal 52 7" xfId="9494" xr:uid="{00000000-0005-0000-0000-00001B250000}"/>
    <cellStyle name="Normal 52 7 2" xfId="9495" xr:uid="{00000000-0005-0000-0000-00001C250000}"/>
    <cellStyle name="Normal 52 8" xfId="9496" xr:uid="{00000000-0005-0000-0000-00001D250000}"/>
    <cellStyle name="Normal 52 9" xfId="9497" xr:uid="{00000000-0005-0000-0000-00001E250000}"/>
    <cellStyle name="Normal 53" xfId="9498" xr:uid="{00000000-0005-0000-0000-00001F250000}"/>
    <cellStyle name="Normal 53 2" xfId="9499" xr:uid="{00000000-0005-0000-0000-000020250000}"/>
    <cellStyle name="Normal 53 2 2" xfId="9500" xr:uid="{00000000-0005-0000-0000-000021250000}"/>
    <cellStyle name="Normal 53 2 2 2" xfId="9501" xr:uid="{00000000-0005-0000-0000-000022250000}"/>
    <cellStyle name="Normal 53 2 2 2 2" xfId="9502" xr:uid="{00000000-0005-0000-0000-000023250000}"/>
    <cellStyle name="Normal 53 2 2 2 2 2" xfId="9503" xr:uid="{00000000-0005-0000-0000-000024250000}"/>
    <cellStyle name="Normal 53 2 2 2 2 2 2" xfId="9504" xr:uid="{00000000-0005-0000-0000-000025250000}"/>
    <cellStyle name="Normal 53 2 2 2 2 3" xfId="9505" xr:uid="{00000000-0005-0000-0000-000026250000}"/>
    <cellStyle name="Normal 53 2 2 2 3" xfId="9506" xr:uid="{00000000-0005-0000-0000-000027250000}"/>
    <cellStyle name="Normal 53 2 2 2 3 2" xfId="9507" xr:uid="{00000000-0005-0000-0000-000028250000}"/>
    <cellStyle name="Normal 53 2 2 2 3 2 2" xfId="9508" xr:uid="{00000000-0005-0000-0000-000029250000}"/>
    <cellStyle name="Normal 53 2 2 2 3 3" xfId="9509" xr:uid="{00000000-0005-0000-0000-00002A250000}"/>
    <cellStyle name="Normal 53 2 2 2 4" xfId="9510" xr:uid="{00000000-0005-0000-0000-00002B250000}"/>
    <cellStyle name="Normal 53 2 2 2 4 2" xfId="9511" xr:uid="{00000000-0005-0000-0000-00002C250000}"/>
    <cellStyle name="Normal 53 2 2 2 5" xfId="9512" xr:uid="{00000000-0005-0000-0000-00002D250000}"/>
    <cellStyle name="Normal 53 2 2 3" xfId="9513" xr:uid="{00000000-0005-0000-0000-00002E250000}"/>
    <cellStyle name="Normal 53 2 2 3 2" xfId="9514" xr:uid="{00000000-0005-0000-0000-00002F250000}"/>
    <cellStyle name="Normal 53 2 2 3 2 2" xfId="9515" xr:uid="{00000000-0005-0000-0000-000030250000}"/>
    <cellStyle name="Normal 53 2 2 3 3" xfId="9516" xr:uid="{00000000-0005-0000-0000-000031250000}"/>
    <cellStyle name="Normal 53 2 2 4" xfId="9517" xr:uid="{00000000-0005-0000-0000-000032250000}"/>
    <cellStyle name="Normal 53 2 2 4 2" xfId="9518" xr:uid="{00000000-0005-0000-0000-000033250000}"/>
    <cellStyle name="Normal 53 2 2 4 2 2" xfId="9519" xr:uid="{00000000-0005-0000-0000-000034250000}"/>
    <cellStyle name="Normal 53 2 2 4 3" xfId="9520" xr:uid="{00000000-0005-0000-0000-000035250000}"/>
    <cellStyle name="Normal 53 2 2 5" xfId="9521" xr:uid="{00000000-0005-0000-0000-000036250000}"/>
    <cellStyle name="Normal 53 2 2 5 2" xfId="9522" xr:uid="{00000000-0005-0000-0000-000037250000}"/>
    <cellStyle name="Normal 53 2 2 6" xfId="9523" xr:uid="{00000000-0005-0000-0000-000038250000}"/>
    <cellStyle name="Normal 53 2 3" xfId="9524" xr:uid="{00000000-0005-0000-0000-000039250000}"/>
    <cellStyle name="Normal 53 2 3 2" xfId="9525" xr:uid="{00000000-0005-0000-0000-00003A250000}"/>
    <cellStyle name="Normal 53 2 3 2 2" xfId="9526" xr:uid="{00000000-0005-0000-0000-00003B250000}"/>
    <cellStyle name="Normal 53 2 3 2 2 2" xfId="9527" xr:uid="{00000000-0005-0000-0000-00003C250000}"/>
    <cellStyle name="Normal 53 2 3 2 3" xfId="9528" xr:uid="{00000000-0005-0000-0000-00003D250000}"/>
    <cellStyle name="Normal 53 2 3 3" xfId="9529" xr:uid="{00000000-0005-0000-0000-00003E250000}"/>
    <cellStyle name="Normal 53 2 3 3 2" xfId="9530" xr:uid="{00000000-0005-0000-0000-00003F250000}"/>
    <cellStyle name="Normal 53 2 3 3 2 2" xfId="9531" xr:uid="{00000000-0005-0000-0000-000040250000}"/>
    <cellStyle name="Normal 53 2 3 3 3" xfId="9532" xr:uid="{00000000-0005-0000-0000-000041250000}"/>
    <cellStyle name="Normal 53 2 3 4" xfId="9533" xr:uid="{00000000-0005-0000-0000-000042250000}"/>
    <cellStyle name="Normal 53 2 3 4 2" xfId="9534" xr:uid="{00000000-0005-0000-0000-000043250000}"/>
    <cellStyle name="Normal 53 2 3 5" xfId="9535" xr:uid="{00000000-0005-0000-0000-000044250000}"/>
    <cellStyle name="Normal 53 2 4" xfId="9536" xr:uid="{00000000-0005-0000-0000-000045250000}"/>
    <cellStyle name="Normal 53 2 4 2" xfId="9537" xr:uid="{00000000-0005-0000-0000-000046250000}"/>
    <cellStyle name="Normal 53 2 4 2 2" xfId="9538" xr:uid="{00000000-0005-0000-0000-000047250000}"/>
    <cellStyle name="Normal 53 2 4 3" xfId="9539" xr:uid="{00000000-0005-0000-0000-000048250000}"/>
    <cellStyle name="Normal 53 2 5" xfId="9540" xr:uid="{00000000-0005-0000-0000-000049250000}"/>
    <cellStyle name="Normal 53 2 5 2" xfId="9541" xr:uid="{00000000-0005-0000-0000-00004A250000}"/>
    <cellStyle name="Normal 53 2 5 2 2" xfId="9542" xr:uid="{00000000-0005-0000-0000-00004B250000}"/>
    <cellStyle name="Normal 53 2 5 3" xfId="9543" xr:uid="{00000000-0005-0000-0000-00004C250000}"/>
    <cellStyle name="Normal 53 2 6" xfId="9544" xr:uid="{00000000-0005-0000-0000-00004D250000}"/>
    <cellStyle name="Normal 53 2 6 2" xfId="9545" xr:uid="{00000000-0005-0000-0000-00004E250000}"/>
    <cellStyle name="Normal 53 2 7" xfId="9546" xr:uid="{00000000-0005-0000-0000-00004F250000}"/>
    <cellStyle name="Normal 53 3" xfId="9547" xr:uid="{00000000-0005-0000-0000-000050250000}"/>
    <cellStyle name="Normal 53 3 2" xfId="9548" xr:uid="{00000000-0005-0000-0000-000051250000}"/>
    <cellStyle name="Normal 53 3 2 2" xfId="9549" xr:uid="{00000000-0005-0000-0000-000052250000}"/>
    <cellStyle name="Normal 53 3 2 2 2" xfId="9550" xr:uid="{00000000-0005-0000-0000-000053250000}"/>
    <cellStyle name="Normal 53 3 2 2 2 2" xfId="9551" xr:uid="{00000000-0005-0000-0000-000054250000}"/>
    <cellStyle name="Normal 53 3 2 2 3" xfId="9552" xr:uid="{00000000-0005-0000-0000-000055250000}"/>
    <cellStyle name="Normal 53 3 2 3" xfId="9553" xr:uid="{00000000-0005-0000-0000-000056250000}"/>
    <cellStyle name="Normal 53 3 2 3 2" xfId="9554" xr:uid="{00000000-0005-0000-0000-000057250000}"/>
    <cellStyle name="Normal 53 3 2 3 2 2" xfId="9555" xr:uid="{00000000-0005-0000-0000-000058250000}"/>
    <cellStyle name="Normal 53 3 2 3 3" xfId="9556" xr:uid="{00000000-0005-0000-0000-000059250000}"/>
    <cellStyle name="Normal 53 3 2 4" xfId="9557" xr:uid="{00000000-0005-0000-0000-00005A250000}"/>
    <cellStyle name="Normal 53 3 2 4 2" xfId="9558" xr:uid="{00000000-0005-0000-0000-00005B250000}"/>
    <cellStyle name="Normal 53 3 2 5" xfId="9559" xr:uid="{00000000-0005-0000-0000-00005C250000}"/>
    <cellStyle name="Normal 53 3 3" xfId="9560" xr:uid="{00000000-0005-0000-0000-00005D250000}"/>
    <cellStyle name="Normal 53 3 3 2" xfId="9561" xr:uid="{00000000-0005-0000-0000-00005E250000}"/>
    <cellStyle name="Normal 53 3 3 2 2" xfId="9562" xr:uid="{00000000-0005-0000-0000-00005F250000}"/>
    <cellStyle name="Normal 53 3 3 3" xfId="9563" xr:uid="{00000000-0005-0000-0000-000060250000}"/>
    <cellStyle name="Normal 53 3 4" xfId="9564" xr:uid="{00000000-0005-0000-0000-000061250000}"/>
    <cellStyle name="Normal 53 3 4 2" xfId="9565" xr:uid="{00000000-0005-0000-0000-000062250000}"/>
    <cellStyle name="Normal 53 3 4 2 2" xfId="9566" xr:uid="{00000000-0005-0000-0000-000063250000}"/>
    <cellStyle name="Normal 53 3 4 3" xfId="9567" xr:uid="{00000000-0005-0000-0000-000064250000}"/>
    <cellStyle name="Normal 53 3 5" xfId="9568" xr:uid="{00000000-0005-0000-0000-000065250000}"/>
    <cellStyle name="Normal 53 3 5 2" xfId="9569" xr:uid="{00000000-0005-0000-0000-000066250000}"/>
    <cellStyle name="Normal 53 3 6" xfId="9570" xr:uid="{00000000-0005-0000-0000-000067250000}"/>
    <cellStyle name="Normal 53 4" xfId="9571" xr:uid="{00000000-0005-0000-0000-000068250000}"/>
    <cellStyle name="Normal 53 4 2" xfId="9572" xr:uid="{00000000-0005-0000-0000-000069250000}"/>
    <cellStyle name="Normal 53 4 2 2" xfId="9573" xr:uid="{00000000-0005-0000-0000-00006A250000}"/>
    <cellStyle name="Normal 53 4 2 2 2" xfId="9574" xr:uid="{00000000-0005-0000-0000-00006B250000}"/>
    <cellStyle name="Normal 53 4 2 3" xfId="9575" xr:uid="{00000000-0005-0000-0000-00006C250000}"/>
    <cellStyle name="Normal 53 4 3" xfId="9576" xr:uid="{00000000-0005-0000-0000-00006D250000}"/>
    <cellStyle name="Normal 53 4 3 2" xfId="9577" xr:uid="{00000000-0005-0000-0000-00006E250000}"/>
    <cellStyle name="Normal 53 4 3 2 2" xfId="9578" xr:uid="{00000000-0005-0000-0000-00006F250000}"/>
    <cellStyle name="Normal 53 4 3 3" xfId="9579" xr:uid="{00000000-0005-0000-0000-000070250000}"/>
    <cellStyle name="Normal 53 4 4" xfId="9580" xr:uid="{00000000-0005-0000-0000-000071250000}"/>
    <cellStyle name="Normal 53 4 4 2" xfId="9581" xr:uid="{00000000-0005-0000-0000-000072250000}"/>
    <cellStyle name="Normal 53 4 5" xfId="9582" xr:uid="{00000000-0005-0000-0000-000073250000}"/>
    <cellStyle name="Normal 53 5" xfId="9583" xr:uid="{00000000-0005-0000-0000-000074250000}"/>
    <cellStyle name="Normal 53 5 2" xfId="9584" xr:uid="{00000000-0005-0000-0000-000075250000}"/>
    <cellStyle name="Normal 53 5 2 2" xfId="9585" xr:uid="{00000000-0005-0000-0000-000076250000}"/>
    <cellStyle name="Normal 53 5 3" xfId="9586" xr:uid="{00000000-0005-0000-0000-000077250000}"/>
    <cellStyle name="Normal 53 6" xfId="9587" xr:uid="{00000000-0005-0000-0000-000078250000}"/>
    <cellStyle name="Normal 53 6 2" xfId="9588" xr:uid="{00000000-0005-0000-0000-000079250000}"/>
    <cellStyle name="Normal 53 6 2 2" xfId="9589" xr:uid="{00000000-0005-0000-0000-00007A250000}"/>
    <cellStyle name="Normal 53 6 3" xfId="9590" xr:uid="{00000000-0005-0000-0000-00007B250000}"/>
    <cellStyle name="Normal 53 7" xfId="9591" xr:uid="{00000000-0005-0000-0000-00007C250000}"/>
    <cellStyle name="Normal 53 7 2" xfId="9592" xr:uid="{00000000-0005-0000-0000-00007D250000}"/>
    <cellStyle name="Normal 53 8" xfId="9593" xr:uid="{00000000-0005-0000-0000-00007E250000}"/>
    <cellStyle name="Normal 53 9" xfId="9594" xr:uid="{00000000-0005-0000-0000-00007F250000}"/>
    <cellStyle name="Normal 54" xfId="9595" xr:uid="{00000000-0005-0000-0000-000080250000}"/>
    <cellStyle name="Normal 54 2" xfId="9596" xr:uid="{00000000-0005-0000-0000-000081250000}"/>
    <cellStyle name="Normal 54 2 2" xfId="9597" xr:uid="{00000000-0005-0000-0000-000082250000}"/>
    <cellStyle name="Normal 54 2 2 2" xfId="9598" xr:uid="{00000000-0005-0000-0000-000083250000}"/>
    <cellStyle name="Normal 54 2 2 2 2" xfId="9599" xr:uid="{00000000-0005-0000-0000-000084250000}"/>
    <cellStyle name="Normal 54 2 2 2 2 2" xfId="9600" xr:uid="{00000000-0005-0000-0000-000085250000}"/>
    <cellStyle name="Normal 54 2 2 2 2 2 2" xfId="9601" xr:uid="{00000000-0005-0000-0000-000086250000}"/>
    <cellStyle name="Normal 54 2 2 2 2 3" xfId="9602" xr:uid="{00000000-0005-0000-0000-000087250000}"/>
    <cellStyle name="Normal 54 2 2 2 3" xfId="9603" xr:uid="{00000000-0005-0000-0000-000088250000}"/>
    <cellStyle name="Normal 54 2 2 2 3 2" xfId="9604" xr:uid="{00000000-0005-0000-0000-000089250000}"/>
    <cellStyle name="Normal 54 2 2 2 3 2 2" xfId="9605" xr:uid="{00000000-0005-0000-0000-00008A250000}"/>
    <cellStyle name="Normal 54 2 2 2 3 3" xfId="9606" xr:uid="{00000000-0005-0000-0000-00008B250000}"/>
    <cellStyle name="Normal 54 2 2 2 4" xfId="9607" xr:uid="{00000000-0005-0000-0000-00008C250000}"/>
    <cellStyle name="Normal 54 2 2 2 4 2" xfId="9608" xr:uid="{00000000-0005-0000-0000-00008D250000}"/>
    <cellStyle name="Normal 54 2 2 2 5" xfId="9609" xr:uid="{00000000-0005-0000-0000-00008E250000}"/>
    <cellStyle name="Normal 54 2 2 3" xfId="9610" xr:uid="{00000000-0005-0000-0000-00008F250000}"/>
    <cellStyle name="Normal 54 2 2 3 2" xfId="9611" xr:uid="{00000000-0005-0000-0000-000090250000}"/>
    <cellStyle name="Normal 54 2 2 3 2 2" xfId="9612" xr:uid="{00000000-0005-0000-0000-000091250000}"/>
    <cellStyle name="Normal 54 2 2 3 3" xfId="9613" xr:uid="{00000000-0005-0000-0000-000092250000}"/>
    <cellStyle name="Normal 54 2 2 4" xfId="9614" xr:uid="{00000000-0005-0000-0000-000093250000}"/>
    <cellStyle name="Normal 54 2 2 4 2" xfId="9615" xr:uid="{00000000-0005-0000-0000-000094250000}"/>
    <cellStyle name="Normal 54 2 2 4 2 2" xfId="9616" xr:uid="{00000000-0005-0000-0000-000095250000}"/>
    <cellStyle name="Normal 54 2 2 4 3" xfId="9617" xr:uid="{00000000-0005-0000-0000-000096250000}"/>
    <cellStyle name="Normal 54 2 2 5" xfId="9618" xr:uid="{00000000-0005-0000-0000-000097250000}"/>
    <cellStyle name="Normal 54 2 2 5 2" xfId="9619" xr:uid="{00000000-0005-0000-0000-000098250000}"/>
    <cellStyle name="Normal 54 2 2 6" xfId="9620" xr:uid="{00000000-0005-0000-0000-000099250000}"/>
    <cellStyle name="Normal 54 2 3" xfId="9621" xr:uid="{00000000-0005-0000-0000-00009A250000}"/>
    <cellStyle name="Normal 54 2 3 2" xfId="9622" xr:uid="{00000000-0005-0000-0000-00009B250000}"/>
    <cellStyle name="Normal 54 2 3 2 2" xfId="9623" xr:uid="{00000000-0005-0000-0000-00009C250000}"/>
    <cellStyle name="Normal 54 2 3 2 2 2" xfId="9624" xr:uid="{00000000-0005-0000-0000-00009D250000}"/>
    <cellStyle name="Normal 54 2 3 2 3" xfId="9625" xr:uid="{00000000-0005-0000-0000-00009E250000}"/>
    <cellStyle name="Normal 54 2 3 3" xfId="9626" xr:uid="{00000000-0005-0000-0000-00009F250000}"/>
    <cellStyle name="Normal 54 2 3 3 2" xfId="9627" xr:uid="{00000000-0005-0000-0000-0000A0250000}"/>
    <cellStyle name="Normal 54 2 3 3 2 2" xfId="9628" xr:uid="{00000000-0005-0000-0000-0000A1250000}"/>
    <cellStyle name="Normal 54 2 3 3 3" xfId="9629" xr:uid="{00000000-0005-0000-0000-0000A2250000}"/>
    <cellStyle name="Normal 54 2 3 4" xfId="9630" xr:uid="{00000000-0005-0000-0000-0000A3250000}"/>
    <cellStyle name="Normal 54 2 3 4 2" xfId="9631" xr:uid="{00000000-0005-0000-0000-0000A4250000}"/>
    <cellStyle name="Normal 54 2 3 5" xfId="9632" xr:uid="{00000000-0005-0000-0000-0000A5250000}"/>
    <cellStyle name="Normal 54 2 4" xfId="9633" xr:uid="{00000000-0005-0000-0000-0000A6250000}"/>
    <cellStyle name="Normal 54 2 4 2" xfId="9634" xr:uid="{00000000-0005-0000-0000-0000A7250000}"/>
    <cellStyle name="Normal 54 2 4 2 2" xfId="9635" xr:uid="{00000000-0005-0000-0000-0000A8250000}"/>
    <cellStyle name="Normal 54 2 4 3" xfId="9636" xr:uid="{00000000-0005-0000-0000-0000A9250000}"/>
    <cellStyle name="Normal 54 2 5" xfId="9637" xr:uid="{00000000-0005-0000-0000-0000AA250000}"/>
    <cellStyle name="Normal 54 2 5 2" xfId="9638" xr:uid="{00000000-0005-0000-0000-0000AB250000}"/>
    <cellStyle name="Normal 54 2 5 2 2" xfId="9639" xr:uid="{00000000-0005-0000-0000-0000AC250000}"/>
    <cellStyle name="Normal 54 2 5 3" xfId="9640" xr:uid="{00000000-0005-0000-0000-0000AD250000}"/>
    <cellStyle name="Normal 54 2 6" xfId="9641" xr:uid="{00000000-0005-0000-0000-0000AE250000}"/>
    <cellStyle name="Normal 54 2 6 2" xfId="9642" xr:uid="{00000000-0005-0000-0000-0000AF250000}"/>
    <cellStyle name="Normal 54 2 7" xfId="9643" xr:uid="{00000000-0005-0000-0000-0000B0250000}"/>
    <cellStyle name="Normal 54 3" xfId="9644" xr:uid="{00000000-0005-0000-0000-0000B1250000}"/>
    <cellStyle name="Normal 54 3 2" xfId="9645" xr:uid="{00000000-0005-0000-0000-0000B2250000}"/>
    <cellStyle name="Normal 54 3 2 2" xfId="9646" xr:uid="{00000000-0005-0000-0000-0000B3250000}"/>
    <cellStyle name="Normal 54 3 2 2 2" xfId="9647" xr:uid="{00000000-0005-0000-0000-0000B4250000}"/>
    <cellStyle name="Normal 54 3 2 2 2 2" xfId="9648" xr:uid="{00000000-0005-0000-0000-0000B5250000}"/>
    <cellStyle name="Normal 54 3 2 2 3" xfId="9649" xr:uid="{00000000-0005-0000-0000-0000B6250000}"/>
    <cellStyle name="Normal 54 3 2 3" xfId="9650" xr:uid="{00000000-0005-0000-0000-0000B7250000}"/>
    <cellStyle name="Normal 54 3 2 3 2" xfId="9651" xr:uid="{00000000-0005-0000-0000-0000B8250000}"/>
    <cellStyle name="Normal 54 3 2 3 2 2" xfId="9652" xr:uid="{00000000-0005-0000-0000-0000B9250000}"/>
    <cellStyle name="Normal 54 3 2 3 3" xfId="9653" xr:uid="{00000000-0005-0000-0000-0000BA250000}"/>
    <cellStyle name="Normal 54 3 2 4" xfId="9654" xr:uid="{00000000-0005-0000-0000-0000BB250000}"/>
    <cellStyle name="Normal 54 3 2 4 2" xfId="9655" xr:uid="{00000000-0005-0000-0000-0000BC250000}"/>
    <cellStyle name="Normal 54 3 2 5" xfId="9656" xr:uid="{00000000-0005-0000-0000-0000BD250000}"/>
    <cellStyle name="Normal 54 3 3" xfId="9657" xr:uid="{00000000-0005-0000-0000-0000BE250000}"/>
    <cellStyle name="Normal 54 3 3 2" xfId="9658" xr:uid="{00000000-0005-0000-0000-0000BF250000}"/>
    <cellStyle name="Normal 54 3 3 2 2" xfId="9659" xr:uid="{00000000-0005-0000-0000-0000C0250000}"/>
    <cellStyle name="Normal 54 3 3 3" xfId="9660" xr:uid="{00000000-0005-0000-0000-0000C1250000}"/>
    <cellStyle name="Normal 54 3 4" xfId="9661" xr:uid="{00000000-0005-0000-0000-0000C2250000}"/>
    <cellStyle name="Normal 54 3 4 2" xfId="9662" xr:uid="{00000000-0005-0000-0000-0000C3250000}"/>
    <cellStyle name="Normal 54 3 4 2 2" xfId="9663" xr:uid="{00000000-0005-0000-0000-0000C4250000}"/>
    <cellStyle name="Normal 54 3 4 3" xfId="9664" xr:uid="{00000000-0005-0000-0000-0000C5250000}"/>
    <cellStyle name="Normal 54 3 5" xfId="9665" xr:uid="{00000000-0005-0000-0000-0000C6250000}"/>
    <cellStyle name="Normal 54 3 5 2" xfId="9666" xr:uid="{00000000-0005-0000-0000-0000C7250000}"/>
    <cellStyle name="Normal 54 3 6" xfId="9667" xr:uid="{00000000-0005-0000-0000-0000C8250000}"/>
    <cellStyle name="Normal 54 4" xfId="9668" xr:uid="{00000000-0005-0000-0000-0000C9250000}"/>
    <cellStyle name="Normal 54 4 2" xfId="9669" xr:uid="{00000000-0005-0000-0000-0000CA250000}"/>
    <cellStyle name="Normal 54 4 2 2" xfId="9670" xr:uid="{00000000-0005-0000-0000-0000CB250000}"/>
    <cellStyle name="Normal 54 4 2 2 2" xfId="9671" xr:uid="{00000000-0005-0000-0000-0000CC250000}"/>
    <cellStyle name="Normal 54 4 2 3" xfId="9672" xr:uid="{00000000-0005-0000-0000-0000CD250000}"/>
    <cellStyle name="Normal 54 4 3" xfId="9673" xr:uid="{00000000-0005-0000-0000-0000CE250000}"/>
    <cellStyle name="Normal 54 4 3 2" xfId="9674" xr:uid="{00000000-0005-0000-0000-0000CF250000}"/>
    <cellStyle name="Normal 54 4 3 2 2" xfId="9675" xr:uid="{00000000-0005-0000-0000-0000D0250000}"/>
    <cellStyle name="Normal 54 4 3 3" xfId="9676" xr:uid="{00000000-0005-0000-0000-0000D1250000}"/>
    <cellStyle name="Normal 54 4 4" xfId="9677" xr:uid="{00000000-0005-0000-0000-0000D2250000}"/>
    <cellStyle name="Normal 54 4 4 2" xfId="9678" xr:uid="{00000000-0005-0000-0000-0000D3250000}"/>
    <cellStyle name="Normal 54 4 5" xfId="9679" xr:uid="{00000000-0005-0000-0000-0000D4250000}"/>
    <cellStyle name="Normal 54 5" xfId="9680" xr:uid="{00000000-0005-0000-0000-0000D5250000}"/>
    <cellStyle name="Normal 54 5 2" xfId="9681" xr:uid="{00000000-0005-0000-0000-0000D6250000}"/>
    <cellStyle name="Normal 54 5 2 2" xfId="9682" xr:uid="{00000000-0005-0000-0000-0000D7250000}"/>
    <cellStyle name="Normal 54 5 3" xfId="9683" xr:uid="{00000000-0005-0000-0000-0000D8250000}"/>
    <cellStyle name="Normal 54 6" xfId="9684" xr:uid="{00000000-0005-0000-0000-0000D9250000}"/>
    <cellStyle name="Normal 54 6 2" xfId="9685" xr:uid="{00000000-0005-0000-0000-0000DA250000}"/>
    <cellStyle name="Normal 54 6 2 2" xfId="9686" xr:uid="{00000000-0005-0000-0000-0000DB250000}"/>
    <cellStyle name="Normal 54 6 3" xfId="9687" xr:uid="{00000000-0005-0000-0000-0000DC250000}"/>
    <cellStyle name="Normal 54 7" xfId="9688" xr:uid="{00000000-0005-0000-0000-0000DD250000}"/>
    <cellStyle name="Normal 54 7 2" xfId="9689" xr:uid="{00000000-0005-0000-0000-0000DE250000}"/>
    <cellStyle name="Normal 54 8" xfId="9690" xr:uid="{00000000-0005-0000-0000-0000DF250000}"/>
    <cellStyle name="Normal 54 9" xfId="9691" xr:uid="{00000000-0005-0000-0000-0000E0250000}"/>
    <cellStyle name="Normal 55" xfId="9692" xr:uid="{00000000-0005-0000-0000-0000E1250000}"/>
    <cellStyle name="Normal 55 2" xfId="9693" xr:uid="{00000000-0005-0000-0000-0000E2250000}"/>
    <cellStyle name="Normal 55 2 2" xfId="9694" xr:uid="{00000000-0005-0000-0000-0000E3250000}"/>
    <cellStyle name="Normal 55 2 2 2" xfId="9695" xr:uid="{00000000-0005-0000-0000-0000E4250000}"/>
    <cellStyle name="Normal 55 2 2 2 2" xfId="9696" xr:uid="{00000000-0005-0000-0000-0000E5250000}"/>
    <cellStyle name="Normal 55 2 2 2 2 2" xfId="9697" xr:uid="{00000000-0005-0000-0000-0000E6250000}"/>
    <cellStyle name="Normal 55 2 2 2 2 2 2" xfId="9698" xr:uid="{00000000-0005-0000-0000-0000E7250000}"/>
    <cellStyle name="Normal 55 2 2 2 2 3" xfId="9699" xr:uid="{00000000-0005-0000-0000-0000E8250000}"/>
    <cellStyle name="Normal 55 2 2 2 3" xfId="9700" xr:uid="{00000000-0005-0000-0000-0000E9250000}"/>
    <cellStyle name="Normal 55 2 2 2 3 2" xfId="9701" xr:uid="{00000000-0005-0000-0000-0000EA250000}"/>
    <cellStyle name="Normal 55 2 2 2 3 2 2" xfId="9702" xr:uid="{00000000-0005-0000-0000-0000EB250000}"/>
    <cellStyle name="Normal 55 2 2 2 3 3" xfId="9703" xr:uid="{00000000-0005-0000-0000-0000EC250000}"/>
    <cellStyle name="Normal 55 2 2 2 4" xfId="9704" xr:uid="{00000000-0005-0000-0000-0000ED250000}"/>
    <cellStyle name="Normal 55 2 2 2 4 2" xfId="9705" xr:uid="{00000000-0005-0000-0000-0000EE250000}"/>
    <cellStyle name="Normal 55 2 2 2 5" xfId="9706" xr:uid="{00000000-0005-0000-0000-0000EF250000}"/>
    <cellStyle name="Normal 55 2 2 3" xfId="9707" xr:uid="{00000000-0005-0000-0000-0000F0250000}"/>
    <cellStyle name="Normal 55 2 2 3 2" xfId="9708" xr:uid="{00000000-0005-0000-0000-0000F1250000}"/>
    <cellStyle name="Normal 55 2 2 3 2 2" xfId="9709" xr:uid="{00000000-0005-0000-0000-0000F2250000}"/>
    <cellStyle name="Normal 55 2 2 3 3" xfId="9710" xr:uid="{00000000-0005-0000-0000-0000F3250000}"/>
    <cellStyle name="Normal 55 2 2 4" xfId="9711" xr:uid="{00000000-0005-0000-0000-0000F4250000}"/>
    <cellStyle name="Normal 55 2 2 4 2" xfId="9712" xr:uid="{00000000-0005-0000-0000-0000F5250000}"/>
    <cellStyle name="Normal 55 2 2 4 2 2" xfId="9713" xr:uid="{00000000-0005-0000-0000-0000F6250000}"/>
    <cellStyle name="Normal 55 2 2 4 3" xfId="9714" xr:uid="{00000000-0005-0000-0000-0000F7250000}"/>
    <cellStyle name="Normal 55 2 2 5" xfId="9715" xr:uid="{00000000-0005-0000-0000-0000F8250000}"/>
    <cellStyle name="Normal 55 2 2 5 2" xfId="9716" xr:uid="{00000000-0005-0000-0000-0000F9250000}"/>
    <cellStyle name="Normal 55 2 2 6" xfId="9717" xr:uid="{00000000-0005-0000-0000-0000FA250000}"/>
    <cellStyle name="Normal 55 2 3" xfId="9718" xr:uid="{00000000-0005-0000-0000-0000FB250000}"/>
    <cellStyle name="Normal 55 2 3 2" xfId="9719" xr:uid="{00000000-0005-0000-0000-0000FC250000}"/>
    <cellStyle name="Normal 55 2 3 2 2" xfId="9720" xr:uid="{00000000-0005-0000-0000-0000FD250000}"/>
    <cellStyle name="Normal 55 2 3 2 2 2" xfId="9721" xr:uid="{00000000-0005-0000-0000-0000FE250000}"/>
    <cellStyle name="Normal 55 2 3 2 3" xfId="9722" xr:uid="{00000000-0005-0000-0000-0000FF250000}"/>
    <cellStyle name="Normal 55 2 3 3" xfId="9723" xr:uid="{00000000-0005-0000-0000-000000260000}"/>
    <cellStyle name="Normal 55 2 3 3 2" xfId="9724" xr:uid="{00000000-0005-0000-0000-000001260000}"/>
    <cellStyle name="Normal 55 2 3 3 2 2" xfId="9725" xr:uid="{00000000-0005-0000-0000-000002260000}"/>
    <cellStyle name="Normal 55 2 3 3 3" xfId="9726" xr:uid="{00000000-0005-0000-0000-000003260000}"/>
    <cellStyle name="Normal 55 2 3 4" xfId="9727" xr:uid="{00000000-0005-0000-0000-000004260000}"/>
    <cellStyle name="Normal 55 2 3 4 2" xfId="9728" xr:uid="{00000000-0005-0000-0000-000005260000}"/>
    <cellStyle name="Normal 55 2 3 5" xfId="9729" xr:uid="{00000000-0005-0000-0000-000006260000}"/>
    <cellStyle name="Normal 55 2 4" xfId="9730" xr:uid="{00000000-0005-0000-0000-000007260000}"/>
    <cellStyle name="Normal 55 2 4 2" xfId="9731" xr:uid="{00000000-0005-0000-0000-000008260000}"/>
    <cellStyle name="Normal 55 2 4 2 2" xfId="9732" xr:uid="{00000000-0005-0000-0000-000009260000}"/>
    <cellStyle name="Normal 55 2 4 3" xfId="9733" xr:uid="{00000000-0005-0000-0000-00000A260000}"/>
    <cellStyle name="Normal 55 2 5" xfId="9734" xr:uid="{00000000-0005-0000-0000-00000B260000}"/>
    <cellStyle name="Normal 55 2 5 2" xfId="9735" xr:uid="{00000000-0005-0000-0000-00000C260000}"/>
    <cellStyle name="Normal 55 2 5 2 2" xfId="9736" xr:uid="{00000000-0005-0000-0000-00000D260000}"/>
    <cellStyle name="Normal 55 2 5 3" xfId="9737" xr:uid="{00000000-0005-0000-0000-00000E260000}"/>
    <cellStyle name="Normal 55 2 6" xfId="9738" xr:uid="{00000000-0005-0000-0000-00000F260000}"/>
    <cellStyle name="Normal 55 2 6 2" xfId="9739" xr:uid="{00000000-0005-0000-0000-000010260000}"/>
    <cellStyle name="Normal 55 2 7" xfId="9740" xr:uid="{00000000-0005-0000-0000-000011260000}"/>
    <cellStyle name="Normal 55 3" xfId="9741" xr:uid="{00000000-0005-0000-0000-000012260000}"/>
    <cellStyle name="Normal 55 3 2" xfId="9742" xr:uid="{00000000-0005-0000-0000-000013260000}"/>
    <cellStyle name="Normal 55 3 2 2" xfId="9743" xr:uid="{00000000-0005-0000-0000-000014260000}"/>
    <cellStyle name="Normal 55 3 2 2 2" xfId="9744" xr:uid="{00000000-0005-0000-0000-000015260000}"/>
    <cellStyle name="Normal 55 3 2 2 2 2" xfId="9745" xr:uid="{00000000-0005-0000-0000-000016260000}"/>
    <cellStyle name="Normal 55 3 2 2 3" xfId="9746" xr:uid="{00000000-0005-0000-0000-000017260000}"/>
    <cellStyle name="Normal 55 3 2 3" xfId="9747" xr:uid="{00000000-0005-0000-0000-000018260000}"/>
    <cellStyle name="Normal 55 3 2 3 2" xfId="9748" xr:uid="{00000000-0005-0000-0000-000019260000}"/>
    <cellStyle name="Normal 55 3 2 3 2 2" xfId="9749" xr:uid="{00000000-0005-0000-0000-00001A260000}"/>
    <cellStyle name="Normal 55 3 2 3 3" xfId="9750" xr:uid="{00000000-0005-0000-0000-00001B260000}"/>
    <cellStyle name="Normal 55 3 2 4" xfId="9751" xr:uid="{00000000-0005-0000-0000-00001C260000}"/>
    <cellStyle name="Normal 55 3 2 4 2" xfId="9752" xr:uid="{00000000-0005-0000-0000-00001D260000}"/>
    <cellStyle name="Normal 55 3 2 5" xfId="9753" xr:uid="{00000000-0005-0000-0000-00001E260000}"/>
    <cellStyle name="Normal 55 3 3" xfId="9754" xr:uid="{00000000-0005-0000-0000-00001F260000}"/>
    <cellStyle name="Normal 55 3 3 2" xfId="9755" xr:uid="{00000000-0005-0000-0000-000020260000}"/>
    <cellStyle name="Normal 55 3 3 2 2" xfId="9756" xr:uid="{00000000-0005-0000-0000-000021260000}"/>
    <cellStyle name="Normal 55 3 3 3" xfId="9757" xr:uid="{00000000-0005-0000-0000-000022260000}"/>
    <cellStyle name="Normal 55 3 4" xfId="9758" xr:uid="{00000000-0005-0000-0000-000023260000}"/>
    <cellStyle name="Normal 55 3 4 2" xfId="9759" xr:uid="{00000000-0005-0000-0000-000024260000}"/>
    <cellStyle name="Normal 55 3 4 2 2" xfId="9760" xr:uid="{00000000-0005-0000-0000-000025260000}"/>
    <cellStyle name="Normal 55 3 4 3" xfId="9761" xr:uid="{00000000-0005-0000-0000-000026260000}"/>
    <cellStyle name="Normal 55 3 5" xfId="9762" xr:uid="{00000000-0005-0000-0000-000027260000}"/>
    <cellStyle name="Normal 55 3 5 2" xfId="9763" xr:uid="{00000000-0005-0000-0000-000028260000}"/>
    <cellStyle name="Normal 55 3 6" xfId="9764" xr:uid="{00000000-0005-0000-0000-000029260000}"/>
    <cellStyle name="Normal 55 4" xfId="9765" xr:uid="{00000000-0005-0000-0000-00002A260000}"/>
    <cellStyle name="Normal 55 4 2" xfId="9766" xr:uid="{00000000-0005-0000-0000-00002B260000}"/>
    <cellStyle name="Normal 55 4 2 2" xfId="9767" xr:uid="{00000000-0005-0000-0000-00002C260000}"/>
    <cellStyle name="Normal 55 4 2 2 2" xfId="9768" xr:uid="{00000000-0005-0000-0000-00002D260000}"/>
    <cellStyle name="Normal 55 4 2 3" xfId="9769" xr:uid="{00000000-0005-0000-0000-00002E260000}"/>
    <cellStyle name="Normal 55 4 3" xfId="9770" xr:uid="{00000000-0005-0000-0000-00002F260000}"/>
    <cellStyle name="Normal 55 4 3 2" xfId="9771" xr:uid="{00000000-0005-0000-0000-000030260000}"/>
    <cellStyle name="Normal 55 4 3 2 2" xfId="9772" xr:uid="{00000000-0005-0000-0000-000031260000}"/>
    <cellStyle name="Normal 55 4 3 3" xfId="9773" xr:uid="{00000000-0005-0000-0000-000032260000}"/>
    <cellStyle name="Normal 55 4 4" xfId="9774" xr:uid="{00000000-0005-0000-0000-000033260000}"/>
    <cellStyle name="Normal 55 4 4 2" xfId="9775" xr:uid="{00000000-0005-0000-0000-000034260000}"/>
    <cellStyle name="Normal 55 4 5" xfId="9776" xr:uid="{00000000-0005-0000-0000-000035260000}"/>
    <cellStyle name="Normal 55 5" xfId="9777" xr:uid="{00000000-0005-0000-0000-000036260000}"/>
    <cellStyle name="Normal 55 5 2" xfId="9778" xr:uid="{00000000-0005-0000-0000-000037260000}"/>
    <cellStyle name="Normal 55 5 2 2" xfId="9779" xr:uid="{00000000-0005-0000-0000-000038260000}"/>
    <cellStyle name="Normal 55 5 3" xfId="9780" xr:uid="{00000000-0005-0000-0000-000039260000}"/>
    <cellStyle name="Normal 55 6" xfId="9781" xr:uid="{00000000-0005-0000-0000-00003A260000}"/>
    <cellStyle name="Normal 55 6 2" xfId="9782" xr:uid="{00000000-0005-0000-0000-00003B260000}"/>
    <cellStyle name="Normal 55 6 2 2" xfId="9783" xr:uid="{00000000-0005-0000-0000-00003C260000}"/>
    <cellStyle name="Normal 55 6 3" xfId="9784" xr:uid="{00000000-0005-0000-0000-00003D260000}"/>
    <cellStyle name="Normal 55 7" xfId="9785" xr:uid="{00000000-0005-0000-0000-00003E260000}"/>
    <cellStyle name="Normal 55 7 2" xfId="9786" xr:uid="{00000000-0005-0000-0000-00003F260000}"/>
    <cellStyle name="Normal 55 8" xfId="9787" xr:uid="{00000000-0005-0000-0000-000040260000}"/>
    <cellStyle name="Normal 55 9" xfId="9788" xr:uid="{00000000-0005-0000-0000-000041260000}"/>
    <cellStyle name="Normal 56" xfId="9789" xr:uid="{00000000-0005-0000-0000-000042260000}"/>
    <cellStyle name="Normal 56 2" xfId="9790" xr:uid="{00000000-0005-0000-0000-000043260000}"/>
    <cellStyle name="Normal 56 2 2" xfId="9791" xr:uid="{00000000-0005-0000-0000-000044260000}"/>
    <cellStyle name="Normal 56 2 2 2" xfId="9792" xr:uid="{00000000-0005-0000-0000-000045260000}"/>
    <cellStyle name="Normal 56 2 2 2 2" xfId="9793" xr:uid="{00000000-0005-0000-0000-000046260000}"/>
    <cellStyle name="Normal 56 2 2 2 2 2" xfId="9794" xr:uid="{00000000-0005-0000-0000-000047260000}"/>
    <cellStyle name="Normal 56 2 2 2 2 2 2" xfId="9795" xr:uid="{00000000-0005-0000-0000-000048260000}"/>
    <cellStyle name="Normal 56 2 2 2 2 3" xfId="9796" xr:uid="{00000000-0005-0000-0000-000049260000}"/>
    <cellStyle name="Normal 56 2 2 2 3" xfId="9797" xr:uid="{00000000-0005-0000-0000-00004A260000}"/>
    <cellStyle name="Normal 56 2 2 2 3 2" xfId="9798" xr:uid="{00000000-0005-0000-0000-00004B260000}"/>
    <cellStyle name="Normal 56 2 2 2 3 2 2" xfId="9799" xr:uid="{00000000-0005-0000-0000-00004C260000}"/>
    <cellStyle name="Normal 56 2 2 2 3 3" xfId="9800" xr:uid="{00000000-0005-0000-0000-00004D260000}"/>
    <cellStyle name="Normal 56 2 2 2 4" xfId="9801" xr:uid="{00000000-0005-0000-0000-00004E260000}"/>
    <cellStyle name="Normal 56 2 2 2 4 2" xfId="9802" xr:uid="{00000000-0005-0000-0000-00004F260000}"/>
    <cellStyle name="Normal 56 2 2 2 5" xfId="9803" xr:uid="{00000000-0005-0000-0000-000050260000}"/>
    <cellStyle name="Normal 56 2 2 3" xfId="9804" xr:uid="{00000000-0005-0000-0000-000051260000}"/>
    <cellStyle name="Normal 56 2 2 3 2" xfId="9805" xr:uid="{00000000-0005-0000-0000-000052260000}"/>
    <cellStyle name="Normal 56 2 2 3 2 2" xfId="9806" xr:uid="{00000000-0005-0000-0000-000053260000}"/>
    <cellStyle name="Normal 56 2 2 3 3" xfId="9807" xr:uid="{00000000-0005-0000-0000-000054260000}"/>
    <cellStyle name="Normal 56 2 2 4" xfId="9808" xr:uid="{00000000-0005-0000-0000-000055260000}"/>
    <cellStyle name="Normal 56 2 2 4 2" xfId="9809" xr:uid="{00000000-0005-0000-0000-000056260000}"/>
    <cellStyle name="Normal 56 2 2 4 2 2" xfId="9810" xr:uid="{00000000-0005-0000-0000-000057260000}"/>
    <cellStyle name="Normal 56 2 2 4 3" xfId="9811" xr:uid="{00000000-0005-0000-0000-000058260000}"/>
    <cellStyle name="Normal 56 2 2 5" xfId="9812" xr:uid="{00000000-0005-0000-0000-000059260000}"/>
    <cellStyle name="Normal 56 2 2 5 2" xfId="9813" xr:uid="{00000000-0005-0000-0000-00005A260000}"/>
    <cellStyle name="Normal 56 2 2 6" xfId="9814" xr:uid="{00000000-0005-0000-0000-00005B260000}"/>
    <cellStyle name="Normal 56 2 3" xfId="9815" xr:uid="{00000000-0005-0000-0000-00005C260000}"/>
    <cellStyle name="Normal 56 2 3 2" xfId="9816" xr:uid="{00000000-0005-0000-0000-00005D260000}"/>
    <cellStyle name="Normal 56 2 3 2 2" xfId="9817" xr:uid="{00000000-0005-0000-0000-00005E260000}"/>
    <cellStyle name="Normal 56 2 3 2 2 2" xfId="9818" xr:uid="{00000000-0005-0000-0000-00005F260000}"/>
    <cellStyle name="Normal 56 2 3 2 3" xfId="9819" xr:uid="{00000000-0005-0000-0000-000060260000}"/>
    <cellStyle name="Normal 56 2 3 3" xfId="9820" xr:uid="{00000000-0005-0000-0000-000061260000}"/>
    <cellStyle name="Normal 56 2 3 3 2" xfId="9821" xr:uid="{00000000-0005-0000-0000-000062260000}"/>
    <cellStyle name="Normal 56 2 3 3 2 2" xfId="9822" xr:uid="{00000000-0005-0000-0000-000063260000}"/>
    <cellStyle name="Normal 56 2 3 3 3" xfId="9823" xr:uid="{00000000-0005-0000-0000-000064260000}"/>
    <cellStyle name="Normal 56 2 3 4" xfId="9824" xr:uid="{00000000-0005-0000-0000-000065260000}"/>
    <cellStyle name="Normal 56 2 3 4 2" xfId="9825" xr:uid="{00000000-0005-0000-0000-000066260000}"/>
    <cellStyle name="Normal 56 2 3 5" xfId="9826" xr:uid="{00000000-0005-0000-0000-000067260000}"/>
    <cellStyle name="Normal 56 2 4" xfId="9827" xr:uid="{00000000-0005-0000-0000-000068260000}"/>
    <cellStyle name="Normal 56 2 4 2" xfId="9828" xr:uid="{00000000-0005-0000-0000-000069260000}"/>
    <cellStyle name="Normal 56 2 4 2 2" xfId="9829" xr:uid="{00000000-0005-0000-0000-00006A260000}"/>
    <cellStyle name="Normal 56 2 4 3" xfId="9830" xr:uid="{00000000-0005-0000-0000-00006B260000}"/>
    <cellStyle name="Normal 56 2 5" xfId="9831" xr:uid="{00000000-0005-0000-0000-00006C260000}"/>
    <cellStyle name="Normal 56 2 5 2" xfId="9832" xr:uid="{00000000-0005-0000-0000-00006D260000}"/>
    <cellStyle name="Normal 56 2 5 2 2" xfId="9833" xr:uid="{00000000-0005-0000-0000-00006E260000}"/>
    <cellStyle name="Normal 56 2 5 3" xfId="9834" xr:uid="{00000000-0005-0000-0000-00006F260000}"/>
    <cellStyle name="Normal 56 2 6" xfId="9835" xr:uid="{00000000-0005-0000-0000-000070260000}"/>
    <cellStyle name="Normal 56 2 6 2" xfId="9836" xr:uid="{00000000-0005-0000-0000-000071260000}"/>
    <cellStyle name="Normal 56 2 7" xfId="9837" xr:uid="{00000000-0005-0000-0000-000072260000}"/>
    <cellStyle name="Normal 56 3" xfId="9838" xr:uid="{00000000-0005-0000-0000-000073260000}"/>
    <cellStyle name="Normal 56 3 2" xfId="9839" xr:uid="{00000000-0005-0000-0000-000074260000}"/>
    <cellStyle name="Normal 56 3 2 2" xfId="9840" xr:uid="{00000000-0005-0000-0000-000075260000}"/>
    <cellStyle name="Normal 56 3 2 2 2" xfId="9841" xr:uid="{00000000-0005-0000-0000-000076260000}"/>
    <cellStyle name="Normal 56 3 2 2 2 2" xfId="9842" xr:uid="{00000000-0005-0000-0000-000077260000}"/>
    <cellStyle name="Normal 56 3 2 2 3" xfId="9843" xr:uid="{00000000-0005-0000-0000-000078260000}"/>
    <cellStyle name="Normal 56 3 2 3" xfId="9844" xr:uid="{00000000-0005-0000-0000-000079260000}"/>
    <cellStyle name="Normal 56 3 2 3 2" xfId="9845" xr:uid="{00000000-0005-0000-0000-00007A260000}"/>
    <cellStyle name="Normal 56 3 2 3 2 2" xfId="9846" xr:uid="{00000000-0005-0000-0000-00007B260000}"/>
    <cellStyle name="Normal 56 3 2 3 3" xfId="9847" xr:uid="{00000000-0005-0000-0000-00007C260000}"/>
    <cellStyle name="Normal 56 3 2 4" xfId="9848" xr:uid="{00000000-0005-0000-0000-00007D260000}"/>
    <cellStyle name="Normal 56 3 2 4 2" xfId="9849" xr:uid="{00000000-0005-0000-0000-00007E260000}"/>
    <cellStyle name="Normal 56 3 2 5" xfId="9850" xr:uid="{00000000-0005-0000-0000-00007F260000}"/>
    <cellStyle name="Normal 56 3 3" xfId="9851" xr:uid="{00000000-0005-0000-0000-000080260000}"/>
    <cellStyle name="Normal 56 3 3 2" xfId="9852" xr:uid="{00000000-0005-0000-0000-000081260000}"/>
    <cellStyle name="Normal 56 3 3 2 2" xfId="9853" xr:uid="{00000000-0005-0000-0000-000082260000}"/>
    <cellStyle name="Normal 56 3 3 3" xfId="9854" xr:uid="{00000000-0005-0000-0000-000083260000}"/>
    <cellStyle name="Normal 56 3 4" xfId="9855" xr:uid="{00000000-0005-0000-0000-000084260000}"/>
    <cellStyle name="Normal 56 3 4 2" xfId="9856" xr:uid="{00000000-0005-0000-0000-000085260000}"/>
    <cellStyle name="Normal 56 3 4 2 2" xfId="9857" xr:uid="{00000000-0005-0000-0000-000086260000}"/>
    <cellStyle name="Normal 56 3 4 3" xfId="9858" xr:uid="{00000000-0005-0000-0000-000087260000}"/>
    <cellStyle name="Normal 56 3 5" xfId="9859" xr:uid="{00000000-0005-0000-0000-000088260000}"/>
    <cellStyle name="Normal 56 3 5 2" xfId="9860" xr:uid="{00000000-0005-0000-0000-000089260000}"/>
    <cellStyle name="Normal 56 3 6" xfId="9861" xr:uid="{00000000-0005-0000-0000-00008A260000}"/>
    <cellStyle name="Normal 56 4" xfId="9862" xr:uid="{00000000-0005-0000-0000-00008B260000}"/>
    <cellStyle name="Normal 56 4 2" xfId="9863" xr:uid="{00000000-0005-0000-0000-00008C260000}"/>
    <cellStyle name="Normal 56 4 2 2" xfId="9864" xr:uid="{00000000-0005-0000-0000-00008D260000}"/>
    <cellStyle name="Normal 56 4 2 2 2" xfId="9865" xr:uid="{00000000-0005-0000-0000-00008E260000}"/>
    <cellStyle name="Normal 56 4 2 3" xfId="9866" xr:uid="{00000000-0005-0000-0000-00008F260000}"/>
    <cellStyle name="Normal 56 4 3" xfId="9867" xr:uid="{00000000-0005-0000-0000-000090260000}"/>
    <cellStyle name="Normal 56 4 3 2" xfId="9868" xr:uid="{00000000-0005-0000-0000-000091260000}"/>
    <cellStyle name="Normal 56 4 3 2 2" xfId="9869" xr:uid="{00000000-0005-0000-0000-000092260000}"/>
    <cellStyle name="Normal 56 4 3 3" xfId="9870" xr:uid="{00000000-0005-0000-0000-000093260000}"/>
    <cellStyle name="Normal 56 4 4" xfId="9871" xr:uid="{00000000-0005-0000-0000-000094260000}"/>
    <cellStyle name="Normal 56 4 4 2" xfId="9872" xr:uid="{00000000-0005-0000-0000-000095260000}"/>
    <cellStyle name="Normal 56 4 5" xfId="9873" xr:uid="{00000000-0005-0000-0000-000096260000}"/>
    <cellStyle name="Normal 56 5" xfId="9874" xr:uid="{00000000-0005-0000-0000-000097260000}"/>
    <cellStyle name="Normal 56 5 2" xfId="9875" xr:uid="{00000000-0005-0000-0000-000098260000}"/>
    <cellStyle name="Normal 56 5 2 2" xfId="9876" xr:uid="{00000000-0005-0000-0000-000099260000}"/>
    <cellStyle name="Normal 56 5 3" xfId="9877" xr:uid="{00000000-0005-0000-0000-00009A260000}"/>
    <cellStyle name="Normal 56 6" xfId="9878" xr:uid="{00000000-0005-0000-0000-00009B260000}"/>
    <cellStyle name="Normal 56 6 2" xfId="9879" xr:uid="{00000000-0005-0000-0000-00009C260000}"/>
    <cellStyle name="Normal 56 6 2 2" xfId="9880" xr:uid="{00000000-0005-0000-0000-00009D260000}"/>
    <cellStyle name="Normal 56 6 3" xfId="9881" xr:uid="{00000000-0005-0000-0000-00009E260000}"/>
    <cellStyle name="Normal 56 7" xfId="9882" xr:uid="{00000000-0005-0000-0000-00009F260000}"/>
    <cellStyle name="Normal 56 7 2" xfId="9883" xr:uid="{00000000-0005-0000-0000-0000A0260000}"/>
    <cellStyle name="Normal 56 8" xfId="9884" xr:uid="{00000000-0005-0000-0000-0000A1260000}"/>
    <cellStyle name="Normal 56 9" xfId="9885" xr:uid="{00000000-0005-0000-0000-0000A2260000}"/>
    <cellStyle name="Normal 57" xfId="9886" xr:uid="{00000000-0005-0000-0000-0000A3260000}"/>
    <cellStyle name="Normal 57 2" xfId="9887" xr:uid="{00000000-0005-0000-0000-0000A4260000}"/>
    <cellStyle name="Normal 57 2 2" xfId="9888" xr:uid="{00000000-0005-0000-0000-0000A5260000}"/>
    <cellStyle name="Normal 57 2 2 2" xfId="9889" xr:uid="{00000000-0005-0000-0000-0000A6260000}"/>
    <cellStyle name="Normal 57 2 2 2 2" xfId="9890" xr:uid="{00000000-0005-0000-0000-0000A7260000}"/>
    <cellStyle name="Normal 57 2 2 2 2 2" xfId="9891" xr:uid="{00000000-0005-0000-0000-0000A8260000}"/>
    <cellStyle name="Normal 57 2 2 2 2 2 2" xfId="9892" xr:uid="{00000000-0005-0000-0000-0000A9260000}"/>
    <cellStyle name="Normal 57 2 2 2 2 3" xfId="9893" xr:uid="{00000000-0005-0000-0000-0000AA260000}"/>
    <cellStyle name="Normal 57 2 2 2 3" xfId="9894" xr:uid="{00000000-0005-0000-0000-0000AB260000}"/>
    <cellStyle name="Normal 57 2 2 2 3 2" xfId="9895" xr:uid="{00000000-0005-0000-0000-0000AC260000}"/>
    <cellStyle name="Normal 57 2 2 2 3 2 2" xfId="9896" xr:uid="{00000000-0005-0000-0000-0000AD260000}"/>
    <cellStyle name="Normal 57 2 2 2 3 3" xfId="9897" xr:uid="{00000000-0005-0000-0000-0000AE260000}"/>
    <cellStyle name="Normal 57 2 2 2 4" xfId="9898" xr:uid="{00000000-0005-0000-0000-0000AF260000}"/>
    <cellStyle name="Normal 57 2 2 2 4 2" xfId="9899" xr:uid="{00000000-0005-0000-0000-0000B0260000}"/>
    <cellStyle name="Normal 57 2 2 2 5" xfId="9900" xr:uid="{00000000-0005-0000-0000-0000B1260000}"/>
    <cellStyle name="Normal 57 2 2 3" xfId="9901" xr:uid="{00000000-0005-0000-0000-0000B2260000}"/>
    <cellStyle name="Normal 57 2 2 3 2" xfId="9902" xr:uid="{00000000-0005-0000-0000-0000B3260000}"/>
    <cellStyle name="Normal 57 2 2 3 2 2" xfId="9903" xr:uid="{00000000-0005-0000-0000-0000B4260000}"/>
    <cellStyle name="Normal 57 2 2 3 3" xfId="9904" xr:uid="{00000000-0005-0000-0000-0000B5260000}"/>
    <cellStyle name="Normal 57 2 2 4" xfId="9905" xr:uid="{00000000-0005-0000-0000-0000B6260000}"/>
    <cellStyle name="Normal 57 2 2 4 2" xfId="9906" xr:uid="{00000000-0005-0000-0000-0000B7260000}"/>
    <cellStyle name="Normal 57 2 2 4 2 2" xfId="9907" xr:uid="{00000000-0005-0000-0000-0000B8260000}"/>
    <cellStyle name="Normal 57 2 2 4 3" xfId="9908" xr:uid="{00000000-0005-0000-0000-0000B9260000}"/>
    <cellStyle name="Normal 57 2 2 5" xfId="9909" xr:uid="{00000000-0005-0000-0000-0000BA260000}"/>
    <cellStyle name="Normal 57 2 2 5 2" xfId="9910" xr:uid="{00000000-0005-0000-0000-0000BB260000}"/>
    <cellStyle name="Normal 57 2 2 6" xfId="9911" xr:uid="{00000000-0005-0000-0000-0000BC260000}"/>
    <cellStyle name="Normal 57 2 3" xfId="9912" xr:uid="{00000000-0005-0000-0000-0000BD260000}"/>
    <cellStyle name="Normal 57 2 3 2" xfId="9913" xr:uid="{00000000-0005-0000-0000-0000BE260000}"/>
    <cellStyle name="Normal 57 2 3 2 2" xfId="9914" xr:uid="{00000000-0005-0000-0000-0000BF260000}"/>
    <cellStyle name="Normal 57 2 3 2 2 2" xfId="9915" xr:uid="{00000000-0005-0000-0000-0000C0260000}"/>
    <cellStyle name="Normal 57 2 3 2 3" xfId="9916" xr:uid="{00000000-0005-0000-0000-0000C1260000}"/>
    <cellStyle name="Normal 57 2 3 3" xfId="9917" xr:uid="{00000000-0005-0000-0000-0000C2260000}"/>
    <cellStyle name="Normal 57 2 3 3 2" xfId="9918" xr:uid="{00000000-0005-0000-0000-0000C3260000}"/>
    <cellStyle name="Normal 57 2 3 3 2 2" xfId="9919" xr:uid="{00000000-0005-0000-0000-0000C4260000}"/>
    <cellStyle name="Normal 57 2 3 3 3" xfId="9920" xr:uid="{00000000-0005-0000-0000-0000C5260000}"/>
    <cellStyle name="Normal 57 2 3 4" xfId="9921" xr:uid="{00000000-0005-0000-0000-0000C6260000}"/>
    <cellStyle name="Normal 57 2 3 4 2" xfId="9922" xr:uid="{00000000-0005-0000-0000-0000C7260000}"/>
    <cellStyle name="Normal 57 2 3 5" xfId="9923" xr:uid="{00000000-0005-0000-0000-0000C8260000}"/>
    <cellStyle name="Normal 57 2 4" xfId="9924" xr:uid="{00000000-0005-0000-0000-0000C9260000}"/>
    <cellStyle name="Normal 57 2 4 2" xfId="9925" xr:uid="{00000000-0005-0000-0000-0000CA260000}"/>
    <cellStyle name="Normal 57 2 4 2 2" xfId="9926" xr:uid="{00000000-0005-0000-0000-0000CB260000}"/>
    <cellStyle name="Normal 57 2 4 3" xfId="9927" xr:uid="{00000000-0005-0000-0000-0000CC260000}"/>
    <cellStyle name="Normal 57 2 5" xfId="9928" xr:uid="{00000000-0005-0000-0000-0000CD260000}"/>
    <cellStyle name="Normal 57 2 5 2" xfId="9929" xr:uid="{00000000-0005-0000-0000-0000CE260000}"/>
    <cellStyle name="Normal 57 2 5 2 2" xfId="9930" xr:uid="{00000000-0005-0000-0000-0000CF260000}"/>
    <cellStyle name="Normal 57 2 5 3" xfId="9931" xr:uid="{00000000-0005-0000-0000-0000D0260000}"/>
    <cellStyle name="Normal 57 2 6" xfId="9932" xr:uid="{00000000-0005-0000-0000-0000D1260000}"/>
    <cellStyle name="Normal 57 2 6 2" xfId="9933" xr:uid="{00000000-0005-0000-0000-0000D2260000}"/>
    <cellStyle name="Normal 57 2 7" xfId="9934" xr:uid="{00000000-0005-0000-0000-0000D3260000}"/>
    <cellStyle name="Normal 57 3" xfId="9935" xr:uid="{00000000-0005-0000-0000-0000D4260000}"/>
    <cellStyle name="Normal 57 3 2" xfId="9936" xr:uid="{00000000-0005-0000-0000-0000D5260000}"/>
    <cellStyle name="Normal 57 3 2 2" xfId="9937" xr:uid="{00000000-0005-0000-0000-0000D6260000}"/>
    <cellStyle name="Normal 57 3 2 2 2" xfId="9938" xr:uid="{00000000-0005-0000-0000-0000D7260000}"/>
    <cellStyle name="Normal 57 3 2 2 2 2" xfId="9939" xr:uid="{00000000-0005-0000-0000-0000D8260000}"/>
    <cellStyle name="Normal 57 3 2 2 3" xfId="9940" xr:uid="{00000000-0005-0000-0000-0000D9260000}"/>
    <cellStyle name="Normal 57 3 2 3" xfId="9941" xr:uid="{00000000-0005-0000-0000-0000DA260000}"/>
    <cellStyle name="Normal 57 3 2 3 2" xfId="9942" xr:uid="{00000000-0005-0000-0000-0000DB260000}"/>
    <cellStyle name="Normal 57 3 2 3 2 2" xfId="9943" xr:uid="{00000000-0005-0000-0000-0000DC260000}"/>
    <cellStyle name="Normal 57 3 2 3 3" xfId="9944" xr:uid="{00000000-0005-0000-0000-0000DD260000}"/>
    <cellStyle name="Normal 57 3 2 4" xfId="9945" xr:uid="{00000000-0005-0000-0000-0000DE260000}"/>
    <cellStyle name="Normal 57 3 2 4 2" xfId="9946" xr:uid="{00000000-0005-0000-0000-0000DF260000}"/>
    <cellStyle name="Normal 57 3 2 5" xfId="9947" xr:uid="{00000000-0005-0000-0000-0000E0260000}"/>
    <cellStyle name="Normal 57 3 3" xfId="9948" xr:uid="{00000000-0005-0000-0000-0000E1260000}"/>
    <cellStyle name="Normal 57 3 3 2" xfId="9949" xr:uid="{00000000-0005-0000-0000-0000E2260000}"/>
    <cellStyle name="Normal 57 3 3 2 2" xfId="9950" xr:uid="{00000000-0005-0000-0000-0000E3260000}"/>
    <cellStyle name="Normal 57 3 3 3" xfId="9951" xr:uid="{00000000-0005-0000-0000-0000E4260000}"/>
    <cellStyle name="Normal 57 3 4" xfId="9952" xr:uid="{00000000-0005-0000-0000-0000E5260000}"/>
    <cellStyle name="Normal 57 3 4 2" xfId="9953" xr:uid="{00000000-0005-0000-0000-0000E6260000}"/>
    <cellStyle name="Normal 57 3 4 2 2" xfId="9954" xr:uid="{00000000-0005-0000-0000-0000E7260000}"/>
    <cellStyle name="Normal 57 3 4 3" xfId="9955" xr:uid="{00000000-0005-0000-0000-0000E8260000}"/>
    <cellStyle name="Normal 57 3 5" xfId="9956" xr:uid="{00000000-0005-0000-0000-0000E9260000}"/>
    <cellStyle name="Normal 57 3 5 2" xfId="9957" xr:uid="{00000000-0005-0000-0000-0000EA260000}"/>
    <cellStyle name="Normal 57 3 6" xfId="9958" xr:uid="{00000000-0005-0000-0000-0000EB260000}"/>
    <cellStyle name="Normal 57 4" xfId="9959" xr:uid="{00000000-0005-0000-0000-0000EC260000}"/>
    <cellStyle name="Normal 57 4 2" xfId="9960" xr:uid="{00000000-0005-0000-0000-0000ED260000}"/>
    <cellStyle name="Normal 57 4 2 2" xfId="9961" xr:uid="{00000000-0005-0000-0000-0000EE260000}"/>
    <cellStyle name="Normal 57 4 2 2 2" xfId="9962" xr:uid="{00000000-0005-0000-0000-0000EF260000}"/>
    <cellStyle name="Normal 57 4 2 3" xfId="9963" xr:uid="{00000000-0005-0000-0000-0000F0260000}"/>
    <cellStyle name="Normal 57 4 3" xfId="9964" xr:uid="{00000000-0005-0000-0000-0000F1260000}"/>
    <cellStyle name="Normal 57 4 3 2" xfId="9965" xr:uid="{00000000-0005-0000-0000-0000F2260000}"/>
    <cellStyle name="Normal 57 4 3 2 2" xfId="9966" xr:uid="{00000000-0005-0000-0000-0000F3260000}"/>
    <cellStyle name="Normal 57 4 3 3" xfId="9967" xr:uid="{00000000-0005-0000-0000-0000F4260000}"/>
    <cellStyle name="Normal 57 4 4" xfId="9968" xr:uid="{00000000-0005-0000-0000-0000F5260000}"/>
    <cellStyle name="Normal 57 4 4 2" xfId="9969" xr:uid="{00000000-0005-0000-0000-0000F6260000}"/>
    <cellStyle name="Normal 57 4 5" xfId="9970" xr:uid="{00000000-0005-0000-0000-0000F7260000}"/>
    <cellStyle name="Normal 57 5" xfId="9971" xr:uid="{00000000-0005-0000-0000-0000F8260000}"/>
    <cellStyle name="Normal 57 5 2" xfId="9972" xr:uid="{00000000-0005-0000-0000-0000F9260000}"/>
    <cellStyle name="Normal 57 5 2 2" xfId="9973" xr:uid="{00000000-0005-0000-0000-0000FA260000}"/>
    <cellStyle name="Normal 57 5 3" xfId="9974" xr:uid="{00000000-0005-0000-0000-0000FB260000}"/>
    <cellStyle name="Normal 57 6" xfId="9975" xr:uid="{00000000-0005-0000-0000-0000FC260000}"/>
    <cellStyle name="Normal 57 6 2" xfId="9976" xr:uid="{00000000-0005-0000-0000-0000FD260000}"/>
    <cellStyle name="Normal 57 6 2 2" xfId="9977" xr:uid="{00000000-0005-0000-0000-0000FE260000}"/>
    <cellStyle name="Normal 57 6 3" xfId="9978" xr:uid="{00000000-0005-0000-0000-0000FF260000}"/>
    <cellStyle name="Normal 57 7" xfId="9979" xr:uid="{00000000-0005-0000-0000-000000270000}"/>
    <cellStyle name="Normal 57 7 2" xfId="9980" xr:uid="{00000000-0005-0000-0000-000001270000}"/>
    <cellStyle name="Normal 57 8" xfId="9981" xr:uid="{00000000-0005-0000-0000-000002270000}"/>
    <cellStyle name="Normal 57 9" xfId="9982" xr:uid="{00000000-0005-0000-0000-000003270000}"/>
    <cellStyle name="Normal 58" xfId="9983" xr:uid="{00000000-0005-0000-0000-000004270000}"/>
    <cellStyle name="Normal 58 2" xfId="9984" xr:uid="{00000000-0005-0000-0000-000005270000}"/>
    <cellStyle name="Normal 58 2 2" xfId="9985" xr:uid="{00000000-0005-0000-0000-000006270000}"/>
    <cellStyle name="Normal 58 2 2 2" xfId="9986" xr:uid="{00000000-0005-0000-0000-000007270000}"/>
    <cellStyle name="Normal 58 2 2 2 2" xfId="9987" xr:uid="{00000000-0005-0000-0000-000008270000}"/>
    <cellStyle name="Normal 58 2 2 2 2 2" xfId="9988" xr:uid="{00000000-0005-0000-0000-000009270000}"/>
    <cellStyle name="Normal 58 2 2 2 2 2 2" xfId="9989" xr:uid="{00000000-0005-0000-0000-00000A270000}"/>
    <cellStyle name="Normal 58 2 2 2 2 3" xfId="9990" xr:uid="{00000000-0005-0000-0000-00000B270000}"/>
    <cellStyle name="Normal 58 2 2 2 3" xfId="9991" xr:uid="{00000000-0005-0000-0000-00000C270000}"/>
    <cellStyle name="Normal 58 2 2 2 3 2" xfId="9992" xr:uid="{00000000-0005-0000-0000-00000D270000}"/>
    <cellStyle name="Normal 58 2 2 2 3 2 2" xfId="9993" xr:uid="{00000000-0005-0000-0000-00000E270000}"/>
    <cellStyle name="Normal 58 2 2 2 3 3" xfId="9994" xr:uid="{00000000-0005-0000-0000-00000F270000}"/>
    <cellStyle name="Normal 58 2 2 2 4" xfId="9995" xr:uid="{00000000-0005-0000-0000-000010270000}"/>
    <cellStyle name="Normal 58 2 2 2 4 2" xfId="9996" xr:uid="{00000000-0005-0000-0000-000011270000}"/>
    <cellStyle name="Normal 58 2 2 2 5" xfId="9997" xr:uid="{00000000-0005-0000-0000-000012270000}"/>
    <cellStyle name="Normal 58 2 2 3" xfId="9998" xr:uid="{00000000-0005-0000-0000-000013270000}"/>
    <cellStyle name="Normal 58 2 2 3 2" xfId="9999" xr:uid="{00000000-0005-0000-0000-000014270000}"/>
    <cellStyle name="Normal 58 2 2 3 2 2" xfId="10000" xr:uid="{00000000-0005-0000-0000-000015270000}"/>
    <cellStyle name="Normal 58 2 2 3 3" xfId="10001" xr:uid="{00000000-0005-0000-0000-000016270000}"/>
    <cellStyle name="Normal 58 2 2 4" xfId="10002" xr:uid="{00000000-0005-0000-0000-000017270000}"/>
    <cellStyle name="Normal 58 2 2 4 2" xfId="10003" xr:uid="{00000000-0005-0000-0000-000018270000}"/>
    <cellStyle name="Normal 58 2 2 4 2 2" xfId="10004" xr:uid="{00000000-0005-0000-0000-000019270000}"/>
    <cellStyle name="Normal 58 2 2 4 3" xfId="10005" xr:uid="{00000000-0005-0000-0000-00001A270000}"/>
    <cellStyle name="Normal 58 2 2 5" xfId="10006" xr:uid="{00000000-0005-0000-0000-00001B270000}"/>
    <cellStyle name="Normal 58 2 2 5 2" xfId="10007" xr:uid="{00000000-0005-0000-0000-00001C270000}"/>
    <cellStyle name="Normal 58 2 2 6" xfId="10008" xr:uid="{00000000-0005-0000-0000-00001D270000}"/>
    <cellStyle name="Normal 58 2 3" xfId="10009" xr:uid="{00000000-0005-0000-0000-00001E270000}"/>
    <cellStyle name="Normal 58 2 3 2" xfId="10010" xr:uid="{00000000-0005-0000-0000-00001F270000}"/>
    <cellStyle name="Normal 58 2 3 2 2" xfId="10011" xr:uid="{00000000-0005-0000-0000-000020270000}"/>
    <cellStyle name="Normal 58 2 3 2 2 2" xfId="10012" xr:uid="{00000000-0005-0000-0000-000021270000}"/>
    <cellStyle name="Normal 58 2 3 2 3" xfId="10013" xr:uid="{00000000-0005-0000-0000-000022270000}"/>
    <cellStyle name="Normal 58 2 3 3" xfId="10014" xr:uid="{00000000-0005-0000-0000-000023270000}"/>
    <cellStyle name="Normal 58 2 3 3 2" xfId="10015" xr:uid="{00000000-0005-0000-0000-000024270000}"/>
    <cellStyle name="Normal 58 2 3 3 2 2" xfId="10016" xr:uid="{00000000-0005-0000-0000-000025270000}"/>
    <cellStyle name="Normal 58 2 3 3 3" xfId="10017" xr:uid="{00000000-0005-0000-0000-000026270000}"/>
    <cellStyle name="Normal 58 2 3 4" xfId="10018" xr:uid="{00000000-0005-0000-0000-000027270000}"/>
    <cellStyle name="Normal 58 2 3 4 2" xfId="10019" xr:uid="{00000000-0005-0000-0000-000028270000}"/>
    <cellStyle name="Normal 58 2 3 5" xfId="10020" xr:uid="{00000000-0005-0000-0000-000029270000}"/>
    <cellStyle name="Normal 58 2 4" xfId="10021" xr:uid="{00000000-0005-0000-0000-00002A270000}"/>
    <cellStyle name="Normal 58 2 4 2" xfId="10022" xr:uid="{00000000-0005-0000-0000-00002B270000}"/>
    <cellStyle name="Normal 58 2 4 2 2" xfId="10023" xr:uid="{00000000-0005-0000-0000-00002C270000}"/>
    <cellStyle name="Normal 58 2 4 3" xfId="10024" xr:uid="{00000000-0005-0000-0000-00002D270000}"/>
    <cellStyle name="Normal 58 2 5" xfId="10025" xr:uid="{00000000-0005-0000-0000-00002E270000}"/>
    <cellStyle name="Normal 58 2 5 2" xfId="10026" xr:uid="{00000000-0005-0000-0000-00002F270000}"/>
    <cellStyle name="Normal 58 2 5 2 2" xfId="10027" xr:uid="{00000000-0005-0000-0000-000030270000}"/>
    <cellStyle name="Normal 58 2 5 3" xfId="10028" xr:uid="{00000000-0005-0000-0000-000031270000}"/>
    <cellStyle name="Normal 58 2 6" xfId="10029" xr:uid="{00000000-0005-0000-0000-000032270000}"/>
    <cellStyle name="Normal 58 2 6 2" xfId="10030" xr:uid="{00000000-0005-0000-0000-000033270000}"/>
    <cellStyle name="Normal 58 2 7" xfId="10031" xr:uid="{00000000-0005-0000-0000-000034270000}"/>
    <cellStyle name="Normal 58 3" xfId="10032" xr:uid="{00000000-0005-0000-0000-000035270000}"/>
    <cellStyle name="Normal 58 3 2" xfId="10033" xr:uid="{00000000-0005-0000-0000-000036270000}"/>
    <cellStyle name="Normal 58 3 2 2" xfId="10034" xr:uid="{00000000-0005-0000-0000-000037270000}"/>
    <cellStyle name="Normal 58 3 2 2 2" xfId="10035" xr:uid="{00000000-0005-0000-0000-000038270000}"/>
    <cellStyle name="Normal 58 3 2 2 2 2" xfId="10036" xr:uid="{00000000-0005-0000-0000-000039270000}"/>
    <cellStyle name="Normal 58 3 2 2 3" xfId="10037" xr:uid="{00000000-0005-0000-0000-00003A270000}"/>
    <cellStyle name="Normal 58 3 2 3" xfId="10038" xr:uid="{00000000-0005-0000-0000-00003B270000}"/>
    <cellStyle name="Normal 58 3 2 3 2" xfId="10039" xr:uid="{00000000-0005-0000-0000-00003C270000}"/>
    <cellStyle name="Normal 58 3 2 3 2 2" xfId="10040" xr:uid="{00000000-0005-0000-0000-00003D270000}"/>
    <cellStyle name="Normal 58 3 2 3 3" xfId="10041" xr:uid="{00000000-0005-0000-0000-00003E270000}"/>
    <cellStyle name="Normal 58 3 2 4" xfId="10042" xr:uid="{00000000-0005-0000-0000-00003F270000}"/>
    <cellStyle name="Normal 58 3 2 4 2" xfId="10043" xr:uid="{00000000-0005-0000-0000-000040270000}"/>
    <cellStyle name="Normal 58 3 2 5" xfId="10044" xr:uid="{00000000-0005-0000-0000-000041270000}"/>
    <cellStyle name="Normal 58 3 3" xfId="10045" xr:uid="{00000000-0005-0000-0000-000042270000}"/>
    <cellStyle name="Normal 58 3 3 2" xfId="10046" xr:uid="{00000000-0005-0000-0000-000043270000}"/>
    <cellStyle name="Normal 58 3 3 2 2" xfId="10047" xr:uid="{00000000-0005-0000-0000-000044270000}"/>
    <cellStyle name="Normal 58 3 3 3" xfId="10048" xr:uid="{00000000-0005-0000-0000-000045270000}"/>
    <cellStyle name="Normal 58 3 4" xfId="10049" xr:uid="{00000000-0005-0000-0000-000046270000}"/>
    <cellStyle name="Normal 58 3 4 2" xfId="10050" xr:uid="{00000000-0005-0000-0000-000047270000}"/>
    <cellStyle name="Normal 58 3 4 2 2" xfId="10051" xr:uid="{00000000-0005-0000-0000-000048270000}"/>
    <cellStyle name="Normal 58 3 4 3" xfId="10052" xr:uid="{00000000-0005-0000-0000-000049270000}"/>
    <cellStyle name="Normal 58 3 5" xfId="10053" xr:uid="{00000000-0005-0000-0000-00004A270000}"/>
    <cellStyle name="Normal 58 3 5 2" xfId="10054" xr:uid="{00000000-0005-0000-0000-00004B270000}"/>
    <cellStyle name="Normal 58 3 6" xfId="10055" xr:uid="{00000000-0005-0000-0000-00004C270000}"/>
    <cellStyle name="Normal 58 4" xfId="10056" xr:uid="{00000000-0005-0000-0000-00004D270000}"/>
    <cellStyle name="Normal 58 4 2" xfId="10057" xr:uid="{00000000-0005-0000-0000-00004E270000}"/>
    <cellStyle name="Normal 58 4 2 2" xfId="10058" xr:uid="{00000000-0005-0000-0000-00004F270000}"/>
    <cellStyle name="Normal 58 4 2 2 2" xfId="10059" xr:uid="{00000000-0005-0000-0000-000050270000}"/>
    <cellStyle name="Normal 58 4 2 3" xfId="10060" xr:uid="{00000000-0005-0000-0000-000051270000}"/>
    <cellStyle name="Normal 58 4 3" xfId="10061" xr:uid="{00000000-0005-0000-0000-000052270000}"/>
    <cellStyle name="Normal 58 4 3 2" xfId="10062" xr:uid="{00000000-0005-0000-0000-000053270000}"/>
    <cellStyle name="Normal 58 4 3 2 2" xfId="10063" xr:uid="{00000000-0005-0000-0000-000054270000}"/>
    <cellStyle name="Normal 58 4 3 3" xfId="10064" xr:uid="{00000000-0005-0000-0000-000055270000}"/>
    <cellStyle name="Normal 58 4 4" xfId="10065" xr:uid="{00000000-0005-0000-0000-000056270000}"/>
    <cellStyle name="Normal 58 4 4 2" xfId="10066" xr:uid="{00000000-0005-0000-0000-000057270000}"/>
    <cellStyle name="Normal 58 4 5" xfId="10067" xr:uid="{00000000-0005-0000-0000-000058270000}"/>
    <cellStyle name="Normal 58 5" xfId="10068" xr:uid="{00000000-0005-0000-0000-000059270000}"/>
    <cellStyle name="Normal 58 5 2" xfId="10069" xr:uid="{00000000-0005-0000-0000-00005A270000}"/>
    <cellStyle name="Normal 58 5 2 2" xfId="10070" xr:uid="{00000000-0005-0000-0000-00005B270000}"/>
    <cellStyle name="Normal 58 5 3" xfId="10071" xr:uid="{00000000-0005-0000-0000-00005C270000}"/>
    <cellStyle name="Normal 58 6" xfId="10072" xr:uid="{00000000-0005-0000-0000-00005D270000}"/>
    <cellStyle name="Normal 58 6 2" xfId="10073" xr:uid="{00000000-0005-0000-0000-00005E270000}"/>
    <cellStyle name="Normal 58 6 2 2" xfId="10074" xr:uid="{00000000-0005-0000-0000-00005F270000}"/>
    <cellStyle name="Normal 58 6 3" xfId="10075" xr:uid="{00000000-0005-0000-0000-000060270000}"/>
    <cellStyle name="Normal 58 7" xfId="10076" xr:uid="{00000000-0005-0000-0000-000061270000}"/>
    <cellStyle name="Normal 58 7 2" xfId="10077" xr:uid="{00000000-0005-0000-0000-000062270000}"/>
    <cellStyle name="Normal 58 8" xfId="10078" xr:uid="{00000000-0005-0000-0000-000063270000}"/>
    <cellStyle name="Normal 58 9" xfId="10079" xr:uid="{00000000-0005-0000-0000-000064270000}"/>
    <cellStyle name="Normal 59" xfId="10080" xr:uid="{00000000-0005-0000-0000-000065270000}"/>
    <cellStyle name="Normal 59 2" xfId="10081" xr:uid="{00000000-0005-0000-0000-000066270000}"/>
    <cellStyle name="Normal 59 2 2" xfId="10082" xr:uid="{00000000-0005-0000-0000-000067270000}"/>
    <cellStyle name="Normal 59 2 2 2" xfId="10083" xr:uid="{00000000-0005-0000-0000-000068270000}"/>
    <cellStyle name="Normal 59 2 2 2 2" xfId="10084" xr:uid="{00000000-0005-0000-0000-000069270000}"/>
    <cellStyle name="Normal 59 2 2 2 2 2" xfId="10085" xr:uid="{00000000-0005-0000-0000-00006A270000}"/>
    <cellStyle name="Normal 59 2 2 2 2 2 2" xfId="10086" xr:uid="{00000000-0005-0000-0000-00006B270000}"/>
    <cellStyle name="Normal 59 2 2 2 2 3" xfId="10087" xr:uid="{00000000-0005-0000-0000-00006C270000}"/>
    <cellStyle name="Normal 59 2 2 2 3" xfId="10088" xr:uid="{00000000-0005-0000-0000-00006D270000}"/>
    <cellStyle name="Normal 59 2 2 2 3 2" xfId="10089" xr:uid="{00000000-0005-0000-0000-00006E270000}"/>
    <cellStyle name="Normal 59 2 2 2 3 2 2" xfId="10090" xr:uid="{00000000-0005-0000-0000-00006F270000}"/>
    <cellStyle name="Normal 59 2 2 2 3 3" xfId="10091" xr:uid="{00000000-0005-0000-0000-000070270000}"/>
    <cellStyle name="Normal 59 2 2 2 4" xfId="10092" xr:uid="{00000000-0005-0000-0000-000071270000}"/>
    <cellStyle name="Normal 59 2 2 2 4 2" xfId="10093" xr:uid="{00000000-0005-0000-0000-000072270000}"/>
    <cellStyle name="Normal 59 2 2 2 5" xfId="10094" xr:uid="{00000000-0005-0000-0000-000073270000}"/>
    <cellStyle name="Normal 59 2 2 3" xfId="10095" xr:uid="{00000000-0005-0000-0000-000074270000}"/>
    <cellStyle name="Normal 59 2 2 3 2" xfId="10096" xr:uid="{00000000-0005-0000-0000-000075270000}"/>
    <cellStyle name="Normal 59 2 2 3 2 2" xfId="10097" xr:uid="{00000000-0005-0000-0000-000076270000}"/>
    <cellStyle name="Normal 59 2 2 3 3" xfId="10098" xr:uid="{00000000-0005-0000-0000-000077270000}"/>
    <cellStyle name="Normal 59 2 2 4" xfId="10099" xr:uid="{00000000-0005-0000-0000-000078270000}"/>
    <cellStyle name="Normal 59 2 2 4 2" xfId="10100" xr:uid="{00000000-0005-0000-0000-000079270000}"/>
    <cellStyle name="Normal 59 2 2 4 2 2" xfId="10101" xr:uid="{00000000-0005-0000-0000-00007A270000}"/>
    <cellStyle name="Normal 59 2 2 4 3" xfId="10102" xr:uid="{00000000-0005-0000-0000-00007B270000}"/>
    <cellStyle name="Normal 59 2 2 5" xfId="10103" xr:uid="{00000000-0005-0000-0000-00007C270000}"/>
    <cellStyle name="Normal 59 2 2 5 2" xfId="10104" xr:uid="{00000000-0005-0000-0000-00007D270000}"/>
    <cellStyle name="Normal 59 2 2 6" xfId="10105" xr:uid="{00000000-0005-0000-0000-00007E270000}"/>
    <cellStyle name="Normal 59 2 3" xfId="10106" xr:uid="{00000000-0005-0000-0000-00007F270000}"/>
    <cellStyle name="Normal 59 2 3 2" xfId="10107" xr:uid="{00000000-0005-0000-0000-000080270000}"/>
    <cellStyle name="Normal 59 2 3 2 2" xfId="10108" xr:uid="{00000000-0005-0000-0000-000081270000}"/>
    <cellStyle name="Normal 59 2 3 2 2 2" xfId="10109" xr:uid="{00000000-0005-0000-0000-000082270000}"/>
    <cellStyle name="Normal 59 2 3 2 3" xfId="10110" xr:uid="{00000000-0005-0000-0000-000083270000}"/>
    <cellStyle name="Normal 59 2 3 3" xfId="10111" xr:uid="{00000000-0005-0000-0000-000084270000}"/>
    <cellStyle name="Normal 59 2 3 3 2" xfId="10112" xr:uid="{00000000-0005-0000-0000-000085270000}"/>
    <cellStyle name="Normal 59 2 3 3 2 2" xfId="10113" xr:uid="{00000000-0005-0000-0000-000086270000}"/>
    <cellStyle name="Normal 59 2 3 3 3" xfId="10114" xr:uid="{00000000-0005-0000-0000-000087270000}"/>
    <cellStyle name="Normal 59 2 3 4" xfId="10115" xr:uid="{00000000-0005-0000-0000-000088270000}"/>
    <cellStyle name="Normal 59 2 3 4 2" xfId="10116" xr:uid="{00000000-0005-0000-0000-000089270000}"/>
    <cellStyle name="Normal 59 2 3 5" xfId="10117" xr:uid="{00000000-0005-0000-0000-00008A270000}"/>
    <cellStyle name="Normal 59 2 4" xfId="10118" xr:uid="{00000000-0005-0000-0000-00008B270000}"/>
    <cellStyle name="Normal 59 2 4 2" xfId="10119" xr:uid="{00000000-0005-0000-0000-00008C270000}"/>
    <cellStyle name="Normal 59 2 4 2 2" xfId="10120" xr:uid="{00000000-0005-0000-0000-00008D270000}"/>
    <cellStyle name="Normal 59 2 4 3" xfId="10121" xr:uid="{00000000-0005-0000-0000-00008E270000}"/>
    <cellStyle name="Normal 59 2 5" xfId="10122" xr:uid="{00000000-0005-0000-0000-00008F270000}"/>
    <cellStyle name="Normal 59 2 5 2" xfId="10123" xr:uid="{00000000-0005-0000-0000-000090270000}"/>
    <cellStyle name="Normal 59 2 5 2 2" xfId="10124" xr:uid="{00000000-0005-0000-0000-000091270000}"/>
    <cellStyle name="Normal 59 2 5 3" xfId="10125" xr:uid="{00000000-0005-0000-0000-000092270000}"/>
    <cellStyle name="Normal 59 2 6" xfId="10126" xr:uid="{00000000-0005-0000-0000-000093270000}"/>
    <cellStyle name="Normal 59 2 6 2" xfId="10127" xr:uid="{00000000-0005-0000-0000-000094270000}"/>
    <cellStyle name="Normal 59 2 7" xfId="10128" xr:uid="{00000000-0005-0000-0000-000095270000}"/>
    <cellStyle name="Normal 59 3" xfId="10129" xr:uid="{00000000-0005-0000-0000-000096270000}"/>
    <cellStyle name="Normal 59 3 2" xfId="10130" xr:uid="{00000000-0005-0000-0000-000097270000}"/>
    <cellStyle name="Normal 59 3 2 2" xfId="10131" xr:uid="{00000000-0005-0000-0000-000098270000}"/>
    <cellStyle name="Normal 59 3 2 2 2" xfId="10132" xr:uid="{00000000-0005-0000-0000-000099270000}"/>
    <cellStyle name="Normal 59 3 2 2 2 2" xfId="10133" xr:uid="{00000000-0005-0000-0000-00009A270000}"/>
    <cellStyle name="Normal 59 3 2 2 3" xfId="10134" xr:uid="{00000000-0005-0000-0000-00009B270000}"/>
    <cellStyle name="Normal 59 3 2 3" xfId="10135" xr:uid="{00000000-0005-0000-0000-00009C270000}"/>
    <cellStyle name="Normal 59 3 2 3 2" xfId="10136" xr:uid="{00000000-0005-0000-0000-00009D270000}"/>
    <cellStyle name="Normal 59 3 2 3 2 2" xfId="10137" xr:uid="{00000000-0005-0000-0000-00009E270000}"/>
    <cellStyle name="Normal 59 3 2 3 3" xfId="10138" xr:uid="{00000000-0005-0000-0000-00009F270000}"/>
    <cellStyle name="Normal 59 3 2 4" xfId="10139" xr:uid="{00000000-0005-0000-0000-0000A0270000}"/>
    <cellStyle name="Normal 59 3 2 4 2" xfId="10140" xr:uid="{00000000-0005-0000-0000-0000A1270000}"/>
    <cellStyle name="Normal 59 3 2 5" xfId="10141" xr:uid="{00000000-0005-0000-0000-0000A2270000}"/>
    <cellStyle name="Normal 59 3 3" xfId="10142" xr:uid="{00000000-0005-0000-0000-0000A3270000}"/>
    <cellStyle name="Normal 59 3 3 2" xfId="10143" xr:uid="{00000000-0005-0000-0000-0000A4270000}"/>
    <cellStyle name="Normal 59 3 3 2 2" xfId="10144" xr:uid="{00000000-0005-0000-0000-0000A5270000}"/>
    <cellStyle name="Normal 59 3 3 3" xfId="10145" xr:uid="{00000000-0005-0000-0000-0000A6270000}"/>
    <cellStyle name="Normal 59 3 4" xfId="10146" xr:uid="{00000000-0005-0000-0000-0000A7270000}"/>
    <cellStyle name="Normal 59 3 4 2" xfId="10147" xr:uid="{00000000-0005-0000-0000-0000A8270000}"/>
    <cellStyle name="Normal 59 3 4 2 2" xfId="10148" xr:uid="{00000000-0005-0000-0000-0000A9270000}"/>
    <cellStyle name="Normal 59 3 4 3" xfId="10149" xr:uid="{00000000-0005-0000-0000-0000AA270000}"/>
    <cellStyle name="Normal 59 3 5" xfId="10150" xr:uid="{00000000-0005-0000-0000-0000AB270000}"/>
    <cellStyle name="Normal 59 3 5 2" xfId="10151" xr:uid="{00000000-0005-0000-0000-0000AC270000}"/>
    <cellStyle name="Normal 59 3 6" xfId="10152" xr:uid="{00000000-0005-0000-0000-0000AD270000}"/>
    <cellStyle name="Normal 59 4" xfId="10153" xr:uid="{00000000-0005-0000-0000-0000AE270000}"/>
    <cellStyle name="Normal 59 4 2" xfId="10154" xr:uid="{00000000-0005-0000-0000-0000AF270000}"/>
    <cellStyle name="Normal 59 4 2 2" xfId="10155" xr:uid="{00000000-0005-0000-0000-0000B0270000}"/>
    <cellStyle name="Normal 59 4 2 2 2" xfId="10156" xr:uid="{00000000-0005-0000-0000-0000B1270000}"/>
    <cellStyle name="Normal 59 4 2 3" xfId="10157" xr:uid="{00000000-0005-0000-0000-0000B2270000}"/>
    <cellStyle name="Normal 59 4 3" xfId="10158" xr:uid="{00000000-0005-0000-0000-0000B3270000}"/>
    <cellStyle name="Normal 59 4 3 2" xfId="10159" xr:uid="{00000000-0005-0000-0000-0000B4270000}"/>
    <cellStyle name="Normal 59 4 3 2 2" xfId="10160" xr:uid="{00000000-0005-0000-0000-0000B5270000}"/>
    <cellStyle name="Normal 59 4 3 3" xfId="10161" xr:uid="{00000000-0005-0000-0000-0000B6270000}"/>
    <cellStyle name="Normal 59 4 4" xfId="10162" xr:uid="{00000000-0005-0000-0000-0000B7270000}"/>
    <cellStyle name="Normal 59 4 4 2" xfId="10163" xr:uid="{00000000-0005-0000-0000-0000B8270000}"/>
    <cellStyle name="Normal 59 4 5" xfId="10164" xr:uid="{00000000-0005-0000-0000-0000B9270000}"/>
    <cellStyle name="Normal 59 5" xfId="10165" xr:uid="{00000000-0005-0000-0000-0000BA270000}"/>
    <cellStyle name="Normal 59 5 2" xfId="10166" xr:uid="{00000000-0005-0000-0000-0000BB270000}"/>
    <cellStyle name="Normal 59 5 2 2" xfId="10167" xr:uid="{00000000-0005-0000-0000-0000BC270000}"/>
    <cellStyle name="Normal 59 5 3" xfId="10168" xr:uid="{00000000-0005-0000-0000-0000BD270000}"/>
    <cellStyle name="Normal 59 6" xfId="10169" xr:uid="{00000000-0005-0000-0000-0000BE270000}"/>
    <cellStyle name="Normal 59 6 2" xfId="10170" xr:uid="{00000000-0005-0000-0000-0000BF270000}"/>
    <cellStyle name="Normal 59 6 2 2" xfId="10171" xr:uid="{00000000-0005-0000-0000-0000C0270000}"/>
    <cellStyle name="Normal 59 6 3" xfId="10172" xr:uid="{00000000-0005-0000-0000-0000C1270000}"/>
    <cellStyle name="Normal 59 7" xfId="10173" xr:uid="{00000000-0005-0000-0000-0000C2270000}"/>
    <cellStyle name="Normal 59 7 2" xfId="10174" xr:uid="{00000000-0005-0000-0000-0000C3270000}"/>
    <cellStyle name="Normal 59 8" xfId="10175" xr:uid="{00000000-0005-0000-0000-0000C4270000}"/>
    <cellStyle name="Normal 59 9" xfId="10176" xr:uid="{00000000-0005-0000-0000-0000C5270000}"/>
    <cellStyle name="Normal 6" xfId="10177" xr:uid="{00000000-0005-0000-0000-0000C6270000}"/>
    <cellStyle name="Normal 6 10" xfId="10178" xr:uid="{00000000-0005-0000-0000-0000C7270000}"/>
    <cellStyle name="Normal 6 10 2" xfId="10179" xr:uid="{00000000-0005-0000-0000-0000C8270000}"/>
    <cellStyle name="Normal 6 11" xfId="10180" xr:uid="{00000000-0005-0000-0000-0000C9270000}"/>
    <cellStyle name="Normal 6 12" xfId="10181" xr:uid="{00000000-0005-0000-0000-0000CA270000}"/>
    <cellStyle name="Normal 6 2" xfId="10182" xr:uid="{00000000-0005-0000-0000-0000CB270000}"/>
    <cellStyle name="Normal 6 2 10" xfId="10183" xr:uid="{00000000-0005-0000-0000-0000CC270000}"/>
    <cellStyle name="Normal 6 2 2" xfId="10184" xr:uid="{00000000-0005-0000-0000-0000CD270000}"/>
    <cellStyle name="Normal 6 2 2 2" xfId="10185" xr:uid="{00000000-0005-0000-0000-0000CE270000}"/>
    <cellStyle name="Normal 6 2 2 2 2" xfId="10186" xr:uid="{00000000-0005-0000-0000-0000CF270000}"/>
    <cellStyle name="Normal 6 2 2 2 2 2" xfId="10187" xr:uid="{00000000-0005-0000-0000-0000D0270000}"/>
    <cellStyle name="Normal 6 2 2 2 2 2 2" xfId="10188" xr:uid="{00000000-0005-0000-0000-0000D1270000}"/>
    <cellStyle name="Normal 6 2 2 2 2 2 2 2" xfId="10189" xr:uid="{00000000-0005-0000-0000-0000D2270000}"/>
    <cellStyle name="Normal 6 2 2 2 2 2 2 2 2" xfId="10190" xr:uid="{00000000-0005-0000-0000-0000D3270000}"/>
    <cellStyle name="Normal 6 2 2 2 2 2 2 3" xfId="10191" xr:uid="{00000000-0005-0000-0000-0000D4270000}"/>
    <cellStyle name="Normal 6 2 2 2 2 2 3" xfId="10192" xr:uid="{00000000-0005-0000-0000-0000D5270000}"/>
    <cellStyle name="Normal 6 2 2 2 2 2 3 2" xfId="10193" xr:uid="{00000000-0005-0000-0000-0000D6270000}"/>
    <cellStyle name="Normal 6 2 2 2 2 2 3 2 2" xfId="10194" xr:uid="{00000000-0005-0000-0000-0000D7270000}"/>
    <cellStyle name="Normal 6 2 2 2 2 2 3 3" xfId="10195" xr:uid="{00000000-0005-0000-0000-0000D8270000}"/>
    <cellStyle name="Normal 6 2 2 2 2 2 4" xfId="10196" xr:uid="{00000000-0005-0000-0000-0000D9270000}"/>
    <cellStyle name="Normal 6 2 2 2 2 2 4 2" xfId="10197" xr:uid="{00000000-0005-0000-0000-0000DA270000}"/>
    <cellStyle name="Normal 6 2 2 2 2 2 5" xfId="10198" xr:uid="{00000000-0005-0000-0000-0000DB270000}"/>
    <cellStyle name="Normal 6 2 2 2 2 3" xfId="10199" xr:uid="{00000000-0005-0000-0000-0000DC270000}"/>
    <cellStyle name="Normal 6 2 2 2 2 3 2" xfId="10200" xr:uid="{00000000-0005-0000-0000-0000DD270000}"/>
    <cellStyle name="Normal 6 2 2 2 2 3 2 2" xfId="10201" xr:uid="{00000000-0005-0000-0000-0000DE270000}"/>
    <cellStyle name="Normal 6 2 2 2 2 3 3" xfId="10202" xr:uid="{00000000-0005-0000-0000-0000DF270000}"/>
    <cellStyle name="Normal 6 2 2 2 2 4" xfId="10203" xr:uid="{00000000-0005-0000-0000-0000E0270000}"/>
    <cellStyle name="Normal 6 2 2 2 2 4 2" xfId="10204" xr:uid="{00000000-0005-0000-0000-0000E1270000}"/>
    <cellStyle name="Normal 6 2 2 2 2 4 2 2" xfId="10205" xr:uid="{00000000-0005-0000-0000-0000E2270000}"/>
    <cellStyle name="Normal 6 2 2 2 2 4 3" xfId="10206" xr:uid="{00000000-0005-0000-0000-0000E3270000}"/>
    <cellStyle name="Normal 6 2 2 2 2 5" xfId="10207" xr:uid="{00000000-0005-0000-0000-0000E4270000}"/>
    <cellStyle name="Normal 6 2 2 2 2 5 2" xfId="10208" xr:uid="{00000000-0005-0000-0000-0000E5270000}"/>
    <cellStyle name="Normal 6 2 2 2 2 6" xfId="10209" xr:uid="{00000000-0005-0000-0000-0000E6270000}"/>
    <cellStyle name="Normal 6 2 2 2 3" xfId="10210" xr:uid="{00000000-0005-0000-0000-0000E7270000}"/>
    <cellStyle name="Normal 6 2 2 2 3 2" xfId="10211" xr:uid="{00000000-0005-0000-0000-0000E8270000}"/>
    <cellStyle name="Normal 6 2 2 2 3 2 2" xfId="10212" xr:uid="{00000000-0005-0000-0000-0000E9270000}"/>
    <cellStyle name="Normal 6 2 2 2 3 2 2 2" xfId="10213" xr:uid="{00000000-0005-0000-0000-0000EA270000}"/>
    <cellStyle name="Normal 6 2 2 2 3 2 3" xfId="10214" xr:uid="{00000000-0005-0000-0000-0000EB270000}"/>
    <cellStyle name="Normal 6 2 2 2 3 3" xfId="10215" xr:uid="{00000000-0005-0000-0000-0000EC270000}"/>
    <cellStyle name="Normal 6 2 2 2 3 3 2" xfId="10216" xr:uid="{00000000-0005-0000-0000-0000ED270000}"/>
    <cellStyle name="Normal 6 2 2 2 3 3 2 2" xfId="10217" xr:uid="{00000000-0005-0000-0000-0000EE270000}"/>
    <cellStyle name="Normal 6 2 2 2 3 3 3" xfId="10218" xr:uid="{00000000-0005-0000-0000-0000EF270000}"/>
    <cellStyle name="Normal 6 2 2 2 3 4" xfId="10219" xr:uid="{00000000-0005-0000-0000-0000F0270000}"/>
    <cellStyle name="Normal 6 2 2 2 3 4 2" xfId="10220" xr:uid="{00000000-0005-0000-0000-0000F1270000}"/>
    <cellStyle name="Normal 6 2 2 2 3 5" xfId="10221" xr:uid="{00000000-0005-0000-0000-0000F2270000}"/>
    <cellStyle name="Normal 6 2 2 2 4" xfId="10222" xr:uid="{00000000-0005-0000-0000-0000F3270000}"/>
    <cellStyle name="Normal 6 2 2 2 4 2" xfId="10223" xr:uid="{00000000-0005-0000-0000-0000F4270000}"/>
    <cellStyle name="Normal 6 2 2 2 4 2 2" xfId="10224" xr:uid="{00000000-0005-0000-0000-0000F5270000}"/>
    <cellStyle name="Normal 6 2 2 2 4 3" xfId="10225" xr:uid="{00000000-0005-0000-0000-0000F6270000}"/>
    <cellStyle name="Normal 6 2 2 2 5" xfId="10226" xr:uid="{00000000-0005-0000-0000-0000F7270000}"/>
    <cellStyle name="Normal 6 2 2 2 5 2" xfId="10227" xr:uid="{00000000-0005-0000-0000-0000F8270000}"/>
    <cellStyle name="Normal 6 2 2 2 5 2 2" xfId="10228" xr:uid="{00000000-0005-0000-0000-0000F9270000}"/>
    <cellStyle name="Normal 6 2 2 2 5 3" xfId="10229" xr:uid="{00000000-0005-0000-0000-0000FA270000}"/>
    <cellStyle name="Normal 6 2 2 2 6" xfId="10230" xr:uid="{00000000-0005-0000-0000-0000FB270000}"/>
    <cellStyle name="Normal 6 2 2 2 6 2" xfId="10231" xr:uid="{00000000-0005-0000-0000-0000FC270000}"/>
    <cellStyle name="Normal 6 2 2 2 7" xfId="10232" xr:uid="{00000000-0005-0000-0000-0000FD270000}"/>
    <cellStyle name="Normal 6 2 2 3" xfId="10233" xr:uid="{00000000-0005-0000-0000-0000FE270000}"/>
    <cellStyle name="Normal 6 2 2 3 2" xfId="10234" xr:uid="{00000000-0005-0000-0000-0000FF270000}"/>
    <cellStyle name="Normal 6 2 2 3 2 2" xfId="10235" xr:uid="{00000000-0005-0000-0000-000000280000}"/>
    <cellStyle name="Normal 6 2 2 3 2 2 2" xfId="10236" xr:uid="{00000000-0005-0000-0000-000001280000}"/>
    <cellStyle name="Normal 6 2 2 3 2 2 2 2" xfId="10237" xr:uid="{00000000-0005-0000-0000-000002280000}"/>
    <cellStyle name="Normal 6 2 2 3 2 2 3" xfId="10238" xr:uid="{00000000-0005-0000-0000-000003280000}"/>
    <cellStyle name="Normal 6 2 2 3 2 3" xfId="10239" xr:uid="{00000000-0005-0000-0000-000004280000}"/>
    <cellStyle name="Normal 6 2 2 3 2 3 2" xfId="10240" xr:uid="{00000000-0005-0000-0000-000005280000}"/>
    <cellStyle name="Normal 6 2 2 3 2 3 2 2" xfId="10241" xr:uid="{00000000-0005-0000-0000-000006280000}"/>
    <cellStyle name="Normal 6 2 2 3 2 3 3" xfId="10242" xr:uid="{00000000-0005-0000-0000-000007280000}"/>
    <cellStyle name="Normal 6 2 2 3 2 4" xfId="10243" xr:uid="{00000000-0005-0000-0000-000008280000}"/>
    <cellStyle name="Normal 6 2 2 3 2 4 2" xfId="10244" xr:uid="{00000000-0005-0000-0000-000009280000}"/>
    <cellStyle name="Normal 6 2 2 3 2 5" xfId="10245" xr:uid="{00000000-0005-0000-0000-00000A280000}"/>
    <cellStyle name="Normal 6 2 2 3 3" xfId="10246" xr:uid="{00000000-0005-0000-0000-00000B280000}"/>
    <cellStyle name="Normal 6 2 2 3 3 2" xfId="10247" xr:uid="{00000000-0005-0000-0000-00000C280000}"/>
    <cellStyle name="Normal 6 2 2 3 3 2 2" xfId="10248" xr:uid="{00000000-0005-0000-0000-00000D280000}"/>
    <cellStyle name="Normal 6 2 2 3 3 3" xfId="10249" xr:uid="{00000000-0005-0000-0000-00000E280000}"/>
    <cellStyle name="Normal 6 2 2 3 4" xfId="10250" xr:uid="{00000000-0005-0000-0000-00000F280000}"/>
    <cellStyle name="Normal 6 2 2 3 4 2" xfId="10251" xr:uid="{00000000-0005-0000-0000-000010280000}"/>
    <cellStyle name="Normal 6 2 2 3 4 2 2" xfId="10252" xr:uid="{00000000-0005-0000-0000-000011280000}"/>
    <cellStyle name="Normal 6 2 2 3 4 3" xfId="10253" xr:uid="{00000000-0005-0000-0000-000012280000}"/>
    <cellStyle name="Normal 6 2 2 3 5" xfId="10254" xr:uid="{00000000-0005-0000-0000-000013280000}"/>
    <cellStyle name="Normal 6 2 2 3 5 2" xfId="10255" xr:uid="{00000000-0005-0000-0000-000014280000}"/>
    <cellStyle name="Normal 6 2 2 3 6" xfId="10256" xr:uid="{00000000-0005-0000-0000-000015280000}"/>
    <cellStyle name="Normal 6 2 2 4" xfId="10257" xr:uid="{00000000-0005-0000-0000-000016280000}"/>
    <cellStyle name="Normal 6 2 2 4 2" xfId="10258" xr:uid="{00000000-0005-0000-0000-000017280000}"/>
    <cellStyle name="Normal 6 2 2 4 2 2" xfId="10259" xr:uid="{00000000-0005-0000-0000-000018280000}"/>
    <cellStyle name="Normal 6 2 2 4 2 2 2" xfId="10260" xr:uid="{00000000-0005-0000-0000-000019280000}"/>
    <cellStyle name="Normal 6 2 2 4 2 3" xfId="10261" xr:uid="{00000000-0005-0000-0000-00001A280000}"/>
    <cellStyle name="Normal 6 2 2 4 3" xfId="10262" xr:uid="{00000000-0005-0000-0000-00001B280000}"/>
    <cellStyle name="Normal 6 2 2 4 3 2" xfId="10263" xr:uid="{00000000-0005-0000-0000-00001C280000}"/>
    <cellStyle name="Normal 6 2 2 4 3 2 2" xfId="10264" xr:uid="{00000000-0005-0000-0000-00001D280000}"/>
    <cellStyle name="Normal 6 2 2 4 3 3" xfId="10265" xr:uid="{00000000-0005-0000-0000-00001E280000}"/>
    <cellStyle name="Normal 6 2 2 4 4" xfId="10266" xr:uid="{00000000-0005-0000-0000-00001F280000}"/>
    <cellStyle name="Normal 6 2 2 4 4 2" xfId="10267" xr:uid="{00000000-0005-0000-0000-000020280000}"/>
    <cellStyle name="Normal 6 2 2 4 5" xfId="10268" xr:uid="{00000000-0005-0000-0000-000021280000}"/>
    <cellStyle name="Normal 6 2 2 5" xfId="10269" xr:uid="{00000000-0005-0000-0000-000022280000}"/>
    <cellStyle name="Normal 6 2 2 5 2" xfId="10270" xr:uid="{00000000-0005-0000-0000-000023280000}"/>
    <cellStyle name="Normal 6 2 2 5 2 2" xfId="10271" xr:uid="{00000000-0005-0000-0000-000024280000}"/>
    <cellStyle name="Normal 6 2 2 5 3" xfId="10272" xr:uid="{00000000-0005-0000-0000-000025280000}"/>
    <cellStyle name="Normal 6 2 2 6" xfId="10273" xr:uid="{00000000-0005-0000-0000-000026280000}"/>
    <cellStyle name="Normal 6 2 2 6 2" xfId="10274" xr:uid="{00000000-0005-0000-0000-000027280000}"/>
    <cellStyle name="Normal 6 2 2 6 2 2" xfId="10275" xr:uid="{00000000-0005-0000-0000-000028280000}"/>
    <cellStyle name="Normal 6 2 2 6 3" xfId="10276" xr:uid="{00000000-0005-0000-0000-000029280000}"/>
    <cellStyle name="Normal 6 2 2 7" xfId="10277" xr:uid="{00000000-0005-0000-0000-00002A280000}"/>
    <cellStyle name="Normal 6 2 2 7 2" xfId="10278" xr:uid="{00000000-0005-0000-0000-00002B280000}"/>
    <cellStyle name="Normal 6 2 2 8" xfId="10279" xr:uid="{00000000-0005-0000-0000-00002C280000}"/>
    <cellStyle name="Normal 6 2 2 9" xfId="10280" xr:uid="{00000000-0005-0000-0000-00002D280000}"/>
    <cellStyle name="Normal 6 2 3" xfId="10281" xr:uid="{00000000-0005-0000-0000-00002E280000}"/>
    <cellStyle name="Normal 6 2 3 2" xfId="10282" xr:uid="{00000000-0005-0000-0000-00002F280000}"/>
    <cellStyle name="Normal 6 2 3 2 2" xfId="10283" xr:uid="{00000000-0005-0000-0000-000030280000}"/>
    <cellStyle name="Normal 6 2 3 2 2 2" xfId="10284" xr:uid="{00000000-0005-0000-0000-000031280000}"/>
    <cellStyle name="Normal 6 2 3 2 2 2 2" xfId="10285" xr:uid="{00000000-0005-0000-0000-000032280000}"/>
    <cellStyle name="Normal 6 2 3 2 2 2 2 2" xfId="10286" xr:uid="{00000000-0005-0000-0000-000033280000}"/>
    <cellStyle name="Normal 6 2 3 2 2 2 3" xfId="10287" xr:uid="{00000000-0005-0000-0000-000034280000}"/>
    <cellStyle name="Normal 6 2 3 2 2 3" xfId="10288" xr:uid="{00000000-0005-0000-0000-000035280000}"/>
    <cellStyle name="Normal 6 2 3 2 2 3 2" xfId="10289" xr:uid="{00000000-0005-0000-0000-000036280000}"/>
    <cellStyle name="Normal 6 2 3 2 2 3 2 2" xfId="10290" xr:uid="{00000000-0005-0000-0000-000037280000}"/>
    <cellStyle name="Normal 6 2 3 2 2 3 3" xfId="10291" xr:uid="{00000000-0005-0000-0000-000038280000}"/>
    <cellStyle name="Normal 6 2 3 2 2 4" xfId="10292" xr:uid="{00000000-0005-0000-0000-000039280000}"/>
    <cellStyle name="Normal 6 2 3 2 2 4 2" xfId="10293" xr:uid="{00000000-0005-0000-0000-00003A280000}"/>
    <cellStyle name="Normal 6 2 3 2 2 5" xfId="10294" xr:uid="{00000000-0005-0000-0000-00003B280000}"/>
    <cellStyle name="Normal 6 2 3 2 3" xfId="10295" xr:uid="{00000000-0005-0000-0000-00003C280000}"/>
    <cellStyle name="Normal 6 2 3 2 3 2" xfId="10296" xr:uid="{00000000-0005-0000-0000-00003D280000}"/>
    <cellStyle name="Normal 6 2 3 2 3 2 2" xfId="10297" xr:uid="{00000000-0005-0000-0000-00003E280000}"/>
    <cellStyle name="Normal 6 2 3 2 3 3" xfId="10298" xr:uid="{00000000-0005-0000-0000-00003F280000}"/>
    <cellStyle name="Normal 6 2 3 2 4" xfId="10299" xr:uid="{00000000-0005-0000-0000-000040280000}"/>
    <cellStyle name="Normal 6 2 3 2 4 2" xfId="10300" xr:uid="{00000000-0005-0000-0000-000041280000}"/>
    <cellStyle name="Normal 6 2 3 2 4 2 2" xfId="10301" xr:uid="{00000000-0005-0000-0000-000042280000}"/>
    <cellStyle name="Normal 6 2 3 2 4 3" xfId="10302" xr:uid="{00000000-0005-0000-0000-000043280000}"/>
    <cellStyle name="Normal 6 2 3 2 5" xfId="10303" xr:uid="{00000000-0005-0000-0000-000044280000}"/>
    <cellStyle name="Normal 6 2 3 2 5 2" xfId="10304" xr:uid="{00000000-0005-0000-0000-000045280000}"/>
    <cellStyle name="Normal 6 2 3 2 6" xfId="10305" xr:uid="{00000000-0005-0000-0000-000046280000}"/>
    <cellStyle name="Normal 6 2 3 3" xfId="10306" xr:uid="{00000000-0005-0000-0000-000047280000}"/>
    <cellStyle name="Normal 6 2 3 3 2" xfId="10307" xr:uid="{00000000-0005-0000-0000-000048280000}"/>
    <cellStyle name="Normal 6 2 3 3 2 2" xfId="10308" xr:uid="{00000000-0005-0000-0000-000049280000}"/>
    <cellStyle name="Normal 6 2 3 3 2 2 2" xfId="10309" xr:uid="{00000000-0005-0000-0000-00004A280000}"/>
    <cellStyle name="Normal 6 2 3 3 2 3" xfId="10310" xr:uid="{00000000-0005-0000-0000-00004B280000}"/>
    <cellStyle name="Normal 6 2 3 3 3" xfId="10311" xr:uid="{00000000-0005-0000-0000-00004C280000}"/>
    <cellStyle name="Normal 6 2 3 3 3 2" xfId="10312" xr:uid="{00000000-0005-0000-0000-00004D280000}"/>
    <cellStyle name="Normal 6 2 3 3 3 2 2" xfId="10313" xr:uid="{00000000-0005-0000-0000-00004E280000}"/>
    <cellStyle name="Normal 6 2 3 3 3 3" xfId="10314" xr:uid="{00000000-0005-0000-0000-00004F280000}"/>
    <cellStyle name="Normal 6 2 3 3 4" xfId="10315" xr:uid="{00000000-0005-0000-0000-000050280000}"/>
    <cellStyle name="Normal 6 2 3 3 4 2" xfId="10316" xr:uid="{00000000-0005-0000-0000-000051280000}"/>
    <cellStyle name="Normal 6 2 3 3 5" xfId="10317" xr:uid="{00000000-0005-0000-0000-000052280000}"/>
    <cellStyle name="Normal 6 2 3 4" xfId="10318" xr:uid="{00000000-0005-0000-0000-000053280000}"/>
    <cellStyle name="Normal 6 2 3 4 2" xfId="10319" xr:uid="{00000000-0005-0000-0000-000054280000}"/>
    <cellStyle name="Normal 6 2 3 4 2 2" xfId="10320" xr:uid="{00000000-0005-0000-0000-000055280000}"/>
    <cellStyle name="Normal 6 2 3 4 3" xfId="10321" xr:uid="{00000000-0005-0000-0000-000056280000}"/>
    <cellStyle name="Normal 6 2 3 5" xfId="10322" xr:uid="{00000000-0005-0000-0000-000057280000}"/>
    <cellStyle name="Normal 6 2 3 5 2" xfId="10323" xr:uid="{00000000-0005-0000-0000-000058280000}"/>
    <cellStyle name="Normal 6 2 3 5 2 2" xfId="10324" xr:uid="{00000000-0005-0000-0000-000059280000}"/>
    <cellStyle name="Normal 6 2 3 5 3" xfId="10325" xr:uid="{00000000-0005-0000-0000-00005A280000}"/>
    <cellStyle name="Normal 6 2 3 6" xfId="10326" xr:uid="{00000000-0005-0000-0000-00005B280000}"/>
    <cellStyle name="Normal 6 2 3 6 2" xfId="10327" xr:uid="{00000000-0005-0000-0000-00005C280000}"/>
    <cellStyle name="Normal 6 2 3 7" xfId="10328" xr:uid="{00000000-0005-0000-0000-00005D280000}"/>
    <cellStyle name="Normal 6 2 4" xfId="10329" xr:uid="{00000000-0005-0000-0000-00005E280000}"/>
    <cellStyle name="Normal 6 2 4 2" xfId="10330" xr:uid="{00000000-0005-0000-0000-00005F280000}"/>
    <cellStyle name="Normal 6 2 4 2 2" xfId="10331" xr:uid="{00000000-0005-0000-0000-000060280000}"/>
    <cellStyle name="Normal 6 2 4 2 2 2" xfId="10332" xr:uid="{00000000-0005-0000-0000-000061280000}"/>
    <cellStyle name="Normal 6 2 4 2 2 2 2" xfId="10333" xr:uid="{00000000-0005-0000-0000-000062280000}"/>
    <cellStyle name="Normal 6 2 4 2 2 3" xfId="10334" xr:uid="{00000000-0005-0000-0000-000063280000}"/>
    <cellStyle name="Normal 6 2 4 2 3" xfId="10335" xr:uid="{00000000-0005-0000-0000-000064280000}"/>
    <cellStyle name="Normal 6 2 4 2 3 2" xfId="10336" xr:uid="{00000000-0005-0000-0000-000065280000}"/>
    <cellStyle name="Normal 6 2 4 2 3 2 2" xfId="10337" xr:uid="{00000000-0005-0000-0000-000066280000}"/>
    <cellStyle name="Normal 6 2 4 2 3 3" xfId="10338" xr:uid="{00000000-0005-0000-0000-000067280000}"/>
    <cellStyle name="Normal 6 2 4 2 4" xfId="10339" xr:uid="{00000000-0005-0000-0000-000068280000}"/>
    <cellStyle name="Normal 6 2 4 2 4 2" xfId="10340" xr:uid="{00000000-0005-0000-0000-000069280000}"/>
    <cellStyle name="Normal 6 2 4 2 5" xfId="10341" xr:uid="{00000000-0005-0000-0000-00006A280000}"/>
    <cellStyle name="Normal 6 2 4 3" xfId="10342" xr:uid="{00000000-0005-0000-0000-00006B280000}"/>
    <cellStyle name="Normal 6 2 4 3 2" xfId="10343" xr:uid="{00000000-0005-0000-0000-00006C280000}"/>
    <cellStyle name="Normal 6 2 4 3 2 2" xfId="10344" xr:uid="{00000000-0005-0000-0000-00006D280000}"/>
    <cellStyle name="Normal 6 2 4 3 3" xfId="10345" xr:uid="{00000000-0005-0000-0000-00006E280000}"/>
    <cellStyle name="Normal 6 2 4 4" xfId="10346" xr:uid="{00000000-0005-0000-0000-00006F280000}"/>
    <cellStyle name="Normal 6 2 4 4 2" xfId="10347" xr:uid="{00000000-0005-0000-0000-000070280000}"/>
    <cellStyle name="Normal 6 2 4 4 2 2" xfId="10348" xr:uid="{00000000-0005-0000-0000-000071280000}"/>
    <cellStyle name="Normal 6 2 4 4 3" xfId="10349" xr:uid="{00000000-0005-0000-0000-000072280000}"/>
    <cellStyle name="Normal 6 2 4 5" xfId="10350" xr:uid="{00000000-0005-0000-0000-000073280000}"/>
    <cellStyle name="Normal 6 2 4 5 2" xfId="10351" xr:uid="{00000000-0005-0000-0000-000074280000}"/>
    <cellStyle name="Normal 6 2 4 6" xfId="10352" xr:uid="{00000000-0005-0000-0000-000075280000}"/>
    <cellStyle name="Normal 6 2 5" xfId="10353" xr:uid="{00000000-0005-0000-0000-000076280000}"/>
    <cellStyle name="Normal 6 2 5 2" xfId="10354" xr:uid="{00000000-0005-0000-0000-000077280000}"/>
    <cellStyle name="Normal 6 2 5 2 2" xfId="10355" xr:uid="{00000000-0005-0000-0000-000078280000}"/>
    <cellStyle name="Normal 6 2 5 2 2 2" xfId="10356" xr:uid="{00000000-0005-0000-0000-000079280000}"/>
    <cellStyle name="Normal 6 2 5 2 3" xfId="10357" xr:uid="{00000000-0005-0000-0000-00007A280000}"/>
    <cellStyle name="Normal 6 2 5 3" xfId="10358" xr:uid="{00000000-0005-0000-0000-00007B280000}"/>
    <cellStyle name="Normal 6 2 5 3 2" xfId="10359" xr:uid="{00000000-0005-0000-0000-00007C280000}"/>
    <cellStyle name="Normal 6 2 5 3 2 2" xfId="10360" xr:uid="{00000000-0005-0000-0000-00007D280000}"/>
    <cellStyle name="Normal 6 2 5 3 3" xfId="10361" xr:uid="{00000000-0005-0000-0000-00007E280000}"/>
    <cellStyle name="Normal 6 2 5 4" xfId="10362" xr:uid="{00000000-0005-0000-0000-00007F280000}"/>
    <cellStyle name="Normal 6 2 5 4 2" xfId="10363" xr:uid="{00000000-0005-0000-0000-000080280000}"/>
    <cellStyle name="Normal 6 2 5 5" xfId="10364" xr:uid="{00000000-0005-0000-0000-000081280000}"/>
    <cellStyle name="Normal 6 2 6" xfId="10365" xr:uid="{00000000-0005-0000-0000-000082280000}"/>
    <cellStyle name="Normal 6 2 6 2" xfId="10366" xr:uid="{00000000-0005-0000-0000-000083280000}"/>
    <cellStyle name="Normal 6 2 6 2 2" xfId="10367" xr:uid="{00000000-0005-0000-0000-000084280000}"/>
    <cellStyle name="Normal 6 2 6 3" xfId="10368" xr:uid="{00000000-0005-0000-0000-000085280000}"/>
    <cellStyle name="Normal 6 2 7" xfId="10369" xr:uid="{00000000-0005-0000-0000-000086280000}"/>
    <cellStyle name="Normal 6 2 7 2" xfId="10370" xr:uid="{00000000-0005-0000-0000-000087280000}"/>
    <cellStyle name="Normal 6 2 7 2 2" xfId="10371" xr:uid="{00000000-0005-0000-0000-000088280000}"/>
    <cellStyle name="Normal 6 2 7 3" xfId="10372" xr:uid="{00000000-0005-0000-0000-000089280000}"/>
    <cellStyle name="Normal 6 2 8" xfId="10373" xr:uid="{00000000-0005-0000-0000-00008A280000}"/>
    <cellStyle name="Normal 6 2 8 2" xfId="10374" xr:uid="{00000000-0005-0000-0000-00008B280000}"/>
    <cellStyle name="Normal 6 2 9" xfId="10375" xr:uid="{00000000-0005-0000-0000-00008C280000}"/>
    <cellStyle name="Normal 6 3" xfId="10376" xr:uid="{00000000-0005-0000-0000-00008D280000}"/>
    <cellStyle name="Normal 6 3 10" xfId="10377" xr:uid="{00000000-0005-0000-0000-00008E280000}"/>
    <cellStyle name="Normal 6 3 2" xfId="10378" xr:uid="{00000000-0005-0000-0000-00008F280000}"/>
    <cellStyle name="Normal 6 3 2 2" xfId="10379" xr:uid="{00000000-0005-0000-0000-000090280000}"/>
    <cellStyle name="Normal 6 3 2 2 2" xfId="10380" xr:uid="{00000000-0005-0000-0000-000091280000}"/>
    <cellStyle name="Normal 6 3 2 2 2 2" xfId="10381" xr:uid="{00000000-0005-0000-0000-000092280000}"/>
    <cellStyle name="Normal 6 3 2 2 2 2 2" xfId="10382" xr:uid="{00000000-0005-0000-0000-000093280000}"/>
    <cellStyle name="Normal 6 3 2 2 2 2 2 2" xfId="10383" xr:uid="{00000000-0005-0000-0000-000094280000}"/>
    <cellStyle name="Normal 6 3 2 2 2 2 3" xfId="10384" xr:uid="{00000000-0005-0000-0000-000095280000}"/>
    <cellStyle name="Normal 6 3 2 2 2 3" xfId="10385" xr:uid="{00000000-0005-0000-0000-000096280000}"/>
    <cellStyle name="Normal 6 3 2 2 2 3 2" xfId="10386" xr:uid="{00000000-0005-0000-0000-000097280000}"/>
    <cellStyle name="Normal 6 3 2 2 2 3 2 2" xfId="10387" xr:uid="{00000000-0005-0000-0000-000098280000}"/>
    <cellStyle name="Normal 6 3 2 2 2 3 3" xfId="10388" xr:uid="{00000000-0005-0000-0000-000099280000}"/>
    <cellStyle name="Normal 6 3 2 2 2 4" xfId="10389" xr:uid="{00000000-0005-0000-0000-00009A280000}"/>
    <cellStyle name="Normal 6 3 2 2 2 4 2" xfId="10390" xr:uid="{00000000-0005-0000-0000-00009B280000}"/>
    <cellStyle name="Normal 6 3 2 2 2 5" xfId="10391" xr:uid="{00000000-0005-0000-0000-00009C280000}"/>
    <cellStyle name="Normal 6 3 2 2 3" xfId="10392" xr:uid="{00000000-0005-0000-0000-00009D280000}"/>
    <cellStyle name="Normal 6 3 2 2 3 2" xfId="10393" xr:uid="{00000000-0005-0000-0000-00009E280000}"/>
    <cellStyle name="Normal 6 3 2 2 3 2 2" xfId="10394" xr:uid="{00000000-0005-0000-0000-00009F280000}"/>
    <cellStyle name="Normal 6 3 2 2 3 3" xfId="10395" xr:uid="{00000000-0005-0000-0000-0000A0280000}"/>
    <cellStyle name="Normal 6 3 2 2 4" xfId="10396" xr:uid="{00000000-0005-0000-0000-0000A1280000}"/>
    <cellStyle name="Normal 6 3 2 2 4 2" xfId="10397" xr:uid="{00000000-0005-0000-0000-0000A2280000}"/>
    <cellStyle name="Normal 6 3 2 2 4 2 2" xfId="10398" xr:uid="{00000000-0005-0000-0000-0000A3280000}"/>
    <cellStyle name="Normal 6 3 2 2 4 3" xfId="10399" xr:uid="{00000000-0005-0000-0000-0000A4280000}"/>
    <cellStyle name="Normal 6 3 2 2 5" xfId="10400" xr:uid="{00000000-0005-0000-0000-0000A5280000}"/>
    <cellStyle name="Normal 6 3 2 2 5 2" xfId="10401" xr:uid="{00000000-0005-0000-0000-0000A6280000}"/>
    <cellStyle name="Normal 6 3 2 2 6" xfId="10402" xr:uid="{00000000-0005-0000-0000-0000A7280000}"/>
    <cellStyle name="Normal 6 3 2 3" xfId="10403" xr:uid="{00000000-0005-0000-0000-0000A8280000}"/>
    <cellStyle name="Normal 6 3 2 3 2" xfId="10404" xr:uid="{00000000-0005-0000-0000-0000A9280000}"/>
    <cellStyle name="Normal 6 3 2 3 2 2" xfId="10405" xr:uid="{00000000-0005-0000-0000-0000AA280000}"/>
    <cellStyle name="Normal 6 3 2 3 2 2 2" xfId="10406" xr:uid="{00000000-0005-0000-0000-0000AB280000}"/>
    <cellStyle name="Normal 6 3 2 3 2 3" xfId="10407" xr:uid="{00000000-0005-0000-0000-0000AC280000}"/>
    <cellStyle name="Normal 6 3 2 3 3" xfId="10408" xr:uid="{00000000-0005-0000-0000-0000AD280000}"/>
    <cellStyle name="Normal 6 3 2 3 3 2" xfId="10409" xr:uid="{00000000-0005-0000-0000-0000AE280000}"/>
    <cellStyle name="Normal 6 3 2 3 3 2 2" xfId="10410" xr:uid="{00000000-0005-0000-0000-0000AF280000}"/>
    <cellStyle name="Normal 6 3 2 3 3 3" xfId="10411" xr:uid="{00000000-0005-0000-0000-0000B0280000}"/>
    <cellStyle name="Normal 6 3 2 3 4" xfId="10412" xr:uid="{00000000-0005-0000-0000-0000B1280000}"/>
    <cellStyle name="Normal 6 3 2 3 4 2" xfId="10413" xr:uid="{00000000-0005-0000-0000-0000B2280000}"/>
    <cellStyle name="Normal 6 3 2 3 5" xfId="10414" xr:uid="{00000000-0005-0000-0000-0000B3280000}"/>
    <cellStyle name="Normal 6 3 2 4" xfId="10415" xr:uid="{00000000-0005-0000-0000-0000B4280000}"/>
    <cellStyle name="Normal 6 3 2 4 2" xfId="10416" xr:uid="{00000000-0005-0000-0000-0000B5280000}"/>
    <cellStyle name="Normal 6 3 2 4 2 2" xfId="10417" xr:uid="{00000000-0005-0000-0000-0000B6280000}"/>
    <cellStyle name="Normal 6 3 2 4 3" xfId="10418" xr:uid="{00000000-0005-0000-0000-0000B7280000}"/>
    <cellStyle name="Normal 6 3 2 5" xfId="10419" xr:uid="{00000000-0005-0000-0000-0000B8280000}"/>
    <cellStyle name="Normal 6 3 2 5 2" xfId="10420" xr:uid="{00000000-0005-0000-0000-0000B9280000}"/>
    <cellStyle name="Normal 6 3 2 5 2 2" xfId="10421" xr:uid="{00000000-0005-0000-0000-0000BA280000}"/>
    <cellStyle name="Normal 6 3 2 5 3" xfId="10422" xr:uid="{00000000-0005-0000-0000-0000BB280000}"/>
    <cellStyle name="Normal 6 3 2 6" xfId="10423" xr:uid="{00000000-0005-0000-0000-0000BC280000}"/>
    <cellStyle name="Normal 6 3 2 6 2" xfId="10424" xr:uid="{00000000-0005-0000-0000-0000BD280000}"/>
    <cellStyle name="Normal 6 3 2 7" xfId="10425" xr:uid="{00000000-0005-0000-0000-0000BE280000}"/>
    <cellStyle name="Normal 6 3 2 8" xfId="10426" xr:uid="{00000000-0005-0000-0000-0000BF280000}"/>
    <cellStyle name="Normal 6 3 3" xfId="10427" xr:uid="{00000000-0005-0000-0000-0000C0280000}"/>
    <cellStyle name="Normal 6 3 3 2" xfId="10428" xr:uid="{00000000-0005-0000-0000-0000C1280000}"/>
    <cellStyle name="Normal 6 3 3 2 2" xfId="10429" xr:uid="{00000000-0005-0000-0000-0000C2280000}"/>
    <cellStyle name="Normal 6 3 3 2 2 2" xfId="10430" xr:uid="{00000000-0005-0000-0000-0000C3280000}"/>
    <cellStyle name="Normal 6 3 3 2 2 2 2" xfId="10431" xr:uid="{00000000-0005-0000-0000-0000C4280000}"/>
    <cellStyle name="Normal 6 3 3 2 2 3" xfId="10432" xr:uid="{00000000-0005-0000-0000-0000C5280000}"/>
    <cellStyle name="Normal 6 3 3 2 3" xfId="10433" xr:uid="{00000000-0005-0000-0000-0000C6280000}"/>
    <cellStyle name="Normal 6 3 3 2 3 2" xfId="10434" xr:uid="{00000000-0005-0000-0000-0000C7280000}"/>
    <cellStyle name="Normal 6 3 3 2 3 2 2" xfId="10435" xr:uid="{00000000-0005-0000-0000-0000C8280000}"/>
    <cellStyle name="Normal 6 3 3 2 3 3" xfId="10436" xr:uid="{00000000-0005-0000-0000-0000C9280000}"/>
    <cellStyle name="Normal 6 3 3 2 4" xfId="10437" xr:uid="{00000000-0005-0000-0000-0000CA280000}"/>
    <cellStyle name="Normal 6 3 3 2 4 2" xfId="10438" xr:uid="{00000000-0005-0000-0000-0000CB280000}"/>
    <cellStyle name="Normal 6 3 3 2 5" xfId="10439" xr:uid="{00000000-0005-0000-0000-0000CC280000}"/>
    <cellStyle name="Normal 6 3 3 3" xfId="10440" xr:uid="{00000000-0005-0000-0000-0000CD280000}"/>
    <cellStyle name="Normal 6 3 3 3 2" xfId="10441" xr:uid="{00000000-0005-0000-0000-0000CE280000}"/>
    <cellStyle name="Normal 6 3 3 3 2 2" xfId="10442" xr:uid="{00000000-0005-0000-0000-0000CF280000}"/>
    <cellStyle name="Normal 6 3 3 3 3" xfId="10443" xr:uid="{00000000-0005-0000-0000-0000D0280000}"/>
    <cellStyle name="Normal 6 3 3 4" xfId="10444" xr:uid="{00000000-0005-0000-0000-0000D1280000}"/>
    <cellStyle name="Normal 6 3 3 4 2" xfId="10445" xr:uid="{00000000-0005-0000-0000-0000D2280000}"/>
    <cellStyle name="Normal 6 3 3 4 2 2" xfId="10446" xr:uid="{00000000-0005-0000-0000-0000D3280000}"/>
    <cellStyle name="Normal 6 3 3 4 3" xfId="10447" xr:uid="{00000000-0005-0000-0000-0000D4280000}"/>
    <cellStyle name="Normal 6 3 3 5" xfId="10448" xr:uid="{00000000-0005-0000-0000-0000D5280000}"/>
    <cellStyle name="Normal 6 3 3 5 2" xfId="10449" xr:uid="{00000000-0005-0000-0000-0000D6280000}"/>
    <cellStyle name="Normal 6 3 3 6" xfId="10450" xr:uid="{00000000-0005-0000-0000-0000D7280000}"/>
    <cellStyle name="Normal 6 3 4" xfId="10451" xr:uid="{00000000-0005-0000-0000-0000D8280000}"/>
    <cellStyle name="Normal 6 3 4 2" xfId="10452" xr:uid="{00000000-0005-0000-0000-0000D9280000}"/>
    <cellStyle name="Normal 6 3 4 2 2" xfId="10453" xr:uid="{00000000-0005-0000-0000-0000DA280000}"/>
    <cellStyle name="Normal 6 3 4 2 2 2" xfId="10454" xr:uid="{00000000-0005-0000-0000-0000DB280000}"/>
    <cellStyle name="Normal 6 3 4 2 3" xfId="10455" xr:uid="{00000000-0005-0000-0000-0000DC280000}"/>
    <cellStyle name="Normal 6 3 4 3" xfId="10456" xr:uid="{00000000-0005-0000-0000-0000DD280000}"/>
    <cellStyle name="Normal 6 3 4 3 2" xfId="10457" xr:uid="{00000000-0005-0000-0000-0000DE280000}"/>
    <cellStyle name="Normal 6 3 4 3 2 2" xfId="10458" xr:uid="{00000000-0005-0000-0000-0000DF280000}"/>
    <cellStyle name="Normal 6 3 4 3 3" xfId="10459" xr:uid="{00000000-0005-0000-0000-0000E0280000}"/>
    <cellStyle name="Normal 6 3 4 4" xfId="10460" xr:uid="{00000000-0005-0000-0000-0000E1280000}"/>
    <cellStyle name="Normal 6 3 4 4 2" xfId="10461" xr:uid="{00000000-0005-0000-0000-0000E2280000}"/>
    <cellStyle name="Normal 6 3 4 5" xfId="10462" xr:uid="{00000000-0005-0000-0000-0000E3280000}"/>
    <cellStyle name="Normal 6 3 5" xfId="10463" xr:uid="{00000000-0005-0000-0000-0000E4280000}"/>
    <cellStyle name="Normal 6 3 5 2" xfId="10464" xr:uid="{00000000-0005-0000-0000-0000E5280000}"/>
    <cellStyle name="Normal 6 3 5 2 2" xfId="10465" xr:uid="{00000000-0005-0000-0000-0000E6280000}"/>
    <cellStyle name="Normal 6 3 5 3" xfId="10466" xr:uid="{00000000-0005-0000-0000-0000E7280000}"/>
    <cellStyle name="Normal 6 3 6" xfId="10467" xr:uid="{00000000-0005-0000-0000-0000E8280000}"/>
    <cellStyle name="Normal 6 3 6 2" xfId="10468" xr:uid="{00000000-0005-0000-0000-0000E9280000}"/>
    <cellStyle name="Normal 6 3 6 2 2" xfId="10469" xr:uid="{00000000-0005-0000-0000-0000EA280000}"/>
    <cellStyle name="Normal 6 3 6 3" xfId="10470" xr:uid="{00000000-0005-0000-0000-0000EB280000}"/>
    <cellStyle name="Normal 6 3 7" xfId="10471" xr:uid="{00000000-0005-0000-0000-0000EC280000}"/>
    <cellStyle name="Normal 6 3 7 2" xfId="10472" xr:uid="{00000000-0005-0000-0000-0000ED280000}"/>
    <cellStyle name="Normal 6 3 8" xfId="10473" xr:uid="{00000000-0005-0000-0000-0000EE280000}"/>
    <cellStyle name="Normal 6 3 8 2" xfId="10474" xr:uid="{00000000-0005-0000-0000-0000EF280000}"/>
    <cellStyle name="Normal 6 3 9" xfId="10475" xr:uid="{00000000-0005-0000-0000-0000F0280000}"/>
    <cellStyle name="Normal 6 4" xfId="10476" xr:uid="{00000000-0005-0000-0000-0000F1280000}"/>
    <cellStyle name="Normal 6 4 2" xfId="10477" xr:uid="{00000000-0005-0000-0000-0000F2280000}"/>
    <cellStyle name="Normal 6 4 2 2" xfId="10478" xr:uid="{00000000-0005-0000-0000-0000F3280000}"/>
    <cellStyle name="Normal 6 4 2 2 2" xfId="10479" xr:uid="{00000000-0005-0000-0000-0000F4280000}"/>
    <cellStyle name="Normal 6 4 2 2 2 2" xfId="10480" xr:uid="{00000000-0005-0000-0000-0000F5280000}"/>
    <cellStyle name="Normal 6 4 2 2 2 2 2" xfId="10481" xr:uid="{00000000-0005-0000-0000-0000F6280000}"/>
    <cellStyle name="Normal 6 4 2 2 2 2 2 2" xfId="10482" xr:uid="{00000000-0005-0000-0000-0000F7280000}"/>
    <cellStyle name="Normal 6 4 2 2 2 2 3" xfId="10483" xr:uid="{00000000-0005-0000-0000-0000F8280000}"/>
    <cellStyle name="Normal 6 4 2 2 2 3" xfId="10484" xr:uid="{00000000-0005-0000-0000-0000F9280000}"/>
    <cellStyle name="Normal 6 4 2 2 2 3 2" xfId="10485" xr:uid="{00000000-0005-0000-0000-0000FA280000}"/>
    <cellStyle name="Normal 6 4 2 2 2 3 2 2" xfId="10486" xr:uid="{00000000-0005-0000-0000-0000FB280000}"/>
    <cellStyle name="Normal 6 4 2 2 2 3 3" xfId="10487" xr:uid="{00000000-0005-0000-0000-0000FC280000}"/>
    <cellStyle name="Normal 6 4 2 2 2 4" xfId="10488" xr:uid="{00000000-0005-0000-0000-0000FD280000}"/>
    <cellStyle name="Normal 6 4 2 2 2 4 2" xfId="10489" xr:uid="{00000000-0005-0000-0000-0000FE280000}"/>
    <cellStyle name="Normal 6 4 2 2 2 5" xfId="10490" xr:uid="{00000000-0005-0000-0000-0000FF280000}"/>
    <cellStyle name="Normal 6 4 2 2 3" xfId="10491" xr:uid="{00000000-0005-0000-0000-000000290000}"/>
    <cellStyle name="Normal 6 4 2 2 3 2" xfId="10492" xr:uid="{00000000-0005-0000-0000-000001290000}"/>
    <cellStyle name="Normal 6 4 2 2 3 2 2" xfId="10493" xr:uid="{00000000-0005-0000-0000-000002290000}"/>
    <cellStyle name="Normal 6 4 2 2 3 3" xfId="10494" xr:uid="{00000000-0005-0000-0000-000003290000}"/>
    <cellStyle name="Normal 6 4 2 2 4" xfId="10495" xr:uid="{00000000-0005-0000-0000-000004290000}"/>
    <cellStyle name="Normal 6 4 2 2 4 2" xfId="10496" xr:uid="{00000000-0005-0000-0000-000005290000}"/>
    <cellStyle name="Normal 6 4 2 2 4 2 2" xfId="10497" xr:uid="{00000000-0005-0000-0000-000006290000}"/>
    <cellStyle name="Normal 6 4 2 2 4 3" xfId="10498" xr:uid="{00000000-0005-0000-0000-000007290000}"/>
    <cellStyle name="Normal 6 4 2 2 5" xfId="10499" xr:uid="{00000000-0005-0000-0000-000008290000}"/>
    <cellStyle name="Normal 6 4 2 2 5 2" xfId="10500" xr:uid="{00000000-0005-0000-0000-000009290000}"/>
    <cellStyle name="Normal 6 4 2 2 6" xfId="10501" xr:uid="{00000000-0005-0000-0000-00000A290000}"/>
    <cellStyle name="Normal 6 4 2 3" xfId="10502" xr:uid="{00000000-0005-0000-0000-00000B290000}"/>
    <cellStyle name="Normal 6 4 2 3 2" xfId="10503" xr:uid="{00000000-0005-0000-0000-00000C290000}"/>
    <cellStyle name="Normal 6 4 2 3 2 2" xfId="10504" xr:uid="{00000000-0005-0000-0000-00000D290000}"/>
    <cellStyle name="Normal 6 4 2 3 2 2 2" xfId="10505" xr:uid="{00000000-0005-0000-0000-00000E290000}"/>
    <cellStyle name="Normal 6 4 2 3 2 3" xfId="10506" xr:uid="{00000000-0005-0000-0000-00000F290000}"/>
    <cellStyle name="Normal 6 4 2 3 3" xfId="10507" xr:uid="{00000000-0005-0000-0000-000010290000}"/>
    <cellStyle name="Normal 6 4 2 3 3 2" xfId="10508" xr:uid="{00000000-0005-0000-0000-000011290000}"/>
    <cellStyle name="Normal 6 4 2 3 3 2 2" xfId="10509" xr:uid="{00000000-0005-0000-0000-000012290000}"/>
    <cellStyle name="Normal 6 4 2 3 3 3" xfId="10510" xr:uid="{00000000-0005-0000-0000-000013290000}"/>
    <cellStyle name="Normal 6 4 2 3 4" xfId="10511" xr:uid="{00000000-0005-0000-0000-000014290000}"/>
    <cellStyle name="Normal 6 4 2 3 4 2" xfId="10512" xr:uid="{00000000-0005-0000-0000-000015290000}"/>
    <cellStyle name="Normal 6 4 2 3 5" xfId="10513" xr:uid="{00000000-0005-0000-0000-000016290000}"/>
    <cellStyle name="Normal 6 4 2 4" xfId="10514" xr:uid="{00000000-0005-0000-0000-000017290000}"/>
    <cellStyle name="Normal 6 4 2 4 2" xfId="10515" xr:uid="{00000000-0005-0000-0000-000018290000}"/>
    <cellStyle name="Normal 6 4 2 4 2 2" xfId="10516" xr:uid="{00000000-0005-0000-0000-000019290000}"/>
    <cellStyle name="Normal 6 4 2 4 3" xfId="10517" xr:uid="{00000000-0005-0000-0000-00001A290000}"/>
    <cellStyle name="Normal 6 4 2 5" xfId="10518" xr:uid="{00000000-0005-0000-0000-00001B290000}"/>
    <cellStyle name="Normal 6 4 2 5 2" xfId="10519" xr:uid="{00000000-0005-0000-0000-00001C290000}"/>
    <cellStyle name="Normal 6 4 2 5 2 2" xfId="10520" xr:uid="{00000000-0005-0000-0000-00001D290000}"/>
    <cellStyle name="Normal 6 4 2 5 3" xfId="10521" xr:uid="{00000000-0005-0000-0000-00001E290000}"/>
    <cellStyle name="Normal 6 4 2 6" xfId="10522" xr:uid="{00000000-0005-0000-0000-00001F290000}"/>
    <cellStyle name="Normal 6 4 2 6 2" xfId="10523" xr:uid="{00000000-0005-0000-0000-000020290000}"/>
    <cellStyle name="Normal 6 4 2 7" xfId="10524" xr:uid="{00000000-0005-0000-0000-000021290000}"/>
    <cellStyle name="Normal 6 4 3" xfId="10525" xr:uid="{00000000-0005-0000-0000-000022290000}"/>
    <cellStyle name="Normal 6 4 3 2" xfId="10526" xr:uid="{00000000-0005-0000-0000-000023290000}"/>
    <cellStyle name="Normal 6 4 3 2 2" xfId="10527" xr:uid="{00000000-0005-0000-0000-000024290000}"/>
    <cellStyle name="Normal 6 4 3 2 2 2" xfId="10528" xr:uid="{00000000-0005-0000-0000-000025290000}"/>
    <cellStyle name="Normal 6 4 3 2 2 2 2" xfId="10529" xr:uid="{00000000-0005-0000-0000-000026290000}"/>
    <cellStyle name="Normal 6 4 3 2 2 3" xfId="10530" xr:uid="{00000000-0005-0000-0000-000027290000}"/>
    <cellStyle name="Normal 6 4 3 2 3" xfId="10531" xr:uid="{00000000-0005-0000-0000-000028290000}"/>
    <cellStyle name="Normal 6 4 3 2 3 2" xfId="10532" xr:uid="{00000000-0005-0000-0000-000029290000}"/>
    <cellStyle name="Normal 6 4 3 2 3 2 2" xfId="10533" xr:uid="{00000000-0005-0000-0000-00002A290000}"/>
    <cellStyle name="Normal 6 4 3 2 3 3" xfId="10534" xr:uid="{00000000-0005-0000-0000-00002B290000}"/>
    <cellStyle name="Normal 6 4 3 2 4" xfId="10535" xr:uid="{00000000-0005-0000-0000-00002C290000}"/>
    <cellStyle name="Normal 6 4 3 2 4 2" xfId="10536" xr:uid="{00000000-0005-0000-0000-00002D290000}"/>
    <cellStyle name="Normal 6 4 3 2 5" xfId="10537" xr:uid="{00000000-0005-0000-0000-00002E290000}"/>
    <cellStyle name="Normal 6 4 3 3" xfId="10538" xr:uid="{00000000-0005-0000-0000-00002F290000}"/>
    <cellStyle name="Normal 6 4 3 3 2" xfId="10539" xr:uid="{00000000-0005-0000-0000-000030290000}"/>
    <cellStyle name="Normal 6 4 3 3 2 2" xfId="10540" xr:uid="{00000000-0005-0000-0000-000031290000}"/>
    <cellStyle name="Normal 6 4 3 3 3" xfId="10541" xr:uid="{00000000-0005-0000-0000-000032290000}"/>
    <cellStyle name="Normal 6 4 3 4" xfId="10542" xr:uid="{00000000-0005-0000-0000-000033290000}"/>
    <cellStyle name="Normal 6 4 3 4 2" xfId="10543" xr:uid="{00000000-0005-0000-0000-000034290000}"/>
    <cellStyle name="Normal 6 4 3 4 2 2" xfId="10544" xr:uid="{00000000-0005-0000-0000-000035290000}"/>
    <cellStyle name="Normal 6 4 3 4 3" xfId="10545" xr:uid="{00000000-0005-0000-0000-000036290000}"/>
    <cellStyle name="Normal 6 4 3 5" xfId="10546" xr:uid="{00000000-0005-0000-0000-000037290000}"/>
    <cellStyle name="Normal 6 4 3 5 2" xfId="10547" xr:uid="{00000000-0005-0000-0000-000038290000}"/>
    <cellStyle name="Normal 6 4 3 6" xfId="10548" xr:uid="{00000000-0005-0000-0000-000039290000}"/>
    <cellStyle name="Normal 6 4 4" xfId="10549" xr:uid="{00000000-0005-0000-0000-00003A290000}"/>
    <cellStyle name="Normal 6 4 4 2" xfId="10550" xr:uid="{00000000-0005-0000-0000-00003B290000}"/>
    <cellStyle name="Normal 6 4 4 2 2" xfId="10551" xr:uid="{00000000-0005-0000-0000-00003C290000}"/>
    <cellStyle name="Normal 6 4 4 2 2 2" xfId="10552" xr:uid="{00000000-0005-0000-0000-00003D290000}"/>
    <cellStyle name="Normal 6 4 4 2 3" xfId="10553" xr:uid="{00000000-0005-0000-0000-00003E290000}"/>
    <cellStyle name="Normal 6 4 4 3" xfId="10554" xr:uid="{00000000-0005-0000-0000-00003F290000}"/>
    <cellStyle name="Normal 6 4 4 3 2" xfId="10555" xr:uid="{00000000-0005-0000-0000-000040290000}"/>
    <cellStyle name="Normal 6 4 4 3 2 2" xfId="10556" xr:uid="{00000000-0005-0000-0000-000041290000}"/>
    <cellStyle name="Normal 6 4 4 3 3" xfId="10557" xr:uid="{00000000-0005-0000-0000-000042290000}"/>
    <cellStyle name="Normal 6 4 4 4" xfId="10558" xr:uid="{00000000-0005-0000-0000-000043290000}"/>
    <cellStyle name="Normal 6 4 4 4 2" xfId="10559" xr:uid="{00000000-0005-0000-0000-000044290000}"/>
    <cellStyle name="Normal 6 4 4 5" xfId="10560" xr:uid="{00000000-0005-0000-0000-000045290000}"/>
    <cellStyle name="Normal 6 4 5" xfId="10561" xr:uid="{00000000-0005-0000-0000-000046290000}"/>
    <cellStyle name="Normal 6 4 5 2" xfId="10562" xr:uid="{00000000-0005-0000-0000-000047290000}"/>
    <cellStyle name="Normal 6 4 5 2 2" xfId="10563" xr:uid="{00000000-0005-0000-0000-000048290000}"/>
    <cellStyle name="Normal 6 4 5 3" xfId="10564" xr:uid="{00000000-0005-0000-0000-000049290000}"/>
    <cellStyle name="Normal 6 4 6" xfId="10565" xr:uid="{00000000-0005-0000-0000-00004A290000}"/>
    <cellStyle name="Normal 6 4 6 2" xfId="10566" xr:uid="{00000000-0005-0000-0000-00004B290000}"/>
    <cellStyle name="Normal 6 4 6 2 2" xfId="10567" xr:uid="{00000000-0005-0000-0000-00004C290000}"/>
    <cellStyle name="Normal 6 4 6 3" xfId="10568" xr:uid="{00000000-0005-0000-0000-00004D290000}"/>
    <cellStyle name="Normal 6 4 7" xfId="10569" xr:uid="{00000000-0005-0000-0000-00004E290000}"/>
    <cellStyle name="Normal 6 4 7 2" xfId="10570" xr:uid="{00000000-0005-0000-0000-00004F290000}"/>
    <cellStyle name="Normal 6 4 8" xfId="10571" xr:uid="{00000000-0005-0000-0000-000050290000}"/>
    <cellStyle name="Normal 6 4 9" xfId="10572" xr:uid="{00000000-0005-0000-0000-000051290000}"/>
    <cellStyle name="Normal 6 5" xfId="10573" xr:uid="{00000000-0005-0000-0000-000052290000}"/>
    <cellStyle name="Normal 6 5 2" xfId="10574" xr:uid="{00000000-0005-0000-0000-000053290000}"/>
    <cellStyle name="Normal 6 5 2 2" xfId="10575" xr:uid="{00000000-0005-0000-0000-000054290000}"/>
    <cellStyle name="Normal 6 5 2 2 2" xfId="10576" xr:uid="{00000000-0005-0000-0000-000055290000}"/>
    <cellStyle name="Normal 6 5 2 2 2 2" xfId="10577" xr:uid="{00000000-0005-0000-0000-000056290000}"/>
    <cellStyle name="Normal 6 5 2 2 2 2 2" xfId="10578" xr:uid="{00000000-0005-0000-0000-000057290000}"/>
    <cellStyle name="Normal 6 5 2 2 2 3" xfId="10579" xr:uid="{00000000-0005-0000-0000-000058290000}"/>
    <cellStyle name="Normal 6 5 2 2 3" xfId="10580" xr:uid="{00000000-0005-0000-0000-000059290000}"/>
    <cellStyle name="Normal 6 5 2 2 3 2" xfId="10581" xr:uid="{00000000-0005-0000-0000-00005A290000}"/>
    <cellStyle name="Normal 6 5 2 2 3 2 2" xfId="10582" xr:uid="{00000000-0005-0000-0000-00005B290000}"/>
    <cellStyle name="Normal 6 5 2 2 3 3" xfId="10583" xr:uid="{00000000-0005-0000-0000-00005C290000}"/>
    <cellStyle name="Normal 6 5 2 2 4" xfId="10584" xr:uid="{00000000-0005-0000-0000-00005D290000}"/>
    <cellStyle name="Normal 6 5 2 2 4 2" xfId="10585" xr:uid="{00000000-0005-0000-0000-00005E290000}"/>
    <cellStyle name="Normal 6 5 2 2 5" xfId="10586" xr:uid="{00000000-0005-0000-0000-00005F290000}"/>
    <cellStyle name="Normal 6 5 2 3" xfId="10587" xr:uid="{00000000-0005-0000-0000-000060290000}"/>
    <cellStyle name="Normal 6 5 2 3 2" xfId="10588" xr:uid="{00000000-0005-0000-0000-000061290000}"/>
    <cellStyle name="Normal 6 5 2 3 2 2" xfId="10589" xr:uid="{00000000-0005-0000-0000-000062290000}"/>
    <cellStyle name="Normal 6 5 2 3 3" xfId="10590" xr:uid="{00000000-0005-0000-0000-000063290000}"/>
    <cellStyle name="Normal 6 5 2 4" xfId="10591" xr:uid="{00000000-0005-0000-0000-000064290000}"/>
    <cellStyle name="Normal 6 5 2 4 2" xfId="10592" xr:uid="{00000000-0005-0000-0000-000065290000}"/>
    <cellStyle name="Normal 6 5 2 4 2 2" xfId="10593" xr:uid="{00000000-0005-0000-0000-000066290000}"/>
    <cellStyle name="Normal 6 5 2 4 3" xfId="10594" xr:uid="{00000000-0005-0000-0000-000067290000}"/>
    <cellStyle name="Normal 6 5 2 5" xfId="10595" xr:uid="{00000000-0005-0000-0000-000068290000}"/>
    <cellStyle name="Normal 6 5 2 5 2" xfId="10596" xr:uid="{00000000-0005-0000-0000-000069290000}"/>
    <cellStyle name="Normal 6 5 2 6" xfId="10597" xr:uid="{00000000-0005-0000-0000-00006A290000}"/>
    <cellStyle name="Normal 6 5 3" xfId="10598" xr:uid="{00000000-0005-0000-0000-00006B290000}"/>
    <cellStyle name="Normal 6 5 3 2" xfId="10599" xr:uid="{00000000-0005-0000-0000-00006C290000}"/>
    <cellStyle name="Normal 6 5 3 2 2" xfId="10600" xr:uid="{00000000-0005-0000-0000-00006D290000}"/>
    <cellStyle name="Normal 6 5 3 2 2 2" xfId="10601" xr:uid="{00000000-0005-0000-0000-00006E290000}"/>
    <cellStyle name="Normal 6 5 3 2 3" xfId="10602" xr:uid="{00000000-0005-0000-0000-00006F290000}"/>
    <cellStyle name="Normal 6 5 3 3" xfId="10603" xr:uid="{00000000-0005-0000-0000-000070290000}"/>
    <cellStyle name="Normal 6 5 3 3 2" xfId="10604" xr:uid="{00000000-0005-0000-0000-000071290000}"/>
    <cellStyle name="Normal 6 5 3 3 2 2" xfId="10605" xr:uid="{00000000-0005-0000-0000-000072290000}"/>
    <cellStyle name="Normal 6 5 3 3 3" xfId="10606" xr:uid="{00000000-0005-0000-0000-000073290000}"/>
    <cellStyle name="Normal 6 5 3 4" xfId="10607" xr:uid="{00000000-0005-0000-0000-000074290000}"/>
    <cellStyle name="Normal 6 5 3 4 2" xfId="10608" xr:uid="{00000000-0005-0000-0000-000075290000}"/>
    <cellStyle name="Normal 6 5 3 5" xfId="10609" xr:uid="{00000000-0005-0000-0000-000076290000}"/>
    <cellStyle name="Normal 6 5 4" xfId="10610" xr:uid="{00000000-0005-0000-0000-000077290000}"/>
    <cellStyle name="Normal 6 5 4 2" xfId="10611" xr:uid="{00000000-0005-0000-0000-000078290000}"/>
    <cellStyle name="Normal 6 5 4 2 2" xfId="10612" xr:uid="{00000000-0005-0000-0000-000079290000}"/>
    <cellStyle name="Normal 6 5 4 3" xfId="10613" xr:uid="{00000000-0005-0000-0000-00007A290000}"/>
    <cellStyle name="Normal 6 5 5" xfId="10614" xr:uid="{00000000-0005-0000-0000-00007B290000}"/>
    <cellStyle name="Normal 6 5 5 2" xfId="10615" xr:uid="{00000000-0005-0000-0000-00007C290000}"/>
    <cellStyle name="Normal 6 5 5 2 2" xfId="10616" xr:uid="{00000000-0005-0000-0000-00007D290000}"/>
    <cellStyle name="Normal 6 5 5 3" xfId="10617" xr:uid="{00000000-0005-0000-0000-00007E290000}"/>
    <cellStyle name="Normal 6 5 6" xfId="10618" xr:uid="{00000000-0005-0000-0000-00007F290000}"/>
    <cellStyle name="Normal 6 5 6 2" xfId="10619" xr:uid="{00000000-0005-0000-0000-000080290000}"/>
    <cellStyle name="Normal 6 5 7" xfId="10620" xr:uid="{00000000-0005-0000-0000-000081290000}"/>
    <cellStyle name="Normal 6 6" xfId="10621" xr:uid="{00000000-0005-0000-0000-000082290000}"/>
    <cellStyle name="Normal 6 6 2" xfId="10622" xr:uid="{00000000-0005-0000-0000-000083290000}"/>
    <cellStyle name="Normal 6 6 2 2" xfId="10623" xr:uid="{00000000-0005-0000-0000-000084290000}"/>
    <cellStyle name="Normal 6 6 2 2 2" xfId="10624" xr:uid="{00000000-0005-0000-0000-000085290000}"/>
    <cellStyle name="Normal 6 6 2 2 2 2" xfId="10625" xr:uid="{00000000-0005-0000-0000-000086290000}"/>
    <cellStyle name="Normal 6 6 2 2 3" xfId="10626" xr:uid="{00000000-0005-0000-0000-000087290000}"/>
    <cellStyle name="Normal 6 6 2 3" xfId="10627" xr:uid="{00000000-0005-0000-0000-000088290000}"/>
    <cellStyle name="Normal 6 6 2 3 2" xfId="10628" xr:uid="{00000000-0005-0000-0000-000089290000}"/>
    <cellStyle name="Normal 6 6 2 3 2 2" xfId="10629" xr:uid="{00000000-0005-0000-0000-00008A290000}"/>
    <cellStyle name="Normal 6 6 2 3 3" xfId="10630" xr:uid="{00000000-0005-0000-0000-00008B290000}"/>
    <cellStyle name="Normal 6 6 2 4" xfId="10631" xr:uid="{00000000-0005-0000-0000-00008C290000}"/>
    <cellStyle name="Normal 6 6 2 4 2" xfId="10632" xr:uid="{00000000-0005-0000-0000-00008D290000}"/>
    <cellStyle name="Normal 6 6 2 5" xfId="10633" xr:uid="{00000000-0005-0000-0000-00008E290000}"/>
    <cellStyle name="Normal 6 6 3" xfId="10634" xr:uid="{00000000-0005-0000-0000-00008F290000}"/>
    <cellStyle name="Normal 6 6 3 2" xfId="10635" xr:uid="{00000000-0005-0000-0000-000090290000}"/>
    <cellStyle name="Normal 6 6 3 2 2" xfId="10636" xr:uid="{00000000-0005-0000-0000-000091290000}"/>
    <cellStyle name="Normal 6 6 3 3" xfId="10637" xr:uid="{00000000-0005-0000-0000-000092290000}"/>
    <cellStyle name="Normal 6 6 4" xfId="10638" xr:uid="{00000000-0005-0000-0000-000093290000}"/>
    <cellStyle name="Normal 6 6 4 2" xfId="10639" xr:uid="{00000000-0005-0000-0000-000094290000}"/>
    <cellStyle name="Normal 6 6 4 2 2" xfId="10640" xr:uid="{00000000-0005-0000-0000-000095290000}"/>
    <cellStyle name="Normal 6 6 4 3" xfId="10641" xr:uid="{00000000-0005-0000-0000-000096290000}"/>
    <cellStyle name="Normal 6 6 5" xfId="10642" xr:uid="{00000000-0005-0000-0000-000097290000}"/>
    <cellStyle name="Normal 6 6 5 2" xfId="10643" xr:uid="{00000000-0005-0000-0000-000098290000}"/>
    <cellStyle name="Normal 6 6 6" xfId="10644" xr:uid="{00000000-0005-0000-0000-000099290000}"/>
    <cellStyle name="Normal 6 7" xfId="10645" xr:uid="{00000000-0005-0000-0000-00009A290000}"/>
    <cellStyle name="Normal 6 7 2" xfId="10646" xr:uid="{00000000-0005-0000-0000-00009B290000}"/>
    <cellStyle name="Normal 6 7 2 2" xfId="10647" xr:uid="{00000000-0005-0000-0000-00009C290000}"/>
    <cellStyle name="Normal 6 7 2 2 2" xfId="10648" xr:uid="{00000000-0005-0000-0000-00009D290000}"/>
    <cellStyle name="Normal 6 7 2 3" xfId="10649" xr:uid="{00000000-0005-0000-0000-00009E290000}"/>
    <cellStyle name="Normal 6 7 3" xfId="10650" xr:uid="{00000000-0005-0000-0000-00009F290000}"/>
    <cellStyle name="Normal 6 7 3 2" xfId="10651" xr:uid="{00000000-0005-0000-0000-0000A0290000}"/>
    <cellStyle name="Normal 6 7 3 2 2" xfId="10652" xr:uid="{00000000-0005-0000-0000-0000A1290000}"/>
    <cellStyle name="Normal 6 7 3 3" xfId="10653" xr:uid="{00000000-0005-0000-0000-0000A2290000}"/>
    <cellStyle name="Normal 6 7 4" xfId="10654" xr:uid="{00000000-0005-0000-0000-0000A3290000}"/>
    <cellStyle name="Normal 6 7 4 2" xfId="10655" xr:uid="{00000000-0005-0000-0000-0000A4290000}"/>
    <cellStyle name="Normal 6 7 5" xfId="10656" xr:uid="{00000000-0005-0000-0000-0000A5290000}"/>
    <cellStyle name="Normal 6 8" xfId="10657" xr:uid="{00000000-0005-0000-0000-0000A6290000}"/>
    <cellStyle name="Normal 6 8 2" xfId="10658" xr:uid="{00000000-0005-0000-0000-0000A7290000}"/>
    <cellStyle name="Normal 6 8 2 2" xfId="10659" xr:uid="{00000000-0005-0000-0000-0000A8290000}"/>
    <cellStyle name="Normal 6 8 3" xfId="10660" xr:uid="{00000000-0005-0000-0000-0000A9290000}"/>
    <cellStyle name="Normal 6 9" xfId="10661" xr:uid="{00000000-0005-0000-0000-0000AA290000}"/>
    <cellStyle name="Normal 6 9 2" xfId="10662" xr:uid="{00000000-0005-0000-0000-0000AB290000}"/>
    <cellStyle name="Normal 6 9 2 2" xfId="10663" xr:uid="{00000000-0005-0000-0000-0000AC290000}"/>
    <cellStyle name="Normal 6 9 3" xfId="10664" xr:uid="{00000000-0005-0000-0000-0000AD290000}"/>
    <cellStyle name="Normal 6_2180" xfId="10665" xr:uid="{00000000-0005-0000-0000-0000AE290000}"/>
    <cellStyle name="Normal 60" xfId="10666" xr:uid="{00000000-0005-0000-0000-0000AF290000}"/>
    <cellStyle name="Normal 60 2" xfId="10667" xr:uid="{00000000-0005-0000-0000-0000B0290000}"/>
    <cellStyle name="Normal 60 2 2" xfId="10668" xr:uid="{00000000-0005-0000-0000-0000B1290000}"/>
    <cellStyle name="Normal 60 2 2 2" xfId="10669" xr:uid="{00000000-0005-0000-0000-0000B2290000}"/>
    <cellStyle name="Normal 60 2 2 2 2" xfId="10670" xr:uid="{00000000-0005-0000-0000-0000B3290000}"/>
    <cellStyle name="Normal 60 2 2 2 2 2" xfId="10671" xr:uid="{00000000-0005-0000-0000-0000B4290000}"/>
    <cellStyle name="Normal 60 2 2 2 2 2 2" xfId="10672" xr:uid="{00000000-0005-0000-0000-0000B5290000}"/>
    <cellStyle name="Normal 60 2 2 2 2 3" xfId="10673" xr:uid="{00000000-0005-0000-0000-0000B6290000}"/>
    <cellStyle name="Normal 60 2 2 2 3" xfId="10674" xr:uid="{00000000-0005-0000-0000-0000B7290000}"/>
    <cellStyle name="Normal 60 2 2 2 3 2" xfId="10675" xr:uid="{00000000-0005-0000-0000-0000B8290000}"/>
    <cellStyle name="Normal 60 2 2 2 3 2 2" xfId="10676" xr:uid="{00000000-0005-0000-0000-0000B9290000}"/>
    <cellStyle name="Normal 60 2 2 2 3 3" xfId="10677" xr:uid="{00000000-0005-0000-0000-0000BA290000}"/>
    <cellStyle name="Normal 60 2 2 2 4" xfId="10678" xr:uid="{00000000-0005-0000-0000-0000BB290000}"/>
    <cellStyle name="Normal 60 2 2 2 4 2" xfId="10679" xr:uid="{00000000-0005-0000-0000-0000BC290000}"/>
    <cellStyle name="Normal 60 2 2 2 5" xfId="10680" xr:uid="{00000000-0005-0000-0000-0000BD290000}"/>
    <cellStyle name="Normal 60 2 2 3" xfId="10681" xr:uid="{00000000-0005-0000-0000-0000BE290000}"/>
    <cellStyle name="Normal 60 2 2 3 2" xfId="10682" xr:uid="{00000000-0005-0000-0000-0000BF290000}"/>
    <cellStyle name="Normal 60 2 2 3 2 2" xfId="10683" xr:uid="{00000000-0005-0000-0000-0000C0290000}"/>
    <cellStyle name="Normal 60 2 2 3 3" xfId="10684" xr:uid="{00000000-0005-0000-0000-0000C1290000}"/>
    <cellStyle name="Normal 60 2 2 4" xfId="10685" xr:uid="{00000000-0005-0000-0000-0000C2290000}"/>
    <cellStyle name="Normal 60 2 2 4 2" xfId="10686" xr:uid="{00000000-0005-0000-0000-0000C3290000}"/>
    <cellStyle name="Normal 60 2 2 4 2 2" xfId="10687" xr:uid="{00000000-0005-0000-0000-0000C4290000}"/>
    <cellStyle name="Normal 60 2 2 4 3" xfId="10688" xr:uid="{00000000-0005-0000-0000-0000C5290000}"/>
    <cellStyle name="Normal 60 2 2 5" xfId="10689" xr:uid="{00000000-0005-0000-0000-0000C6290000}"/>
    <cellStyle name="Normal 60 2 2 5 2" xfId="10690" xr:uid="{00000000-0005-0000-0000-0000C7290000}"/>
    <cellStyle name="Normal 60 2 2 6" xfId="10691" xr:uid="{00000000-0005-0000-0000-0000C8290000}"/>
    <cellStyle name="Normal 60 2 3" xfId="10692" xr:uid="{00000000-0005-0000-0000-0000C9290000}"/>
    <cellStyle name="Normal 60 2 3 2" xfId="10693" xr:uid="{00000000-0005-0000-0000-0000CA290000}"/>
    <cellStyle name="Normal 60 2 3 2 2" xfId="10694" xr:uid="{00000000-0005-0000-0000-0000CB290000}"/>
    <cellStyle name="Normal 60 2 3 2 2 2" xfId="10695" xr:uid="{00000000-0005-0000-0000-0000CC290000}"/>
    <cellStyle name="Normal 60 2 3 2 3" xfId="10696" xr:uid="{00000000-0005-0000-0000-0000CD290000}"/>
    <cellStyle name="Normal 60 2 3 3" xfId="10697" xr:uid="{00000000-0005-0000-0000-0000CE290000}"/>
    <cellStyle name="Normal 60 2 3 3 2" xfId="10698" xr:uid="{00000000-0005-0000-0000-0000CF290000}"/>
    <cellStyle name="Normal 60 2 3 3 2 2" xfId="10699" xr:uid="{00000000-0005-0000-0000-0000D0290000}"/>
    <cellStyle name="Normal 60 2 3 3 3" xfId="10700" xr:uid="{00000000-0005-0000-0000-0000D1290000}"/>
    <cellStyle name="Normal 60 2 3 4" xfId="10701" xr:uid="{00000000-0005-0000-0000-0000D2290000}"/>
    <cellStyle name="Normal 60 2 3 4 2" xfId="10702" xr:uid="{00000000-0005-0000-0000-0000D3290000}"/>
    <cellStyle name="Normal 60 2 3 5" xfId="10703" xr:uid="{00000000-0005-0000-0000-0000D4290000}"/>
    <cellStyle name="Normal 60 2 4" xfId="10704" xr:uid="{00000000-0005-0000-0000-0000D5290000}"/>
    <cellStyle name="Normal 60 2 4 2" xfId="10705" xr:uid="{00000000-0005-0000-0000-0000D6290000}"/>
    <cellStyle name="Normal 60 2 4 2 2" xfId="10706" xr:uid="{00000000-0005-0000-0000-0000D7290000}"/>
    <cellStyle name="Normal 60 2 4 3" xfId="10707" xr:uid="{00000000-0005-0000-0000-0000D8290000}"/>
    <cellStyle name="Normal 60 2 5" xfId="10708" xr:uid="{00000000-0005-0000-0000-0000D9290000}"/>
    <cellStyle name="Normal 60 2 5 2" xfId="10709" xr:uid="{00000000-0005-0000-0000-0000DA290000}"/>
    <cellStyle name="Normal 60 2 5 2 2" xfId="10710" xr:uid="{00000000-0005-0000-0000-0000DB290000}"/>
    <cellStyle name="Normal 60 2 5 3" xfId="10711" xr:uid="{00000000-0005-0000-0000-0000DC290000}"/>
    <cellStyle name="Normal 60 2 6" xfId="10712" xr:uid="{00000000-0005-0000-0000-0000DD290000}"/>
    <cellStyle name="Normal 60 2 6 2" xfId="10713" xr:uid="{00000000-0005-0000-0000-0000DE290000}"/>
    <cellStyle name="Normal 60 2 7" xfId="10714" xr:uid="{00000000-0005-0000-0000-0000DF290000}"/>
    <cellStyle name="Normal 60 3" xfId="10715" xr:uid="{00000000-0005-0000-0000-0000E0290000}"/>
    <cellStyle name="Normal 60 3 2" xfId="10716" xr:uid="{00000000-0005-0000-0000-0000E1290000}"/>
    <cellStyle name="Normal 60 3 2 2" xfId="10717" xr:uid="{00000000-0005-0000-0000-0000E2290000}"/>
    <cellStyle name="Normal 60 3 2 2 2" xfId="10718" xr:uid="{00000000-0005-0000-0000-0000E3290000}"/>
    <cellStyle name="Normal 60 3 2 2 2 2" xfId="10719" xr:uid="{00000000-0005-0000-0000-0000E4290000}"/>
    <cellStyle name="Normal 60 3 2 2 3" xfId="10720" xr:uid="{00000000-0005-0000-0000-0000E5290000}"/>
    <cellStyle name="Normal 60 3 2 3" xfId="10721" xr:uid="{00000000-0005-0000-0000-0000E6290000}"/>
    <cellStyle name="Normal 60 3 2 3 2" xfId="10722" xr:uid="{00000000-0005-0000-0000-0000E7290000}"/>
    <cellStyle name="Normal 60 3 2 3 2 2" xfId="10723" xr:uid="{00000000-0005-0000-0000-0000E8290000}"/>
    <cellStyle name="Normal 60 3 2 3 3" xfId="10724" xr:uid="{00000000-0005-0000-0000-0000E9290000}"/>
    <cellStyle name="Normal 60 3 2 4" xfId="10725" xr:uid="{00000000-0005-0000-0000-0000EA290000}"/>
    <cellStyle name="Normal 60 3 2 4 2" xfId="10726" xr:uid="{00000000-0005-0000-0000-0000EB290000}"/>
    <cellStyle name="Normal 60 3 2 5" xfId="10727" xr:uid="{00000000-0005-0000-0000-0000EC290000}"/>
    <cellStyle name="Normal 60 3 3" xfId="10728" xr:uid="{00000000-0005-0000-0000-0000ED290000}"/>
    <cellStyle name="Normal 60 3 3 2" xfId="10729" xr:uid="{00000000-0005-0000-0000-0000EE290000}"/>
    <cellStyle name="Normal 60 3 3 2 2" xfId="10730" xr:uid="{00000000-0005-0000-0000-0000EF290000}"/>
    <cellStyle name="Normal 60 3 3 3" xfId="10731" xr:uid="{00000000-0005-0000-0000-0000F0290000}"/>
    <cellStyle name="Normal 60 3 4" xfId="10732" xr:uid="{00000000-0005-0000-0000-0000F1290000}"/>
    <cellStyle name="Normal 60 3 4 2" xfId="10733" xr:uid="{00000000-0005-0000-0000-0000F2290000}"/>
    <cellStyle name="Normal 60 3 4 2 2" xfId="10734" xr:uid="{00000000-0005-0000-0000-0000F3290000}"/>
    <cellStyle name="Normal 60 3 4 3" xfId="10735" xr:uid="{00000000-0005-0000-0000-0000F4290000}"/>
    <cellStyle name="Normal 60 3 5" xfId="10736" xr:uid="{00000000-0005-0000-0000-0000F5290000}"/>
    <cellStyle name="Normal 60 3 5 2" xfId="10737" xr:uid="{00000000-0005-0000-0000-0000F6290000}"/>
    <cellStyle name="Normal 60 3 6" xfId="10738" xr:uid="{00000000-0005-0000-0000-0000F7290000}"/>
    <cellStyle name="Normal 60 4" xfId="10739" xr:uid="{00000000-0005-0000-0000-0000F8290000}"/>
    <cellStyle name="Normal 60 4 2" xfId="10740" xr:uid="{00000000-0005-0000-0000-0000F9290000}"/>
    <cellStyle name="Normal 60 4 2 2" xfId="10741" xr:uid="{00000000-0005-0000-0000-0000FA290000}"/>
    <cellStyle name="Normal 60 4 2 2 2" xfId="10742" xr:uid="{00000000-0005-0000-0000-0000FB290000}"/>
    <cellStyle name="Normal 60 4 2 3" xfId="10743" xr:uid="{00000000-0005-0000-0000-0000FC290000}"/>
    <cellStyle name="Normal 60 4 3" xfId="10744" xr:uid="{00000000-0005-0000-0000-0000FD290000}"/>
    <cellStyle name="Normal 60 4 3 2" xfId="10745" xr:uid="{00000000-0005-0000-0000-0000FE290000}"/>
    <cellStyle name="Normal 60 4 3 2 2" xfId="10746" xr:uid="{00000000-0005-0000-0000-0000FF290000}"/>
    <cellStyle name="Normal 60 4 3 3" xfId="10747" xr:uid="{00000000-0005-0000-0000-0000002A0000}"/>
    <cellStyle name="Normal 60 4 4" xfId="10748" xr:uid="{00000000-0005-0000-0000-0000012A0000}"/>
    <cellStyle name="Normal 60 4 4 2" xfId="10749" xr:uid="{00000000-0005-0000-0000-0000022A0000}"/>
    <cellStyle name="Normal 60 4 5" xfId="10750" xr:uid="{00000000-0005-0000-0000-0000032A0000}"/>
    <cellStyle name="Normal 60 5" xfId="10751" xr:uid="{00000000-0005-0000-0000-0000042A0000}"/>
    <cellStyle name="Normal 60 5 2" xfId="10752" xr:uid="{00000000-0005-0000-0000-0000052A0000}"/>
    <cellStyle name="Normal 60 5 2 2" xfId="10753" xr:uid="{00000000-0005-0000-0000-0000062A0000}"/>
    <cellStyle name="Normal 60 5 3" xfId="10754" xr:uid="{00000000-0005-0000-0000-0000072A0000}"/>
    <cellStyle name="Normal 60 6" xfId="10755" xr:uid="{00000000-0005-0000-0000-0000082A0000}"/>
    <cellStyle name="Normal 60 6 2" xfId="10756" xr:uid="{00000000-0005-0000-0000-0000092A0000}"/>
    <cellStyle name="Normal 60 6 2 2" xfId="10757" xr:uid="{00000000-0005-0000-0000-00000A2A0000}"/>
    <cellStyle name="Normal 60 6 3" xfId="10758" xr:uid="{00000000-0005-0000-0000-00000B2A0000}"/>
    <cellStyle name="Normal 60 7" xfId="10759" xr:uid="{00000000-0005-0000-0000-00000C2A0000}"/>
    <cellStyle name="Normal 60 7 2" xfId="10760" xr:uid="{00000000-0005-0000-0000-00000D2A0000}"/>
    <cellStyle name="Normal 60 8" xfId="10761" xr:uid="{00000000-0005-0000-0000-00000E2A0000}"/>
    <cellStyle name="Normal 60 9" xfId="10762" xr:uid="{00000000-0005-0000-0000-00000F2A0000}"/>
    <cellStyle name="Normal 61" xfId="10763" xr:uid="{00000000-0005-0000-0000-0000102A0000}"/>
    <cellStyle name="Normal 61 2" xfId="10764" xr:uid="{00000000-0005-0000-0000-0000112A0000}"/>
    <cellStyle name="Normal 61 2 2" xfId="10765" xr:uid="{00000000-0005-0000-0000-0000122A0000}"/>
    <cellStyle name="Normal 61 2 2 2" xfId="10766" xr:uid="{00000000-0005-0000-0000-0000132A0000}"/>
    <cellStyle name="Normal 61 2 2 2 2" xfId="10767" xr:uid="{00000000-0005-0000-0000-0000142A0000}"/>
    <cellStyle name="Normal 61 2 2 2 2 2" xfId="10768" xr:uid="{00000000-0005-0000-0000-0000152A0000}"/>
    <cellStyle name="Normal 61 2 2 2 2 2 2" xfId="10769" xr:uid="{00000000-0005-0000-0000-0000162A0000}"/>
    <cellStyle name="Normal 61 2 2 2 2 3" xfId="10770" xr:uid="{00000000-0005-0000-0000-0000172A0000}"/>
    <cellStyle name="Normal 61 2 2 2 3" xfId="10771" xr:uid="{00000000-0005-0000-0000-0000182A0000}"/>
    <cellStyle name="Normal 61 2 2 2 3 2" xfId="10772" xr:uid="{00000000-0005-0000-0000-0000192A0000}"/>
    <cellStyle name="Normal 61 2 2 2 3 2 2" xfId="10773" xr:uid="{00000000-0005-0000-0000-00001A2A0000}"/>
    <cellStyle name="Normal 61 2 2 2 3 3" xfId="10774" xr:uid="{00000000-0005-0000-0000-00001B2A0000}"/>
    <cellStyle name="Normal 61 2 2 2 4" xfId="10775" xr:uid="{00000000-0005-0000-0000-00001C2A0000}"/>
    <cellStyle name="Normal 61 2 2 2 4 2" xfId="10776" xr:uid="{00000000-0005-0000-0000-00001D2A0000}"/>
    <cellStyle name="Normal 61 2 2 2 5" xfId="10777" xr:uid="{00000000-0005-0000-0000-00001E2A0000}"/>
    <cellStyle name="Normal 61 2 2 3" xfId="10778" xr:uid="{00000000-0005-0000-0000-00001F2A0000}"/>
    <cellStyle name="Normal 61 2 2 3 2" xfId="10779" xr:uid="{00000000-0005-0000-0000-0000202A0000}"/>
    <cellStyle name="Normal 61 2 2 3 2 2" xfId="10780" xr:uid="{00000000-0005-0000-0000-0000212A0000}"/>
    <cellStyle name="Normal 61 2 2 3 3" xfId="10781" xr:uid="{00000000-0005-0000-0000-0000222A0000}"/>
    <cellStyle name="Normal 61 2 2 4" xfId="10782" xr:uid="{00000000-0005-0000-0000-0000232A0000}"/>
    <cellStyle name="Normal 61 2 2 4 2" xfId="10783" xr:uid="{00000000-0005-0000-0000-0000242A0000}"/>
    <cellStyle name="Normal 61 2 2 4 2 2" xfId="10784" xr:uid="{00000000-0005-0000-0000-0000252A0000}"/>
    <cellStyle name="Normal 61 2 2 4 3" xfId="10785" xr:uid="{00000000-0005-0000-0000-0000262A0000}"/>
    <cellStyle name="Normal 61 2 2 5" xfId="10786" xr:uid="{00000000-0005-0000-0000-0000272A0000}"/>
    <cellStyle name="Normal 61 2 2 5 2" xfId="10787" xr:uid="{00000000-0005-0000-0000-0000282A0000}"/>
    <cellStyle name="Normal 61 2 2 6" xfId="10788" xr:uid="{00000000-0005-0000-0000-0000292A0000}"/>
    <cellStyle name="Normal 61 2 3" xfId="10789" xr:uid="{00000000-0005-0000-0000-00002A2A0000}"/>
    <cellStyle name="Normal 61 2 3 2" xfId="10790" xr:uid="{00000000-0005-0000-0000-00002B2A0000}"/>
    <cellStyle name="Normal 61 2 3 2 2" xfId="10791" xr:uid="{00000000-0005-0000-0000-00002C2A0000}"/>
    <cellStyle name="Normal 61 2 3 2 2 2" xfId="10792" xr:uid="{00000000-0005-0000-0000-00002D2A0000}"/>
    <cellStyle name="Normal 61 2 3 2 3" xfId="10793" xr:uid="{00000000-0005-0000-0000-00002E2A0000}"/>
    <cellStyle name="Normal 61 2 3 3" xfId="10794" xr:uid="{00000000-0005-0000-0000-00002F2A0000}"/>
    <cellStyle name="Normal 61 2 3 3 2" xfId="10795" xr:uid="{00000000-0005-0000-0000-0000302A0000}"/>
    <cellStyle name="Normal 61 2 3 3 2 2" xfId="10796" xr:uid="{00000000-0005-0000-0000-0000312A0000}"/>
    <cellStyle name="Normal 61 2 3 3 3" xfId="10797" xr:uid="{00000000-0005-0000-0000-0000322A0000}"/>
    <cellStyle name="Normal 61 2 3 4" xfId="10798" xr:uid="{00000000-0005-0000-0000-0000332A0000}"/>
    <cellStyle name="Normal 61 2 3 4 2" xfId="10799" xr:uid="{00000000-0005-0000-0000-0000342A0000}"/>
    <cellStyle name="Normal 61 2 3 5" xfId="10800" xr:uid="{00000000-0005-0000-0000-0000352A0000}"/>
    <cellStyle name="Normal 61 2 4" xfId="10801" xr:uid="{00000000-0005-0000-0000-0000362A0000}"/>
    <cellStyle name="Normal 61 2 4 2" xfId="10802" xr:uid="{00000000-0005-0000-0000-0000372A0000}"/>
    <cellStyle name="Normal 61 2 4 2 2" xfId="10803" xr:uid="{00000000-0005-0000-0000-0000382A0000}"/>
    <cellStyle name="Normal 61 2 4 3" xfId="10804" xr:uid="{00000000-0005-0000-0000-0000392A0000}"/>
    <cellStyle name="Normal 61 2 5" xfId="10805" xr:uid="{00000000-0005-0000-0000-00003A2A0000}"/>
    <cellStyle name="Normal 61 2 5 2" xfId="10806" xr:uid="{00000000-0005-0000-0000-00003B2A0000}"/>
    <cellStyle name="Normal 61 2 5 2 2" xfId="10807" xr:uid="{00000000-0005-0000-0000-00003C2A0000}"/>
    <cellStyle name="Normal 61 2 5 3" xfId="10808" xr:uid="{00000000-0005-0000-0000-00003D2A0000}"/>
    <cellStyle name="Normal 61 2 6" xfId="10809" xr:uid="{00000000-0005-0000-0000-00003E2A0000}"/>
    <cellStyle name="Normal 61 2 6 2" xfId="10810" xr:uid="{00000000-0005-0000-0000-00003F2A0000}"/>
    <cellStyle name="Normal 61 2 7" xfId="10811" xr:uid="{00000000-0005-0000-0000-0000402A0000}"/>
    <cellStyle name="Normal 61 3" xfId="10812" xr:uid="{00000000-0005-0000-0000-0000412A0000}"/>
    <cellStyle name="Normal 61 3 2" xfId="10813" xr:uid="{00000000-0005-0000-0000-0000422A0000}"/>
    <cellStyle name="Normal 61 3 2 2" xfId="10814" xr:uid="{00000000-0005-0000-0000-0000432A0000}"/>
    <cellStyle name="Normal 61 3 2 2 2" xfId="10815" xr:uid="{00000000-0005-0000-0000-0000442A0000}"/>
    <cellStyle name="Normal 61 3 2 2 2 2" xfId="10816" xr:uid="{00000000-0005-0000-0000-0000452A0000}"/>
    <cellStyle name="Normal 61 3 2 2 3" xfId="10817" xr:uid="{00000000-0005-0000-0000-0000462A0000}"/>
    <cellStyle name="Normal 61 3 2 3" xfId="10818" xr:uid="{00000000-0005-0000-0000-0000472A0000}"/>
    <cellStyle name="Normal 61 3 2 3 2" xfId="10819" xr:uid="{00000000-0005-0000-0000-0000482A0000}"/>
    <cellStyle name="Normal 61 3 2 3 2 2" xfId="10820" xr:uid="{00000000-0005-0000-0000-0000492A0000}"/>
    <cellStyle name="Normal 61 3 2 3 3" xfId="10821" xr:uid="{00000000-0005-0000-0000-00004A2A0000}"/>
    <cellStyle name="Normal 61 3 2 4" xfId="10822" xr:uid="{00000000-0005-0000-0000-00004B2A0000}"/>
    <cellStyle name="Normal 61 3 2 4 2" xfId="10823" xr:uid="{00000000-0005-0000-0000-00004C2A0000}"/>
    <cellStyle name="Normal 61 3 2 5" xfId="10824" xr:uid="{00000000-0005-0000-0000-00004D2A0000}"/>
    <cellStyle name="Normal 61 3 3" xfId="10825" xr:uid="{00000000-0005-0000-0000-00004E2A0000}"/>
    <cellStyle name="Normal 61 3 3 2" xfId="10826" xr:uid="{00000000-0005-0000-0000-00004F2A0000}"/>
    <cellStyle name="Normal 61 3 3 2 2" xfId="10827" xr:uid="{00000000-0005-0000-0000-0000502A0000}"/>
    <cellStyle name="Normal 61 3 3 3" xfId="10828" xr:uid="{00000000-0005-0000-0000-0000512A0000}"/>
    <cellStyle name="Normal 61 3 4" xfId="10829" xr:uid="{00000000-0005-0000-0000-0000522A0000}"/>
    <cellStyle name="Normal 61 3 4 2" xfId="10830" xr:uid="{00000000-0005-0000-0000-0000532A0000}"/>
    <cellStyle name="Normal 61 3 4 2 2" xfId="10831" xr:uid="{00000000-0005-0000-0000-0000542A0000}"/>
    <cellStyle name="Normal 61 3 4 3" xfId="10832" xr:uid="{00000000-0005-0000-0000-0000552A0000}"/>
    <cellStyle name="Normal 61 3 5" xfId="10833" xr:uid="{00000000-0005-0000-0000-0000562A0000}"/>
    <cellStyle name="Normal 61 3 5 2" xfId="10834" xr:uid="{00000000-0005-0000-0000-0000572A0000}"/>
    <cellStyle name="Normal 61 3 6" xfId="10835" xr:uid="{00000000-0005-0000-0000-0000582A0000}"/>
    <cellStyle name="Normal 61 4" xfId="10836" xr:uid="{00000000-0005-0000-0000-0000592A0000}"/>
    <cellStyle name="Normal 61 4 2" xfId="10837" xr:uid="{00000000-0005-0000-0000-00005A2A0000}"/>
    <cellStyle name="Normal 61 4 2 2" xfId="10838" xr:uid="{00000000-0005-0000-0000-00005B2A0000}"/>
    <cellStyle name="Normal 61 4 2 2 2" xfId="10839" xr:uid="{00000000-0005-0000-0000-00005C2A0000}"/>
    <cellStyle name="Normal 61 4 2 3" xfId="10840" xr:uid="{00000000-0005-0000-0000-00005D2A0000}"/>
    <cellStyle name="Normal 61 4 3" xfId="10841" xr:uid="{00000000-0005-0000-0000-00005E2A0000}"/>
    <cellStyle name="Normal 61 4 3 2" xfId="10842" xr:uid="{00000000-0005-0000-0000-00005F2A0000}"/>
    <cellStyle name="Normal 61 4 3 2 2" xfId="10843" xr:uid="{00000000-0005-0000-0000-0000602A0000}"/>
    <cellStyle name="Normal 61 4 3 3" xfId="10844" xr:uid="{00000000-0005-0000-0000-0000612A0000}"/>
    <cellStyle name="Normal 61 4 4" xfId="10845" xr:uid="{00000000-0005-0000-0000-0000622A0000}"/>
    <cellStyle name="Normal 61 4 4 2" xfId="10846" xr:uid="{00000000-0005-0000-0000-0000632A0000}"/>
    <cellStyle name="Normal 61 4 5" xfId="10847" xr:uid="{00000000-0005-0000-0000-0000642A0000}"/>
    <cellStyle name="Normal 61 5" xfId="10848" xr:uid="{00000000-0005-0000-0000-0000652A0000}"/>
    <cellStyle name="Normal 61 5 2" xfId="10849" xr:uid="{00000000-0005-0000-0000-0000662A0000}"/>
    <cellStyle name="Normal 61 5 2 2" xfId="10850" xr:uid="{00000000-0005-0000-0000-0000672A0000}"/>
    <cellStyle name="Normal 61 5 3" xfId="10851" xr:uid="{00000000-0005-0000-0000-0000682A0000}"/>
    <cellStyle name="Normal 61 6" xfId="10852" xr:uid="{00000000-0005-0000-0000-0000692A0000}"/>
    <cellStyle name="Normal 61 6 2" xfId="10853" xr:uid="{00000000-0005-0000-0000-00006A2A0000}"/>
    <cellStyle name="Normal 61 6 2 2" xfId="10854" xr:uid="{00000000-0005-0000-0000-00006B2A0000}"/>
    <cellStyle name="Normal 61 6 3" xfId="10855" xr:uid="{00000000-0005-0000-0000-00006C2A0000}"/>
    <cellStyle name="Normal 61 7" xfId="10856" xr:uid="{00000000-0005-0000-0000-00006D2A0000}"/>
    <cellStyle name="Normal 61 7 2" xfId="10857" xr:uid="{00000000-0005-0000-0000-00006E2A0000}"/>
    <cellStyle name="Normal 61 8" xfId="10858" xr:uid="{00000000-0005-0000-0000-00006F2A0000}"/>
    <cellStyle name="Normal 61 9" xfId="10859" xr:uid="{00000000-0005-0000-0000-0000702A0000}"/>
    <cellStyle name="Normal 62" xfId="10860" xr:uid="{00000000-0005-0000-0000-0000712A0000}"/>
    <cellStyle name="Normal 62 2" xfId="10861" xr:uid="{00000000-0005-0000-0000-0000722A0000}"/>
    <cellStyle name="Normal 62 2 2" xfId="10862" xr:uid="{00000000-0005-0000-0000-0000732A0000}"/>
    <cellStyle name="Normal 62 2 2 2" xfId="10863" xr:uid="{00000000-0005-0000-0000-0000742A0000}"/>
    <cellStyle name="Normal 62 2 2 2 2" xfId="10864" xr:uid="{00000000-0005-0000-0000-0000752A0000}"/>
    <cellStyle name="Normal 62 2 2 2 2 2" xfId="10865" xr:uid="{00000000-0005-0000-0000-0000762A0000}"/>
    <cellStyle name="Normal 62 2 2 2 2 2 2" xfId="10866" xr:uid="{00000000-0005-0000-0000-0000772A0000}"/>
    <cellStyle name="Normal 62 2 2 2 2 3" xfId="10867" xr:uid="{00000000-0005-0000-0000-0000782A0000}"/>
    <cellStyle name="Normal 62 2 2 2 3" xfId="10868" xr:uid="{00000000-0005-0000-0000-0000792A0000}"/>
    <cellStyle name="Normal 62 2 2 2 3 2" xfId="10869" xr:uid="{00000000-0005-0000-0000-00007A2A0000}"/>
    <cellStyle name="Normal 62 2 2 2 3 2 2" xfId="10870" xr:uid="{00000000-0005-0000-0000-00007B2A0000}"/>
    <cellStyle name="Normal 62 2 2 2 3 3" xfId="10871" xr:uid="{00000000-0005-0000-0000-00007C2A0000}"/>
    <cellStyle name="Normal 62 2 2 2 4" xfId="10872" xr:uid="{00000000-0005-0000-0000-00007D2A0000}"/>
    <cellStyle name="Normal 62 2 2 2 4 2" xfId="10873" xr:uid="{00000000-0005-0000-0000-00007E2A0000}"/>
    <cellStyle name="Normal 62 2 2 2 5" xfId="10874" xr:uid="{00000000-0005-0000-0000-00007F2A0000}"/>
    <cellStyle name="Normal 62 2 2 3" xfId="10875" xr:uid="{00000000-0005-0000-0000-0000802A0000}"/>
    <cellStyle name="Normal 62 2 2 3 2" xfId="10876" xr:uid="{00000000-0005-0000-0000-0000812A0000}"/>
    <cellStyle name="Normal 62 2 2 3 2 2" xfId="10877" xr:uid="{00000000-0005-0000-0000-0000822A0000}"/>
    <cellStyle name="Normal 62 2 2 3 3" xfId="10878" xr:uid="{00000000-0005-0000-0000-0000832A0000}"/>
    <cellStyle name="Normal 62 2 2 4" xfId="10879" xr:uid="{00000000-0005-0000-0000-0000842A0000}"/>
    <cellStyle name="Normal 62 2 2 4 2" xfId="10880" xr:uid="{00000000-0005-0000-0000-0000852A0000}"/>
    <cellStyle name="Normal 62 2 2 4 2 2" xfId="10881" xr:uid="{00000000-0005-0000-0000-0000862A0000}"/>
    <cellStyle name="Normal 62 2 2 4 3" xfId="10882" xr:uid="{00000000-0005-0000-0000-0000872A0000}"/>
    <cellStyle name="Normal 62 2 2 5" xfId="10883" xr:uid="{00000000-0005-0000-0000-0000882A0000}"/>
    <cellStyle name="Normal 62 2 2 5 2" xfId="10884" xr:uid="{00000000-0005-0000-0000-0000892A0000}"/>
    <cellStyle name="Normal 62 2 2 6" xfId="10885" xr:uid="{00000000-0005-0000-0000-00008A2A0000}"/>
    <cellStyle name="Normal 62 2 3" xfId="10886" xr:uid="{00000000-0005-0000-0000-00008B2A0000}"/>
    <cellStyle name="Normal 62 2 3 2" xfId="10887" xr:uid="{00000000-0005-0000-0000-00008C2A0000}"/>
    <cellStyle name="Normal 62 2 3 2 2" xfId="10888" xr:uid="{00000000-0005-0000-0000-00008D2A0000}"/>
    <cellStyle name="Normal 62 2 3 2 2 2" xfId="10889" xr:uid="{00000000-0005-0000-0000-00008E2A0000}"/>
    <cellStyle name="Normal 62 2 3 2 3" xfId="10890" xr:uid="{00000000-0005-0000-0000-00008F2A0000}"/>
    <cellStyle name="Normal 62 2 3 3" xfId="10891" xr:uid="{00000000-0005-0000-0000-0000902A0000}"/>
    <cellStyle name="Normal 62 2 3 3 2" xfId="10892" xr:uid="{00000000-0005-0000-0000-0000912A0000}"/>
    <cellStyle name="Normal 62 2 3 3 2 2" xfId="10893" xr:uid="{00000000-0005-0000-0000-0000922A0000}"/>
    <cellStyle name="Normal 62 2 3 3 3" xfId="10894" xr:uid="{00000000-0005-0000-0000-0000932A0000}"/>
    <cellStyle name="Normal 62 2 3 4" xfId="10895" xr:uid="{00000000-0005-0000-0000-0000942A0000}"/>
    <cellStyle name="Normal 62 2 3 4 2" xfId="10896" xr:uid="{00000000-0005-0000-0000-0000952A0000}"/>
    <cellStyle name="Normal 62 2 3 5" xfId="10897" xr:uid="{00000000-0005-0000-0000-0000962A0000}"/>
    <cellStyle name="Normal 62 2 4" xfId="10898" xr:uid="{00000000-0005-0000-0000-0000972A0000}"/>
    <cellStyle name="Normal 62 2 4 2" xfId="10899" xr:uid="{00000000-0005-0000-0000-0000982A0000}"/>
    <cellStyle name="Normal 62 2 4 2 2" xfId="10900" xr:uid="{00000000-0005-0000-0000-0000992A0000}"/>
    <cellStyle name="Normal 62 2 4 3" xfId="10901" xr:uid="{00000000-0005-0000-0000-00009A2A0000}"/>
    <cellStyle name="Normal 62 2 5" xfId="10902" xr:uid="{00000000-0005-0000-0000-00009B2A0000}"/>
    <cellStyle name="Normal 62 2 5 2" xfId="10903" xr:uid="{00000000-0005-0000-0000-00009C2A0000}"/>
    <cellStyle name="Normal 62 2 5 2 2" xfId="10904" xr:uid="{00000000-0005-0000-0000-00009D2A0000}"/>
    <cellStyle name="Normal 62 2 5 3" xfId="10905" xr:uid="{00000000-0005-0000-0000-00009E2A0000}"/>
    <cellStyle name="Normal 62 2 6" xfId="10906" xr:uid="{00000000-0005-0000-0000-00009F2A0000}"/>
    <cellStyle name="Normal 62 2 6 2" xfId="10907" xr:uid="{00000000-0005-0000-0000-0000A02A0000}"/>
    <cellStyle name="Normal 62 2 7" xfId="10908" xr:uid="{00000000-0005-0000-0000-0000A12A0000}"/>
    <cellStyle name="Normal 62 3" xfId="10909" xr:uid="{00000000-0005-0000-0000-0000A22A0000}"/>
    <cellStyle name="Normal 62 3 2" xfId="10910" xr:uid="{00000000-0005-0000-0000-0000A32A0000}"/>
    <cellStyle name="Normal 62 3 2 2" xfId="10911" xr:uid="{00000000-0005-0000-0000-0000A42A0000}"/>
    <cellStyle name="Normal 62 3 2 2 2" xfId="10912" xr:uid="{00000000-0005-0000-0000-0000A52A0000}"/>
    <cellStyle name="Normal 62 3 2 2 2 2" xfId="10913" xr:uid="{00000000-0005-0000-0000-0000A62A0000}"/>
    <cellStyle name="Normal 62 3 2 2 3" xfId="10914" xr:uid="{00000000-0005-0000-0000-0000A72A0000}"/>
    <cellStyle name="Normal 62 3 2 3" xfId="10915" xr:uid="{00000000-0005-0000-0000-0000A82A0000}"/>
    <cellStyle name="Normal 62 3 2 3 2" xfId="10916" xr:uid="{00000000-0005-0000-0000-0000A92A0000}"/>
    <cellStyle name="Normal 62 3 2 3 2 2" xfId="10917" xr:uid="{00000000-0005-0000-0000-0000AA2A0000}"/>
    <cellStyle name="Normal 62 3 2 3 3" xfId="10918" xr:uid="{00000000-0005-0000-0000-0000AB2A0000}"/>
    <cellStyle name="Normal 62 3 2 4" xfId="10919" xr:uid="{00000000-0005-0000-0000-0000AC2A0000}"/>
    <cellStyle name="Normal 62 3 2 4 2" xfId="10920" xr:uid="{00000000-0005-0000-0000-0000AD2A0000}"/>
    <cellStyle name="Normal 62 3 2 5" xfId="10921" xr:uid="{00000000-0005-0000-0000-0000AE2A0000}"/>
    <cellStyle name="Normal 62 3 3" xfId="10922" xr:uid="{00000000-0005-0000-0000-0000AF2A0000}"/>
    <cellStyle name="Normal 62 3 3 2" xfId="10923" xr:uid="{00000000-0005-0000-0000-0000B02A0000}"/>
    <cellStyle name="Normal 62 3 3 2 2" xfId="10924" xr:uid="{00000000-0005-0000-0000-0000B12A0000}"/>
    <cellStyle name="Normal 62 3 3 3" xfId="10925" xr:uid="{00000000-0005-0000-0000-0000B22A0000}"/>
    <cellStyle name="Normal 62 3 4" xfId="10926" xr:uid="{00000000-0005-0000-0000-0000B32A0000}"/>
    <cellStyle name="Normal 62 3 4 2" xfId="10927" xr:uid="{00000000-0005-0000-0000-0000B42A0000}"/>
    <cellStyle name="Normal 62 3 4 2 2" xfId="10928" xr:uid="{00000000-0005-0000-0000-0000B52A0000}"/>
    <cellStyle name="Normal 62 3 4 3" xfId="10929" xr:uid="{00000000-0005-0000-0000-0000B62A0000}"/>
    <cellStyle name="Normal 62 3 5" xfId="10930" xr:uid="{00000000-0005-0000-0000-0000B72A0000}"/>
    <cellStyle name="Normal 62 3 5 2" xfId="10931" xr:uid="{00000000-0005-0000-0000-0000B82A0000}"/>
    <cellStyle name="Normal 62 3 6" xfId="10932" xr:uid="{00000000-0005-0000-0000-0000B92A0000}"/>
    <cellStyle name="Normal 62 4" xfId="10933" xr:uid="{00000000-0005-0000-0000-0000BA2A0000}"/>
    <cellStyle name="Normal 62 4 2" xfId="10934" xr:uid="{00000000-0005-0000-0000-0000BB2A0000}"/>
    <cellStyle name="Normal 62 4 2 2" xfId="10935" xr:uid="{00000000-0005-0000-0000-0000BC2A0000}"/>
    <cellStyle name="Normal 62 4 2 2 2" xfId="10936" xr:uid="{00000000-0005-0000-0000-0000BD2A0000}"/>
    <cellStyle name="Normal 62 4 2 3" xfId="10937" xr:uid="{00000000-0005-0000-0000-0000BE2A0000}"/>
    <cellStyle name="Normal 62 4 3" xfId="10938" xr:uid="{00000000-0005-0000-0000-0000BF2A0000}"/>
    <cellStyle name="Normal 62 4 3 2" xfId="10939" xr:uid="{00000000-0005-0000-0000-0000C02A0000}"/>
    <cellStyle name="Normal 62 4 3 2 2" xfId="10940" xr:uid="{00000000-0005-0000-0000-0000C12A0000}"/>
    <cellStyle name="Normal 62 4 3 3" xfId="10941" xr:uid="{00000000-0005-0000-0000-0000C22A0000}"/>
    <cellStyle name="Normal 62 4 4" xfId="10942" xr:uid="{00000000-0005-0000-0000-0000C32A0000}"/>
    <cellStyle name="Normal 62 4 4 2" xfId="10943" xr:uid="{00000000-0005-0000-0000-0000C42A0000}"/>
    <cellStyle name="Normal 62 4 5" xfId="10944" xr:uid="{00000000-0005-0000-0000-0000C52A0000}"/>
    <cellStyle name="Normal 62 5" xfId="10945" xr:uid="{00000000-0005-0000-0000-0000C62A0000}"/>
    <cellStyle name="Normal 62 5 2" xfId="10946" xr:uid="{00000000-0005-0000-0000-0000C72A0000}"/>
    <cellStyle name="Normal 62 5 2 2" xfId="10947" xr:uid="{00000000-0005-0000-0000-0000C82A0000}"/>
    <cellStyle name="Normal 62 5 3" xfId="10948" xr:uid="{00000000-0005-0000-0000-0000C92A0000}"/>
    <cellStyle name="Normal 62 6" xfId="10949" xr:uid="{00000000-0005-0000-0000-0000CA2A0000}"/>
    <cellStyle name="Normal 62 6 2" xfId="10950" xr:uid="{00000000-0005-0000-0000-0000CB2A0000}"/>
    <cellStyle name="Normal 62 6 2 2" xfId="10951" xr:uid="{00000000-0005-0000-0000-0000CC2A0000}"/>
    <cellStyle name="Normal 62 6 3" xfId="10952" xr:uid="{00000000-0005-0000-0000-0000CD2A0000}"/>
    <cellStyle name="Normal 62 7" xfId="10953" xr:uid="{00000000-0005-0000-0000-0000CE2A0000}"/>
    <cellStyle name="Normal 62 7 2" xfId="10954" xr:uid="{00000000-0005-0000-0000-0000CF2A0000}"/>
    <cellStyle name="Normal 62 8" xfId="10955" xr:uid="{00000000-0005-0000-0000-0000D02A0000}"/>
    <cellStyle name="Normal 62 9" xfId="10956" xr:uid="{00000000-0005-0000-0000-0000D12A0000}"/>
    <cellStyle name="Normal 63" xfId="10957" xr:uid="{00000000-0005-0000-0000-0000D22A0000}"/>
    <cellStyle name="Normal 63 2" xfId="10958" xr:uid="{00000000-0005-0000-0000-0000D32A0000}"/>
    <cellStyle name="Normal 63 2 2" xfId="10959" xr:uid="{00000000-0005-0000-0000-0000D42A0000}"/>
    <cellStyle name="Normal 63 2 2 2" xfId="10960" xr:uid="{00000000-0005-0000-0000-0000D52A0000}"/>
    <cellStyle name="Normal 63 2 2 2 2" xfId="10961" xr:uid="{00000000-0005-0000-0000-0000D62A0000}"/>
    <cellStyle name="Normal 63 2 2 2 2 2" xfId="10962" xr:uid="{00000000-0005-0000-0000-0000D72A0000}"/>
    <cellStyle name="Normal 63 2 2 2 2 2 2" xfId="10963" xr:uid="{00000000-0005-0000-0000-0000D82A0000}"/>
    <cellStyle name="Normal 63 2 2 2 2 3" xfId="10964" xr:uid="{00000000-0005-0000-0000-0000D92A0000}"/>
    <cellStyle name="Normal 63 2 2 2 3" xfId="10965" xr:uid="{00000000-0005-0000-0000-0000DA2A0000}"/>
    <cellStyle name="Normal 63 2 2 2 3 2" xfId="10966" xr:uid="{00000000-0005-0000-0000-0000DB2A0000}"/>
    <cellStyle name="Normal 63 2 2 2 3 2 2" xfId="10967" xr:uid="{00000000-0005-0000-0000-0000DC2A0000}"/>
    <cellStyle name="Normal 63 2 2 2 3 3" xfId="10968" xr:uid="{00000000-0005-0000-0000-0000DD2A0000}"/>
    <cellStyle name="Normal 63 2 2 2 4" xfId="10969" xr:uid="{00000000-0005-0000-0000-0000DE2A0000}"/>
    <cellStyle name="Normal 63 2 2 2 4 2" xfId="10970" xr:uid="{00000000-0005-0000-0000-0000DF2A0000}"/>
    <cellStyle name="Normal 63 2 2 2 5" xfId="10971" xr:uid="{00000000-0005-0000-0000-0000E02A0000}"/>
    <cellStyle name="Normal 63 2 2 3" xfId="10972" xr:uid="{00000000-0005-0000-0000-0000E12A0000}"/>
    <cellStyle name="Normal 63 2 2 3 2" xfId="10973" xr:uid="{00000000-0005-0000-0000-0000E22A0000}"/>
    <cellStyle name="Normal 63 2 2 3 2 2" xfId="10974" xr:uid="{00000000-0005-0000-0000-0000E32A0000}"/>
    <cellStyle name="Normal 63 2 2 3 3" xfId="10975" xr:uid="{00000000-0005-0000-0000-0000E42A0000}"/>
    <cellStyle name="Normal 63 2 2 4" xfId="10976" xr:uid="{00000000-0005-0000-0000-0000E52A0000}"/>
    <cellStyle name="Normal 63 2 2 4 2" xfId="10977" xr:uid="{00000000-0005-0000-0000-0000E62A0000}"/>
    <cellStyle name="Normal 63 2 2 4 2 2" xfId="10978" xr:uid="{00000000-0005-0000-0000-0000E72A0000}"/>
    <cellStyle name="Normal 63 2 2 4 3" xfId="10979" xr:uid="{00000000-0005-0000-0000-0000E82A0000}"/>
    <cellStyle name="Normal 63 2 2 5" xfId="10980" xr:uid="{00000000-0005-0000-0000-0000E92A0000}"/>
    <cellStyle name="Normal 63 2 2 5 2" xfId="10981" xr:uid="{00000000-0005-0000-0000-0000EA2A0000}"/>
    <cellStyle name="Normal 63 2 2 6" xfId="10982" xr:uid="{00000000-0005-0000-0000-0000EB2A0000}"/>
    <cellStyle name="Normal 63 2 3" xfId="10983" xr:uid="{00000000-0005-0000-0000-0000EC2A0000}"/>
    <cellStyle name="Normal 63 2 3 2" xfId="10984" xr:uid="{00000000-0005-0000-0000-0000ED2A0000}"/>
    <cellStyle name="Normal 63 2 3 2 2" xfId="10985" xr:uid="{00000000-0005-0000-0000-0000EE2A0000}"/>
    <cellStyle name="Normal 63 2 3 2 2 2" xfId="10986" xr:uid="{00000000-0005-0000-0000-0000EF2A0000}"/>
    <cellStyle name="Normal 63 2 3 2 3" xfId="10987" xr:uid="{00000000-0005-0000-0000-0000F02A0000}"/>
    <cellStyle name="Normal 63 2 3 3" xfId="10988" xr:uid="{00000000-0005-0000-0000-0000F12A0000}"/>
    <cellStyle name="Normal 63 2 3 3 2" xfId="10989" xr:uid="{00000000-0005-0000-0000-0000F22A0000}"/>
    <cellStyle name="Normal 63 2 3 3 2 2" xfId="10990" xr:uid="{00000000-0005-0000-0000-0000F32A0000}"/>
    <cellStyle name="Normal 63 2 3 3 3" xfId="10991" xr:uid="{00000000-0005-0000-0000-0000F42A0000}"/>
    <cellStyle name="Normal 63 2 3 4" xfId="10992" xr:uid="{00000000-0005-0000-0000-0000F52A0000}"/>
    <cellStyle name="Normal 63 2 3 4 2" xfId="10993" xr:uid="{00000000-0005-0000-0000-0000F62A0000}"/>
    <cellStyle name="Normal 63 2 3 5" xfId="10994" xr:uid="{00000000-0005-0000-0000-0000F72A0000}"/>
    <cellStyle name="Normal 63 2 4" xfId="10995" xr:uid="{00000000-0005-0000-0000-0000F82A0000}"/>
    <cellStyle name="Normal 63 2 4 2" xfId="10996" xr:uid="{00000000-0005-0000-0000-0000F92A0000}"/>
    <cellStyle name="Normal 63 2 4 2 2" xfId="10997" xr:uid="{00000000-0005-0000-0000-0000FA2A0000}"/>
    <cellStyle name="Normal 63 2 4 3" xfId="10998" xr:uid="{00000000-0005-0000-0000-0000FB2A0000}"/>
    <cellStyle name="Normal 63 2 5" xfId="10999" xr:uid="{00000000-0005-0000-0000-0000FC2A0000}"/>
    <cellStyle name="Normal 63 2 5 2" xfId="11000" xr:uid="{00000000-0005-0000-0000-0000FD2A0000}"/>
    <cellStyle name="Normal 63 2 5 2 2" xfId="11001" xr:uid="{00000000-0005-0000-0000-0000FE2A0000}"/>
    <cellStyle name="Normal 63 2 5 3" xfId="11002" xr:uid="{00000000-0005-0000-0000-0000FF2A0000}"/>
    <cellStyle name="Normal 63 2 6" xfId="11003" xr:uid="{00000000-0005-0000-0000-0000002B0000}"/>
    <cellStyle name="Normal 63 2 6 2" xfId="11004" xr:uid="{00000000-0005-0000-0000-0000012B0000}"/>
    <cellStyle name="Normal 63 2 7" xfId="11005" xr:uid="{00000000-0005-0000-0000-0000022B0000}"/>
    <cellStyle name="Normal 63 3" xfId="11006" xr:uid="{00000000-0005-0000-0000-0000032B0000}"/>
    <cellStyle name="Normal 63 3 2" xfId="11007" xr:uid="{00000000-0005-0000-0000-0000042B0000}"/>
    <cellStyle name="Normal 63 3 2 2" xfId="11008" xr:uid="{00000000-0005-0000-0000-0000052B0000}"/>
    <cellStyle name="Normal 63 3 2 2 2" xfId="11009" xr:uid="{00000000-0005-0000-0000-0000062B0000}"/>
    <cellStyle name="Normal 63 3 2 2 2 2" xfId="11010" xr:uid="{00000000-0005-0000-0000-0000072B0000}"/>
    <cellStyle name="Normal 63 3 2 2 3" xfId="11011" xr:uid="{00000000-0005-0000-0000-0000082B0000}"/>
    <cellStyle name="Normal 63 3 2 3" xfId="11012" xr:uid="{00000000-0005-0000-0000-0000092B0000}"/>
    <cellStyle name="Normal 63 3 2 3 2" xfId="11013" xr:uid="{00000000-0005-0000-0000-00000A2B0000}"/>
    <cellStyle name="Normal 63 3 2 3 2 2" xfId="11014" xr:uid="{00000000-0005-0000-0000-00000B2B0000}"/>
    <cellStyle name="Normal 63 3 2 3 3" xfId="11015" xr:uid="{00000000-0005-0000-0000-00000C2B0000}"/>
    <cellStyle name="Normal 63 3 2 4" xfId="11016" xr:uid="{00000000-0005-0000-0000-00000D2B0000}"/>
    <cellStyle name="Normal 63 3 2 4 2" xfId="11017" xr:uid="{00000000-0005-0000-0000-00000E2B0000}"/>
    <cellStyle name="Normal 63 3 2 5" xfId="11018" xr:uid="{00000000-0005-0000-0000-00000F2B0000}"/>
    <cellStyle name="Normal 63 3 3" xfId="11019" xr:uid="{00000000-0005-0000-0000-0000102B0000}"/>
    <cellStyle name="Normal 63 3 3 2" xfId="11020" xr:uid="{00000000-0005-0000-0000-0000112B0000}"/>
    <cellStyle name="Normal 63 3 3 2 2" xfId="11021" xr:uid="{00000000-0005-0000-0000-0000122B0000}"/>
    <cellStyle name="Normal 63 3 3 3" xfId="11022" xr:uid="{00000000-0005-0000-0000-0000132B0000}"/>
    <cellStyle name="Normal 63 3 4" xfId="11023" xr:uid="{00000000-0005-0000-0000-0000142B0000}"/>
    <cellStyle name="Normal 63 3 4 2" xfId="11024" xr:uid="{00000000-0005-0000-0000-0000152B0000}"/>
    <cellStyle name="Normal 63 3 4 2 2" xfId="11025" xr:uid="{00000000-0005-0000-0000-0000162B0000}"/>
    <cellStyle name="Normal 63 3 4 3" xfId="11026" xr:uid="{00000000-0005-0000-0000-0000172B0000}"/>
    <cellStyle name="Normal 63 3 5" xfId="11027" xr:uid="{00000000-0005-0000-0000-0000182B0000}"/>
    <cellStyle name="Normal 63 3 5 2" xfId="11028" xr:uid="{00000000-0005-0000-0000-0000192B0000}"/>
    <cellStyle name="Normal 63 3 6" xfId="11029" xr:uid="{00000000-0005-0000-0000-00001A2B0000}"/>
    <cellStyle name="Normal 63 4" xfId="11030" xr:uid="{00000000-0005-0000-0000-00001B2B0000}"/>
    <cellStyle name="Normal 63 4 2" xfId="11031" xr:uid="{00000000-0005-0000-0000-00001C2B0000}"/>
    <cellStyle name="Normal 63 4 2 2" xfId="11032" xr:uid="{00000000-0005-0000-0000-00001D2B0000}"/>
    <cellStyle name="Normal 63 4 2 2 2" xfId="11033" xr:uid="{00000000-0005-0000-0000-00001E2B0000}"/>
    <cellStyle name="Normal 63 4 2 3" xfId="11034" xr:uid="{00000000-0005-0000-0000-00001F2B0000}"/>
    <cellStyle name="Normal 63 4 3" xfId="11035" xr:uid="{00000000-0005-0000-0000-0000202B0000}"/>
    <cellStyle name="Normal 63 4 3 2" xfId="11036" xr:uid="{00000000-0005-0000-0000-0000212B0000}"/>
    <cellStyle name="Normal 63 4 3 2 2" xfId="11037" xr:uid="{00000000-0005-0000-0000-0000222B0000}"/>
    <cellStyle name="Normal 63 4 3 3" xfId="11038" xr:uid="{00000000-0005-0000-0000-0000232B0000}"/>
    <cellStyle name="Normal 63 4 4" xfId="11039" xr:uid="{00000000-0005-0000-0000-0000242B0000}"/>
    <cellStyle name="Normal 63 4 4 2" xfId="11040" xr:uid="{00000000-0005-0000-0000-0000252B0000}"/>
    <cellStyle name="Normal 63 4 5" xfId="11041" xr:uid="{00000000-0005-0000-0000-0000262B0000}"/>
    <cellStyle name="Normal 63 5" xfId="11042" xr:uid="{00000000-0005-0000-0000-0000272B0000}"/>
    <cellStyle name="Normal 63 5 2" xfId="11043" xr:uid="{00000000-0005-0000-0000-0000282B0000}"/>
    <cellStyle name="Normal 63 5 2 2" xfId="11044" xr:uid="{00000000-0005-0000-0000-0000292B0000}"/>
    <cellStyle name="Normal 63 5 3" xfId="11045" xr:uid="{00000000-0005-0000-0000-00002A2B0000}"/>
    <cellStyle name="Normal 63 6" xfId="11046" xr:uid="{00000000-0005-0000-0000-00002B2B0000}"/>
    <cellStyle name="Normal 63 6 2" xfId="11047" xr:uid="{00000000-0005-0000-0000-00002C2B0000}"/>
    <cellStyle name="Normal 63 6 2 2" xfId="11048" xr:uid="{00000000-0005-0000-0000-00002D2B0000}"/>
    <cellStyle name="Normal 63 6 3" xfId="11049" xr:uid="{00000000-0005-0000-0000-00002E2B0000}"/>
    <cellStyle name="Normal 63 7" xfId="11050" xr:uid="{00000000-0005-0000-0000-00002F2B0000}"/>
    <cellStyle name="Normal 63 7 2" xfId="11051" xr:uid="{00000000-0005-0000-0000-0000302B0000}"/>
    <cellStyle name="Normal 63 8" xfId="11052" xr:uid="{00000000-0005-0000-0000-0000312B0000}"/>
    <cellStyle name="Normal 63 9" xfId="11053" xr:uid="{00000000-0005-0000-0000-0000322B0000}"/>
    <cellStyle name="Normal 64" xfId="11054" xr:uid="{00000000-0005-0000-0000-0000332B0000}"/>
    <cellStyle name="Normal 64 2" xfId="11055" xr:uid="{00000000-0005-0000-0000-0000342B0000}"/>
    <cellStyle name="Normal 64 2 2" xfId="11056" xr:uid="{00000000-0005-0000-0000-0000352B0000}"/>
    <cellStyle name="Normal 64 3" xfId="11057" xr:uid="{00000000-0005-0000-0000-0000362B0000}"/>
    <cellStyle name="Normal 64 3 2" xfId="11058" xr:uid="{00000000-0005-0000-0000-0000372B0000}"/>
    <cellStyle name="Normal 64 4" xfId="11059" xr:uid="{00000000-0005-0000-0000-0000382B0000}"/>
    <cellStyle name="Normal 64 5" xfId="11060" xr:uid="{00000000-0005-0000-0000-0000392B0000}"/>
    <cellStyle name="Normal 65" xfId="11061" xr:uid="{00000000-0005-0000-0000-00003A2B0000}"/>
    <cellStyle name="Normal 65 2" xfId="11062" xr:uid="{00000000-0005-0000-0000-00003B2B0000}"/>
    <cellStyle name="Normal 65 2 2" xfId="11063" xr:uid="{00000000-0005-0000-0000-00003C2B0000}"/>
    <cellStyle name="Normal 65 2 2 2" xfId="11064" xr:uid="{00000000-0005-0000-0000-00003D2B0000}"/>
    <cellStyle name="Normal 65 2 2 2 2" xfId="11065" xr:uid="{00000000-0005-0000-0000-00003E2B0000}"/>
    <cellStyle name="Normal 65 2 2 2 2 2" xfId="11066" xr:uid="{00000000-0005-0000-0000-00003F2B0000}"/>
    <cellStyle name="Normal 65 2 2 2 2 2 2" xfId="11067" xr:uid="{00000000-0005-0000-0000-0000402B0000}"/>
    <cellStyle name="Normal 65 2 2 2 2 3" xfId="11068" xr:uid="{00000000-0005-0000-0000-0000412B0000}"/>
    <cellStyle name="Normal 65 2 2 2 3" xfId="11069" xr:uid="{00000000-0005-0000-0000-0000422B0000}"/>
    <cellStyle name="Normal 65 2 2 2 3 2" xfId="11070" xr:uid="{00000000-0005-0000-0000-0000432B0000}"/>
    <cellStyle name="Normal 65 2 2 2 3 2 2" xfId="11071" xr:uid="{00000000-0005-0000-0000-0000442B0000}"/>
    <cellStyle name="Normal 65 2 2 2 3 3" xfId="11072" xr:uid="{00000000-0005-0000-0000-0000452B0000}"/>
    <cellStyle name="Normal 65 2 2 2 4" xfId="11073" xr:uid="{00000000-0005-0000-0000-0000462B0000}"/>
    <cellStyle name="Normal 65 2 2 2 4 2" xfId="11074" xr:uid="{00000000-0005-0000-0000-0000472B0000}"/>
    <cellStyle name="Normal 65 2 2 2 5" xfId="11075" xr:uid="{00000000-0005-0000-0000-0000482B0000}"/>
    <cellStyle name="Normal 65 2 2 3" xfId="11076" xr:uid="{00000000-0005-0000-0000-0000492B0000}"/>
    <cellStyle name="Normal 65 2 2 3 2" xfId="11077" xr:uid="{00000000-0005-0000-0000-00004A2B0000}"/>
    <cellStyle name="Normal 65 2 2 3 2 2" xfId="11078" xr:uid="{00000000-0005-0000-0000-00004B2B0000}"/>
    <cellStyle name="Normal 65 2 2 3 3" xfId="11079" xr:uid="{00000000-0005-0000-0000-00004C2B0000}"/>
    <cellStyle name="Normal 65 2 2 4" xfId="11080" xr:uid="{00000000-0005-0000-0000-00004D2B0000}"/>
    <cellStyle name="Normal 65 2 2 4 2" xfId="11081" xr:uid="{00000000-0005-0000-0000-00004E2B0000}"/>
    <cellStyle name="Normal 65 2 2 4 2 2" xfId="11082" xr:uid="{00000000-0005-0000-0000-00004F2B0000}"/>
    <cellStyle name="Normal 65 2 2 4 3" xfId="11083" xr:uid="{00000000-0005-0000-0000-0000502B0000}"/>
    <cellStyle name="Normal 65 2 2 5" xfId="11084" xr:uid="{00000000-0005-0000-0000-0000512B0000}"/>
    <cellStyle name="Normal 65 2 2 5 2" xfId="11085" xr:uid="{00000000-0005-0000-0000-0000522B0000}"/>
    <cellStyle name="Normal 65 2 2 6" xfId="11086" xr:uid="{00000000-0005-0000-0000-0000532B0000}"/>
    <cellStyle name="Normal 65 2 3" xfId="11087" xr:uid="{00000000-0005-0000-0000-0000542B0000}"/>
    <cellStyle name="Normal 65 2 3 2" xfId="11088" xr:uid="{00000000-0005-0000-0000-0000552B0000}"/>
    <cellStyle name="Normal 65 2 3 2 2" xfId="11089" xr:uid="{00000000-0005-0000-0000-0000562B0000}"/>
    <cellStyle name="Normal 65 2 3 2 2 2" xfId="11090" xr:uid="{00000000-0005-0000-0000-0000572B0000}"/>
    <cellStyle name="Normal 65 2 3 2 3" xfId="11091" xr:uid="{00000000-0005-0000-0000-0000582B0000}"/>
    <cellStyle name="Normal 65 2 3 3" xfId="11092" xr:uid="{00000000-0005-0000-0000-0000592B0000}"/>
    <cellStyle name="Normal 65 2 3 3 2" xfId="11093" xr:uid="{00000000-0005-0000-0000-00005A2B0000}"/>
    <cellStyle name="Normal 65 2 3 3 2 2" xfId="11094" xr:uid="{00000000-0005-0000-0000-00005B2B0000}"/>
    <cellStyle name="Normal 65 2 3 3 3" xfId="11095" xr:uid="{00000000-0005-0000-0000-00005C2B0000}"/>
    <cellStyle name="Normal 65 2 3 4" xfId="11096" xr:uid="{00000000-0005-0000-0000-00005D2B0000}"/>
    <cellStyle name="Normal 65 2 3 4 2" xfId="11097" xr:uid="{00000000-0005-0000-0000-00005E2B0000}"/>
    <cellStyle name="Normal 65 2 3 5" xfId="11098" xr:uid="{00000000-0005-0000-0000-00005F2B0000}"/>
    <cellStyle name="Normal 65 2 4" xfId="11099" xr:uid="{00000000-0005-0000-0000-0000602B0000}"/>
    <cellStyle name="Normal 65 2 4 2" xfId="11100" xr:uid="{00000000-0005-0000-0000-0000612B0000}"/>
    <cellStyle name="Normal 65 2 4 2 2" xfId="11101" xr:uid="{00000000-0005-0000-0000-0000622B0000}"/>
    <cellStyle name="Normal 65 2 4 3" xfId="11102" xr:uid="{00000000-0005-0000-0000-0000632B0000}"/>
    <cellStyle name="Normal 65 2 5" xfId="11103" xr:uid="{00000000-0005-0000-0000-0000642B0000}"/>
    <cellStyle name="Normal 65 2 5 2" xfId="11104" xr:uid="{00000000-0005-0000-0000-0000652B0000}"/>
    <cellStyle name="Normal 65 2 5 2 2" xfId="11105" xr:uid="{00000000-0005-0000-0000-0000662B0000}"/>
    <cellStyle name="Normal 65 2 5 3" xfId="11106" xr:uid="{00000000-0005-0000-0000-0000672B0000}"/>
    <cellStyle name="Normal 65 2 6" xfId="11107" xr:uid="{00000000-0005-0000-0000-0000682B0000}"/>
    <cellStyle name="Normal 65 2 6 2" xfId="11108" xr:uid="{00000000-0005-0000-0000-0000692B0000}"/>
    <cellStyle name="Normal 65 2 7" xfId="11109" xr:uid="{00000000-0005-0000-0000-00006A2B0000}"/>
    <cellStyle name="Normal 65 3" xfId="11110" xr:uid="{00000000-0005-0000-0000-00006B2B0000}"/>
    <cellStyle name="Normal 65 3 2" xfId="11111" xr:uid="{00000000-0005-0000-0000-00006C2B0000}"/>
    <cellStyle name="Normal 65 3 2 2" xfId="11112" xr:uid="{00000000-0005-0000-0000-00006D2B0000}"/>
    <cellStyle name="Normal 65 3 2 2 2" xfId="11113" xr:uid="{00000000-0005-0000-0000-00006E2B0000}"/>
    <cellStyle name="Normal 65 3 2 2 2 2" xfId="11114" xr:uid="{00000000-0005-0000-0000-00006F2B0000}"/>
    <cellStyle name="Normal 65 3 2 2 3" xfId="11115" xr:uid="{00000000-0005-0000-0000-0000702B0000}"/>
    <cellStyle name="Normal 65 3 2 3" xfId="11116" xr:uid="{00000000-0005-0000-0000-0000712B0000}"/>
    <cellStyle name="Normal 65 3 2 3 2" xfId="11117" xr:uid="{00000000-0005-0000-0000-0000722B0000}"/>
    <cellStyle name="Normal 65 3 2 3 2 2" xfId="11118" xr:uid="{00000000-0005-0000-0000-0000732B0000}"/>
    <cellStyle name="Normal 65 3 2 3 3" xfId="11119" xr:uid="{00000000-0005-0000-0000-0000742B0000}"/>
    <cellStyle name="Normal 65 3 2 4" xfId="11120" xr:uid="{00000000-0005-0000-0000-0000752B0000}"/>
    <cellStyle name="Normal 65 3 2 4 2" xfId="11121" xr:uid="{00000000-0005-0000-0000-0000762B0000}"/>
    <cellStyle name="Normal 65 3 2 5" xfId="11122" xr:uid="{00000000-0005-0000-0000-0000772B0000}"/>
    <cellStyle name="Normal 65 3 3" xfId="11123" xr:uid="{00000000-0005-0000-0000-0000782B0000}"/>
    <cellStyle name="Normal 65 3 3 2" xfId="11124" xr:uid="{00000000-0005-0000-0000-0000792B0000}"/>
    <cellStyle name="Normal 65 3 3 2 2" xfId="11125" xr:uid="{00000000-0005-0000-0000-00007A2B0000}"/>
    <cellStyle name="Normal 65 3 3 3" xfId="11126" xr:uid="{00000000-0005-0000-0000-00007B2B0000}"/>
    <cellStyle name="Normal 65 3 4" xfId="11127" xr:uid="{00000000-0005-0000-0000-00007C2B0000}"/>
    <cellStyle name="Normal 65 3 4 2" xfId="11128" xr:uid="{00000000-0005-0000-0000-00007D2B0000}"/>
    <cellStyle name="Normal 65 3 4 2 2" xfId="11129" xr:uid="{00000000-0005-0000-0000-00007E2B0000}"/>
    <cellStyle name="Normal 65 3 4 3" xfId="11130" xr:uid="{00000000-0005-0000-0000-00007F2B0000}"/>
    <cellStyle name="Normal 65 3 5" xfId="11131" xr:uid="{00000000-0005-0000-0000-0000802B0000}"/>
    <cellStyle name="Normal 65 3 5 2" xfId="11132" xr:uid="{00000000-0005-0000-0000-0000812B0000}"/>
    <cellStyle name="Normal 65 3 6" xfId="11133" xr:uid="{00000000-0005-0000-0000-0000822B0000}"/>
    <cellStyle name="Normal 65 4" xfId="11134" xr:uid="{00000000-0005-0000-0000-0000832B0000}"/>
    <cellStyle name="Normal 65 4 2" xfId="11135" xr:uid="{00000000-0005-0000-0000-0000842B0000}"/>
    <cellStyle name="Normal 65 4 2 2" xfId="11136" xr:uid="{00000000-0005-0000-0000-0000852B0000}"/>
    <cellStyle name="Normal 65 4 2 2 2" xfId="11137" xr:uid="{00000000-0005-0000-0000-0000862B0000}"/>
    <cellStyle name="Normal 65 4 2 3" xfId="11138" xr:uid="{00000000-0005-0000-0000-0000872B0000}"/>
    <cellStyle name="Normal 65 4 3" xfId="11139" xr:uid="{00000000-0005-0000-0000-0000882B0000}"/>
    <cellStyle name="Normal 65 4 3 2" xfId="11140" xr:uid="{00000000-0005-0000-0000-0000892B0000}"/>
    <cellStyle name="Normal 65 4 3 2 2" xfId="11141" xr:uid="{00000000-0005-0000-0000-00008A2B0000}"/>
    <cellStyle name="Normal 65 4 3 3" xfId="11142" xr:uid="{00000000-0005-0000-0000-00008B2B0000}"/>
    <cellStyle name="Normal 65 4 4" xfId="11143" xr:uid="{00000000-0005-0000-0000-00008C2B0000}"/>
    <cellStyle name="Normal 65 4 4 2" xfId="11144" xr:uid="{00000000-0005-0000-0000-00008D2B0000}"/>
    <cellStyle name="Normal 65 4 5" xfId="11145" xr:uid="{00000000-0005-0000-0000-00008E2B0000}"/>
    <cellStyle name="Normal 65 5" xfId="11146" xr:uid="{00000000-0005-0000-0000-00008F2B0000}"/>
    <cellStyle name="Normal 65 5 2" xfId="11147" xr:uid="{00000000-0005-0000-0000-0000902B0000}"/>
    <cellStyle name="Normal 65 5 2 2" xfId="11148" xr:uid="{00000000-0005-0000-0000-0000912B0000}"/>
    <cellStyle name="Normal 65 5 3" xfId="11149" xr:uid="{00000000-0005-0000-0000-0000922B0000}"/>
    <cellStyle name="Normal 65 6" xfId="11150" xr:uid="{00000000-0005-0000-0000-0000932B0000}"/>
    <cellStyle name="Normal 65 6 2" xfId="11151" xr:uid="{00000000-0005-0000-0000-0000942B0000}"/>
    <cellStyle name="Normal 65 6 2 2" xfId="11152" xr:uid="{00000000-0005-0000-0000-0000952B0000}"/>
    <cellStyle name="Normal 65 6 3" xfId="11153" xr:uid="{00000000-0005-0000-0000-0000962B0000}"/>
    <cellStyle name="Normal 65 7" xfId="11154" xr:uid="{00000000-0005-0000-0000-0000972B0000}"/>
    <cellStyle name="Normal 65 7 2" xfId="11155" xr:uid="{00000000-0005-0000-0000-0000982B0000}"/>
    <cellStyle name="Normal 65 8" xfId="11156" xr:uid="{00000000-0005-0000-0000-0000992B0000}"/>
    <cellStyle name="Normal 65 9" xfId="11157" xr:uid="{00000000-0005-0000-0000-00009A2B0000}"/>
    <cellStyle name="Normal 66" xfId="11158" xr:uid="{00000000-0005-0000-0000-00009B2B0000}"/>
    <cellStyle name="Normal 66 2" xfId="11159" xr:uid="{00000000-0005-0000-0000-00009C2B0000}"/>
    <cellStyle name="Normal 66 2 2" xfId="11160" xr:uid="{00000000-0005-0000-0000-00009D2B0000}"/>
    <cellStyle name="Normal 66 3" xfId="11161" xr:uid="{00000000-0005-0000-0000-00009E2B0000}"/>
    <cellStyle name="Normal 66 3 2" xfId="11162" xr:uid="{00000000-0005-0000-0000-00009F2B0000}"/>
    <cellStyle name="Normal 66 4" xfId="11163" xr:uid="{00000000-0005-0000-0000-0000A02B0000}"/>
    <cellStyle name="Normal 66 5" xfId="11164" xr:uid="{00000000-0005-0000-0000-0000A12B0000}"/>
    <cellStyle name="Normal 67" xfId="11165" xr:uid="{00000000-0005-0000-0000-0000A22B0000}"/>
    <cellStyle name="Normal 67 2" xfId="11166" xr:uid="{00000000-0005-0000-0000-0000A32B0000}"/>
    <cellStyle name="Normal 67 2 2" xfId="11167" xr:uid="{00000000-0005-0000-0000-0000A42B0000}"/>
    <cellStyle name="Normal 67 3" xfId="11168" xr:uid="{00000000-0005-0000-0000-0000A52B0000}"/>
    <cellStyle name="Normal 67 3 2" xfId="11169" xr:uid="{00000000-0005-0000-0000-0000A62B0000}"/>
    <cellStyle name="Normal 67 4" xfId="11170" xr:uid="{00000000-0005-0000-0000-0000A72B0000}"/>
    <cellStyle name="Normal 67 5" xfId="11171" xr:uid="{00000000-0005-0000-0000-0000A82B0000}"/>
    <cellStyle name="Normal 68" xfId="11172" xr:uid="{00000000-0005-0000-0000-0000A92B0000}"/>
    <cellStyle name="Normal 68 2" xfId="11173" xr:uid="{00000000-0005-0000-0000-0000AA2B0000}"/>
    <cellStyle name="Normal 68 2 2" xfId="11174" xr:uid="{00000000-0005-0000-0000-0000AB2B0000}"/>
    <cellStyle name="Normal 68 3" xfId="11175" xr:uid="{00000000-0005-0000-0000-0000AC2B0000}"/>
    <cellStyle name="Normal 68 3 2" xfId="11176" xr:uid="{00000000-0005-0000-0000-0000AD2B0000}"/>
    <cellStyle name="Normal 68 4" xfId="11177" xr:uid="{00000000-0005-0000-0000-0000AE2B0000}"/>
    <cellStyle name="Normal 68 5" xfId="11178" xr:uid="{00000000-0005-0000-0000-0000AF2B0000}"/>
    <cellStyle name="Normal 69" xfId="11179" xr:uid="{00000000-0005-0000-0000-0000B02B0000}"/>
    <cellStyle name="Normal 69 2" xfId="11180" xr:uid="{00000000-0005-0000-0000-0000B12B0000}"/>
    <cellStyle name="Normal 69 2 2" xfId="11181" xr:uid="{00000000-0005-0000-0000-0000B22B0000}"/>
    <cellStyle name="Normal 69 3" xfId="11182" xr:uid="{00000000-0005-0000-0000-0000B32B0000}"/>
    <cellStyle name="Normal 69 3 2" xfId="11183" xr:uid="{00000000-0005-0000-0000-0000B42B0000}"/>
    <cellStyle name="Normal 69 4" xfId="11184" xr:uid="{00000000-0005-0000-0000-0000B52B0000}"/>
    <cellStyle name="Normal 69 5" xfId="11185" xr:uid="{00000000-0005-0000-0000-0000B62B0000}"/>
    <cellStyle name="Normal 7" xfId="11186" xr:uid="{00000000-0005-0000-0000-0000B72B0000}"/>
    <cellStyle name="Normal 7 10" xfId="11187" xr:uid="{00000000-0005-0000-0000-0000B82B0000}"/>
    <cellStyle name="Normal 7 10 2" xfId="11188" xr:uid="{00000000-0005-0000-0000-0000B92B0000}"/>
    <cellStyle name="Normal 7 10 2 2" xfId="11189" xr:uid="{00000000-0005-0000-0000-0000BA2B0000}"/>
    <cellStyle name="Normal 7 10 3" xfId="11190" xr:uid="{00000000-0005-0000-0000-0000BB2B0000}"/>
    <cellStyle name="Normal 7 11" xfId="11191" xr:uid="{00000000-0005-0000-0000-0000BC2B0000}"/>
    <cellStyle name="Normal 7 11 2" xfId="11192" xr:uid="{00000000-0005-0000-0000-0000BD2B0000}"/>
    <cellStyle name="Normal 7 12" xfId="11193" xr:uid="{00000000-0005-0000-0000-0000BE2B0000}"/>
    <cellStyle name="Normal 7 13" xfId="11194" xr:uid="{00000000-0005-0000-0000-0000BF2B0000}"/>
    <cellStyle name="Normal 7 2" xfId="11195" xr:uid="{00000000-0005-0000-0000-0000C02B0000}"/>
    <cellStyle name="Normal 7 2 10" xfId="11196" xr:uid="{00000000-0005-0000-0000-0000C12B0000}"/>
    <cellStyle name="Normal 7 2 10 2" xfId="11197" xr:uid="{00000000-0005-0000-0000-0000C22B0000}"/>
    <cellStyle name="Normal 7 2 11" xfId="11198" xr:uid="{00000000-0005-0000-0000-0000C32B0000}"/>
    <cellStyle name="Normal 7 2 12" xfId="11199" xr:uid="{00000000-0005-0000-0000-0000C42B0000}"/>
    <cellStyle name="Normal 7 2 2" xfId="11200" xr:uid="{00000000-0005-0000-0000-0000C52B0000}"/>
    <cellStyle name="Normal 7 2 2 10" xfId="11201" xr:uid="{00000000-0005-0000-0000-0000C62B0000}"/>
    <cellStyle name="Normal 7 2 2 2" xfId="11202" xr:uid="{00000000-0005-0000-0000-0000C72B0000}"/>
    <cellStyle name="Normal 7 2 2 2 2" xfId="11203" xr:uid="{00000000-0005-0000-0000-0000C82B0000}"/>
    <cellStyle name="Normal 7 2 2 2 2 2" xfId="11204" xr:uid="{00000000-0005-0000-0000-0000C92B0000}"/>
    <cellStyle name="Normal 7 2 2 2 2 2 2" xfId="11205" xr:uid="{00000000-0005-0000-0000-0000CA2B0000}"/>
    <cellStyle name="Normal 7 2 2 2 2 2 2 2" xfId="11206" xr:uid="{00000000-0005-0000-0000-0000CB2B0000}"/>
    <cellStyle name="Normal 7 2 2 2 2 2 2 2 2" xfId="11207" xr:uid="{00000000-0005-0000-0000-0000CC2B0000}"/>
    <cellStyle name="Normal 7 2 2 2 2 2 2 2 2 2" xfId="11208" xr:uid="{00000000-0005-0000-0000-0000CD2B0000}"/>
    <cellStyle name="Normal 7 2 2 2 2 2 2 2 3" xfId="11209" xr:uid="{00000000-0005-0000-0000-0000CE2B0000}"/>
    <cellStyle name="Normal 7 2 2 2 2 2 2 3" xfId="11210" xr:uid="{00000000-0005-0000-0000-0000CF2B0000}"/>
    <cellStyle name="Normal 7 2 2 2 2 2 2 3 2" xfId="11211" xr:uid="{00000000-0005-0000-0000-0000D02B0000}"/>
    <cellStyle name="Normal 7 2 2 2 2 2 2 3 2 2" xfId="11212" xr:uid="{00000000-0005-0000-0000-0000D12B0000}"/>
    <cellStyle name="Normal 7 2 2 2 2 2 2 3 3" xfId="11213" xr:uid="{00000000-0005-0000-0000-0000D22B0000}"/>
    <cellStyle name="Normal 7 2 2 2 2 2 2 4" xfId="11214" xr:uid="{00000000-0005-0000-0000-0000D32B0000}"/>
    <cellStyle name="Normal 7 2 2 2 2 2 2 4 2" xfId="11215" xr:uid="{00000000-0005-0000-0000-0000D42B0000}"/>
    <cellStyle name="Normal 7 2 2 2 2 2 2 5" xfId="11216" xr:uid="{00000000-0005-0000-0000-0000D52B0000}"/>
    <cellStyle name="Normal 7 2 2 2 2 2 3" xfId="11217" xr:uid="{00000000-0005-0000-0000-0000D62B0000}"/>
    <cellStyle name="Normal 7 2 2 2 2 2 3 2" xfId="11218" xr:uid="{00000000-0005-0000-0000-0000D72B0000}"/>
    <cellStyle name="Normal 7 2 2 2 2 2 3 2 2" xfId="11219" xr:uid="{00000000-0005-0000-0000-0000D82B0000}"/>
    <cellStyle name="Normal 7 2 2 2 2 2 3 3" xfId="11220" xr:uid="{00000000-0005-0000-0000-0000D92B0000}"/>
    <cellStyle name="Normal 7 2 2 2 2 2 4" xfId="11221" xr:uid="{00000000-0005-0000-0000-0000DA2B0000}"/>
    <cellStyle name="Normal 7 2 2 2 2 2 4 2" xfId="11222" xr:uid="{00000000-0005-0000-0000-0000DB2B0000}"/>
    <cellStyle name="Normal 7 2 2 2 2 2 4 2 2" xfId="11223" xr:uid="{00000000-0005-0000-0000-0000DC2B0000}"/>
    <cellStyle name="Normal 7 2 2 2 2 2 4 3" xfId="11224" xr:uid="{00000000-0005-0000-0000-0000DD2B0000}"/>
    <cellStyle name="Normal 7 2 2 2 2 2 5" xfId="11225" xr:uid="{00000000-0005-0000-0000-0000DE2B0000}"/>
    <cellStyle name="Normal 7 2 2 2 2 2 5 2" xfId="11226" xr:uid="{00000000-0005-0000-0000-0000DF2B0000}"/>
    <cellStyle name="Normal 7 2 2 2 2 2 6" xfId="11227" xr:uid="{00000000-0005-0000-0000-0000E02B0000}"/>
    <cellStyle name="Normal 7 2 2 2 2 3" xfId="11228" xr:uid="{00000000-0005-0000-0000-0000E12B0000}"/>
    <cellStyle name="Normal 7 2 2 2 2 3 2" xfId="11229" xr:uid="{00000000-0005-0000-0000-0000E22B0000}"/>
    <cellStyle name="Normal 7 2 2 2 2 3 2 2" xfId="11230" xr:uid="{00000000-0005-0000-0000-0000E32B0000}"/>
    <cellStyle name="Normal 7 2 2 2 2 3 2 2 2" xfId="11231" xr:uid="{00000000-0005-0000-0000-0000E42B0000}"/>
    <cellStyle name="Normal 7 2 2 2 2 3 2 3" xfId="11232" xr:uid="{00000000-0005-0000-0000-0000E52B0000}"/>
    <cellStyle name="Normal 7 2 2 2 2 3 3" xfId="11233" xr:uid="{00000000-0005-0000-0000-0000E62B0000}"/>
    <cellStyle name="Normal 7 2 2 2 2 3 3 2" xfId="11234" xr:uid="{00000000-0005-0000-0000-0000E72B0000}"/>
    <cellStyle name="Normal 7 2 2 2 2 3 3 2 2" xfId="11235" xr:uid="{00000000-0005-0000-0000-0000E82B0000}"/>
    <cellStyle name="Normal 7 2 2 2 2 3 3 3" xfId="11236" xr:uid="{00000000-0005-0000-0000-0000E92B0000}"/>
    <cellStyle name="Normal 7 2 2 2 2 3 4" xfId="11237" xr:uid="{00000000-0005-0000-0000-0000EA2B0000}"/>
    <cellStyle name="Normal 7 2 2 2 2 3 4 2" xfId="11238" xr:uid="{00000000-0005-0000-0000-0000EB2B0000}"/>
    <cellStyle name="Normal 7 2 2 2 2 3 5" xfId="11239" xr:uid="{00000000-0005-0000-0000-0000EC2B0000}"/>
    <cellStyle name="Normal 7 2 2 2 2 4" xfId="11240" xr:uid="{00000000-0005-0000-0000-0000ED2B0000}"/>
    <cellStyle name="Normal 7 2 2 2 2 4 2" xfId="11241" xr:uid="{00000000-0005-0000-0000-0000EE2B0000}"/>
    <cellStyle name="Normal 7 2 2 2 2 4 2 2" xfId="11242" xr:uid="{00000000-0005-0000-0000-0000EF2B0000}"/>
    <cellStyle name="Normal 7 2 2 2 2 4 3" xfId="11243" xr:uid="{00000000-0005-0000-0000-0000F02B0000}"/>
    <cellStyle name="Normal 7 2 2 2 2 5" xfId="11244" xr:uid="{00000000-0005-0000-0000-0000F12B0000}"/>
    <cellStyle name="Normal 7 2 2 2 2 5 2" xfId="11245" xr:uid="{00000000-0005-0000-0000-0000F22B0000}"/>
    <cellStyle name="Normal 7 2 2 2 2 5 2 2" xfId="11246" xr:uid="{00000000-0005-0000-0000-0000F32B0000}"/>
    <cellStyle name="Normal 7 2 2 2 2 5 3" xfId="11247" xr:uid="{00000000-0005-0000-0000-0000F42B0000}"/>
    <cellStyle name="Normal 7 2 2 2 2 6" xfId="11248" xr:uid="{00000000-0005-0000-0000-0000F52B0000}"/>
    <cellStyle name="Normal 7 2 2 2 2 6 2" xfId="11249" xr:uid="{00000000-0005-0000-0000-0000F62B0000}"/>
    <cellStyle name="Normal 7 2 2 2 2 7" xfId="11250" xr:uid="{00000000-0005-0000-0000-0000F72B0000}"/>
    <cellStyle name="Normal 7 2 2 2 3" xfId="11251" xr:uid="{00000000-0005-0000-0000-0000F82B0000}"/>
    <cellStyle name="Normal 7 2 2 2 3 2" xfId="11252" xr:uid="{00000000-0005-0000-0000-0000F92B0000}"/>
    <cellStyle name="Normal 7 2 2 2 3 2 2" xfId="11253" xr:uid="{00000000-0005-0000-0000-0000FA2B0000}"/>
    <cellStyle name="Normal 7 2 2 2 3 2 2 2" xfId="11254" xr:uid="{00000000-0005-0000-0000-0000FB2B0000}"/>
    <cellStyle name="Normal 7 2 2 2 3 2 2 2 2" xfId="11255" xr:uid="{00000000-0005-0000-0000-0000FC2B0000}"/>
    <cellStyle name="Normal 7 2 2 2 3 2 2 3" xfId="11256" xr:uid="{00000000-0005-0000-0000-0000FD2B0000}"/>
    <cellStyle name="Normal 7 2 2 2 3 2 3" xfId="11257" xr:uid="{00000000-0005-0000-0000-0000FE2B0000}"/>
    <cellStyle name="Normal 7 2 2 2 3 2 3 2" xfId="11258" xr:uid="{00000000-0005-0000-0000-0000FF2B0000}"/>
    <cellStyle name="Normal 7 2 2 2 3 2 3 2 2" xfId="11259" xr:uid="{00000000-0005-0000-0000-0000002C0000}"/>
    <cellStyle name="Normal 7 2 2 2 3 2 3 3" xfId="11260" xr:uid="{00000000-0005-0000-0000-0000012C0000}"/>
    <cellStyle name="Normal 7 2 2 2 3 2 4" xfId="11261" xr:uid="{00000000-0005-0000-0000-0000022C0000}"/>
    <cellStyle name="Normal 7 2 2 2 3 2 4 2" xfId="11262" xr:uid="{00000000-0005-0000-0000-0000032C0000}"/>
    <cellStyle name="Normal 7 2 2 2 3 2 5" xfId="11263" xr:uid="{00000000-0005-0000-0000-0000042C0000}"/>
    <cellStyle name="Normal 7 2 2 2 3 3" xfId="11264" xr:uid="{00000000-0005-0000-0000-0000052C0000}"/>
    <cellStyle name="Normal 7 2 2 2 3 3 2" xfId="11265" xr:uid="{00000000-0005-0000-0000-0000062C0000}"/>
    <cellStyle name="Normal 7 2 2 2 3 3 2 2" xfId="11266" xr:uid="{00000000-0005-0000-0000-0000072C0000}"/>
    <cellStyle name="Normal 7 2 2 2 3 3 3" xfId="11267" xr:uid="{00000000-0005-0000-0000-0000082C0000}"/>
    <cellStyle name="Normal 7 2 2 2 3 4" xfId="11268" xr:uid="{00000000-0005-0000-0000-0000092C0000}"/>
    <cellStyle name="Normal 7 2 2 2 3 4 2" xfId="11269" xr:uid="{00000000-0005-0000-0000-00000A2C0000}"/>
    <cellStyle name="Normal 7 2 2 2 3 4 2 2" xfId="11270" xr:uid="{00000000-0005-0000-0000-00000B2C0000}"/>
    <cellStyle name="Normal 7 2 2 2 3 4 3" xfId="11271" xr:uid="{00000000-0005-0000-0000-00000C2C0000}"/>
    <cellStyle name="Normal 7 2 2 2 3 5" xfId="11272" xr:uid="{00000000-0005-0000-0000-00000D2C0000}"/>
    <cellStyle name="Normal 7 2 2 2 3 5 2" xfId="11273" xr:uid="{00000000-0005-0000-0000-00000E2C0000}"/>
    <cellStyle name="Normal 7 2 2 2 3 6" xfId="11274" xr:uid="{00000000-0005-0000-0000-00000F2C0000}"/>
    <cellStyle name="Normal 7 2 2 2 4" xfId="11275" xr:uid="{00000000-0005-0000-0000-0000102C0000}"/>
    <cellStyle name="Normal 7 2 2 2 4 2" xfId="11276" xr:uid="{00000000-0005-0000-0000-0000112C0000}"/>
    <cellStyle name="Normal 7 2 2 2 4 2 2" xfId="11277" xr:uid="{00000000-0005-0000-0000-0000122C0000}"/>
    <cellStyle name="Normal 7 2 2 2 4 2 2 2" xfId="11278" xr:uid="{00000000-0005-0000-0000-0000132C0000}"/>
    <cellStyle name="Normal 7 2 2 2 4 2 3" xfId="11279" xr:uid="{00000000-0005-0000-0000-0000142C0000}"/>
    <cellStyle name="Normal 7 2 2 2 4 3" xfId="11280" xr:uid="{00000000-0005-0000-0000-0000152C0000}"/>
    <cellStyle name="Normal 7 2 2 2 4 3 2" xfId="11281" xr:uid="{00000000-0005-0000-0000-0000162C0000}"/>
    <cellStyle name="Normal 7 2 2 2 4 3 2 2" xfId="11282" xr:uid="{00000000-0005-0000-0000-0000172C0000}"/>
    <cellStyle name="Normal 7 2 2 2 4 3 3" xfId="11283" xr:uid="{00000000-0005-0000-0000-0000182C0000}"/>
    <cellStyle name="Normal 7 2 2 2 4 4" xfId="11284" xr:uid="{00000000-0005-0000-0000-0000192C0000}"/>
    <cellStyle name="Normal 7 2 2 2 4 4 2" xfId="11285" xr:uid="{00000000-0005-0000-0000-00001A2C0000}"/>
    <cellStyle name="Normal 7 2 2 2 4 5" xfId="11286" xr:uid="{00000000-0005-0000-0000-00001B2C0000}"/>
    <cellStyle name="Normal 7 2 2 2 5" xfId="11287" xr:uid="{00000000-0005-0000-0000-00001C2C0000}"/>
    <cellStyle name="Normal 7 2 2 2 5 2" xfId="11288" xr:uid="{00000000-0005-0000-0000-00001D2C0000}"/>
    <cellStyle name="Normal 7 2 2 2 5 2 2" xfId="11289" xr:uid="{00000000-0005-0000-0000-00001E2C0000}"/>
    <cellStyle name="Normal 7 2 2 2 5 3" xfId="11290" xr:uid="{00000000-0005-0000-0000-00001F2C0000}"/>
    <cellStyle name="Normal 7 2 2 2 6" xfId="11291" xr:uid="{00000000-0005-0000-0000-0000202C0000}"/>
    <cellStyle name="Normal 7 2 2 2 6 2" xfId="11292" xr:uid="{00000000-0005-0000-0000-0000212C0000}"/>
    <cellStyle name="Normal 7 2 2 2 6 2 2" xfId="11293" xr:uid="{00000000-0005-0000-0000-0000222C0000}"/>
    <cellStyle name="Normal 7 2 2 2 6 3" xfId="11294" xr:uid="{00000000-0005-0000-0000-0000232C0000}"/>
    <cellStyle name="Normal 7 2 2 2 7" xfId="11295" xr:uid="{00000000-0005-0000-0000-0000242C0000}"/>
    <cellStyle name="Normal 7 2 2 2 7 2" xfId="11296" xr:uid="{00000000-0005-0000-0000-0000252C0000}"/>
    <cellStyle name="Normal 7 2 2 2 8" xfId="11297" xr:uid="{00000000-0005-0000-0000-0000262C0000}"/>
    <cellStyle name="Normal 7 2 2 3" xfId="11298" xr:uid="{00000000-0005-0000-0000-0000272C0000}"/>
    <cellStyle name="Normal 7 2 2 3 2" xfId="11299" xr:uid="{00000000-0005-0000-0000-0000282C0000}"/>
    <cellStyle name="Normal 7 2 2 3 2 2" xfId="11300" xr:uid="{00000000-0005-0000-0000-0000292C0000}"/>
    <cellStyle name="Normal 7 2 2 3 2 2 2" xfId="11301" xr:uid="{00000000-0005-0000-0000-00002A2C0000}"/>
    <cellStyle name="Normal 7 2 2 3 2 2 2 2" xfId="11302" xr:uid="{00000000-0005-0000-0000-00002B2C0000}"/>
    <cellStyle name="Normal 7 2 2 3 2 2 2 2 2" xfId="11303" xr:uid="{00000000-0005-0000-0000-00002C2C0000}"/>
    <cellStyle name="Normal 7 2 2 3 2 2 2 3" xfId="11304" xr:uid="{00000000-0005-0000-0000-00002D2C0000}"/>
    <cellStyle name="Normal 7 2 2 3 2 2 3" xfId="11305" xr:uid="{00000000-0005-0000-0000-00002E2C0000}"/>
    <cellStyle name="Normal 7 2 2 3 2 2 3 2" xfId="11306" xr:uid="{00000000-0005-0000-0000-00002F2C0000}"/>
    <cellStyle name="Normal 7 2 2 3 2 2 3 2 2" xfId="11307" xr:uid="{00000000-0005-0000-0000-0000302C0000}"/>
    <cellStyle name="Normal 7 2 2 3 2 2 3 3" xfId="11308" xr:uid="{00000000-0005-0000-0000-0000312C0000}"/>
    <cellStyle name="Normal 7 2 2 3 2 2 4" xfId="11309" xr:uid="{00000000-0005-0000-0000-0000322C0000}"/>
    <cellStyle name="Normal 7 2 2 3 2 2 4 2" xfId="11310" xr:uid="{00000000-0005-0000-0000-0000332C0000}"/>
    <cellStyle name="Normal 7 2 2 3 2 2 5" xfId="11311" xr:uid="{00000000-0005-0000-0000-0000342C0000}"/>
    <cellStyle name="Normal 7 2 2 3 2 3" xfId="11312" xr:uid="{00000000-0005-0000-0000-0000352C0000}"/>
    <cellStyle name="Normal 7 2 2 3 2 3 2" xfId="11313" xr:uid="{00000000-0005-0000-0000-0000362C0000}"/>
    <cellStyle name="Normal 7 2 2 3 2 3 2 2" xfId="11314" xr:uid="{00000000-0005-0000-0000-0000372C0000}"/>
    <cellStyle name="Normal 7 2 2 3 2 3 3" xfId="11315" xr:uid="{00000000-0005-0000-0000-0000382C0000}"/>
    <cellStyle name="Normal 7 2 2 3 2 4" xfId="11316" xr:uid="{00000000-0005-0000-0000-0000392C0000}"/>
    <cellStyle name="Normal 7 2 2 3 2 4 2" xfId="11317" xr:uid="{00000000-0005-0000-0000-00003A2C0000}"/>
    <cellStyle name="Normal 7 2 2 3 2 4 2 2" xfId="11318" xr:uid="{00000000-0005-0000-0000-00003B2C0000}"/>
    <cellStyle name="Normal 7 2 2 3 2 4 3" xfId="11319" xr:uid="{00000000-0005-0000-0000-00003C2C0000}"/>
    <cellStyle name="Normal 7 2 2 3 2 5" xfId="11320" xr:uid="{00000000-0005-0000-0000-00003D2C0000}"/>
    <cellStyle name="Normal 7 2 2 3 2 5 2" xfId="11321" xr:uid="{00000000-0005-0000-0000-00003E2C0000}"/>
    <cellStyle name="Normal 7 2 2 3 2 6" xfId="11322" xr:uid="{00000000-0005-0000-0000-00003F2C0000}"/>
    <cellStyle name="Normal 7 2 2 3 3" xfId="11323" xr:uid="{00000000-0005-0000-0000-0000402C0000}"/>
    <cellStyle name="Normal 7 2 2 3 3 2" xfId="11324" xr:uid="{00000000-0005-0000-0000-0000412C0000}"/>
    <cellStyle name="Normal 7 2 2 3 3 2 2" xfId="11325" xr:uid="{00000000-0005-0000-0000-0000422C0000}"/>
    <cellStyle name="Normal 7 2 2 3 3 2 2 2" xfId="11326" xr:uid="{00000000-0005-0000-0000-0000432C0000}"/>
    <cellStyle name="Normal 7 2 2 3 3 2 3" xfId="11327" xr:uid="{00000000-0005-0000-0000-0000442C0000}"/>
    <cellStyle name="Normal 7 2 2 3 3 3" xfId="11328" xr:uid="{00000000-0005-0000-0000-0000452C0000}"/>
    <cellStyle name="Normal 7 2 2 3 3 3 2" xfId="11329" xr:uid="{00000000-0005-0000-0000-0000462C0000}"/>
    <cellStyle name="Normal 7 2 2 3 3 3 2 2" xfId="11330" xr:uid="{00000000-0005-0000-0000-0000472C0000}"/>
    <cellStyle name="Normal 7 2 2 3 3 3 3" xfId="11331" xr:uid="{00000000-0005-0000-0000-0000482C0000}"/>
    <cellStyle name="Normal 7 2 2 3 3 4" xfId="11332" xr:uid="{00000000-0005-0000-0000-0000492C0000}"/>
    <cellStyle name="Normal 7 2 2 3 3 4 2" xfId="11333" xr:uid="{00000000-0005-0000-0000-00004A2C0000}"/>
    <cellStyle name="Normal 7 2 2 3 3 5" xfId="11334" xr:uid="{00000000-0005-0000-0000-00004B2C0000}"/>
    <cellStyle name="Normal 7 2 2 3 4" xfId="11335" xr:uid="{00000000-0005-0000-0000-00004C2C0000}"/>
    <cellStyle name="Normal 7 2 2 3 4 2" xfId="11336" xr:uid="{00000000-0005-0000-0000-00004D2C0000}"/>
    <cellStyle name="Normal 7 2 2 3 4 2 2" xfId="11337" xr:uid="{00000000-0005-0000-0000-00004E2C0000}"/>
    <cellStyle name="Normal 7 2 2 3 4 3" xfId="11338" xr:uid="{00000000-0005-0000-0000-00004F2C0000}"/>
    <cellStyle name="Normal 7 2 2 3 5" xfId="11339" xr:uid="{00000000-0005-0000-0000-0000502C0000}"/>
    <cellStyle name="Normal 7 2 2 3 5 2" xfId="11340" xr:uid="{00000000-0005-0000-0000-0000512C0000}"/>
    <cellStyle name="Normal 7 2 2 3 5 2 2" xfId="11341" xr:uid="{00000000-0005-0000-0000-0000522C0000}"/>
    <cellStyle name="Normal 7 2 2 3 5 3" xfId="11342" xr:uid="{00000000-0005-0000-0000-0000532C0000}"/>
    <cellStyle name="Normal 7 2 2 3 6" xfId="11343" xr:uid="{00000000-0005-0000-0000-0000542C0000}"/>
    <cellStyle name="Normal 7 2 2 3 6 2" xfId="11344" xr:uid="{00000000-0005-0000-0000-0000552C0000}"/>
    <cellStyle name="Normal 7 2 2 3 7" xfId="11345" xr:uid="{00000000-0005-0000-0000-0000562C0000}"/>
    <cellStyle name="Normal 7 2 2 4" xfId="11346" xr:uid="{00000000-0005-0000-0000-0000572C0000}"/>
    <cellStyle name="Normal 7 2 2 4 2" xfId="11347" xr:uid="{00000000-0005-0000-0000-0000582C0000}"/>
    <cellStyle name="Normal 7 2 2 4 2 2" xfId="11348" xr:uid="{00000000-0005-0000-0000-0000592C0000}"/>
    <cellStyle name="Normal 7 2 2 4 2 2 2" xfId="11349" xr:uid="{00000000-0005-0000-0000-00005A2C0000}"/>
    <cellStyle name="Normal 7 2 2 4 2 2 2 2" xfId="11350" xr:uid="{00000000-0005-0000-0000-00005B2C0000}"/>
    <cellStyle name="Normal 7 2 2 4 2 2 3" xfId="11351" xr:uid="{00000000-0005-0000-0000-00005C2C0000}"/>
    <cellStyle name="Normal 7 2 2 4 2 3" xfId="11352" xr:uid="{00000000-0005-0000-0000-00005D2C0000}"/>
    <cellStyle name="Normal 7 2 2 4 2 3 2" xfId="11353" xr:uid="{00000000-0005-0000-0000-00005E2C0000}"/>
    <cellStyle name="Normal 7 2 2 4 2 3 2 2" xfId="11354" xr:uid="{00000000-0005-0000-0000-00005F2C0000}"/>
    <cellStyle name="Normal 7 2 2 4 2 3 3" xfId="11355" xr:uid="{00000000-0005-0000-0000-0000602C0000}"/>
    <cellStyle name="Normal 7 2 2 4 2 4" xfId="11356" xr:uid="{00000000-0005-0000-0000-0000612C0000}"/>
    <cellStyle name="Normal 7 2 2 4 2 4 2" xfId="11357" xr:uid="{00000000-0005-0000-0000-0000622C0000}"/>
    <cellStyle name="Normal 7 2 2 4 2 5" xfId="11358" xr:uid="{00000000-0005-0000-0000-0000632C0000}"/>
    <cellStyle name="Normal 7 2 2 4 3" xfId="11359" xr:uid="{00000000-0005-0000-0000-0000642C0000}"/>
    <cellStyle name="Normal 7 2 2 4 3 2" xfId="11360" xr:uid="{00000000-0005-0000-0000-0000652C0000}"/>
    <cellStyle name="Normal 7 2 2 4 3 2 2" xfId="11361" xr:uid="{00000000-0005-0000-0000-0000662C0000}"/>
    <cellStyle name="Normal 7 2 2 4 3 3" xfId="11362" xr:uid="{00000000-0005-0000-0000-0000672C0000}"/>
    <cellStyle name="Normal 7 2 2 4 4" xfId="11363" xr:uid="{00000000-0005-0000-0000-0000682C0000}"/>
    <cellStyle name="Normal 7 2 2 4 4 2" xfId="11364" xr:uid="{00000000-0005-0000-0000-0000692C0000}"/>
    <cellStyle name="Normal 7 2 2 4 4 2 2" xfId="11365" xr:uid="{00000000-0005-0000-0000-00006A2C0000}"/>
    <cellStyle name="Normal 7 2 2 4 4 3" xfId="11366" xr:uid="{00000000-0005-0000-0000-00006B2C0000}"/>
    <cellStyle name="Normal 7 2 2 4 5" xfId="11367" xr:uid="{00000000-0005-0000-0000-00006C2C0000}"/>
    <cellStyle name="Normal 7 2 2 4 5 2" xfId="11368" xr:uid="{00000000-0005-0000-0000-00006D2C0000}"/>
    <cellStyle name="Normal 7 2 2 4 6" xfId="11369" xr:uid="{00000000-0005-0000-0000-00006E2C0000}"/>
    <cellStyle name="Normal 7 2 2 5" xfId="11370" xr:uid="{00000000-0005-0000-0000-00006F2C0000}"/>
    <cellStyle name="Normal 7 2 2 5 2" xfId="11371" xr:uid="{00000000-0005-0000-0000-0000702C0000}"/>
    <cellStyle name="Normal 7 2 2 5 2 2" xfId="11372" xr:uid="{00000000-0005-0000-0000-0000712C0000}"/>
    <cellStyle name="Normal 7 2 2 5 2 2 2" xfId="11373" xr:uid="{00000000-0005-0000-0000-0000722C0000}"/>
    <cellStyle name="Normal 7 2 2 5 2 3" xfId="11374" xr:uid="{00000000-0005-0000-0000-0000732C0000}"/>
    <cellStyle name="Normal 7 2 2 5 3" xfId="11375" xr:uid="{00000000-0005-0000-0000-0000742C0000}"/>
    <cellStyle name="Normal 7 2 2 5 3 2" xfId="11376" xr:uid="{00000000-0005-0000-0000-0000752C0000}"/>
    <cellStyle name="Normal 7 2 2 5 3 2 2" xfId="11377" xr:uid="{00000000-0005-0000-0000-0000762C0000}"/>
    <cellStyle name="Normal 7 2 2 5 3 3" xfId="11378" xr:uid="{00000000-0005-0000-0000-0000772C0000}"/>
    <cellStyle name="Normal 7 2 2 5 4" xfId="11379" xr:uid="{00000000-0005-0000-0000-0000782C0000}"/>
    <cellStyle name="Normal 7 2 2 5 4 2" xfId="11380" xr:uid="{00000000-0005-0000-0000-0000792C0000}"/>
    <cellStyle name="Normal 7 2 2 5 5" xfId="11381" xr:uid="{00000000-0005-0000-0000-00007A2C0000}"/>
    <cellStyle name="Normal 7 2 2 6" xfId="11382" xr:uid="{00000000-0005-0000-0000-00007B2C0000}"/>
    <cellStyle name="Normal 7 2 2 6 2" xfId="11383" xr:uid="{00000000-0005-0000-0000-00007C2C0000}"/>
    <cellStyle name="Normal 7 2 2 6 2 2" xfId="11384" xr:uid="{00000000-0005-0000-0000-00007D2C0000}"/>
    <cellStyle name="Normal 7 2 2 6 3" xfId="11385" xr:uid="{00000000-0005-0000-0000-00007E2C0000}"/>
    <cellStyle name="Normal 7 2 2 7" xfId="11386" xr:uid="{00000000-0005-0000-0000-00007F2C0000}"/>
    <cellStyle name="Normal 7 2 2 7 2" xfId="11387" xr:uid="{00000000-0005-0000-0000-0000802C0000}"/>
    <cellStyle name="Normal 7 2 2 7 2 2" xfId="11388" xr:uid="{00000000-0005-0000-0000-0000812C0000}"/>
    <cellStyle name="Normal 7 2 2 7 3" xfId="11389" xr:uid="{00000000-0005-0000-0000-0000822C0000}"/>
    <cellStyle name="Normal 7 2 2 8" xfId="11390" xr:uid="{00000000-0005-0000-0000-0000832C0000}"/>
    <cellStyle name="Normal 7 2 2 8 2" xfId="11391" xr:uid="{00000000-0005-0000-0000-0000842C0000}"/>
    <cellStyle name="Normal 7 2 2 9" xfId="11392" xr:uid="{00000000-0005-0000-0000-0000852C0000}"/>
    <cellStyle name="Normal 7 2 3" xfId="11393" xr:uid="{00000000-0005-0000-0000-0000862C0000}"/>
    <cellStyle name="Normal 7 2 3 2" xfId="11394" xr:uid="{00000000-0005-0000-0000-0000872C0000}"/>
    <cellStyle name="Normal 7 2 3 2 2" xfId="11395" xr:uid="{00000000-0005-0000-0000-0000882C0000}"/>
    <cellStyle name="Normal 7 2 3 2 2 2" xfId="11396" xr:uid="{00000000-0005-0000-0000-0000892C0000}"/>
    <cellStyle name="Normal 7 2 3 2 2 2 2" xfId="11397" xr:uid="{00000000-0005-0000-0000-00008A2C0000}"/>
    <cellStyle name="Normal 7 2 3 2 2 2 2 2" xfId="11398" xr:uid="{00000000-0005-0000-0000-00008B2C0000}"/>
    <cellStyle name="Normal 7 2 3 2 2 2 2 2 2" xfId="11399" xr:uid="{00000000-0005-0000-0000-00008C2C0000}"/>
    <cellStyle name="Normal 7 2 3 2 2 2 2 3" xfId="11400" xr:uid="{00000000-0005-0000-0000-00008D2C0000}"/>
    <cellStyle name="Normal 7 2 3 2 2 2 3" xfId="11401" xr:uid="{00000000-0005-0000-0000-00008E2C0000}"/>
    <cellStyle name="Normal 7 2 3 2 2 2 3 2" xfId="11402" xr:uid="{00000000-0005-0000-0000-00008F2C0000}"/>
    <cellStyle name="Normal 7 2 3 2 2 2 3 2 2" xfId="11403" xr:uid="{00000000-0005-0000-0000-0000902C0000}"/>
    <cellStyle name="Normal 7 2 3 2 2 2 3 3" xfId="11404" xr:uid="{00000000-0005-0000-0000-0000912C0000}"/>
    <cellStyle name="Normal 7 2 3 2 2 2 4" xfId="11405" xr:uid="{00000000-0005-0000-0000-0000922C0000}"/>
    <cellStyle name="Normal 7 2 3 2 2 2 4 2" xfId="11406" xr:uid="{00000000-0005-0000-0000-0000932C0000}"/>
    <cellStyle name="Normal 7 2 3 2 2 2 5" xfId="11407" xr:uid="{00000000-0005-0000-0000-0000942C0000}"/>
    <cellStyle name="Normal 7 2 3 2 2 3" xfId="11408" xr:uid="{00000000-0005-0000-0000-0000952C0000}"/>
    <cellStyle name="Normal 7 2 3 2 2 3 2" xfId="11409" xr:uid="{00000000-0005-0000-0000-0000962C0000}"/>
    <cellStyle name="Normal 7 2 3 2 2 3 2 2" xfId="11410" xr:uid="{00000000-0005-0000-0000-0000972C0000}"/>
    <cellStyle name="Normal 7 2 3 2 2 3 3" xfId="11411" xr:uid="{00000000-0005-0000-0000-0000982C0000}"/>
    <cellStyle name="Normal 7 2 3 2 2 4" xfId="11412" xr:uid="{00000000-0005-0000-0000-0000992C0000}"/>
    <cellStyle name="Normal 7 2 3 2 2 4 2" xfId="11413" xr:uid="{00000000-0005-0000-0000-00009A2C0000}"/>
    <cellStyle name="Normal 7 2 3 2 2 4 2 2" xfId="11414" xr:uid="{00000000-0005-0000-0000-00009B2C0000}"/>
    <cellStyle name="Normal 7 2 3 2 2 4 3" xfId="11415" xr:uid="{00000000-0005-0000-0000-00009C2C0000}"/>
    <cellStyle name="Normal 7 2 3 2 2 5" xfId="11416" xr:uid="{00000000-0005-0000-0000-00009D2C0000}"/>
    <cellStyle name="Normal 7 2 3 2 2 5 2" xfId="11417" xr:uid="{00000000-0005-0000-0000-00009E2C0000}"/>
    <cellStyle name="Normal 7 2 3 2 2 6" xfId="11418" xr:uid="{00000000-0005-0000-0000-00009F2C0000}"/>
    <cellStyle name="Normal 7 2 3 2 3" xfId="11419" xr:uid="{00000000-0005-0000-0000-0000A02C0000}"/>
    <cellStyle name="Normal 7 2 3 2 3 2" xfId="11420" xr:uid="{00000000-0005-0000-0000-0000A12C0000}"/>
    <cellStyle name="Normal 7 2 3 2 3 2 2" xfId="11421" xr:uid="{00000000-0005-0000-0000-0000A22C0000}"/>
    <cellStyle name="Normal 7 2 3 2 3 2 2 2" xfId="11422" xr:uid="{00000000-0005-0000-0000-0000A32C0000}"/>
    <cellStyle name="Normal 7 2 3 2 3 2 3" xfId="11423" xr:uid="{00000000-0005-0000-0000-0000A42C0000}"/>
    <cellStyle name="Normal 7 2 3 2 3 3" xfId="11424" xr:uid="{00000000-0005-0000-0000-0000A52C0000}"/>
    <cellStyle name="Normal 7 2 3 2 3 3 2" xfId="11425" xr:uid="{00000000-0005-0000-0000-0000A62C0000}"/>
    <cellStyle name="Normal 7 2 3 2 3 3 2 2" xfId="11426" xr:uid="{00000000-0005-0000-0000-0000A72C0000}"/>
    <cellStyle name="Normal 7 2 3 2 3 3 3" xfId="11427" xr:uid="{00000000-0005-0000-0000-0000A82C0000}"/>
    <cellStyle name="Normal 7 2 3 2 3 4" xfId="11428" xr:uid="{00000000-0005-0000-0000-0000A92C0000}"/>
    <cellStyle name="Normal 7 2 3 2 3 4 2" xfId="11429" xr:uid="{00000000-0005-0000-0000-0000AA2C0000}"/>
    <cellStyle name="Normal 7 2 3 2 3 5" xfId="11430" xr:uid="{00000000-0005-0000-0000-0000AB2C0000}"/>
    <cellStyle name="Normal 7 2 3 2 4" xfId="11431" xr:uid="{00000000-0005-0000-0000-0000AC2C0000}"/>
    <cellStyle name="Normal 7 2 3 2 4 2" xfId="11432" xr:uid="{00000000-0005-0000-0000-0000AD2C0000}"/>
    <cellStyle name="Normal 7 2 3 2 4 2 2" xfId="11433" xr:uid="{00000000-0005-0000-0000-0000AE2C0000}"/>
    <cellStyle name="Normal 7 2 3 2 4 3" xfId="11434" xr:uid="{00000000-0005-0000-0000-0000AF2C0000}"/>
    <cellStyle name="Normal 7 2 3 2 5" xfId="11435" xr:uid="{00000000-0005-0000-0000-0000B02C0000}"/>
    <cellStyle name="Normal 7 2 3 2 5 2" xfId="11436" xr:uid="{00000000-0005-0000-0000-0000B12C0000}"/>
    <cellStyle name="Normal 7 2 3 2 5 2 2" xfId="11437" xr:uid="{00000000-0005-0000-0000-0000B22C0000}"/>
    <cellStyle name="Normal 7 2 3 2 5 3" xfId="11438" xr:uid="{00000000-0005-0000-0000-0000B32C0000}"/>
    <cellStyle name="Normal 7 2 3 2 6" xfId="11439" xr:uid="{00000000-0005-0000-0000-0000B42C0000}"/>
    <cellStyle name="Normal 7 2 3 2 6 2" xfId="11440" xr:uid="{00000000-0005-0000-0000-0000B52C0000}"/>
    <cellStyle name="Normal 7 2 3 2 7" xfId="11441" xr:uid="{00000000-0005-0000-0000-0000B62C0000}"/>
    <cellStyle name="Normal 7 2 3 3" xfId="11442" xr:uid="{00000000-0005-0000-0000-0000B72C0000}"/>
    <cellStyle name="Normal 7 2 3 3 2" xfId="11443" xr:uid="{00000000-0005-0000-0000-0000B82C0000}"/>
    <cellStyle name="Normal 7 2 3 3 2 2" xfId="11444" xr:uid="{00000000-0005-0000-0000-0000B92C0000}"/>
    <cellStyle name="Normal 7 2 3 3 2 2 2" xfId="11445" xr:uid="{00000000-0005-0000-0000-0000BA2C0000}"/>
    <cellStyle name="Normal 7 2 3 3 2 2 2 2" xfId="11446" xr:uid="{00000000-0005-0000-0000-0000BB2C0000}"/>
    <cellStyle name="Normal 7 2 3 3 2 2 3" xfId="11447" xr:uid="{00000000-0005-0000-0000-0000BC2C0000}"/>
    <cellStyle name="Normal 7 2 3 3 2 3" xfId="11448" xr:uid="{00000000-0005-0000-0000-0000BD2C0000}"/>
    <cellStyle name="Normal 7 2 3 3 2 3 2" xfId="11449" xr:uid="{00000000-0005-0000-0000-0000BE2C0000}"/>
    <cellStyle name="Normal 7 2 3 3 2 3 2 2" xfId="11450" xr:uid="{00000000-0005-0000-0000-0000BF2C0000}"/>
    <cellStyle name="Normal 7 2 3 3 2 3 3" xfId="11451" xr:uid="{00000000-0005-0000-0000-0000C02C0000}"/>
    <cellStyle name="Normal 7 2 3 3 2 4" xfId="11452" xr:uid="{00000000-0005-0000-0000-0000C12C0000}"/>
    <cellStyle name="Normal 7 2 3 3 2 4 2" xfId="11453" xr:uid="{00000000-0005-0000-0000-0000C22C0000}"/>
    <cellStyle name="Normal 7 2 3 3 2 5" xfId="11454" xr:uid="{00000000-0005-0000-0000-0000C32C0000}"/>
    <cellStyle name="Normal 7 2 3 3 3" xfId="11455" xr:uid="{00000000-0005-0000-0000-0000C42C0000}"/>
    <cellStyle name="Normal 7 2 3 3 3 2" xfId="11456" xr:uid="{00000000-0005-0000-0000-0000C52C0000}"/>
    <cellStyle name="Normal 7 2 3 3 3 2 2" xfId="11457" xr:uid="{00000000-0005-0000-0000-0000C62C0000}"/>
    <cellStyle name="Normal 7 2 3 3 3 3" xfId="11458" xr:uid="{00000000-0005-0000-0000-0000C72C0000}"/>
    <cellStyle name="Normal 7 2 3 3 4" xfId="11459" xr:uid="{00000000-0005-0000-0000-0000C82C0000}"/>
    <cellStyle name="Normal 7 2 3 3 4 2" xfId="11460" xr:uid="{00000000-0005-0000-0000-0000C92C0000}"/>
    <cellStyle name="Normal 7 2 3 3 4 2 2" xfId="11461" xr:uid="{00000000-0005-0000-0000-0000CA2C0000}"/>
    <cellStyle name="Normal 7 2 3 3 4 3" xfId="11462" xr:uid="{00000000-0005-0000-0000-0000CB2C0000}"/>
    <cellStyle name="Normal 7 2 3 3 5" xfId="11463" xr:uid="{00000000-0005-0000-0000-0000CC2C0000}"/>
    <cellStyle name="Normal 7 2 3 3 5 2" xfId="11464" xr:uid="{00000000-0005-0000-0000-0000CD2C0000}"/>
    <cellStyle name="Normal 7 2 3 3 6" xfId="11465" xr:uid="{00000000-0005-0000-0000-0000CE2C0000}"/>
    <cellStyle name="Normal 7 2 3 4" xfId="11466" xr:uid="{00000000-0005-0000-0000-0000CF2C0000}"/>
    <cellStyle name="Normal 7 2 3 4 2" xfId="11467" xr:uid="{00000000-0005-0000-0000-0000D02C0000}"/>
    <cellStyle name="Normal 7 2 3 4 2 2" xfId="11468" xr:uid="{00000000-0005-0000-0000-0000D12C0000}"/>
    <cellStyle name="Normal 7 2 3 4 2 2 2" xfId="11469" xr:uid="{00000000-0005-0000-0000-0000D22C0000}"/>
    <cellStyle name="Normal 7 2 3 4 2 3" xfId="11470" xr:uid="{00000000-0005-0000-0000-0000D32C0000}"/>
    <cellStyle name="Normal 7 2 3 4 3" xfId="11471" xr:uid="{00000000-0005-0000-0000-0000D42C0000}"/>
    <cellStyle name="Normal 7 2 3 4 3 2" xfId="11472" xr:uid="{00000000-0005-0000-0000-0000D52C0000}"/>
    <cellStyle name="Normal 7 2 3 4 3 2 2" xfId="11473" xr:uid="{00000000-0005-0000-0000-0000D62C0000}"/>
    <cellStyle name="Normal 7 2 3 4 3 3" xfId="11474" xr:uid="{00000000-0005-0000-0000-0000D72C0000}"/>
    <cellStyle name="Normal 7 2 3 4 4" xfId="11475" xr:uid="{00000000-0005-0000-0000-0000D82C0000}"/>
    <cellStyle name="Normal 7 2 3 4 4 2" xfId="11476" xr:uid="{00000000-0005-0000-0000-0000D92C0000}"/>
    <cellStyle name="Normal 7 2 3 4 5" xfId="11477" xr:uid="{00000000-0005-0000-0000-0000DA2C0000}"/>
    <cellStyle name="Normal 7 2 3 5" xfId="11478" xr:uid="{00000000-0005-0000-0000-0000DB2C0000}"/>
    <cellStyle name="Normal 7 2 3 5 2" xfId="11479" xr:uid="{00000000-0005-0000-0000-0000DC2C0000}"/>
    <cellStyle name="Normal 7 2 3 5 2 2" xfId="11480" xr:uid="{00000000-0005-0000-0000-0000DD2C0000}"/>
    <cellStyle name="Normal 7 2 3 5 3" xfId="11481" xr:uid="{00000000-0005-0000-0000-0000DE2C0000}"/>
    <cellStyle name="Normal 7 2 3 6" xfId="11482" xr:uid="{00000000-0005-0000-0000-0000DF2C0000}"/>
    <cellStyle name="Normal 7 2 3 6 2" xfId="11483" xr:uid="{00000000-0005-0000-0000-0000E02C0000}"/>
    <cellStyle name="Normal 7 2 3 6 2 2" xfId="11484" xr:uid="{00000000-0005-0000-0000-0000E12C0000}"/>
    <cellStyle name="Normal 7 2 3 6 3" xfId="11485" xr:uid="{00000000-0005-0000-0000-0000E22C0000}"/>
    <cellStyle name="Normal 7 2 3 7" xfId="11486" xr:uid="{00000000-0005-0000-0000-0000E32C0000}"/>
    <cellStyle name="Normal 7 2 3 7 2" xfId="11487" xr:uid="{00000000-0005-0000-0000-0000E42C0000}"/>
    <cellStyle name="Normal 7 2 3 8" xfId="11488" xr:uid="{00000000-0005-0000-0000-0000E52C0000}"/>
    <cellStyle name="Normal 7 2 4" xfId="11489" xr:uid="{00000000-0005-0000-0000-0000E62C0000}"/>
    <cellStyle name="Normal 7 2 4 2" xfId="11490" xr:uid="{00000000-0005-0000-0000-0000E72C0000}"/>
    <cellStyle name="Normal 7 2 4 2 2" xfId="11491" xr:uid="{00000000-0005-0000-0000-0000E82C0000}"/>
    <cellStyle name="Normal 7 2 4 2 2 2" xfId="11492" xr:uid="{00000000-0005-0000-0000-0000E92C0000}"/>
    <cellStyle name="Normal 7 2 4 2 2 2 2" xfId="11493" xr:uid="{00000000-0005-0000-0000-0000EA2C0000}"/>
    <cellStyle name="Normal 7 2 4 2 2 2 2 2" xfId="11494" xr:uid="{00000000-0005-0000-0000-0000EB2C0000}"/>
    <cellStyle name="Normal 7 2 4 2 2 2 2 2 2" xfId="11495" xr:uid="{00000000-0005-0000-0000-0000EC2C0000}"/>
    <cellStyle name="Normal 7 2 4 2 2 2 2 3" xfId="11496" xr:uid="{00000000-0005-0000-0000-0000ED2C0000}"/>
    <cellStyle name="Normal 7 2 4 2 2 2 3" xfId="11497" xr:uid="{00000000-0005-0000-0000-0000EE2C0000}"/>
    <cellStyle name="Normal 7 2 4 2 2 2 3 2" xfId="11498" xr:uid="{00000000-0005-0000-0000-0000EF2C0000}"/>
    <cellStyle name="Normal 7 2 4 2 2 2 3 2 2" xfId="11499" xr:uid="{00000000-0005-0000-0000-0000F02C0000}"/>
    <cellStyle name="Normal 7 2 4 2 2 2 3 3" xfId="11500" xr:uid="{00000000-0005-0000-0000-0000F12C0000}"/>
    <cellStyle name="Normal 7 2 4 2 2 2 4" xfId="11501" xr:uid="{00000000-0005-0000-0000-0000F22C0000}"/>
    <cellStyle name="Normal 7 2 4 2 2 2 4 2" xfId="11502" xr:uid="{00000000-0005-0000-0000-0000F32C0000}"/>
    <cellStyle name="Normal 7 2 4 2 2 2 5" xfId="11503" xr:uid="{00000000-0005-0000-0000-0000F42C0000}"/>
    <cellStyle name="Normal 7 2 4 2 2 3" xfId="11504" xr:uid="{00000000-0005-0000-0000-0000F52C0000}"/>
    <cellStyle name="Normal 7 2 4 2 2 3 2" xfId="11505" xr:uid="{00000000-0005-0000-0000-0000F62C0000}"/>
    <cellStyle name="Normal 7 2 4 2 2 3 2 2" xfId="11506" xr:uid="{00000000-0005-0000-0000-0000F72C0000}"/>
    <cellStyle name="Normal 7 2 4 2 2 3 3" xfId="11507" xr:uid="{00000000-0005-0000-0000-0000F82C0000}"/>
    <cellStyle name="Normal 7 2 4 2 2 4" xfId="11508" xr:uid="{00000000-0005-0000-0000-0000F92C0000}"/>
    <cellStyle name="Normal 7 2 4 2 2 4 2" xfId="11509" xr:uid="{00000000-0005-0000-0000-0000FA2C0000}"/>
    <cellStyle name="Normal 7 2 4 2 2 4 2 2" xfId="11510" xr:uid="{00000000-0005-0000-0000-0000FB2C0000}"/>
    <cellStyle name="Normal 7 2 4 2 2 4 3" xfId="11511" xr:uid="{00000000-0005-0000-0000-0000FC2C0000}"/>
    <cellStyle name="Normal 7 2 4 2 2 5" xfId="11512" xr:uid="{00000000-0005-0000-0000-0000FD2C0000}"/>
    <cellStyle name="Normal 7 2 4 2 2 5 2" xfId="11513" xr:uid="{00000000-0005-0000-0000-0000FE2C0000}"/>
    <cellStyle name="Normal 7 2 4 2 2 6" xfId="11514" xr:uid="{00000000-0005-0000-0000-0000FF2C0000}"/>
    <cellStyle name="Normal 7 2 4 2 3" xfId="11515" xr:uid="{00000000-0005-0000-0000-0000002D0000}"/>
    <cellStyle name="Normal 7 2 4 2 3 2" xfId="11516" xr:uid="{00000000-0005-0000-0000-0000012D0000}"/>
    <cellStyle name="Normal 7 2 4 2 3 2 2" xfId="11517" xr:uid="{00000000-0005-0000-0000-0000022D0000}"/>
    <cellStyle name="Normal 7 2 4 2 3 2 2 2" xfId="11518" xr:uid="{00000000-0005-0000-0000-0000032D0000}"/>
    <cellStyle name="Normal 7 2 4 2 3 2 3" xfId="11519" xr:uid="{00000000-0005-0000-0000-0000042D0000}"/>
    <cellStyle name="Normal 7 2 4 2 3 3" xfId="11520" xr:uid="{00000000-0005-0000-0000-0000052D0000}"/>
    <cellStyle name="Normal 7 2 4 2 3 3 2" xfId="11521" xr:uid="{00000000-0005-0000-0000-0000062D0000}"/>
    <cellStyle name="Normal 7 2 4 2 3 3 2 2" xfId="11522" xr:uid="{00000000-0005-0000-0000-0000072D0000}"/>
    <cellStyle name="Normal 7 2 4 2 3 3 3" xfId="11523" xr:uid="{00000000-0005-0000-0000-0000082D0000}"/>
    <cellStyle name="Normal 7 2 4 2 3 4" xfId="11524" xr:uid="{00000000-0005-0000-0000-0000092D0000}"/>
    <cellStyle name="Normal 7 2 4 2 3 4 2" xfId="11525" xr:uid="{00000000-0005-0000-0000-00000A2D0000}"/>
    <cellStyle name="Normal 7 2 4 2 3 5" xfId="11526" xr:uid="{00000000-0005-0000-0000-00000B2D0000}"/>
    <cellStyle name="Normal 7 2 4 2 4" xfId="11527" xr:uid="{00000000-0005-0000-0000-00000C2D0000}"/>
    <cellStyle name="Normal 7 2 4 2 4 2" xfId="11528" xr:uid="{00000000-0005-0000-0000-00000D2D0000}"/>
    <cellStyle name="Normal 7 2 4 2 4 2 2" xfId="11529" xr:uid="{00000000-0005-0000-0000-00000E2D0000}"/>
    <cellStyle name="Normal 7 2 4 2 4 3" xfId="11530" xr:uid="{00000000-0005-0000-0000-00000F2D0000}"/>
    <cellStyle name="Normal 7 2 4 2 5" xfId="11531" xr:uid="{00000000-0005-0000-0000-0000102D0000}"/>
    <cellStyle name="Normal 7 2 4 2 5 2" xfId="11532" xr:uid="{00000000-0005-0000-0000-0000112D0000}"/>
    <cellStyle name="Normal 7 2 4 2 5 2 2" xfId="11533" xr:uid="{00000000-0005-0000-0000-0000122D0000}"/>
    <cellStyle name="Normal 7 2 4 2 5 3" xfId="11534" xr:uid="{00000000-0005-0000-0000-0000132D0000}"/>
    <cellStyle name="Normal 7 2 4 2 6" xfId="11535" xr:uid="{00000000-0005-0000-0000-0000142D0000}"/>
    <cellStyle name="Normal 7 2 4 2 6 2" xfId="11536" xr:uid="{00000000-0005-0000-0000-0000152D0000}"/>
    <cellStyle name="Normal 7 2 4 2 7" xfId="11537" xr:uid="{00000000-0005-0000-0000-0000162D0000}"/>
    <cellStyle name="Normal 7 2 4 3" xfId="11538" xr:uid="{00000000-0005-0000-0000-0000172D0000}"/>
    <cellStyle name="Normal 7 2 4 3 2" xfId="11539" xr:uid="{00000000-0005-0000-0000-0000182D0000}"/>
    <cellStyle name="Normal 7 2 4 3 2 2" xfId="11540" xr:uid="{00000000-0005-0000-0000-0000192D0000}"/>
    <cellStyle name="Normal 7 2 4 3 2 2 2" xfId="11541" xr:uid="{00000000-0005-0000-0000-00001A2D0000}"/>
    <cellStyle name="Normal 7 2 4 3 2 2 2 2" xfId="11542" xr:uid="{00000000-0005-0000-0000-00001B2D0000}"/>
    <cellStyle name="Normal 7 2 4 3 2 2 3" xfId="11543" xr:uid="{00000000-0005-0000-0000-00001C2D0000}"/>
    <cellStyle name="Normal 7 2 4 3 2 3" xfId="11544" xr:uid="{00000000-0005-0000-0000-00001D2D0000}"/>
    <cellStyle name="Normal 7 2 4 3 2 3 2" xfId="11545" xr:uid="{00000000-0005-0000-0000-00001E2D0000}"/>
    <cellStyle name="Normal 7 2 4 3 2 3 2 2" xfId="11546" xr:uid="{00000000-0005-0000-0000-00001F2D0000}"/>
    <cellStyle name="Normal 7 2 4 3 2 3 3" xfId="11547" xr:uid="{00000000-0005-0000-0000-0000202D0000}"/>
    <cellStyle name="Normal 7 2 4 3 2 4" xfId="11548" xr:uid="{00000000-0005-0000-0000-0000212D0000}"/>
    <cellStyle name="Normal 7 2 4 3 2 4 2" xfId="11549" xr:uid="{00000000-0005-0000-0000-0000222D0000}"/>
    <cellStyle name="Normal 7 2 4 3 2 5" xfId="11550" xr:uid="{00000000-0005-0000-0000-0000232D0000}"/>
    <cellStyle name="Normal 7 2 4 3 3" xfId="11551" xr:uid="{00000000-0005-0000-0000-0000242D0000}"/>
    <cellStyle name="Normal 7 2 4 3 3 2" xfId="11552" xr:uid="{00000000-0005-0000-0000-0000252D0000}"/>
    <cellStyle name="Normal 7 2 4 3 3 2 2" xfId="11553" xr:uid="{00000000-0005-0000-0000-0000262D0000}"/>
    <cellStyle name="Normal 7 2 4 3 3 3" xfId="11554" xr:uid="{00000000-0005-0000-0000-0000272D0000}"/>
    <cellStyle name="Normal 7 2 4 3 4" xfId="11555" xr:uid="{00000000-0005-0000-0000-0000282D0000}"/>
    <cellStyle name="Normal 7 2 4 3 4 2" xfId="11556" xr:uid="{00000000-0005-0000-0000-0000292D0000}"/>
    <cellStyle name="Normal 7 2 4 3 4 2 2" xfId="11557" xr:uid="{00000000-0005-0000-0000-00002A2D0000}"/>
    <cellStyle name="Normal 7 2 4 3 4 3" xfId="11558" xr:uid="{00000000-0005-0000-0000-00002B2D0000}"/>
    <cellStyle name="Normal 7 2 4 3 5" xfId="11559" xr:uid="{00000000-0005-0000-0000-00002C2D0000}"/>
    <cellStyle name="Normal 7 2 4 3 5 2" xfId="11560" xr:uid="{00000000-0005-0000-0000-00002D2D0000}"/>
    <cellStyle name="Normal 7 2 4 3 6" xfId="11561" xr:uid="{00000000-0005-0000-0000-00002E2D0000}"/>
    <cellStyle name="Normal 7 2 4 4" xfId="11562" xr:uid="{00000000-0005-0000-0000-00002F2D0000}"/>
    <cellStyle name="Normal 7 2 4 4 2" xfId="11563" xr:uid="{00000000-0005-0000-0000-0000302D0000}"/>
    <cellStyle name="Normal 7 2 4 4 2 2" xfId="11564" xr:uid="{00000000-0005-0000-0000-0000312D0000}"/>
    <cellStyle name="Normal 7 2 4 4 2 2 2" xfId="11565" xr:uid="{00000000-0005-0000-0000-0000322D0000}"/>
    <cellStyle name="Normal 7 2 4 4 2 3" xfId="11566" xr:uid="{00000000-0005-0000-0000-0000332D0000}"/>
    <cellStyle name="Normal 7 2 4 4 3" xfId="11567" xr:uid="{00000000-0005-0000-0000-0000342D0000}"/>
    <cellStyle name="Normal 7 2 4 4 3 2" xfId="11568" xr:uid="{00000000-0005-0000-0000-0000352D0000}"/>
    <cellStyle name="Normal 7 2 4 4 3 2 2" xfId="11569" xr:uid="{00000000-0005-0000-0000-0000362D0000}"/>
    <cellStyle name="Normal 7 2 4 4 3 3" xfId="11570" xr:uid="{00000000-0005-0000-0000-0000372D0000}"/>
    <cellStyle name="Normal 7 2 4 4 4" xfId="11571" xr:uid="{00000000-0005-0000-0000-0000382D0000}"/>
    <cellStyle name="Normal 7 2 4 4 4 2" xfId="11572" xr:uid="{00000000-0005-0000-0000-0000392D0000}"/>
    <cellStyle name="Normal 7 2 4 4 5" xfId="11573" xr:uid="{00000000-0005-0000-0000-00003A2D0000}"/>
    <cellStyle name="Normal 7 2 4 5" xfId="11574" xr:uid="{00000000-0005-0000-0000-00003B2D0000}"/>
    <cellStyle name="Normal 7 2 4 5 2" xfId="11575" xr:uid="{00000000-0005-0000-0000-00003C2D0000}"/>
    <cellStyle name="Normal 7 2 4 5 2 2" xfId="11576" xr:uid="{00000000-0005-0000-0000-00003D2D0000}"/>
    <cellStyle name="Normal 7 2 4 5 3" xfId="11577" xr:uid="{00000000-0005-0000-0000-00003E2D0000}"/>
    <cellStyle name="Normal 7 2 4 6" xfId="11578" xr:uid="{00000000-0005-0000-0000-00003F2D0000}"/>
    <cellStyle name="Normal 7 2 4 6 2" xfId="11579" xr:uid="{00000000-0005-0000-0000-0000402D0000}"/>
    <cellStyle name="Normal 7 2 4 6 2 2" xfId="11580" xr:uid="{00000000-0005-0000-0000-0000412D0000}"/>
    <cellStyle name="Normal 7 2 4 6 3" xfId="11581" xr:uid="{00000000-0005-0000-0000-0000422D0000}"/>
    <cellStyle name="Normal 7 2 4 7" xfId="11582" xr:uid="{00000000-0005-0000-0000-0000432D0000}"/>
    <cellStyle name="Normal 7 2 4 7 2" xfId="11583" xr:uid="{00000000-0005-0000-0000-0000442D0000}"/>
    <cellStyle name="Normal 7 2 4 8" xfId="11584" xr:uid="{00000000-0005-0000-0000-0000452D0000}"/>
    <cellStyle name="Normal 7 2 5" xfId="11585" xr:uid="{00000000-0005-0000-0000-0000462D0000}"/>
    <cellStyle name="Normal 7 2 5 2" xfId="11586" xr:uid="{00000000-0005-0000-0000-0000472D0000}"/>
    <cellStyle name="Normal 7 2 5 2 2" xfId="11587" xr:uid="{00000000-0005-0000-0000-0000482D0000}"/>
    <cellStyle name="Normal 7 2 5 2 2 2" xfId="11588" xr:uid="{00000000-0005-0000-0000-0000492D0000}"/>
    <cellStyle name="Normal 7 2 5 2 2 2 2" xfId="11589" xr:uid="{00000000-0005-0000-0000-00004A2D0000}"/>
    <cellStyle name="Normal 7 2 5 2 2 2 2 2" xfId="11590" xr:uid="{00000000-0005-0000-0000-00004B2D0000}"/>
    <cellStyle name="Normal 7 2 5 2 2 2 3" xfId="11591" xr:uid="{00000000-0005-0000-0000-00004C2D0000}"/>
    <cellStyle name="Normal 7 2 5 2 2 3" xfId="11592" xr:uid="{00000000-0005-0000-0000-00004D2D0000}"/>
    <cellStyle name="Normal 7 2 5 2 2 3 2" xfId="11593" xr:uid="{00000000-0005-0000-0000-00004E2D0000}"/>
    <cellStyle name="Normal 7 2 5 2 2 3 2 2" xfId="11594" xr:uid="{00000000-0005-0000-0000-00004F2D0000}"/>
    <cellStyle name="Normal 7 2 5 2 2 3 3" xfId="11595" xr:uid="{00000000-0005-0000-0000-0000502D0000}"/>
    <cellStyle name="Normal 7 2 5 2 2 4" xfId="11596" xr:uid="{00000000-0005-0000-0000-0000512D0000}"/>
    <cellStyle name="Normal 7 2 5 2 2 4 2" xfId="11597" xr:uid="{00000000-0005-0000-0000-0000522D0000}"/>
    <cellStyle name="Normal 7 2 5 2 2 5" xfId="11598" xr:uid="{00000000-0005-0000-0000-0000532D0000}"/>
    <cellStyle name="Normal 7 2 5 2 3" xfId="11599" xr:uid="{00000000-0005-0000-0000-0000542D0000}"/>
    <cellStyle name="Normal 7 2 5 2 3 2" xfId="11600" xr:uid="{00000000-0005-0000-0000-0000552D0000}"/>
    <cellStyle name="Normal 7 2 5 2 3 2 2" xfId="11601" xr:uid="{00000000-0005-0000-0000-0000562D0000}"/>
    <cellStyle name="Normal 7 2 5 2 3 3" xfId="11602" xr:uid="{00000000-0005-0000-0000-0000572D0000}"/>
    <cellStyle name="Normal 7 2 5 2 4" xfId="11603" xr:uid="{00000000-0005-0000-0000-0000582D0000}"/>
    <cellStyle name="Normal 7 2 5 2 4 2" xfId="11604" xr:uid="{00000000-0005-0000-0000-0000592D0000}"/>
    <cellStyle name="Normal 7 2 5 2 4 2 2" xfId="11605" xr:uid="{00000000-0005-0000-0000-00005A2D0000}"/>
    <cellStyle name="Normal 7 2 5 2 4 3" xfId="11606" xr:uid="{00000000-0005-0000-0000-00005B2D0000}"/>
    <cellStyle name="Normal 7 2 5 2 5" xfId="11607" xr:uid="{00000000-0005-0000-0000-00005C2D0000}"/>
    <cellStyle name="Normal 7 2 5 2 5 2" xfId="11608" xr:uid="{00000000-0005-0000-0000-00005D2D0000}"/>
    <cellStyle name="Normal 7 2 5 2 6" xfId="11609" xr:uid="{00000000-0005-0000-0000-00005E2D0000}"/>
    <cellStyle name="Normal 7 2 5 3" xfId="11610" xr:uid="{00000000-0005-0000-0000-00005F2D0000}"/>
    <cellStyle name="Normal 7 2 5 3 2" xfId="11611" xr:uid="{00000000-0005-0000-0000-0000602D0000}"/>
    <cellStyle name="Normal 7 2 5 3 2 2" xfId="11612" xr:uid="{00000000-0005-0000-0000-0000612D0000}"/>
    <cellStyle name="Normal 7 2 5 3 2 2 2" xfId="11613" xr:uid="{00000000-0005-0000-0000-0000622D0000}"/>
    <cellStyle name="Normal 7 2 5 3 2 3" xfId="11614" xr:uid="{00000000-0005-0000-0000-0000632D0000}"/>
    <cellStyle name="Normal 7 2 5 3 3" xfId="11615" xr:uid="{00000000-0005-0000-0000-0000642D0000}"/>
    <cellStyle name="Normal 7 2 5 3 3 2" xfId="11616" xr:uid="{00000000-0005-0000-0000-0000652D0000}"/>
    <cellStyle name="Normal 7 2 5 3 3 2 2" xfId="11617" xr:uid="{00000000-0005-0000-0000-0000662D0000}"/>
    <cellStyle name="Normal 7 2 5 3 3 3" xfId="11618" xr:uid="{00000000-0005-0000-0000-0000672D0000}"/>
    <cellStyle name="Normal 7 2 5 3 4" xfId="11619" xr:uid="{00000000-0005-0000-0000-0000682D0000}"/>
    <cellStyle name="Normal 7 2 5 3 4 2" xfId="11620" xr:uid="{00000000-0005-0000-0000-0000692D0000}"/>
    <cellStyle name="Normal 7 2 5 3 5" xfId="11621" xr:uid="{00000000-0005-0000-0000-00006A2D0000}"/>
    <cellStyle name="Normal 7 2 5 4" xfId="11622" xr:uid="{00000000-0005-0000-0000-00006B2D0000}"/>
    <cellStyle name="Normal 7 2 5 4 2" xfId="11623" xr:uid="{00000000-0005-0000-0000-00006C2D0000}"/>
    <cellStyle name="Normal 7 2 5 4 2 2" xfId="11624" xr:uid="{00000000-0005-0000-0000-00006D2D0000}"/>
    <cellStyle name="Normal 7 2 5 4 3" xfId="11625" xr:uid="{00000000-0005-0000-0000-00006E2D0000}"/>
    <cellStyle name="Normal 7 2 5 5" xfId="11626" xr:uid="{00000000-0005-0000-0000-00006F2D0000}"/>
    <cellStyle name="Normal 7 2 5 5 2" xfId="11627" xr:uid="{00000000-0005-0000-0000-0000702D0000}"/>
    <cellStyle name="Normal 7 2 5 5 2 2" xfId="11628" xr:uid="{00000000-0005-0000-0000-0000712D0000}"/>
    <cellStyle name="Normal 7 2 5 5 3" xfId="11629" xr:uid="{00000000-0005-0000-0000-0000722D0000}"/>
    <cellStyle name="Normal 7 2 5 6" xfId="11630" xr:uid="{00000000-0005-0000-0000-0000732D0000}"/>
    <cellStyle name="Normal 7 2 5 6 2" xfId="11631" xr:uid="{00000000-0005-0000-0000-0000742D0000}"/>
    <cellStyle name="Normal 7 2 5 7" xfId="11632" xr:uid="{00000000-0005-0000-0000-0000752D0000}"/>
    <cellStyle name="Normal 7 2 6" xfId="11633" xr:uid="{00000000-0005-0000-0000-0000762D0000}"/>
    <cellStyle name="Normal 7 2 6 2" xfId="11634" xr:uid="{00000000-0005-0000-0000-0000772D0000}"/>
    <cellStyle name="Normal 7 2 6 2 2" xfId="11635" xr:uid="{00000000-0005-0000-0000-0000782D0000}"/>
    <cellStyle name="Normal 7 2 6 2 2 2" xfId="11636" xr:uid="{00000000-0005-0000-0000-0000792D0000}"/>
    <cellStyle name="Normal 7 2 6 2 2 2 2" xfId="11637" xr:uid="{00000000-0005-0000-0000-00007A2D0000}"/>
    <cellStyle name="Normal 7 2 6 2 2 3" xfId="11638" xr:uid="{00000000-0005-0000-0000-00007B2D0000}"/>
    <cellStyle name="Normal 7 2 6 2 3" xfId="11639" xr:uid="{00000000-0005-0000-0000-00007C2D0000}"/>
    <cellStyle name="Normal 7 2 6 2 3 2" xfId="11640" xr:uid="{00000000-0005-0000-0000-00007D2D0000}"/>
    <cellStyle name="Normal 7 2 6 2 3 2 2" xfId="11641" xr:uid="{00000000-0005-0000-0000-00007E2D0000}"/>
    <cellStyle name="Normal 7 2 6 2 3 3" xfId="11642" xr:uid="{00000000-0005-0000-0000-00007F2D0000}"/>
    <cellStyle name="Normal 7 2 6 2 4" xfId="11643" xr:uid="{00000000-0005-0000-0000-0000802D0000}"/>
    <cellStyle name="Normal 7 2 6 2 4 2" xfId="11644" xr:uid="{00000000-0005-0000-0000-0000812D0000}"/>
    <cellStyle name="Normal 7 2 6 2 5" xfId="11645" xr:uid="{00000000-0005-0000-0000-0000822D0000}"/>
    <cellStyle name="Normal 7 2 6 3" xfId="11646" xr:uid="{00000000-0005-0000-0000-0000832D0000}"/>
    <cellStyle name="Normal 7 2 6 3 2" xfId="11647" xr:uid="{00000000-0005-0000-0000-0000842D0000}"/>
    <cellStyle name="Normal 7 2 6 3 2 2" xfId="11648" xr:uid="{00000000-0005-0000-0000-0000852D0000}"/>
    <cellStyle name="Normal 7 2 6 3 3" xfId="11649" xr:uid="{00000000-0005-0000-0000-0000862D0000}"/>
    <cellStyle name="Normal 7 2 6 4" xfId="11650" xr:uid="{00000000-0005-0000-0000-0000872D0000}"/>
    <cellStyle name="Normal 7 2 6 4 2" xfId="11651" xr:uid="{00000000-0005-0000-0000-0000882D0000}"/>
    <cellStyle name="Normal 7 2 6 4 2 2" xfId="11652" xr:uid="{00000000-0005-0000-0000-0000892D0000}"/>
    <cellStyle name="Normal 7 2 6 4 3" xfId="11653" xr:uid="{00000000-0005-0000-0000-00008A2D0000}"/>
    <cellStyle name="Normal 7 2 6 5" xfId="11654" xr:uid="{00000000-0005-0000-0000-00008B2D0000}"/>
    <cellStyle name="Normal 7 2 6 5 2" xfId="11655" xr:uid="{00000000-0005-0000-0000-00008C2D0000}"/>
    <cellStyle name="Normal 7 2 6 6" xfId="11656" xr:uid="{00000000-0005-0000-0000-00008D2D0000}"/>
    <cellStyle name="Normal 7 2 7" xfId="11657" xr:uid="{00000000-0005-0000-0000-00008E2D0000}"/>
    <cellStyle name="Normal 7 2 7 2" xfId="11658" xr:uid="{00000000-0005-0000-0000-00008F2D0000}"/>
    <cellStyle name="Normal 7 2 7 2 2" xfId="11659" xr:uid="{00000000-0005-0000-0000-0000902D0000}"/>
    <cellStyle name="Normal 7 2 7 2 2 2" xfId="11660" xr:uid="{00000000-0005-0000-0000-0000912D0000}"/>
    <cellStyle name="Normal 7 2 7 2 3" xfId="11661" xr:uid="{00000000-0005-0000-0000-0000922D0000}"/>
    <cellStyle name="Normal 7 2 7 3" xfId="11662" xr:uid="{00000000-0005-0000-0000-0000932D0000}"/>
    <cellStyle name="Normal 7 2 7 3 2" xfId="11663" xr:uid="{00000000-0005-0000-0000-0000942D0000}"/>
    <cellStyle name="Normal 7 2 7 3 2 2" xfId="11664" xr:uid="{00000000-0005-0000-0000-0000952D0000}"/>
    <cellStyle name="Normal 7 2 7 3 3" xfId="11665" xr:uid="{00000000-0005-0000-0000-0000962D0000}"/>
    <cellStyle name="Normal 7 2 7 4" xfId="11666" xr:uid="{00000000-0005-0000-0000-0000972D0000}"/>
    <cellStyle name="Normal 7 2 7 4 2" xfId="11667" xr:uid="{00000000-0005-0000-0000-0000982D0000}"/>
    <cellStyle name="Normal 7 2 7 5" xfId="11668" xr:uid="{00000000-0005-0000-0000-0000992D0000}"/>
    <cellStyle name="Normal 7 2 8" xfId="11669" xr:uid="{00000000-0005-0000-0000-00009A2D0000}"/>
    <cellStyle name="Normal 7 2 8 2" xfId="11670" xr:uid="{00000000-0005-0000-0000-00009B2D0000}"/>
    <cellStyle name="Normal 7 2 8 2 2" xfId="11671" xr:uid="{00000000-0005-0000-0000-00009C2D0000}"/>
    <cellStyle name="Normal 7 2 8 3" xfId="11672" xr:uid="{00000000-0005-0000-0000-00009D2D0000}"/>
    <cellStyle name="Normal 7 2 9" xfId="11673" xr:uid="{00000000-0005-0000-0000-00009E2D0000}"/>
    <cellStyle name="Normal 7 2 9 2" xfId="11674" xr:uid="{00000000-0005-0000-0000-00009F2D0000}"/>
    <cellStyle name="Normal 7 2 9 2 2" xfId="11675" xr:uid="{00000000-0005-0000-0000-0000A02D0000}"/>
    <cellStyle name="Normal 7 2 9 3" xfId="11676" xr:uid="{00000000-0005-0000-0000-0000A12D0000}"/>
    <cellStyle name="Normal 7 3" xfId="11677" xr:uid="{00000000-0005-0000-0000-0000A22D0000}"/>
    <cellStyle name="Normal 7 3 10" xfId="11678" xr:uid="{00000000-0005-0000-0000-0000A32D0000}"/>
    <cellStyle name="Normal 7 3 11" xfId="11679" xr:uid="{00000000-0005-0000-0000-0000A42D0000}"/>
    <cellStyle name="Normal 7 3 2" xfId="11680" xr:uid="{00000000-0005-0000-0000-0000A52D0000}"/>
    <cellStyle name="Normal 7 3 2 2" xfId="11681" xr:uid="{00000000-0005-0000-0000-0000A62D0000}"/>
    <cellStyle name="Normal 7 3 2 2 2" xfId="11682" xr:uid="{00000000-0005-0000-0000-0000A72D0000}"/>
    <cellStyle name="Normal 7 3 2 2 2 2" xfId="11683" xr:uid="{00000000-0005-0000-0000-0000A82D0000}"/>
    <cellStyle name="Normal 7 3 2 2 2 2 2" xfId="11684" xr:uid="{00000000-0005-0000-0000-0000A92D0000}"/>
    <cellStyle name="Normal 7 3 2 2 2 2 2 2" xfId="11685" xr:uid="{00000000-0005-0000-0000-0000AA2D0000}"/>
    <cellStyle name="Normal 7 3 2 2 2 2 2 2 2" xfId="11686" xr:uid="{00000000-0005-0000-0000-0000AB2D0000}"/>
    <cellStyle name="Normal 7 3 2 2 2 2 2 3" xfId="11687" xr:uid="{00000000-0005-0000-0000-0000AC2D0000}"/>
    <cellStyle name="Normal 7 3 2 2 2 2 3" xfId="11688" xr:uid="{00000000-0005-0000-0000-0000AD2D0000}"/>
    <cellStyle name="Normal 7 3 2 2 2 2 3 2" xfId="11689" xr:uid="{00000000-0005-0000-0000-0000AE2D0000}"/>
    <cellStyle name="Normal 7 3 2 2 2 2 3 2 2" xfId="11690" xr:uid="{00000000-0005-0000-0000-0000AF2D0000}"/>
    <cellStyle name="Normal 7 3 2 2 2 2 3 3" xfId="11691" xr:uid="{00000000-0005-0000-0000-0000B02D0000}"/>
    <cellStyle name="Normal 7 3 2 2 2 2 4" xfId="11692" xr:uid="{00000000-0005-0000-0000-0000B12D0000}"/>
    <cellStyle name="Normal 7 3 2 2 2 2 4 2" xfId="11693" xr:uid="{00000000-0005-0000-0000-0000B22D0000}"/>
    <cellStyle name="Normal 7 3 2 2 2 2 5" xfId="11694" xr:uid="{00000000-0005-0000-0000-0000B32D0000}"/>
    <cellStyle name="Normal 7 3 2 2 2 3" xfId="11695" xr:uid="{00000000-0005-0000-0000-0000B42D0000}"/>
    <cellStyle name="Normal 7 3 2 2 2 3 2" xfId="11696" xr:uid="{00000000-0005-0000-0000-0000B52D0000}"/>
    <cellStyle name="Normal 7 3 2 2 2 3 2 2" xfId="11697" xr:uid="{00000000-0005-0000-0000-0000B62D0000}"/>
    <cellStyle name="Normal 7 3 2 2 2 3 3" xfId="11698" xr:uid="{00000000-0005-0000-0000-0000B72D0000}"/>
    <cellStyle name="Normal 7 3 2 2 2 4" xfId="11699" xr:uid="{00000000-0005-0000-0000-0000B82D0000}"/>
    <cellStyle name="Normal 7 3 2 2 2 4 2" xfId="11700" xr:uid="{00000000-0005-0000-0000-0000B92D0000}"/>
    <cellStyle name="Normal 7 3 2 2 2 4 2 2" xfId="11701" xr:uid="{00000000-0005-0000-0000-0000BA2D0000}"/>
    <cellStyle name="Normal 7 3 2 2 2 4 3" xfId="11702" xr:uid="{00000000-0005-0000-0000-0000BB2D0000}"/>
    <cellStyle name="Normal 7 3 2 2 2 5" xfId="11703" xr:uid="{00000000-0005-0000-0000-0000BC2D0000}"/>
    <cellStyle name="Normal 7 3 2 2 2 5 2" xfId="11704" xr:uid="{00000000-0005-0000-0000-0000BD2D0000}"/>
    <cellStyle name="Normal 7 3 2 2 2 6" xfId="11705" xr:uid="{00000000-0005-0000-0000-0000BE2D0000}"/>
    <cellStyle name="Normal 7 3 2 2 3" xfId="11706" xr:uid="{00000000-0005-0000-0000-0000BF2D0000}"/>
    <cellStyle name="Normal 7 3 2 2 3 2" xfId="11707" xr:uid="{00000000-0005-0000-0000-0000C02D0000}"/>
    <cellStyle name="Normal 7 3 2 2 3 2 2" xfId="11708" xr:uid="{00000000-0005-0000-0000-0000C12D0000}"/>
    <cellStyle name="Normal 7 3 2 2 3 2 2 2" xfId="11709" xr:uid="{00000000-0005-0000-0000-0000C22D0000}"/>
    <cellStyle name="Normal 7 3 2 2 3 2 3" xfId="11710" xr:uid="{00000000-0005-0000-0000-0000C32D0000}"/>
    <cellStyle name="Normal 7 3 2 2 3 3" xfId="11711" xr:uid="{00000000-0005-0000-0000-0000C42D0000}"/>
    <cellStyle name="Normal 7 3 2 2 3 3 2" xfId="11712" xr:uid="{00000000-0005-0000-0000-0000C52D0000}"/>
    <cellStyle name="Normal 7 3 2 2 3 3 2 2" xfId="11713" xr:uid="{00000000-0005-0000-0000-0000C62D0000}"/>
    <cellStyle name="Normal 7 3 2 2 3 3 3" xfId="11714" xr:uid="{00000000-0005-0000-0000-0000C72D0000}"/>
    <cellStyle name="Normal 7 3 2 2 3 4" xfId="11715" xr:uid="{00000000-0005-0000-0000-0000C82D0000}"/>
    <cellStyle name="Normal 7 3 2 2 3 4 2" xfId="11716" xr:uid="{00000000-0005-0000-0000-0000C92D0000}"/>
    <cellStyle name="Normal 7 3 2 2 3 5" xfId="11717" xr:uid="{00000000-0005-0000-0000-0000CA2D0000}"/>
    <cellStyle name="Normal 7 3 2 2 4" xfId="11718" xr:uid="{00000000-0005-0000-0000-0000CB2D0000}"/>
    <cellStyle name="Normal 7 3 2 2 4 2" xfId="11719" xr:uid="{00000000-0005-0000-0000-0000CC2D0000}"/>
    <cellStyle name="Normal 7 3 2 2 4 2 2" xfId="11720" xr:uid="{00000000-0005-0000-0000-0000CD2D0000}"/>
    <cellStyle name="Normal 7 3 2 2 4 3" xfId="11721" xr:uid="{00000000-0005-0000-0000-0000CE2D0000}"/>
    <cellStyle name="Normal 7 3 2 2 5" xfId="11722" xr:uid="{00000000-0005-0000-0000-0000CF2D0000}"/>
    <cellStyle name="Normal 7 3 2 2 5 2" xfId="11723" xr:uid="{00000000-0005-0000-0000-0000D02D0000}"/>
    <cellStyle name="Normal 7 3 2 2 5 2 2" xfId="11724" xr:uid="{00000000-0005-0000-0000-0000D12D0000}"/>
    <cellStyle name="Normal 7 3 2 2 5 3" xfId="11725" xr:uid="{00000000-0005-0000-0000-0000D22D0000}"/>
    <cellStyle name="Normal 7 3 2 2 6" xfId="11726" xr:uid="{00000000-0005-0000-0000-0000D32D0000}"/>
    <cellStyle name="Normal 7 3 2 2 6 2" xfId="11727" xr:uid="{00000000-0005-0000-0000-0000D42D0000}"/>
    <cellStyle name="Normal 7 3 2 2 7" xfId="11728" xr:uid="{00000000-0005-0000-0000-0000D52D0000}"/>
    <cellStyle name="Normal 7 3 2 3" xfId="11729" xr:uid="{00000000-0005-0000-0000-0000D62D0000}"/>
    <cellStyle name="Normal 7 3 2 3 2" xfId="11730" xr:uid="{00000000-0005-0000-0000-0000D72D0000}"/>
    <cellStyle name="Normal 7 3 2 3 2 2" xfId="11731" xr:uid="{00000000-0005-0000-0000-0000D82D0000}"/>
    <cellStyle name="Normal 7 3 2 3 2 2 2" xfId="11732" xr:uid="{00000000-0005-0000-0000-0000D92D0000}"/>
    <cellStyle name="Normal 7 3 2 3 2 2 2 2" xfId="11733" xr:uid="{00000000-0005-0000-0000-0000DA2D0000}"/>
    <cellStyle name="Normal 7 3 2 3 2 2 3" xfId="11734" xr:uid="{00000000-0005-0000-0000-0000DB2D0000}"/>
    <cellStyle name="Normal 7 3 2 3 2 3" xfId="11735" xr:uid="{00000000-0005-0000-0000-0000DC2D0000}"/>
    <cellStyle name="Normal 7 3 2 3 2 3 2" xfId="11736" xr:uid="{00000000-0005-0000-0000-0000DD2D0000}"/>
    <cellStyle name="Normal 7 3 2 3 2 3 2 2" xfId="11737" xr:uid="{00000000-0005-0000-0000-0000DE2D0000}"/>
    <cellStyle name="Normal 7 3 2 3 2 3 3" xfId="11738" xr:uid="{00000000-0005-0000-0000-0000DF2D0000}"/>
    <cellStyle name="Normal 7 3 2 3 2 4" xfId="11739" xr:uid="{00000000-0005-0000-0000-0000E02D0000}"/>
    <cellStyle name="Normal 7 3 2 3 2 4 2" xfId="11740" xr:uid="{00000000-0005-0000-0000-0000E12D0000}"/>
    <cellStyle name="Normal 7 3 2 3 2 5" xfId="11741" xr:uid="{00000000-0005-0000-0000-0000E22D0000}"/>
    <cellStyle name="Normal 7 3 2 3 3" xfId="11742" xr:uid="{00000000-0005-0000-0000-0000E32D0000}"/>
    <cellStyle name="Normal 7 3 2 3 3 2" xfId="11743" xr:uid="{00000000-0005-0000-0000-0000E42D0000}"/>
    <cellStyle name="Normal 7 3 2 3 3 2 2" xfId="11744" xr:uid="{00000000-0005-0000-0000-0000E52D0000}"/>
    <cellStyle name="Normal 7 3 2 3 3 3" xfId="11745" xr:uid="{00000000-0005-0000-0000-0000E62D0000}"/>
    <cellStyle name="Normal 7 3 2 3 4" xfId="11746" xr:uid="{00000000-0005-0000-0000-0000E72D0000}"/>
    <cellStyle name="Normal 7 3 2 3 4 2" xfId="11747" xr:uid="{00000000-0005-0000-0000-0000E82D0000}"/>
    <cellStyle name="Normal 7 3 2 3 4 2 2" xfId="11748" xr:uid="{00000000-0005-0000-0000-0000E92D0000}"/>
    <cellStyle name="Normal 7 3 2 3 4 3" xfId="11749" xr:uid="{00000000-0005-0000-0000-0000EA2D0000}"/>
    <cellStyle name="Normal 7 3 2 3 5" xfId="11750" xr:uid="{00000000-0005-0000-0000-0000EB2D0000}"/>
    <cellStyle name="Normal 7 3 2 3 5 2" xfId="11751" xr:uid="{00000000-0005-0000-0000-0000EC2D0000}"/>
    <cellStyle name="Normal 7 3 2 3 6" xfId="11752" xr:uid="{00000000-0005-0000-0000-0000ED2D0000}"/>
    <cellStyle name="Normal 7 3 2 4" xfId="11753" xr:uid="{00000000-0005-0000-0000-0000EE2D0000}"/>
    <cellStyle name="Normal 7 3 2 4 2" xfId="11754" xr:uid="{00000000-0005-0000-0000-0000EF2D0000}"/>
    <cellStyle name="Normal 7 3 2 4 2 2" xfId="11755" xr:uid="{00000000-0005-0000-0000-0000F02D0000}"/>
    <cellStyle name="Normal 7 3 2 4 2 2 2" xfId="11756" xr:uid="{00000000-0005-0000-0000-0000F12D0000}"/>
    <cellStyle name="Normal 7 3 2 4 2 3" xfId="11757" xr:uid="{00000000-0005-0000-0000-0000F22D0000}"/>
    <cellStyle name="Normal 7 3 2 4 3" xfId="11758" xr:uid="{00000000-0005-0000-0000-0000F32D0000}"/>
    <cellStyle name="Normal 7 3 2 4 3 2" xfId="11759" xr:uid="{00000000-0005-0000-0000-0000F42D0000}"/>
    <cellStyle name="Normal 7 3 2 4 3 2 2" xfId="11760" xr:uid="{00000000-0005-0000-0000-0000F52D0000}"/>
    <cellStyle name="Normal 7 3 2 4 3 3" xfId="11761" xr:uid="{00000000-0005-0000-0000-0000F62D0000}"/>
    <cellStyle name="Normal 7 3 2 4 4" xfId="11762" xr:uid="{00000000-0005-0000-0000-0000F72D0000}"/>
    <cellStyle name="Normal 7 3 2 4 4 2" xfId="11763" xr:uid="{00000000-0005-0000-0000-0000F82D0000}"/>
    <cellStyle name="Normal 7 3 2 4 5" xfId="11764" xr:uid="{00000000-0005-0000-0000-0000F92D0000}"/>
    <cellStyle name="Normal 7 3 2 5" xfId="11765" xr:uid="{00000000-0005-0000-0000-0000FA2D0000}"/>
    <cellStyle name="Normal 7 3 2 5 2" xfId="11766" xr:uid="{00000000-0005-0000-0000-0000FB2D0000}"/>
    <cellStyle name="Normal 7 3 2 5 2 2" xfId="11767" xr:uid="{00000000-0005-0000-0000-0000FC2D0000}"/>
    <cellStyle name="Normal 7 3 2 5 3" xfId="11768" xr:uid="{00000000-0005-0000-0000-0000FD2D0000}"/>
    <cellStyle name="Normal 7 3 2 6" xfId="11769" xr:uid="{00000000-0005-0000-0000-0000FE2D0000}"/>
    <cellStyle name="Normal 7 3 2 6 2" xfId="11770" xr:uid="{00000000-0005-0000-0000-0000FF2D0000}"/>
    <cellStyle name="Normal 7 3 2 6 2 2" xfId="11771" xr:uid="{00000000-0005-0000-0000-0000002E0000}"/>
    <cellStyle name="Normal 7 3 2 6 3" xfId="11772" xr:uid="{00000000-0005-0000-0000-0000012E0000}"/>
    <cellStyle name="Normal 7 3 2 7" xfId="11773" xr:uid="{00000000-0005-0000-0000-0000022E0000}"/>
    <cellStyle name="Normal 7 3 2 7 2" xfId="11774" xr:uid="{00000000-0005-0000-0000-0000032E0000}"/>
    <cellStyle name="Normal 7 3 2 8" xfId="11775" xr:uid="{00000000-0005-0000-0000-0000042E0000}"/>
    <cellStyle name="Normal 7 3 3" xfId="11776" xr:uid="{00000000-0005-0000-0000-0000052E0000}"/>
    <cellStyle name="Normal 7 3 3 2" xfId="11777" xr:uid="{00000000-0005-0000-0000-0000062E0000}"/>
    <cellStyle name="Normal 7 3 3 2 2" xfId="11778" xr:uid="{00000000-0005-0000-0000-0000072E0000}"/>
    <cellStyle name="Normal 7 3 3 2 2 2" xfId="11779" xr:uid="{00000000-0005-0000-0000-0000082E0000}"/>
    <cellStyle name="Normal 7 3 3 2 2 2 2" xfId="11780" xr:uid="{00000000-0005-0000-0000-0000092E0000}"/>
    <cellStyle name="Normal 7 3 3 2 2 2 2 2" xfId="11781" xr:uid="{00000000-0005-0000-0000-00000A2E0000}"/>
    <cellStyle name="Normal 7 3 3 2 2 2 3" xfId="11782" xr:uid="{00000000-0005-0000-0000-00000B2E0000}"/>
    <cellStyle name="Normal 7 3 3 2 2 3" xfId="11783" xr:uid="{00000000-0005-0000-0000-00000C2E0000}"/>
    <cellStyle name="Normal 7 3 3 2 2 3 2" xfId="11784" xr:uid="{00000000-0005-0000-0000-00000D2E0000}"/>
    <cellStyle name="Normal 7 3 3 2 2 3 2 2" xfId="11785" xr:uid="{00000000-0005-0000-0000-00000E2E0000}"/>
    <cellStyle name="Normal 7 3 3 2 2 3 3" xfId="11786" xr:uid="{00000000-0005-0000-0000-00000F2E0000}"/>
    <cellStyle name="Normal 7 3 3 2 2 4" xfId="11787" xr:uid="{00000000-0005-0000-0000-0000102E0000}"/>
    <cellStyle name="Normal 7 3 3 2 2 4 2" xfId="11788" xr:uid="{00000000-0005-0000-0000-0000112E0000}"/>
    <cellStyle name="Normal 7 3 3 2 2 5" xfId="11789" xr:uid="{00000000-0005-0000-0000-0000122E0000}"/>
    <cellStyle name="Normal 7 3 3 2 3" xfId="11790" xr:uid="{00000000-0005-0000-0000-0000132E0000}"/>
    <cellStyle name="Normal 7 3 3 2 3 2" xfId="11791" xr:uid="{00000000-0005-0000-0000-0000142E0000}"/>
    <cellStyle name="Normal 7 3 3 2 3 2 2" xfId="11792" xr:uid="{00000000-0005-0000-0000-0000152E0000}"/>
    <cellStyle name="Normal 7 3 3 2 3 3" xfId="11793" xr:uid="{00000000-0005-0000-0000-0000162E0000}"/>
    <cellStyle name="Normal 7 3 3 2 4" xfId="11794" xr:uid="{00000000-0005-0000-0000-0000172E0000}"/>
    <cellStyle name="Normal 7 3 3 2 4 2" xfId="11795" xr:uid="{00000000-0005-0000-0000-0000182E0000}"/>
    <cellStyle name="Normal 7 3 3 2 4 2 2" xfId="11796" xr:uid="{00000000-0005-0000-0000-0000192E0000}"/>
    <cellStyle name="Normal 7 3 3 2 4 3" xfId="11797" xr:uid="{00000000-0005-0000-0000-00001A2E0000}"/>
    <cellStyle name="Normal 7 3 3 2 5" xfId="11798" xr:uid="{00000000-0005-0000-0000-00001B2E0000}"/>
    <cellStyle name="Normal 7 3 3 2 5 2" xfId="11799" xr:uid="{00000000-0005-0000-0000-00001C2E0000}"/>
    <cellStyle name="Normal 7 3 3 2 6" xfId="11800" xr:uid="{00000000-0005-0000-0000-00001D2E0000}"/>
    <cellStyle name="Normal 7 3 3 3" xfId="11801" xr:uid="{00000000-0005-0000-0000-00001E2E0000}"/>
    <cellStyle name="Normal 7 3 3 3 2" xfId="11802" xr:uid="{00000000-0005-0000-0000-00001F2E0000}"/>
    <cellStyle name="Normal 7 3 3 3 2 2" xfId="11803" xr:uid="{00000000-0005-0000-0000-0000202E0000}"/>
    <cellStyle name="Normal 7 3 3 3 2 2 2" xfId="11804" xr:uid="{00000000-0005-0000-0000-0000212E0000}"/>
    <cellStyle name="Normal 7 3 3 3 2 3" xfId="11805" xr:uid="{00000000-0005-0000-0000-0000222E0000}"/>
    <cellStyle name="Normal 7 3 3 3 3" xfId="11806" xr:uid="{00000000-0005-0000-0000-0000232E0000}"/>
    <cellStyle name="Normal 7 3 3 3 3 2" xfId="11807" xr:uid="{00000000-0005-0000-0000-0000242E0000}"/>
    <cellStyle name="Normal 7 3 3 3 3 2 2" xfId="11808" xr:uid="{00000000-0005-0000-0000-0000252E0000}"/>
    <cellStyle name="Normal 7 3 3 3 3 3" xfId="11809" xr:uid="{00000000-0005-0000-0000-0000262E0000}"/>
    <cellStyle name="Normal 7 3 3 3 4" xfId="11810" xr:uid="{00000000-0005-0000-0000-0000272E0000}"/>
    <cellStyle name="Normal 7 3 3 3 4 2" xfId="11811" xr:uid="{00000000-0005-0000-0000-0000282E0000}"/>
    <cellStyle name="Normal 7 3 3 3 5" xfId="11812" xr:uid="{00000000-0005-0000-0000-0000292E0000}"/>
    <cellStyle name="Normal 7 3 3 4" xfId="11813" xr:uid="{00000000-0005-0000-0000-00002A2E0000}"/>
    <cellStyle name="Normal 7 3 3 4 2" xfId="11814" xr:uid="{00000000-0005-0000-0000-00002B2E0000}"/>
    <cellStyle name="Normal 7 3 3 4 2 2" xfId="11815" xr:uid="{00000000-0005-0000-0000-00002C2E0000}"/>
    <cellStyle name="Normal 7 3 3 4 3" xfId="11816" xr:uid="{00000000-0005-0000-0000-00002D2E0000}"/>
    <cellStyle name="Normal 7 3 3 5" xfId="11817" xr:uid="{00000000-0005-0000-0000-00002E2E0000}"/>
    <cellStyle name="Normal 7 3 3 5 2" xfId="11818" xr:uid="{00000000-0005-0000-0000-00002F2E0000}"/>
    <cellStyle name="Normal 7 3 3 5 2 2" xfId="11819" xr:uid="{00000000-0005-0000-0000-0000302E0000}"/>
    <cellStyle name="Normal 7 3 3 5 3" xfId="11820" xr:uid="{00000000-0005-0000-0000-0000312E0000}"/>
    <cellStyle name="Normal 7 3 3 6" xfId="11821" xr:uid="{00000000-0005-0000-0000-0000322E0000}"/>
    <cellStyle name="Normal 7 3 3 6 2" xfId="11822" xr:uid="{00000000-0005-0000-0000-0000332E0000}"/>
    <cellStyle name="Normal 7 3 3 7" xfId="11823" xr:uid="{00000000-0005-0000-0000-0000342E0000}"/>
    <cellStyle name="Normal 7 3 4" xfId="11824" xr:uid="{00000000-0005-0000-0000-0000352E0000}"/>
    <cellStyle name="Normal 7 3 4 2" xfId="11825" xr:uid="{00000000-0005-0000-0000-0000362E0000}"/>
    <cellStyle name="Normal 7 3 4 2 2" xfId="11826" xr:uid="{00000000-0005-0000-0000-0000372E0000}"/>
    <cellStyle name="Normal 7 3 4 2 2 2" xfId="11827" xr:uid="{00000000-0005-0000-0000-0000382E0000}"/>
    <cellStyle name="Normal 7 3 4 2 2 2 2" xfId="11828" xr:uid="{00000000-0005-0000-0000-0000392E0000}"/>
    <cellStyle name="Normal 7 3 4 2 2 3" xfId="11829" xr:uid="{00000000-0005-0000-0000-00003A2E0000}"/>
    <cellStyle name="Normal 7 3 4 2 3" xfId="11830" xr:uid="{00000000-0005-0000-0000-00003B2E0000}"/>
    <cellStyle name="Normal 7 3 4 2 3 2" xfId="11831" xr:uid="{00000000-0005-0000-0000-00003C2E0000}"/>
    <cellStyle name="Normal 7 3 4 2 3 2 2" xfId="11832" xr:uid="{00000000-0005-0000-0000-00003D2E0000}"/>
    <cellStyle name="Normal 7 3 4 2 3 3" xfId="11833" xr:uid="{00000000-0005-0000-0000-00003E2E0000}"/>
    <cellStyle name="Normal 7 3 4 2 4" xfId="11834" xr:uid="{00000000-0005-0000-0000-00003F2E0000}"/>
    <cellStyle name="Normal 7 3 4 2 4 2" xfId="11835" xr:uid="{00000000-0005-0000-0000-0000402E0000}"/>
    <cellStyle name="Normal 7 3 4 2 5" xfId="11836" xr:uid="{00000000-0005-0000-0000-0000412E0000}"/>
    <cellStyle name="Normal 7 3 4 3" xfId="11837" xr:uid="{00000000-0005-0000-0000-0000422E0000}"/>
    <cellStyle name="Normal 7 3 4 3 2" xfId="11838" xr:uid="{00000000-0005-0000-0000-0000432E0000}"/>
    <cellStyle name="Normal 7 3 4 3 2 2" xfId="11839" xr:uid="{00000000-0005-0000-0000-0000442E0000}"/>
    <cellStyle name="Normal 7 3 4 3 3" xfId="11840" xr:uid="{00000000-0005-0000-0000-0000452E0000}"/>
    <cellStyle name="Normal 7 3 4 4" xfId="11841" xr:uid="{00000000-0005-0000-0000-0000462E0000}"/>
    <cellStyle name="Normal 7 3 4 4 2" xfId="11842" xr:uid="{00000000-0005-0000-0000-0000472E0000}"/>
    <cellStyle name="Normal 7 3 4 4 2 2" xfId="11843" xr:uid="{00000000-0005-0000-0000-0000482E0000}"/>
    <cellStyle name="Normal 7 3 4 4 3" xfId="11844" xr:uid="{00000000-0005-0000-0000-0000492E0000}"/>
    <cellStyle name="Normal 7 3 4 5" xfId="11845" xr:uid="{00000000-0005-0000-0000-00004A2E0000}"/>
    <cellStyle name="Normal 7 3 4 5 2" xfId="11846" xr:uid="{00000000-0005-0000-0000-00004B2E0000}"/>
    <cellStyle name="Normal 7 3 4 6" xfId="11847" xr:uid="{00000000-0005-0000-0000-00004C2E0000}"/>
    <cellStyle name="Normal 7 3 5" xfId="11848" xr:uid="{00000000-0005-0000-0000-00004D2E0000}"/>
    <cellStyle name="Normal 7 3 5 2" xfId="11849" xr:uid="{00000000-0005-0000-0000-00004E2E0000}"/>
    <cellStyle name="Normal 7 3 5 2 2" xfId="11850" xr:uid="{00000000-0005-0000-0000-00004F2E0000}"/>
    <cellStyle name="Normal 7 3 5 2 2 2" xfId="11851" xr:uid="{00000000-0005-0000-0000-0000502E0000}"/>
    <cellStyle name="Normal 7 3 5 2 3" xfId="11852" xr:uid="{00000000-0005-0000-0000-0000512E0000}"/>
    <cellStyle name="Normal 7 3 5 3" xfId="11853" xr:uid="{00000000-0005-0000-0000-0000522E0000}"/>
    <cellStyle name="Normal 7 3 5 3 2" xfId="11854" xr:uid="{00000000-0005-0000-0000-0000532E0000}"/>
    <cellStyle name="Normal 7 3 5 3 2 2" xfId="11855" xr:uid="{00000000-0005-0000-0000-0000542E0000}"/>
    <cellStyle name="Normal 7 3 5 3 3" xfId="11856" xr:uid="{00000000-0005-0000-0000-0000552E0000}"/>
    <cellStyle name="Normal 7 3 5 4" xfId="11857" xr:uid="{00000000-0005-0000-0000-0000562E0000}"/>
    <cellStyle name="Normal 7 3 5 4 2" xfId="11858" xr:uid="{00000000-0005-0000-0000-0000572E0000}"/>
    <cellStyle name="Normal 7 3 5 5" xfId="11859" xr:uid="{00000000-0005-0000-0000-0000582E0000}"/>
    <cellStyle name="Normal 7 3 6" xfId="11860" xr:uid="{00000000-0005-0000-0000-0000592E0000}"/>
    <cellStyle name="Normal 7 3 6 2" xfId="11861" xr:uid="{00000000-0005-0000-0000-00005A2E0000}"/>
    <cellStyle name="Normal 7 3 6 2 2" xfId="11862" xr:uid="{00000000-0005-0000-0000-00005B2E0000}"/>
    <cellStyle name="Normal 7 3 6 3" xfId="11863" xr:uid="{00000000-0005-0000-0000-00005C2E0000}"/>
    <cellStyle name="Normal 7 3 7" xfId="11864" xr:uid="{00000000-0005-0000-0000-00005D2E0000}"/>
    <cellStyle name="Normal 7 3 7 2" xfId="11865" xr:uid="{00000000-0005-0000-0000-00005E2E0000}"/>
    <cellStyle name="Normal 7 3 7 2 2" xfId="11866" xr:uid="{00000000-0005-0000-0000-00005F2E0000}"/>
    <cellStyle name="Normal 7 3 7 3" xfId="11867" xr:uid="{00000000-0005-0000-0000-0000602E0000}"/>
    <cellStyle name="Normal 7 3 8" xfId="11868" xr:uid="{00000000-0005-0000-0000-0000612E0000}"/>
    <cellStyle name="Normal 7 3 8 2" xfId="11869" xr:uid="{00000000-0005-0000-0000-0000622E0000}"/>
    <cellStyle name="Normal 7 3 9" xfId="11870" xr:uid="{00000000-0005-0000-0000-0000632E0000}"/>
    <cellStyle name="Normal 7 3 9 2" xfId="11871" xr:uid="{00000000-0005-0000-0000-0000642E0000}"/>
    <cellStyle name="Normal 7 4" xfId="11872" xr:uid="{00000000-0005-0000-0000-0000652E0000}"/>
    <cellStyle name="Normal 7 4 2" xfId="11873" xr:uid="{00000000-0005-0000-0000-0000662E0000}"/>
    <cellStyle name="Normal 7 4 2 2" xfId="11874" xr:uid="{00000000-0005-0000-0000-0000672E0000}"/>
    <cellStyle name="Normal 7 4 2 2 2" xfId="11875" xr:uid="{00000000-0005-0000-0000-0000682E0000}"/>
    <cellStyle name="Normal 7 4 2 2 2 2" xfId="11876" xr:uid="{00000000-0005-0000-0000-0000692E0000}"/>
    <cellStyle name="Normal 7 4 2 2 2 2 2" xfId="11877" xr:uid="{00000000-0005-0000-0000-00006A2E0000}"/>
    <cellStyle name="Normal 7 4 2 2 2 2 2 2" xfId="11878" xr:uid="{00000000-0005-0000-0000-00006B2E0000}"/>
    <cellStyle name="Normal 7 4 2 2 2 2 3" xfId="11879" xr:uid="{00000000-0005-0000-0000-00006C2E0000}"/>
    <cellStyle name="Normal 7 4 2 2 2 3" xfId="11880" xr:uid="{00000000-0005-0000-0000-00006D2E0000}"/>
    <cellStyle name="Normal 7 4 2 2 2 3 2" xfId="11881" xr:uid="{00000000-0005-0000-0000-00006E2E0000}"/>
    <cellStyle name="Normal 7 4 2 2 2 3 2 2" xfId="11882" xr:uid="{00000000-0005-0000-0000-00006F2E0000}"/>
    <cellStyle name="Normal 7 4 2 2 2 3 3" xfId="11883" xr:uid="{00000000-0005-0000-0000-0000702E0000}"/>
    <cellStyle name="Normal 7 4 2 2 2 4" xfId="11884" xr:uid="{00000000-0005-0000-0000-0000712E0000}"/>
    <cellStyle name="Normal 7 4 2 2 2 4 2" xfId="11885" xr:uid="{00000000-0005-0000-0000-0000722E0000}"/>
    <cellStyle name="Normal 7 4 2 2 2 5" xfId="11886" xr:uid="{00000000-0005-0000-0000-0000732E0000}"/>
    <cellStyle name="Normal 7 4 2 2 3" xfId="11887" xr:uid="{00000000-0005-0000-0000-0000742E0000}"/>
    <cellStyle name="Normal 7 4 2 2 3 2" xfId="11888" xr:uid="{00000000-0005-0000-0000-0000752E0000}"/>
    <cellStyle name="Normal 7 4 2 2 3 2 2" xfId="11889" xr:uid="{00000000-0005-0000-0000-0000762E0000}"/>
    <cellStyle name="Normal 7 4 2 2 3 3" xfId="11890" xr:uid="{00000000-0005-0000-0000-0000772E0000}"/>
    <cellStyle name="Normal 7 4 2 2 4" xfId="11891" xr:uid="{00000000-0005-0000-0000-0000782E0000}"/>
    <cellStyle name="Normal 7 4 2 2 4 2" xfId="11892" xr:uid="{00000000-0005-0000-0000-0000792E0000}"/>
    <cellStyle name="Normal 7 4 2 2 4 2 2" xfId="11893" xr:uid="{00000000-0005-0000-0000-00007A2E0000}"/>
    <cellStyle name="Normal 7 4 2 2 4 3" xfId="11894" xr:uid="{00000000-0005-0000-0000-00007B2E0000}"/>
    <cellStyle name="Normal 7 4 2 2 5" xfId="11895" xr:uid="{00000000-0005-0000-0000-00007C2E0000}"/>
    <cellStyle name="Normal 7 4 2 2 5 2" xfId="11896" xr:uid="{00000000-0005-0000-0000-00007D2E0000}"/>
    <cellStyle name="Normal 7 4 2 2 6" xfId="11897" xr:uid="{00000000-0005-0000-0000-00007E2E0000}"/>
    <cellStyle name="Normal 7 4 2 3" xfId="11898" xr:uid="{00000000-0005-0000-0000-00007F2E0000}"/>
    <cellStyle name="Normal 7 4 2 3 2" xfId="11899" xr:uid="{00000000-0005-0000-0000-0000802E0000}"/>
    <cellStyle name="Normal 7 4 2 3 2 2" xfId="11900" xr:uid="{00000000-0005-0000-0000-0000812E0000}"/>
    <cellStyle name="Normal 7 4 2 3 2 2 2" xfId="11901" xr:uid="{00000000-0005-0000-0000-0000822E0000}"/>
    <cellStyle name="Normal 7 4 2 3 2 3" xfId="11902" xr:uid="{00000000-0005-0000-0000-0000832E0000}"/>
    <cellStyle name="Normal 7 4 2 3 3" xfId="11903" xr:uid="{00000000-0005-0000-0000-0000842E0000}"/>
    <cellStyle name="Normal 7 4 2 3 3 2" xfId="11904" xr:uid="{00000000-0005-0000-0000-0000852E0000}"/>
    <cellStyle name="Normal 7 4 2 3 3 2 2" xfId="11905" xr:uid="{00000000-0005-0000-0000-0000862E0000}"/>
    <cellStyle name="Normal 7 4 2 3 3 3" xfId="11906" xr:uid="{00000000-0005-0000-0000-0000872E0000}"/>
    <cellStyle name="Normal 7 4 2 3 4" xfId="11907" xr:uid="{00000000-0005-0000-0000-0000882E0000}"/>
    <cellStyle name="Normal 7 4 2 3 4 2" xfId="11908" xr:uid="{00000000-0005-0000-0000-0000892E0000}"/>
    <cellStyle name="Normal 7 4 2 3 5" xfId="11909" xr:uid="{00000000-0005-0000-0000-00008A2E0000}"/>
    <cellStyle name="Normal 7 4 2 4" xfId="11910" xr:uid="{00000000-0005-0000-0000-00008B2E0000}"/>
    <cellStyle name="Normal 7 4 2 4 2" xfId="11911" xr:uid="{00000000-0005-0000-0000-00008C2E0000}"/>
    <cellStyle name="Normal 7 4 2 4 2 2" xfId="11912" xr:uid="{00000000-0005-0000-0000-00008D2E0000}"/>
    <cellStyle name="Normal 7 4 2 4 3" xfId="11913" xr:uid="{00000000-0005-0000-0000-00008E2E0000}"/>
    <cellStyle name="Normal 7 4 2 5" xfId="11914" xr:uid="{00000000-0005-0000-0000-00008F2E0000}"/>
    <cellStyle name="Normal 7 4 2 5 2" xfId="11915" xr:uid="{00000000-0005-0000-0000-0000902E0000}"/>
    <cellStyle name="Normal 7 4 2 5 2 2" xfId="11916" xr:uid="{00000000-0005-0000-0000-0000912E0000}"/>
    <cellStyle name="Normal 7 4 2 5 3" xfId="11917" xr:uid="{00000000-0005-0000-0000-0000922E0000}"/>
    <cellStyle name="Normal 7 4 2 6" xfId="11918" xr:uid="{00000000-0005-0000-0000-0000932E0000}"/>
    <cellStyle name="Normal 7 4 2 6 2" xfId="11919" xr:uid="{00000000-0005-0000-0000-0000942E0000}"/>
    <cellStyle name="Normal 7 4 2 7" xfId="11920" xr:uid="{00000000-0005-0000-0000-0000952E0000}"/>
    <cellStyle name="Normal 7 4 3" xfId="11921" xr:uid="{00000000-0005-0000-0000-0000962E0000}"/>
    <cellStyle name="Normal 7 4 3 2" xfId="11922" xr:uid="{00000000-0005-0000-0000-0000972E0000}"/>
    <cellStyle name="Normal 7 4 3 2 2" xfId="11923" xr:uid="{00000000-0005-0000-0000-0000982E0000}"/>
    <cellStyle name="Normal 7 4 3 2 2 2" xfId="11924" xr:uid="{00000000-0005-0000-0000-0000992E0000}"/>
    <cellStyle name="Normal 7 4 3 2 2 2 2" xfId="11925" xr:uid="{00000000-0005-0000-0000-00009A2E0000}"/>
    <cellStyle name="Normal 7 4 3 2 2 3" xfId="11926" xr:uid="{00000000-0005-0000-0000-00009B2E0000}"/>
    <cellStyle name="Normal 7 4 3 2 3" xfId="11927" xr:uid="{00000000-0005-0000-0000-00009C2E0000}"/>
    <cellStyle name="Normal 7 4 3 2 3 2" xfId="11928" xr:uid="{00000000-0005-0000-0000-00009D2E0000}"/>
    <cellStyle name="Normal 7 4 3 2 3 2 2" xfId="11929" xr:uid="{00000000-0005-0000-0000-00009E2E0000}"/>
    <cellStyle name="Normal 7 4 3 2 3 3" xfId="11930" xr:uid="{00000000-0005-0000-0000-00009F2E0000}"/>
    <cellStyle name="Normal 7 4 3 2 4" xfId="11931" xr:uid="{00000000-0005-0000-0000-0000A02E0000}"/>
    <cellStyle name="Normal 7 4 3 2 4 2" xfId="11932" xr:uid="{00000000-0005-0000-0000-0000A12E0000}"/>
    <cellStyle name="Normal 7 4 3 2 5" xfId="11933" xr:uid="{00000000-0005-0000-0000-0000A22E0000}"/>
    <cellStyle name="Normal 7 4 3 3" xfId="11934" xr:uid="{00000000-0005-0000-0000-0000A32E0000}"/>
    <cellStyle name="Normal 7 4 3 3 2" xfId="11935" xr:uid="{00000000-0005-0000-0000-0000A42E0000}"/>
    <cellStyle name="Normal 7 4 3 3 2 2" xfId="11936" xr:uid="{00000000-0005-0000-0000-0000A52E0000}"/>
    <cellStyle name="Normal 7 4 3 3 3" xfId="11937" xr:uid="{00000000-0005-0000-0000-0000A62E0000}"/>
    <cellStyle name="Normal 7 4 3 4" xfId="11938" xr:uid="{00000000-0005-0000-0000-0000A72E0000}"/>
    <cellStyle name="Normal 7 4 3 4 2" xfId="11939" xr:uid="{00000000-0005-0000-0000-0000A82E0000}"/>
    <cellStyle name="Normal 7 4 3 4 2 2" xfId="11940" xr:uid="{00000000-0005-0000-0000-0000A92E0000}"/>
    <cellStyle name="Normal 7 4 3 4 3" xfId="11941" xr:uid="{00000000-0005-0000-0000-0000AA2E0000}"/>
    <cellStyle name="Normal 7 4 3 5" xfId="11942" xr:uid="{00000000-0005-0000-0000-0000AB2E0000}"/>
    <cellStyle name="Normal 7 4 3 5 2" xfId="11943" xr:uid="{00000000-0005-0000-0000-0000AC2E0000}"/>
    <cellStyle name="Normal 7 4 3 6" xfId="11944" xr:uid="{00000000-0005-0000-0000-0000AD2E0000}"/>
    <cellStyle name="Normal 7 4 4" xfId="11945" xr:uid="{00000000-0005-0000-0000-0000AE2E0000}"/>
    <cellStyle name="Normal 7 4 4 2" xfId="11946" xr:uid="{00000000-0005-0000-0000-0000AF2E0000}"/>
    <cellStyle name="Normal 7 4 4 2 2" xfId="11947" xr:uid="{00000000-0005-0000-0000-0000B02E0000}"/>
    <cellStyle name="Normal 7 4 4 2 2 2" xfId="11948" xr:uid="{00000000-0005-0000-0000-0000B12E0000}"/>
    <cellStyle name="Normal 7 4 4 2 3" xfId="11949" xr:uid="{00000000-0005-0000-0000-0000B22E0000}"/>
    <cellStyle name="Normal 7 4 4 3" xfId="11950" xr:uid="{00000000-0005-0000-0000-0000B32E0000}"/>
    <cellStyle name="Normal 7 4 4 3 2" xfId="11951" xr:uid="{00000000-0005-0000-0000-0000B42E0000}"/>
    <cellStyle name="Normal 7 4 4 3 2 2" xfId="11952" xr:uid="{00000000-0005-0000-0000-0000B52E0000}"/>
    <cellStyle name="Normal 7 4 4 3 3" xfId="11953" xr:uid="{00000000-0005-0000-0000-0000B62E0000}"/>
    <cellStyle name="Normal 7 4 4 4" xfId="11954" xr:uid="{00000000-0005-0000-0000-0000B72E0000}"/>
    <cellStyle name="Normal 7 4 4 4 2" xfId="11955" xr:uid="{00000000-0005-0000-0000-0000B82E0000}"/>
    <cellStyle name="Normal 7 4 4 5" xfId="11956" xr:uid="{00000000-0005-0000-0000-0000B92E0000}"/>
    <cellStyle name="Normal 7 4 5" xfId="11957" xr:uid="{00000000-0005-0000-0000-0000BA2E0000}"/>
    <cellStyle name="Normal 7 4 5 2" xfId="11958" xr:uid="{00000000-0005-0000-0000-0000BB2E0000}"/>
    <cellStyle name="Normal 7 4 5 2 2" xfId="11959" xr:uid="{00000000-0005-0000-0000-0000BC2E0000}"/>
    <cellStyle name="Normal 7 4 5 3" xfId="11960" xr:uid="{00000000-0005-0000-0000-0000BD2E0000}"/>
    <cellStyle name="Normal 7 4 6" xfId="11961" xr:uid="{00000000-0005-0000-0000-0000BE2E0000}"/>
    <cellStyle name="Normal 7 4 6 2" xfId="11962" xr:uid="{00000000-0005-0000-0000-0000BF2E0000}"/>
    <cellStyle name="Normal 7 4 6 2 2" xfId="11963" xr:uid="{00000000-0005-0000-0000-0000C02E0000}"/>
    <cellStyle name="Normal 7 4 6 3" xfId="11964" xr:uid="{00000000-0005-0000-0000-0000C12E0000}"/>
    <cellStyle name="Normal 7 4 7" xfId="11965" xr:uid="{00000000-0005-0000-0000-0000C22E0000}"/>
    <cellStyle name="Normal 7 4 7 2" xfId="11966" xr:uid="{00000000-0005-0000-0000-0000C32E0000}"/>
    <cellStyle name="Normal 7 4 8" xfId="11967" xr:uid="{00000000-0005-0000-0000-0000C42E0000}"/>
    <cellStyle name="Normal 7 5" xfId="11968" xr:uid="{00000000-0005-0000-0000-0000C52E0000}"/>
    <cellStyle name="Normal 7 5 2" xfId="11969" xr:uid="{00000000-0005-0000-0000-0000C62E0000}"/>
    <cellStyle name="Normal 7 5 2 2" xfId="11970" xr:uid="{00000000-0005-0000-0000-0000C72E0000}"/>
    <cellStyle name="Normal 7 5 2 2 2" xfId="11971" xr:uid="{00000000-0005-0000-0000-0000C82E0000}"/>
    <cellStyle name="Normal 7 5 2 2 2 2" xfId="11972" xr:uid="{00000000-0005-0000-0000-0000C92E0000}"/>
    <cellStyle name="Normal 7 5 2 2 2 2 2" xfId="11973" xr:uid="{00000000-0005-0000-0000-0000CA2E0000}"/>
    <cellStyle name="Normal 7 5 2 2 2 2 2 2" xfId="11974" xr:uid="{00000000-0005-0000-0000-0000CB2E0000}"/>
    <cellStyle name="Normal 7 5 2 2 2 2 3" xfId="11975" xr:uid="{00000000-0005-0000-0000-0000CC2E0000}"/>
    <cellStyle name="Normal 7 5 2 2 2 3" xfId="11976" xr:uid="{00000000-0005-0000-0000-0000CD2E0000}"/>
    <cellStyle name="Normal 7 5 2 2 2 3 2" xfId="11977" xr:uid="{00000000-0005-0000-0000-0000CE2E0000}"/>
    <cellStyle name="Normal 7 5 2 2 2 3 2 2" xfId="11978" xr:uid="{00000000-0005-0000-0000-0000CF2E0000}"/>
    <cellStyle name="Normal 7 5 2 2 2 3 3" xfId="11979" xr:uid="{00000000-0005-0000-0000-0000D02E0000}"/>
    <cellStyle name="Normal 7 5 2 2 2 4" xfId="11980" xr:uid="{00000000-0005-0000-0000-0000D12E0000}"/>
    <cellStyle name="Normal 7 5 2 2 2 4 2" xfId="11981" xr:uid="{00000000-0005-0000-0000-0000D22E0000}"/>
    <cellStyle name="Normal 7 5 2 2 2 5" xfId="11982" xr:uid="{00000000-0005-0000-0000-0000D32E0000}"/>
    <cellStyle name="Normal 7 5 2 2 3" xfId="11983" xr:uid="{00000000-0005-0000-0000-0000D42E0000}"/>
    <cellStyle name="Normal 7 5 2 2 3 2" xfId="11984" xr:uid="{00000000-0005-0000-0000-0000D52E0000}"/>
    <cellStyle name="Normal 7 5 2 2 3 2 2" xfId="11985" xr:uid="{00000000-0005-0000-0000-0000D62E0000}"/>
    <cellStyle name="Normal 7 5 2 2 3 3" xfId="11986" xr:uid="{00000000-0005-0000-0000-0000D72E0000}"/>
    <cellStyle name="Normal 7 5 2 2 4" xfId="11987" xr:uid="{00000000-0005-0000-0000-0000D82E0000}"/>
    <cellStyle name="Normal 7 5 2 2 4 2" xfId="11988" xr:uid="{00000000-0005-0000-0000-0000D92E0000}"/>
    <cellStyle name="Normal 7 5 2 2 4 2 2" xfId="11989" xr:uid="{00000000-0005-0000-0000-0000DA2E0000}"/>
    <cellStyle name="Normal 7 5 2 2 4 3" xfId="11990" xr:uid="{00000000-0005-0000-0000-0000DB2E0000}"/>
    <cellStyle name="Normal 7 5 2 2 5" xfId="11991" xr:uid="{00000000-0005-0000-0000-0000DC2E0000}"/>
    <cellStyle name="Normal 7 5 2 2 5 2" xfId="11992" xr:uid="{00000000-0005-0000-0000-0000DD2E0000}"/>
    <cellStyle name="Normal 7 5 2 2 6" xfId="11993" xr:uid="{00000000-0005-0000-0000-0000DE2E0000}"/>
    <cellStyle name="Normal 7 5 2 3" xfId="11994" xr:uid="{00000000-0005-0000-0000-0000DF2E0000}"/>
    <cellStyle name="Normal 7 5 2 3 2" xfId="11995" xr:uid="{00000000-0005-0000-0000-0000E02E0000}"/>
    <cellStyle name="Normal 7 5 2 3 2 2" xfId="11996" xr:uid="{00000000-0005-0000-0000-0000E12E0000}"/>
    <cellStyle name="Normal 7 5 2 3 2 2 2" xfId="11997" xr:uid="{00000000-0005-0000-0000-0000E22E0000}"/>
    <cellStyle name="Normal 7 5 2 3 2 3" xfId="11998" xr:uid="{00000000-0005-0000-0000-0000E32E0000}"/>
    <cellStyle name="Normal 7 5 2 3 3" xfId="11999" xr:uid="{00000000-0005-0000-0000-0000E42E0000}"/>
    <cellStyle name="Normal 7 5 2 3 3 2" xfId="12000" xr:uid="{00000000-0005-0000-0000-0000E52E0000}"/>
    <cellStyle name="Normal 7 5 2 3 3 2 2" xfId="12001" xr:uid="{00000000-0005-0000-0000-0000E62E0000}"/>
    <cellStyle name="Normal 7 5 2 3 3 3" xfId="12002" xr:uid="{00000000-0005-0000-0000-0000E72E0000}"/>
    <cellStyle name="Normal 7 5 2 3 4" xfId="12003" xr:uid="{00000000-0005-0000-0000-0000E82E0000}"/>
    <cellStyle name="Normal 7 5 2 3 4 2" xfId="12004" xr:uid="{00000000-0005-0000-0000-0000E92E0000}"/>
    <cellStyle name="Normal 7 5 2 3 5" xfId="12005" xr:uid="{00000000-0005-0000-0000-0000EA2E0000}"/>
    <cellStyle name="Normal 7 5 2 4" xfId="12006" xr:uid="{00000000-0005-0000-0000-0000EB2E0000}"/>
    <cellStyle name="Normal 7 5 2 4 2" xfId="12007" xr:uid="{00000000-0005-0000-0000-0000EC2E0000}"/>
    <cellStyle name="Normal 7 5 2 4 2 2" xfId="12008" xr:uid="{00000000-0005-0000-0000-0000ED2E0000}"/>
    <cellStyle name="Normal 7 5 2 4 3" xfId="12009" xr:uid="{00000000-0005-0000-0000-0000EE2E0000}"/>
    <cellStyle name="Normal 7 5 2 5" xfId="12010" xr:uid="{00000000-0005-0000-0000-0000EF2E0000}"/>
    <cellStyle name="Normal 7 5 2 5 2" xfId="12011" xr:uid="{00000000-0005-0000-0000-0000F02E0000}"/>
    <cellStyle name="Normal 7 5 2 5 2 2" xfId="12012" xr:uid="{00000000-0005-0000-0000-0000F12E0000}"/>
    <cellStyle name="Normal 7 5 2 5 3" xfId="12013" xr:uid="{00000000-0005-0000-0000-0000F22E0000}"/>
    <cellStyle name="Normal 7 5 2 6" xfId="12014" xr:uid="{00000000-0005-0000-0000-0000F32E0000}"/>
    <cellStyle name="Normal 7 5 2 6 2" xfId="12015" xr:uid="{00000000-0005-0000-0000-0000F42E0000}"/>
    <cellStyle name="Normal 7 5 2 7" xfId="12016" xr:uid="{00000000-0005-0000-0000-0000F52E0000}"/>
    <cellStyle name="Normal 7 5 3" xfId="12017" xr:uid="{00000000-0005-0000-0000-0000F62E0000}"/>
    <cellStyle name="Normal 7 5 3 2" xfId="12018" xr:uid="{00000000-0005-0000-0000-0000F72E0000}"/>
    <cellStyle name="Normal 7 5 3 2 2" xfId="12019" xr:uid="{00000000-0005-0000-0000-0000F82E0000}"/>
    <cellStyle name="Normal 7 5 3 2 2 2" xfId="12020" xr:uid="{00000000-0005-0000-0000-0000F92E0000}"/>
    <cellStyle name="Normal 7 5 3 2 2 2 2" xfId="12021" xr:uid="{00000000-0005-0000-0000-0000FA2E0000}"/>
    <cellStyle name="Normal 7 5 3 2 2 3" xfId="12022" xr:uid="{00000000-0005-0000-0000-0000FB2E0000}"/>
    <cellStyle name="Normal 7 5 3 2 3" xfId="12023" xr:uid="{00000000-0005-0000-0000-0000FC2E0000}"/>
    <cellStyle name="Normal 7 5 3 2 3 2" xfId="12024" xr:uid="{00000000-0005-0000-0000-0000FD2E0000}"/>
    <cellStyle name="Normal 7 5 3 2 3 2 2" xfId="12025" xr:uid="{00000000-0005-0000-0000-0000FE2E0000}"/>
    <cellStyle name="Normal 7 5 3 2 3 3" xfId="12026" xr:uid="{00000000-0005-0000-0000-0000FF2E0000}"/>
    <cellStyle name="Normal 7 5 3 2 4" xfId="12027" xr:uid="{00000000-0005-0000-0000-0000002F0000}"/>
    <cellStyle name="Normal 7 5 3 2 4 2" xfId="12028" xr:uid="{00000000-0005-0000-0000-0000012F0000}"/>
    <cellStyle name="Normal 7 5 3 2 5" xfId="12029" xr:uid="{00000000-0005-0000-0000-0000022F0000}"/>
    <cellStyle name="Normal 7 5 3 3" xfId="12030" xr:uid="{00000000-0005-0000-0000-0000032F0000}"/>
    <cellStyle name="Normal 7 5 3 3 2" xfId="12031" xr:uid="{00000000-0005-0000-0000-0000042F0000}"/>
    <cellStyle name="Normal 7 5 3 3 2 2" xfId="12032" xr:uid="{00000000-0005-0000-0000-0000052F0000}"/>
    <cellStyle name="Normal 7 5 3 3 3" xfId="12033" xr:uid="{00000000-0005-0000-0000-0000062F0000}"/>
    <cellStyle name="Normal 7 5 3 4" xfId="12034" xr:uid="{00000000-0005-0000-0000-0000072F0000}"/>
    <cellStyle name="Normal 7 5 3 4 2" xfId="12035" xr:uid="{00000000-0005-0000-0000-0000082F0000}"/>
    <cellStyle name="Normal 7 5 3 4 2 2" xfId="12036" xr:uid="{00000000-0005-0000-0000-0000092F0000}"/>
    <cellStyle name="Normal 7 5 3 4 3" xfId="12037" xr:uid="{00000000-0005-0000-0000-00000A2F0000}"/>
    <cellStyle name="Normal 7 5 3 5" xfId="12038" xr:uid="{00000000-0005-0000-0000-00000B2F0000}"/>
    <cellStyle name="Normal 7 5 3 5 2" xfId="12039" xr:uid="{00000000-0005-0000-0000-00000C2F0000}"/>
    <cellStyle name="Normal 7 5 3 6" xfId="12040" xr:uid="{00000000-0005-0000-0000-00000D2F0000}"/>
    <cellStyle name="Normal 7 5 4" xfId="12041" xr:uid="{00000000-0005-0000-0000-00000E2F0000}"/>
    <cellStyle name="Normal 7 5 4 2" xfId="12042" xr:uid="{00000000-0005-0000-0000-00000F2F0000}"/>
    <cellStyle name="Normal 7 5 4 2 2" xfId="12043" xr:uid="{00000000-0005-0000-0000-0000102F0000}"/>
    <cellStyle name="Normal 7 5 4 2 2 2" xfId="12044" xr:uid="{00000000-0005-0000-0000-0000112F0000}"/>
    <cellStyle name="Normal 7 5 4 2 3" xfId="12045" xr:uid="{00000000-0005-0000-0000-0000122F0000}"/>
    <cellStyle name="Normal 7 5 4 3" xfId="12046" xr:uid="{00000000-0005-0000-0000-0000132F0000}"/>
    <cellStyle name="Normal 7 5 4 3 2" xfId="12047" xr:uid="{00000000-0005-0000-0000-0000142F0000}"/>
    <cellStyle name="Normal 7 5 4 3 2 2" xfId="12048" xr:uid="{00000000-0005-0000-0000-0000152F0000}"/>
    <cellStyle name="Normal 7 5 4 3 3" xfId="12049" xr:uid="{00000000-0005-0000-0000-0000162F0000}"/>
    <cellStyle name="Normal 7 5 4 4" xfId="12050" xr:uid="{00000000-0005-0000-0000-0000172F0000}"/>
    <cellStyle name="Normal 7 5 4 4 2" xfId="12051" xr:uid="{00000000-0005-0000-0000-0000182F0000}"/>
    <cellStyle name="Normal 7 5 4 5" xfId="12052" xr:uid="{00000000-0005-0000-0000-0000192F0000}"/>
    <cellStyle name="Normal 7 5 5" xfId="12053" xr:uid="{00000000-0005-0000-0000-00001A2F0000}"/>
    <cellStyle name="Normal 7 5 5 2" xfId="12054" xr:uid="{00000000-0005-0000-0000-00001B2F0000}"/>
    <cellStyle name="Normal 7 5 5 2 2" xfId="12055" xr:uid="{00000000-0005-0000-0000-00001C2F0000}"/>
    <cellStyle name="Normal 7 5 5 3" xfId="12056" xr:uid="{00000000-0005-0000-0000-00001D2F0000}"/>
    <cellStyle name="Normal 7 5 6" xfId="12057" xr:uid="{00000000-0005-0000-0000-00001E2F0000}"/>
    <cellStyle name="Normal 7 5 6 2" xfId="12058" xr:uid="{00000000-0005-0000-0000-00001F2F0000}"/>
    <cellStyle name="Normal 7 5 6 2 2" xfId="12059" xr:uid="{00000000-0005-0000-0000-0000202F0000}"/>
    <cellStyle name="Normal 7 5 6 3" xfId="12060" xr:uid="{00000000-0005-0000-0000-0000212F0000}"/>
    <cellStyle name="Normal 7 5 7" xfId="12061" xr:uid="{00000000-0005-0000-0000-0000222F0000}"/>
    <cellStyle name="Normal 7 5 7 2" xfId="12062" xr:uid="{00000000-0005-0000-0000-0000232F0000}"/>
    <cellStyle name="Normal 7 5 8" xfId="12063" xr:uid="{00000000-0005-0000-0000-0000242F0000}"/>
    <cellStyle name="Normal 7 6" xfId="12064" xr:uid="{00000000-0005-0000-0000-0000252F0000}"/>
    <cellStyle name="Normal 7 6 2" xfId="12065" xr:uid="{00000000-0005-0000-0000-0000262F0000}"/>
    <cellStyle name="Normal 7 6 2 2" xfId="12066" xr:uid="{00000000-0005-0000-0000-0000272F0000}"/>
    <cellStyle name="Normal 7 6 2 2 2" xfId="12067" xr:uid="{00000000-0005-0000-0000-0000282F0000}"/>
    <cellStyle name="Normal 7 6 2 2 2 2" xfId="12068" xr:uid="{00000000-0005-0000-0000-0000292F0000}"/>
    <cellStyle name="Normal 7 6 2 2 2 2 2" xfId="12069" xr:uid="{00000000-0005-0000-0000-00002A2F0000}"/>
    <cellStyle name="Normal 7 6 2 2 2 3" xfId="12070" xr:uid="{00000000-0005-0000-0000-00002B2F0000}"/>
    <cellStyle name="Normal 7 6 2 2 3" xfId="12071" xr:uid="{00000000-0005-0000-0000-00002C2F0000}"/>
    <cellStyle name="Normal 7 6 2 2 3 2" xfId="12072" xr:uid="{00000000-0005-0000-0000-00002D2F0000}"/>
    <cellStyle name="Normal 7 6 2 2 3 2 2" xfId="12073" xr:uid="{00000000-0005-0000-0000-00002E2F0000}"/>
    <cellStyle name="Normal 7 6 2 2 3 3" xfId="12074" xr:uid="{00000000-0005-0000-0000-00002F2F0000}"/>
    <cellStyle name="Normal 7 6 2 2 4" xfId="12075" xr:uid="{00000000-0005-0000-0000-0000302F0000}"/>
    <cellStyle name="Normal 7 6 2 2 4 2" xfId="12076" xr:uid="{00000000-0005-0000-0000-0000312F0000}"/>
    <cellStyle name="Normal 7 6 2 2 5" xfId="12077" xr:uid="{00000000-0005-0000-0000-0000322F0000}"/>
    <cellStyle name="Normal 7 6 2 3" xfId="12078" xr:uid="{00000000-0005-0000-0000-0000332F0000}"/>
    <cellStyle name="Normal 7 6 2 3 2" xfId="12079" xr:uid="{00000000-0005-0000-0000-0000342F0000}"/>
    <cellStyle name="Normal 7 6 2 3 2 2" xfId="12080" xr:uid="{00000000-0005-0000-0000-0000352F0000}"/>
    <cellStyle name="Normal 7 6 2 3 3" xfId="12081" xr:uid="{00000000-0005-0000-0000-0000362F0000}"/>
    <cellStyle name="Normal 7 6 2 4" xfId="12082" xr:uid="{00000000-0005-0000-0000-0000372F0000}"/>
    <cellStyle name="Normal 7 6 2 4 2" xfId="12083" xr:uid="{00000000-0005-0000-0000-0000382F0000}"/>
    <cellStyle name="Normal 7 6 2 4 2 2" xfId="12084" xr:uid="{00000000-0005-0000-0000-0000392F0000}"/>
    <cellStyle name="Normal 7 6 2 4 3" xfId="12085" xr:uid="{00000000-0005-0000-0000-00003A2F0000}"/>
    <cellStyle name="Normal 7 6 2 5" xfId="12086" xr:uid="{00000000-0005-0000-0000-00003B2F0000}"/>
    <cellStyle name="Normal 7 6 2 5 2" xfId="12087" xr:uid="{00000000-0005-0000-0000-00003C2F0000}"/>
    <cellStyle name="Normal 7 6 2 6" xfId="12088" xr:uid="{00000000-0005-0000-0000-00003D2F0000}"/>
    <cellStyle name="Normal 7 6 3" xfId="12089" xr:uid="{00000000-0005-0000-0000-00003E2F0000}"/>
    <cellStyle name="Normal 7 6 3 2" xfId="12090" xr:uid="{00000000-0005-0000-0000-00003F2F0000}"/>
    <cellStyle name="Normal 7 6 3 2 2" xfId="12091" xr:uid="{00000000-0005-0000-0000-0000402F0000}"/>
    <cellStyle name="Normal 7 6 3 2 2 2" xfId="12092" xr:uid="{00000000-0005-0000-0000-0000412F0000}"/>
    <cellStyle name="Normal 7 6 3 2 3" xfId="12093" xr:uid="{00000000-0005-0000-0000-0000422F0000}"/>
    <cellStyle name="Normal 7 6 3 3" xfId="12094" xr:uid="{00000000-0005-0000-0000-0000432F0000}"/>
    <cellStyle name="Normal 7 6 3 3 2" xfId="12095" xr:uid="{00000000-0005-0000-0000-0000442F0000}"/>
    <cellStyle name="Normal 7 6 3 3 2 2" xfId="12096" xr:uid="{00000000-0005-0000-0000-0000452F0000}"/>
    <cellStyle name="Normal 7 6 3 3 3" xfId="12097" xr:uid="{00000000-0005-0000-0000-0000462F0000}"/>
    <cellStyle name="Normal 7 6 3 4" xfId="12098" xr:uid="{00000000-0005-0000-0000-0000472F0000}"/>
    <cellStyle name="Normal 7 6 3 4 2" xfId="12099" xr:uid="{00000000-0005-0000-0000-0000482F0000}"/>
    <cellStyle name="Normal 7 6 3 5" xfId="12100" xr:uid="{00000000-0005-0000-0000-0000492F0000}"/>
    <cellStyle name="Normal 7 6 4" xfId="12101" xr:uid="{00000000-0005-0000-0000-00004A2F0000}"/>
    <cellStyle name="Normal 7 6 4 2" xfId="12102" xr:uid="{00000000-0005-0000-0000-00004B2F0000}"/>
    <cellStyle name="Normal 7 6 4 2 2" xfId="12103" xr:uid="{00000000-0005-0000-0000-00004C2F0000}"/>
    <cellStyle name="Normal 7 6 4 3" xfId="12104" xr:uid="{00000000-0005-0000-0000-00004D2F0000}"/>
    <cellStyle name="Normal 7 6 5" xfId="12105" xr:uid="{00000000-0005-0000-0000-00004E2F0000}"/>
    <cellStyle name="Normal 7 6 5 2" xfId="12106" xr:uid="{00000000-0005-0000-0000-00004F2F0000}"/>
    <cellStyle name="Normal 7 6 5 2 2" xfId="12107" xr:uid="{00000000-0005-0000-0000-0000502F0000}"/>
    <cellStyle name="Normal 7 6 5 3" xfId="12108" xr:uid="{00000000-0005-0000-0000-0000512F0000}"/>
    <cellStyle name="Normal 7 6 6" xfId="12109" xr:uid="{00000000-0005-0000-0000-0000522F0000}"/>
    <cellStyle name="Normal 7 6 6 2" xfId="12110" xr:uid="{00000000-0005-0000-0000-0000532F0000}"/>
    <cellStyle name="Normal 7 6 7" xfId="12111" xr:uid="{00000000-0005-0000-0000-0000542F0000}"/>
    <cellStyle name="Normal 7 7" xfId="12112" xr:uid="{00000000-0005-0000-0000-0000552F0000}"/>
    <cellStyle name="Normal 7 7 2" xfId="12113" xr:uid="{00000000-0005-0000-0000-0000562F0000}"/>
    <cellStyle name="Normal 7 7 2 2" xfId="12114" xr:uid="{00000000-0005-0000-0000-0000572F0000}"/>
    <cellStyle name="Normal 7 7 2 2 2" xfId="12115" xr:uid="{00000000-0005-0000-0000-0000582F0000}"/>
    <cellStyle name="Normal 7 7 2 2 2 2" xfId="12116" xr:uid="{00000000-0005-0000-0000-0000592F0000}"/>
    <cellStyle name="Normal 7 7 2 2 3" xfId="12117" xr:uid="{00000000-0005-0000-0000-00005A2F0000}"/>
    <cellStyle name="Normal 7 7 2 3" xfId="12118" xr:uid="{00000000-0005-0000-0000-00005B2F0000}"/>
    <cellStyle name="Normal 7 7 2 3 2" xfId="12119" xr:uid="{00000000-0005-0000-0000-00005C2F0000}"/>
    <cellStyle name="Normal 7 7 2 3 2 2" xfId="12120" xr:uid="{00000000-0005-0000-0000-00005D2F0000}"/>
    <cellStyle name="Normal 7 7 2 3 3" xfId="12121" xr:uid="{00000000-0005-0000-0000-00005E2F0000}"/>
    <cellStyle name="Normal 7 7 2 4" xfId="12122" xr:uid="{00000000-0005-0000-0000-00005F2F0000}"/>
    <cellStyle name="Normal 7 7 2 4 2" xfId="12123" xr:uid="{00000000-0005-0000-0000-0000602F0000}"/>
    <cellStyle name="Normal 7 7 2 5" xfId="12124" xr:uid="{00000000-0005-0000-0000-0000612F0000}"/>
    <cellStyle name="Normal 7 7 3" xfId="12125" xr:uid="{00000000-0005-0000-0000-0000622F0000}"/>
    <cellStyle name="Normal 7 7 3 2" xfId="12126" xr:uid="{00000000-0005-0000-0000-0000632F0000}"/>
    <cellStyle name="Normal 7 7 3 2 2" xfId="12127" xr:uid="{00000000-0005-0000-0000-0000642F0000}"/>
    <cellStyle name="Normal 7 7 3 3" xfId="12128" xr:uid="{00000000-0005-0000-0000-0000652F0000}"/>
    <cellStyle name="Normal 7 7 4" xfId="12129" xr:uid="{00000000-0005-0000-0000-0000662F0000}"/>
    <cellStyle name="Normal 7 7 4 2" xfId="12130" xr:uid="{00000000-0005-0000-0000-0000672F0000}"/>
    <cellStyle name="Normal 7 7 4 2 2" xfId="12131" xr:uid="{00000000-0005-0000-0000-0000682F0000}"/>
    <cellStyle name="Normal 7 7 4 3" xfId="12132" xr:uid="{00000000-0005-0000-0000-0000692F0000}"/>
    <cellStyle name="Normal 7 7 5" xfId="12133" xr:uid="{00000000-0005-0000-0000-00006A2F0000}"/>
    <cellStyle name="Normal 7 7 5 2" xfId="12134" xr:uid="{00000000-0005-0000-0000-00006B2F0000}"/>
    <cellStyle name="Normal 7 7 6" xfId="12135" xr:uid="{00000000-0005-0000-0000-00006C2F0000}"/>
    <cellStyle name="Normal 7 8" xfId="12136" xr:uid="{00000000-0005-0000-0000-00006D2F0000}"/>
    <cellStyle name="Normal 7 8 2" xfId="12137" xr:uid="{00000000-0005-0000-0000-00006E2F0000}"/>
    <cellStyle name="Normal 7 8 2 2" xfId="12138" xr:uid="{00000000-0005-0000-0000-00006F2F0000}"/>
    <cellStyle name="Normal 7 8 2 2 2" xfId="12139" xr:uid="{00000000-0005-0000-0000-0000702F0000}"/>
    <cellStyle name="Normal 7 8 2 3" xfId="12140" xr:uid="{00000000-0005-0000-0000-0000712F0000}"/>
    <cellStyle name="Normal 7 8 3" xfId="12141" xr:uid="{00000000-0005-0000-0000-0000722F0000}"/>
    <cellStyle name="Normal 7 8 3 2" xfId="12142" xr:uid="{00000000-0005-0000-0000-0000732F0000}"/>
    <cellStyle name="Normal 7 8 3 2 2" xfId="12143" xr:uid="{00000000-0005-0000-0000-0000742F0000}"/>
    <cellStyle name="Normal 7 8 3 3" xfId="12144" xr:uid="{00000000-0005-0000-0000-0000752F0000}"/>
    <cellStyle name="Normal 7 8 4" xfId="12145" xr:uid="{00000000-0005-0000-0000-0000762F0000}"/>
    <cellStyle name="Normal 7 8 4 2" xfId="12146" xr:uid="{00000000-0005-0000-0000-0000772F0000}"/>
    <cellStyle name="Normal 7 8 5" xfId="12147" xr:uid="{00000000-0005-0000-0000-0000782F0000}"/>
    <cellStyle name="Normal 7 9" xfId="12148" xr:uid="{00000000-0005-0000-0000-0000792F0000}"/>
    <cellStyle name="Normal 7 9 2" xfId="12149" xr:uid="{00000000-0005-0000-0000-00007A2F0000}"/>
    <cellStyle name="Normal 7 9 2 2" xfId="12150" xr:uid="{00000000-0005-0000-0000-00007B2F0000}"/>
    <cellStyle name="Normal 7 9 3" xfId="12151" xr:uid="{00000000-0005-0000-0000-00007C2F0000}"/>
    <cellStyle name="Normal 7_2180" xfId="12152" xr:uid="{00000000-0005-0000-0000-00007D2F0000}"/>
    <cellStyle name="Normal 70" xfId="12153" xr:uid="{00000000-0005-0000-0000-00007E2F0000}"/>
    <cellStyle name="Normal 70 2" xfId="12154" xr:uid="{00000000-0005-0000-0000-00007F2F0000}"/>
    <cellStyle name="Normal 70 2 2" xfId="12155" xr:uid="{00000000-0005-0000-0000-0000802F0000}"/>
    <cellStyle name="Normal 70 3" xfId="12156" xr:uid="{00000000-0005-0000-0000-0000812F0000}"/>
    <cellStyle name="Normal 70 3 2" xfId="12157" xr:uid="{00000000-0005-0000-0000-0000822F0000}"/>
    <cellStyle name="Normal 70 4" xfId="12158" xr:uid="{00000000-0005-0000-0000-0000832F0000}"/>
    <cellStyle name="Normal 70 5" xfId="12159" xr:uid="{00000000-0005-0000-0000-0000842F0000}"/>
    <cellStyle name="Normal 71" xfId="12160" xr:uid="{00000000-0005-0000-0000-0000852F0000}"/>
    <cellStyle name="Normal 71 2" xfId="12161" xr:uid="{00000000-0005-0000-0000-0000862F0000}"/>
    <cellStyle name="Normal 71 3" xfId="12162" xr:uid="{00000000-0005-0000-0000-0000872F0000}"/>
    <cellStyle name="Normal 72" xfId="12163" xr:uid="{00000000-0005-0000-0000-0000882F0000}"/>
    <cellStyle name="Normal 72 2" xfId="12164" xr:uid="{00000000-0005-0000-0000-0000892F0000}"/>
    <cellStyle name="Normal 72 2 2" xfId="12165" xr:uid="{00000000-0005-0000-0000-00008A2F0000}"/>
    <cellStyle name="Normal 72 2 2 2" xfId="12166" xr:uid="{00000000-0005-0000-0000-00008B2F0000}"/>
    <cellStyle name="Normal 72 2 2 2 2" xfId="12167" xr:uid="{00000000-0005-0000-0000-00008C2F0000}"/>
    <cellStyle name="Normal 72 2 2 2 2 2" xfId="12168" xr:uid="{00000000-0005-0000-0000-00008D2F0000}"/>
    <cellStyle name="Normal 72 2 2 2 3" xfId="12169" xr:uid="{00000000-0005-0000-0000-00008E2F0000}"/>
    <cellStyle name="Normal 72 2 2 3" xfId="12170" xr:uid="{00000000-0005-0000-0000-00008F2F0000}"/>
    <cellStyle name="Normal 72 2 2 3 2" xfId="12171" xr:uid="{00000000-0005-0000-0000-0000902F0000}"/>
    <cellStyle name="Normal 72 2 2 3 2 2" xfId="12172" xr:uid="{00000000-0005-0000-0000-0000912F0000}"/>
    <cellStyle name="Normal 72 2 2 3 3" xfId="12173" xr:uid="{00000000-0005-0000-0000-0000922F0000}"/>
    <cellStyle name="Normal 72 2 2 4" xfId="12174" xr:uid="{00000000-0005-0000-0000-0000932F0000}"/>
    <cellStyle name="Normal 72 2 2 4 2" xfId="12175" xr:uid="{00000000-0005-0000-0000-0000942F0000}"/>
    <cellStyle name="Normal 72 2 2 5" xfId="12176" xr:uid="{00000000-0005-0000-0000-0000952F0000}"/>
    <cellStyle name="Normal 72 2 3" xfId="12177" xr:uid="{00000000-0005-0000-0000-0000962F0000}"/>
    <cellStyle name="Normal 72 2 3 2" xfId="12178" xr:uid="{00000000-0005-0000-0000-0000972F0000}"/>
    <cellStyle name="Normal 72 2 3 2 2" xfId="12179" xr:uid="{00000000-0005-0000-0000-0000982F0000}"/>
    <cellStyle name="Normal 72 2 3 3" xfId="12180" xr:uid="{00000000-0005-0000-0000-0000992F0000}"/>
    <cellStyle name="Normal 72 2 4" xfId="12181" xr:uid="{00000000-0005-0000-0000-00009A2F0000}"/>
    <cellStyle name="Normal 72 2 4 2" xfId="12182" xr:uid="{00000000-0005-0000-0000-00009B2F0000}"/>
    <cellStyle name="Normal 72 2 4 2 2" xfId="12183" xr:uid="{00000000-0005-0000-0000-00009C2F0000}"/>
    <cellStyle name="Normal 72 2 4 3" xfId="12184" xr:uid="{00000000-0005-0000-0000-00009D2F0000}"/>
    <cellStyle name="Normal 72 2 5" xfId="12185" xr:uid="{00000000-0005-0000-0000-00009E2F0000}"/>
    <cellStyle name="Normal 72 2 5 2" xfId="12186" xr:uid="{00000000-0005-0000-0000-00009F2F0000}"/>
    <cellStyle name="Normal 72 2 6" xfId="12187" xr:uid="{00000000-0005-0000-0000-0000A02F0000}"/>
    <cellStyle name="Normal 72 3" xfId="12188" xr:uid="{00000000-0005-0000-0000-0000A12F0000}"/>
    <cellStyle name="Normal 72 3 2" xfId="12189" xr:uid="{00000000-0005-0000-0000-0000A22F0000}"/>
    <cellStyle name="Normal 72 3 2 2" xfId="12190" xr:uid="{00000000-0005-0000-0000-0000A32F0000}"/>
    <cellStyle name="Normal 72 3 2 2 2" xfId="12191" xr:uid="{00000000-0005-0000-0000-0000A42F0000}"/>
    <cellStyle name="Normal 72 3 2 3" xfId="12192" xr:uid="{00000000-0005-0000-0000-0000A52F0000}"/>
    <cellStyle name="Normal 72 3 3" xfId="12193" xr:uid="{00000000-0005-0000-0000-0000A62F0000}"/>
    <cellStyle name="Normal 72 3 3 2" xfId="12194" xr:uid="{00000000-0005-0000-0000-0000A72F0000}"/>
    <cellStyle name="Normal 72 3 3 2 2" xfId="12195" xr:uid="{00000000-0005-0000-0000-0000A82F0000}"/>
    <cellStyle name="Normal 72 3 3 3" xfId="12196" xr:uid="{00000000-0005-0000-0000-0000A92F0000}"/>
    <cellStyle name="Normal 72 3 4" xfId="12197" xr:uid="{00000000-0005-0000-0000-0000AA2F0000}"/>
    <cellStyle name="Normal 72 3 4 2" xfId="12198" xr:uid="{00000000-0005-0000-0000-0000AB2F0000}"/>
    <cellStyle name="Normal 72 3 5" xfId="12199" xr:uid="{00000000-0005-0000-0000-0000AC2F0000}"/>
    <cellStyle name="Normal 72 4" xfId="12200" xr:uid="{00000000-0005-0000-0000-0000AD2F0000}"/>
    <cellStyle name="Normal 72 4 2" xfId="12201" xr:uid="{00000000-0005-0000-0000-0000AE2F0000}"/>
    <cellStyle name="Normal 72 4 2 2" xfId="12202" xr:uid="{00000000-0005-0000-0000-0000AF2F0000}"/>
    <cellStyle name="Normal 72 4 3" xfId="12203" xr:uid="{00000000-0005-0000-0000-0000B02F0000}"/>
    <cellStyle name="Normal 72 5" xfId="12204" xr:uid="{00000000-0005-0000-0000-0000B12F0000}"/>
    <cellStyle name="Normal 72 5 2" xfId="12205" xr:uid="{00000000-0005-0000-0000-0000B22F0000}"/>
    <cellStyle name="Normal 72 5 2 2" xfId="12206" xr:uid="{00000000-0005-0000-0000-0000B32F0000}"/>
    <cellStyle name="Normal 72 5 3" xfId="12207" xr:uid="{00000000-0005-0000-0000-0000B42F0000}"/>
    <cellStyle name="Normal 72 6" xfId="12208" xr:uid="{00000000-0005-0000-0000-0000B52F0000}"/>
    <cellStyle name="Normal 72 6 2" xfId="12209" xr:uid="{00000000-0005-0000-0000-0000B62F0000}"/>
    <cellStyle name="Normal 72 7" xfId="12210" xr:uid="{00000000-0005-0000-0000-0000B72F0000}"/>
    <cellStyle name="Normal 72 8" xfId="12211" xr:uid="{00000000-0005-0000-0000-0000B82F0000}"/>
    <cellStyle name="Normal 73" xfId="12212" xr:uid="{00000000-0005-0000-0000-0000B92F0000}"/>
    <cellStyle name="Normal 73 2" xfId="12213" xr:uid="{00000000-0005-0000-0000-0000BA2F0000}"/>
    <cellStyle name="Normal 73 2 2" xfId="12214" xr:uid="{00000000-0005-0000-0000-0000BB2F0000}"/>
    <cellStyle name="Normal 73 3" xfId="12215" xr:uid="{00000000-0005-0000-0000-0000BC2F0000}"/>
    <cellStyle name="Normal 73 4" xfId="12216" xr:uid="{00000000-0005-0000-0000-0000BD2F0000}"/>
    <cellStyle name="Normal 74" xfId="12217" xr:uid="{00000000-0005-0000-0000-0000BE2F0000}"/>
    <cellStyle name="Normal 74 2" xfId="12218" xr:uid="{00000000-0005-0000-0000-0000BF2F0000}"/>
    <cellStyle name="Normal 74 3" xfId="12219" xr:uid="{00000000-0005-0000-0000-0000C02F0000}"/>
    <cellStyle name="Normal 75" xfId="12220" xr:uid="{00000000-0005-0000-0000-0000C12F0000}"/>
    <cellStyle name="Normal 75 2" xfId="12221" xr:uid="{00000000-0005-0000-0000-0000C22F0000}"/>
    <cellStyle name="Normal 75 3" xfId="12222" xr:uid="{00000000-0005-0000-0000-0000C32F0000}"/>
    <cellStyle name="Normal 76" xfId="12223" xr:uid="{00000000-0005-0000-0000-0000C42F0000}"/>
    <cellStyle name="Normal 76 2" xfId="12224" xr:uid="{00000000-0005-0000-0000-0000C52F0000}"/>
    <cellStyle name="Normal 76 3" xfId="12225" xr:uid="{00000000-0005-0000-0000-0000C62F0000}"/>
    <cellStyle name="Normal 77" xfId="12226" xr:uid="{00000000-0005-0000-0000-0000C72F0000}"/>
    <cellStyle name="Normal 77 2" xfId="12227" xr:uid="{00000000-0005-0000-0000-0000C82F0000}"/>
    <cellStyle name="Normal 77 3" xfId="12228" xr:uid="{00000000-0005-0000-0000-0000C92F0000}"/>
    <cellStyle name="Normal 78" xfId="12229" xr:uid="{00000000-0005-0000-0000-0000CA2F0000}"/>
    <cellStyle name="Normal 78 2" xfId="12230" xr:uid="{00000000-0005-0000-0000-0000CB2F0000}"/>
    <cellStyle name="Normal 78 3" xfId="12231" xr:uid="{00000000-0005-0000-0000-0000CC2F0000}"/>
    <cellStyle name="Normal 79" xfId="12232" xr:uid="{00000000-0005-0000-0000-0000CD2F0000}"/>
    <cellStyle name="Normal 79 2" xfId="12233" xr:uid="{00000000-0005-0000-0000-0000CE2F0000}"/>
    <cellStyle name="Normal 79 3" xfId="12234" xr:uid="{00000000-0005-0000-0000-0000CF2F0000}"/>
    <cellStyle name="Normal 8" xfId="12235" xr:uid="{00000000-0005-0000-0000-0000D02F0000}"/>
    <cellStyle name="Normal 8 10" xfId="12236" xr:uid="{00000000-0005-0000-0000-0000D12F0000}"/>
    <cellStyle name="Normal 8 10 2" xfId="12237" xr:uid="{00000000-0005-0000-0000-0000D22F0000}"/>
    <cellStyle name="Normal 8 11" xfId="12238" xr:uid="{00000000-0005-0000-0000-0000D32F0000}"/>
    <cellStyle name="Normal 8 12" xfId="12239" xr:uid="{00000000-0005-0000-0000-0000D42F0000}"/>
    <cellStyle name="Normal 8 2" xfId="12240" xr:uid="{00000000-0005-0000-0000-0000D52F0000}"/>
    <cellStyle name="Normal 8 2 10" xfId="12241" xr:uid="{00000000-0005-0000-0000-0000D62F0000}"/>
    <cellStyle name="Normal 8 2 11" xfId="12242" xr:uid="{00000000-0005-0000-0000-0000D72F0000}"/>
    <cellStyle name="Normal 8 2 2" xfId="12243" xr:uid="{00000000-0005-0000-0000-0000D82F0000}"/>
    <cellStyle name="Normal 8 2 2 10" xfId="15268" xr:uid="{00000000-0005-0000-0000-0000D92F0000}"/>
    <cellStyle name="Normal 8 2 2 2" xfId="12244" xr:uid="{00000000-0005-0000-0000-0000DA2F0000}"/>
    <cellStyle name="Normal 8 2 2 2 2" xfId="12245" xr:uid="{00000000-0005-0000-0000-0000DB2F0000}"/>
    <cellStyle name="Normal 8 2 2 2 2 2" xfId="12246" xr:uid="{00000000-0005-0000-0000-0000DC2F0000}"/>
    <cellStyle name="Normal 8 2 2 2 2 2 2" xfId="12247" xr:uid="{00000000-0005-0000-0000-0000DD2F0000}"/>
    <cellStyle name="Normal 8 2 2 2 2 2 2 2" xfId="12248" xr:uid="{00000000-0005-0000-0000-0000DE2F0000}"/>
    <cellStyle name="Normal 8 2 2 2 2 2 2 2 2" xfId="12249" xr:uid="{00000000-0005-0000-0000-0000DF2F0000}"/>
    <cellStyle name="Normal 8 2 2 2 2 2 2 3" xfId="12250" xr:uid="{00000000-0005-0000-0000-0000E02F0000}"/>
    <cellStyle name="Normal 8 2 2 2 2 2 3" xfId="12251" xr:uid="{00000000-0005-0000-0000-0000E12F0000}"/>
    <cellStyle name="Normal 8 2 2 2 2 2 3 2" xfId="12252" xr:uid="{00000000-0005-0000-0000-0000E22F0000}"/>
    <cellStyle name="Normal 8 2 2 2 2 2 3 2 2" xfId="12253" xr:uid="{00000000-0005-0000-0000-0000E32F0000}"/>
    <cellStyle name="Normal 8 2 2 2 2 2 3 3" xfId="12254" xr:uid="{00000000-0005-0000-0000-0000E42F0000}"/>
    <cellStyle name="Normal 8 2 2 2 2 2 4" xfId="12255" xr:uid="{00000000-0005-0000-0000-0000E52F0000}"/>
    <cellStyle name="Normal 8 2 2 2 2 2 4 2" xfId="12256" xr:uid="{00000000-0005-0000-0000-0000E62F0000}"/>
    <cellStyle name="Normal 8 2 2 2 2 2 5" xfId="12257" xr:uid="{00000000-0005-0000-0000-0000E72F0000}"/>
    <cellStyle name="Normal 8 2 2 2 2 3" xfId="12258" xr:uid="{00000000-0005-0000-0000-0000E82F0000}"/>
    <cellStyle name="Normal 8 2 2 2 2 3 2" xfId="12259" xr:uid="{00000000-0005-0000-0000-0000E92F0000}"/>
    <cellStyle name="Normal 8 2 2 2 2 3 2 2" xfId="12260" xr:uid="{00000000-0005-0000-0000-0000EA2F0000}"/>
    <cellStyle name="Normal 8 2 2 2 2 3 3" xfId="12261" xr:uid="{00000000-0005-0000-0000-0000EB2F0000}"/>
    <cellStyle name="Normal 8 2 2 2 2 4" xfId="12262" xr:uid="{00000000-0005-0000-0000-0000EC2F0000}"/>
    <cellStyle name="Normal 8 2 2 2 2 4 2" xfId="12263" xr:uid="{00000000-0005-0000-0000-0000ED2F0000}"/>
    <cellStyle name="Normal 8 2 2 2 2 4 2 2" xfId="12264" xr:uid="{00000000-0005-0000-0000-0000EE2F0000}"/>
    <cellStyle name="Normal 8 2 2 2 2 4 3" xfId="12265" xr:uid="{00000000-0005-0000-0000-0000EF2F0000}"/>
    <cellStyle name="Normal 8 2 2 2 2 5" xfId="12266" xr:uid="{00000000-0005-0000-0000-0000F02F0000}"/>
    <cellStyle name="Normal 8 2 2 2 2 5 2" xfId="12267" xr:uid="{00000000-0005-0000-0000-0000F12F0000}"/>
    <cellStyle name="Normal 8 2 2 2 2 6" xfId="12268" xr:uid="{00000000-0005-0000-0000-0000F22F0000}"/>
    <cellStyle name="Normal 8 2 2 2 3" xfId="12269" xr:uid="{00000000-0005-0000-0000-0000F32F0000}"/>
    <cellStyle name="Normal 8 2 2 2 3 2" xfId="12270" xr:uid="{00000000-0005-0000-0000-0000F42F0000}"/>
    <cellStyle name="Normal 8 2 2 2 3 2 2" xfId="12271" xr:uid="{00000000-0005-0000-0000-0000F52F0000}"/>
    <cellStyle name="Normal 8 2 2 2 3 2 2 2" xfId="12272" xr:uid="{00000000-0005-0000-0000-0000F62F0000}"/>
    <cellStyle name="Normal 8 2 2 2 3 2 3" xfId="12273" xr:uid="{00000000-0005-0000-0000-0000F72F0000}"/>
    <cellStyle name="Normal 8 2 2 2 3 3" xfId="12274" xr:uid="{00000000-0005-0000-0000-0000F82F0000}"/>
    <cellStyle name="Normal 8 2 2 2 3 3 2" xfId="12275" xr:uid="{00000000-0005-0000-0000-0000F92F0000}"/>
    <cellStyle name="Normal 8 2 2 2 3 3 2 2" xfId="12276" xr:uid="{00000000-0005-0000-0000-0000FA2F0000}"/>
    <cellStyle name="Normal 8 2 2 2 3 3 3" xfId="12277" xr:uid="{00000000-0005-0000-0000-0000FB2F0000}"/>
    <cellStyle name="Normal 8 2 2 2 3 4" xfId="12278" xr:uid="{00000000-0005-0000-0000-0000FC2F0000}"/>
    <cellStyle name="Normal 8 2 2 2 3 4 2" xfId="12279" xr:uid="{00000000-0005-0000-0000-0000FD2F0000}"/>
    <cellStyle name="Normal 8 2 2 2 3 5" xfId="12280" xr:uid="{00000000-0005-0000-0000-0000FE2F0000}"/>
    <cellStyle name="Normal 8 2 2 2 4" xfId="12281" xr:uid="{00000000-0005-0000-0000-0000FF2F0000}"/>
    <cellStyle name="Normal 8 2 2 2 4 2" xfId="12282" xr:uid="{00000000-0005-0000-0000-000000300000}"/>
    <cellStyle name="Normal 8 2 2 2 4 2 2" xfId="12283" xr:uid="{00000000-0005-0000-0000-000001300000}"/>
    <cellStyle name="Normal 8 2 2 2 4 3" xfId="12284" xr:uid="{00000000-0005-0000-0000-000002300000}"/>
    <cellStyle name="Normal 8 2 2 2 5" xfId="12285" xr:uid="{00000000-0005-0000-0000-000003300000}"/>
    <cellStyle name="Normal 8 2 2 2 5 2" xfId="12286" xr:uid="{00000000-0005-0000-0000-000004300000}"/>
    <cellStyle name="Normal 8 2 2 2 5 2 2" xfId="12287" xr:uid="{00000000-0005-0000-0000-000005300000}"/>
    <cellStyle name="Normal 8 2 2 2 5 3" xfId="12288" xr:uid="{00000000-0005-0000-0000-000006300000}"/>
    <cellStyle name="Normal 8 2 2 2 6" xfId="12289" xr:uid="{00000000-0005-0000-0000-000007300000}"/>
    <cellStyle name="Normal 8 2 2 2 6 2" xfId="12290" xr:uid="{00000000-0005-0000-0000-000008300000}"/>
    <cellStyle name="Normal 8 2 2 2 7" xfId="12291" xr:uid="{00000000-0005-0000-0000-000009300000}"/>
    <cellStyle name="Normal 8 2 2 3" xfId="12292" xr:uid="{00000000-0005-0000-0000-00000A300000}"/>
    <cellStyle name="Normal 8 2 2 3 2" xfId="12293" xr:uid="{00000000-0005-0000-0000-00000B300000}"/>
    <cellStyle name="Normal 8 2 2 3 2 2" xfId="12294" xr:uid="{00000000-0005-0000-0000-00000C300000}"/>
    <cellStyle name="Normal 8 2 2 3 2 2 2" xfId="12295" xr:uid="{00000000-0005-0000-0000-00000D300000}"/>
    <cellStyle name="Normal 8 2 2 3 2 2 2 2" xfId="12296" xr:uid="{00000000-0005-0000-0000-00000E300000}"/>
    <cellStyle name="Normal 8 2 2 3 2 2 3" xfId="12297" xr:uid="{00000000-0005-0000-0000-00000F300000}"/>
    <cellStyle name="Normal 8 2 2 3 2 3" xfId="12298" xr:uid="{00000000-0005-0000-0000-000010300000}"/>
    <cellStyle name="Normal 8 2 2 3 2 3 2" xfId="12299" xr:uid="{00000000-0005-0000-0000-000011300000}"/>
    <cellStyle name="Normal 8 2 2 3 2 3 2 2" xfId="12300" xr:uid="{00000000-0005-0000-0000-000012300000}"/>
    <cellStyle name="Normal 8 2 2 3 2 3 3" xfId="12301" xr:uid="{00000000-0005-0000-0000-000013300000}"/>
    <cellStyle name="Normal 8 2 2 3 2 4" xfId="12302" xr:uid="{00000000-0005-0000-0000-000014300000}"/>
    <cellStyle name="Normal 8 2 2 3 2 4 2" xfId="12303" xr:uid="{00000000-0005-0000-0000-000015300000}"/>
    <cellStyle name="Normal 8 2 2 3 2 5" xfId="12304" xr:uid="{00000000-0005-0000-0000-000016300000}"/>
    <cellStyle name="Normal 8 2 2 3 3" xfId="12305" xr:uid="{00000000-0005-0000-0000-000017300000}"/>
    <cellStyle name="Normal 8 2 2 3 3 2" xfId="12306" xr:uid="{00000000-0005-0000-0000-000018300000}"/>
    <cellStyle name="Normal 8 2 2 3 3 2 2" xfId="12307" xr:uid="{00000000-0005-0000-0000-000019300000}"/>
    <cellStyle name="Normal 8 2 2 3 3 3" xfId="12308" xr:uid="{00000000-0005-0000-0000-00001A300000}"/>
    <cellStyle name="Normal 8 2 2 3 4" xfId="12309" xr:uid="{00000000-0005-0000-0000-00001B300000}"/>
    <cellStyle name="Normal 8 2 2 3 4 2" xfId="12310" xr:uid="{00000000-0005-0000-0000-00001C300000}"/>
    <cellStyle name="Normal 8 2 2 3 4 2 2" xfId="12311" xr:uid="{00000000-0005-0000-0000-00001D300000}"/>
    <cellStyle name="Normal 8 2 2 3 4 3" xfId="12312" xr:uid="{00000000-0005-0000-0000-00001E300000}"/>
    <cellStyle name="Normal 8 2 2 3 5" xfId="12313" xr:uid="{00000000-0005-0000-0000-00001F300000}"/>
    <cellStyle name="Normal 8 2 2 3 5 2" xfId="12314" xr:uid="{00000000-0005-0000-0000-000020300000}"/>
    <cellStyle name="Normal 8 2 2 3 6" xfId="12315" xr:uid="{00000000-0005-0000-0000-000021300000}"/>
    <cellStyle name="Normal 8 2 2 4" xfId="12316" xr:uid="{00000000-0005-0000-0000-000022300000}"/>
    <cellStyle name="Normal 8 2 2 4 2" xfId="12317" xr:uid="{00000000-0005-0000-0000-000023300000}"/>
    <cellStyle name="Normal 8 2 2 4 2 2" xfId="12318" xr:uid="{00000000-0005-0000-0000-000024300000}"/>
    <cellStyle name="Normal 8 2 2 4 2 2 2" xfId="12319" xr:uid="{00000000-0005-0000-0000-000025300000}"/>
    <cellStyle name="Normal 8 2 2 4 2 3" xfId="12320" xr:uid="{00000000-0005-0000-0000-000026300000}"/>
    <cellStyle name="Normal 8 2 2 4 3" xfId="12321" xr:uid="{00000000-0005-0000-0000-000027300000}"/>
    <cellStyle name="Normal 8 2 2 4 3 2" xfId="12322" xr:uid="{00000000-0005-0000-0000-000028300000}"/>
    <cellStyle name="Normal 8 2 2 4 3 2 2" xfId="12323" xr:uid="{00000000-0005-0000-0000-000029300000}"/>
    <cellStyle name="Normal 8 2 2 4 3 3" xfId="12324" xr:uid="{00000000-0005-0000-0000-00002A300000}"/>
    <cellStyle name="Normal 8 2 2 4 4" xfId="12325" xr:uid="{00000000-0005-0000-0000-00002B300000}"/>
    <cellStyle name="Normal 8 2 2 4 4 2" xfId="12326" xr:uid="{00000000-0005-0000-0000-00002C300000}"/>
    <cellStyle name="Normal 8 2 2 4 5" xfId="12327" xr:uid="{00000000-0005-0000-0000-00002D300000}"/>
    <cellStyle name="Normal 8 2 2 5" xfId="12328" xr:uid="{00000000-0005-0000-0000-00002E300000}"/>
    <cellStyle name="Normal 8 2 2 5 2" xfId="12329" xr:uid="{00000000-0005-0000-0000-00002F300000}"/>
    <cellStyle name="Normal 8 2 2 5 2 2" xfId="12330" xr:uid="{00000000-0005-0000-0000-000030300000}"/>
    <cellStyle name="Normal 8 2 2 5 3" xfId="12331" xr:uid="{00000000-0005-0000-0000-000031300000}"/>
    <cellStyle name="Normal 8 2 2 6" xfId="12332" xr:uid="{00000000-0005-0000-0000-000032300000}"/>
    <cellStyle name="Normal 8 2 2 6 2" xfId="12333" xr:uid="{00000000-0005-0000-0000-000033300000}"/>
    <cellStyle name="Normal 8 2 2 6 2 2" xfId="12334" xr:uid="{00000000-0005-0000-0000-000034300000}"/>
    <cellStyle name="Normal 8 2 2 6 3" xfId="12335" xr:uid="{00000000-0005-0000-0000-000035300000}"/>
    <cellStyle name="Normal 8 2 2 7" xfId="12336" xr:uid="{00000000-0005-0000-0000-000036300000}"/>
    <cellStyle name="Normal 8 2 2 7 2" xfId="12337" xr:uid="{00000000-0005-0000-0000-000037300000}"/>
    <cellStyle name="Normal 8 2 2 8" xfId="12338" xr:uid="{00000000-0005-0000-0000-000038300000}"/>
    <cellStyle name="Normal 8 2 2 9" xfId="12339" xr:uid="{00000000-0005-0000-0000-000039300000}"/>
    <cellStyle name="Normal 8 2 3" xfId="12340" xr:uid="{00000000-0005-0000-0000-00003A300000}"/>
    <cellStyle name="Normal 8 2 3 2" xfId="12341" xr:uid="{00000000-0005-0000-0000-00003B300000}"/>
    <cellStyle name="Normal 8 2 3 2 2" xfId="12342" xr:uid="{00000000-0005-0000-0000-00003C300000}"/>
    <cellStyle name="Normal 8 2 3 2 2 2" xfId="12343" xr:uid="{00000000-0005-0000-0000-00003D300000}"/>
    <cellStyle name="Normal 8 2 3 2 2 2 2" xfId="12344" xr:uid="{00000000-0005-0000-0000-00003E300000}"/>
    <cellStyle name="Normal 8 2 3 2 2 2 2 2" xfId="12345" xr:uid="{00000000-0005-0000-0000-00003F300000}"/>
    <cellStyle name="Normal 8 2 3 2 2 2 3" xfId="12346" xr:uid="{00000000-0005-0000-0000-000040300000}"/>
    <cellStyle name="Normal 8 2 3 2 2 3" xfId="12347" xr:uid="{00000000-0005-0000-0000-000041300000}"/>
    <cellStyle name="Normal 8 2 3 2 2 3 2" xfId="12348" xr:uid="{00000000-0005-0000-0000-000042300000}"/>
    <cellStyle name="Normal 8 2 3 2 2 3 2 2" xfId="12349" xr:uid="{00000000-0005-0000-0000-000043300000}"/>
    <cellStyle name="Normal 8 2 3 2 2 3 3" xfId="12350" xr:uid="{00000000-0005-0000-0000-000044300000}"/>
    <cellStyle name="Normal 8 2 3 2 2 4" xfId="12351" xr:uid="{00000000-0005-0000-0000-000045300000}"/>
    <cellStyle name="Normal 8 2 3 2 2 4 2" xfId="12352" xr:uid="{00000000-0005-0000-0000-000046300000}"/>
    <cellStyle name="Normal 8 2 3 2 2 5" xfId="12353" xr:uid="{00000000-0005-0000-0000-000047300000}"/>
    <cellStyle name="Normal 8 2 3 2 3" xfId="12354" xr:uid="{00000000-0005-0000-0000-000048300000}"/>
    <cellStyle name="Normal 8 2 3 2 3 2" xfId="12355" xr:uid="{00000000-0005-0000-0000-000049300000}"/>
    <cellStyle name="Normal 8 2 3 2 3 2 2" xfId="12356" xr:uid="{00000000-0005-0000-0000-00004A300000}"/>
    <cellStyle name="Normal 8 2 3 2 3 3" xfId="12357" xr:uid="{00000000-0005-0000-0000-00004B300000}"/>
    <cellStyle name="Normal 8 2 3 2 4" xfId="12358" xr:uid="{00000000-0005-0000-0000-00004C300000}"/>
    <cellStyle name="Normal 8 2 3 2 4 2" xfId="12359" xr:uid="{00000000-0005-0000-0000-00004D300000}"/>
    <cellStyle name="Normal 8 2 3 2 4 2 2" xfId="12360" xr:uid="{00000000-0005-0000-0000-00004E300000}"/>
    <cellStyle name="Normal 8 2 3 2 4 3" xfId="12361" xr:uid="{00000000-0005-0000-0000-00004F300000}"/>
    <cellStyle name="Normal 8 2 3 2 5" xfId="12362" xr:uid="{00000000-0005-0000-0000-000050300000}"/>
    <cellStyle name="Normal 8 2 3 2 5 2" xfId="12363" xr:uid="{00000000-0005-0000-0000-000051300000}"/>
    <cellStyle name="Normal 8 2 3 2 6" xfId="12364" xr:uid="{00000000-0005-0000-0000-000052300000}"/>
    <cellStyle name="Normal 8 2 3 3" xfId="12365" xr:uid="{00000000-0005-0000-0000-000053300000}"/>
    <cellStyle name="Normal 8 2 3 3 2" xfId="12366" xr:uid="{00000000-0005-0000-0000-000054300000}"/>
    <cellStyle name="Normal 8 2 3 3 2 2" xfId="12367" xr:uid="{00000000-0005-0000-0000-000055300000}"/>
    <cellStyle name="Normal 8 2 3 3 2 2 2" xfId="12368" xr:uid="{00000000-0005-0000-0000-000056300000}"/>
    <cellStyle name="Normal 8 2 3 3 2 3" xfId="12369" xr:uid="{00000000-0005-0000-0000-000057300000}"/>
    <cellStyle name="Normal 8 2 3 3 3" xfId="12370" xr:uid="{00000000-0005-0000-0000-000058300000}"/>
    <cellStyle name="Normal 8 2 3 3 3 2" xfId="12371" xr:uid="{00000000-0005-0000-0000-000059300000}"/>
    <cellStyle name="Normal 8 2 3 3 3 2 2" xfId="12372" xr:uid="{00000000-0005-0000-0000-00005A300000}"/>
    <cellStyle name="Normal 8 2 3 3 3 3" xfId="12373" xr:uid="{00000000-0005-0000-0000-00005B300000}"/>
    <cellStyle name="Normal 8 2 3 3 4" xfId="12374" xr:uid="{00000000-0005-0000-0000-00005C300000}"/>
    <cellStyle name="Normal 8 2 3 3 4 2" xfId="12375" xr:uid="{00000000-0005-0000-0000-00005D300000}"/>
    <cellStyle name="Normal 8 2 3 3 5" xfId="12376" xr:uid="{00000000-0005-0000-0000-00005E300000}"/>
    <cellStyle name="Normal 8 2 3 4" xfId="12377" xr:uid="{00000000-0005-0000-0000-00005F300000}"/>
    <cellStyle name="Normal 8 2 3 4 2" xfId="12378" xr:uid="{00000000-0005-0000-0000-000060300000}"/>
    <cellStyle name="Normal 8 2 3 4 2 2" xfId="12379" xr:uid="{00000000-0005-0000-0000-000061300000}"/>
    <cellStyle name="Normal 8 2 3 4 3" xfId="12380" xr:uid="{00000000-0005-0000-0000-000062300000}"/>
    <cellStyle name="Normal 8 2 3 5" xfId="12381" xr:uid="{00000000-0005-0000-0000-000063300000}"/>
    <cellStyle name="Normal 8 2 3 5 2" xfId="12382" xr:uid="{00000000-0005-0000-0000-000064300000}"/>
    <cellStyle name="Normal 8 2 3 5 2 2" xfId="12383" xr:uid="{00000000-0005-0000-0000-000065300000}"/>
    <cellStyle name="Normal 8 2 3 5 3" xfId="12384" xr:uid="{00000000-0005-0000-0000-000066300000}"/>
    <cellStyle name="Normal 8 2 3 6" xfId="12385" xr:uid="{00000000-0005-0000-0000-000067300000}"/>
    <cellStyle name="Normal 8 2 3 6 2" xfId="12386" xr:uid="{00000000-0005-0000-0000-000068300000}"/>
    <cellStyle name="Normal 8 2 3 7" xfId="12387" xr:uid="{00000000-0005-0000-0000-000069300000}"/>
    <cellStyle name="Normal 8 2 4" xfId="12388" xr:uid="{00000000-0005-0000-0000-00006A300000}"/>
    <cellStyle name="Normal 8 2 4 2" xfId="12389" xr:uid="{00000000-0005-0000-0000-00006B300000}"/>
    <cellStyle name="Normal 8 2 4 2 2" xfId="12390" xr:uid="{00000000-0005-0000-0000-00006C300000}"/>
    <cellStyle name="Normal 8 2 4 2 2 2" xfId="12391" xr:uid="{00000000-0005-0000-0000-00006D300000}"/>
    <cellStyle name="Normal 8 2 4 2 2 2 2" xfId="12392" xr:uid="{00000000-0005-0000-0000-00006E300000}"/>
    <cellStyle name="Normal 8 2 4 2 2 3" xfId="12393" xr:uid="{00000000-0005-0000-0000-00006F300000}"/>
    <cellStyle name="Normal 8 2 4 2 3" xfId="12394" xr:uid="{00000000-0005-0000-0000-000070300000}"/>
    <cellStyle name="Normal 8 2 4 2 3 2" xfId="12395" xr:uid="{00000000-0005-0000-0000-000071300000}"/>
    <cellStyle name="Normal 8 2 4 2 3 2 2" xfId="12396" xr:uid="{00000000-0005-0000-0000-000072300000}"/>
    <cellStyle name="Normal 8 2 4 2 3 3" xfId="12397" xr:uid="{00000000-0005-0000-0000-000073300000}"/>
    <cellStyle name="Normal 8 2 4 2 4" xfId="12398" xr:uid="{00000000-0005-0000-0000-000074300000}"/>
    <cellStyle name="Normal 8 2 4 2 4 2" xfId="12399" xr:uid="{00000000-0005-0000-0000-000075300000}"/>
    <cellStyle name="Normal 8 2 4 2 5" xfId="12400" xr:uid="{00000000-0005-0000-0000-000076300000}"/>
    <cellStyle name="Normal 8 2 4 3" xfId="12401" xr:uid="{00000000-0005-0000-0000-000077300000}"/>
    <cellStyle name="Normal 8 2 4 3 2" xfId="12402" xr:uid="{00000000-0005-0000-0000-000078300000}"/>
    <cellStyle name="Normal 8 2 4 3 2 2" xfId="12403" xr:uid="{00000000-0005-0000-0000-000079300000}"/>
    <cellStyle name="Normal 8 2 4 3 3" xfId="12404" xr:uid="{00000000-0005-0000-0000-00007A300000}"/>
    <cellStyle name="Normal 8 2 4 4" xfId="12405" xr:uid="{00000000-0005-0000-0000-00007B300000}"/>
    <cellStyle name="Normal 8 2 4 4 2" xfId="12406" xr:uid="{00000000-0005-0000-0000-00007C300000}"/>
    <cellStyle name="Normal 8 2 4 4 2 2" xfId="12407" xr:uid="{00000000-0005-0000-0000-00007D300000}"/>
    <cellStyle name="Normal 8 2 4 4 3" xfId="12408" xr:uid="{00000000-0005-0000-0000-00007E300000}"/>
    <cellStyle name="Normal 8 2 4 5" xfId="12409" xr:uid="{00000000-0005-0000-0000-00007F300000}"/>
    <cellStyle name="Normal 8 2 4 5 2" xfId="12410" xr:uid="{00000000-0005-0000-0000-000080300000}"/>
    <cellStyle name="Normal 8 2 4 6" xfId="12411" xr:uid="{00000000-0005-0000-0000-000081300000}"/>
    <cellStyle name="Normal 8 2 5" xfId="12412" xr:uid="{00000000-0005-0000-0000-000082300000}"/>
    <cellStyle name="Normal 8 2 5 2" xfId="12413" xr:uid="{00000000-0005-0000-0000-000083300000}"/>
    <cellStyle name="Normal 8 2 5 2 2" xfId="12414" xr:uid="{00000000-0005-0000-0000-000084300000}"/>
    <cellStyle name="Normal 8 2 5 2 2 2" xfId="12415" xr:uid="{00000000-0005-0000-0000-000085300000}"/>
    <cellStyle name="Normal 8 2 5 2 3" xfId="12416" xr:uid="{00000000-0005-0000-0000-000086300000}"/>
    <cellStyle name="Normal 8 2 5 3" xfId="12417" xr:uid="{00000000-0005-0000-0000-000087300000}"/>
    <cellStyle name="Normal 8 2 5 3 2" xfId="12418" xr:uid="{00000000-0005-0000-0000-000088300000}"/>
    <cellStyle name="Normal 8 2 5 3 2 2" xfId="12419" xr:uid="{00000000-0005-0000-0000-000089300000}"/>
    <cellStyle name="Normal 8 2 5 3 3" xfId="12420" xr:uid="{00000000-0005-0000-0000-00008A300000}"/>
    <cellStyle name="Normal 8 2 5 4" xfId="12421" xr:uid="{00000000-0005-0000-0000-00008B300000}"/>
    <cellStyle name="Normal 8 2 5 4 2" xfId="12422" xr:uid="{00000000-0005-0000-0000-00008C300000}"/>
    <cellStyle name="Normal 8 2 5 5" xfId="12423" xr:uid="{00000000-0005-0000-0000-00008D300000}"/>
    <cellStyle name="Normal 8 2 6" xfId="12424" xr:uid="{00000000-0005-0000-0000-00008E300000}"/>
    <cellStyle name="Normal 8 2 6 2" xfId="12425" xr:uid="{00000000-0005-0000-0000-00008F300000}"/>
    <cellStyle name="Normal 8 2 6 2 2" xfId="12426" xr:uid="{00000000-0005-0000-0000-000090300000}"/>
    <cellStyle name="Normal 8 2 6 3" xfId="12427" xr:uid="{00000000-0005-0000-0000-000091300000}"/>
    <cellStyle name="Normal 8 2 7" xfId="12428" xr:uid="{00000000-0005-0000-0000-000092300000}"/>
    <cellStyle name="Normal 8 2 7 2" xfId="12429" xr:uid="{00000000-0005-0000-0000-000093300000}"/>
    <cellStyle name="Normal 8 2 7 2 2" xfId="12430" xr:uid="{00000000-0005-0000-0000-000094300000}"/>
    <cellStyle name="Normal 8 2 7 3" xfId="12431" xr:uid="{00000000-0005-0000-0000-000095300000}"/>
    <cellStyle name="Normal 8 2 8" xfId="12432" xr:uid="{00000000-0005-0000-0000-000096300000}"/>
    <cellStyle name="Normal 8 2 8 2" xfId="12433" xr:uid="{00000000-0005-0000-0000-000097300000}"/>
    <cellStyle name="Normal 8 2 9" xfId="12434" xr:uid="{00000000-0005-0000-0000-000098300000}"/>
    <cellStyle name="Normal 8 2 9 2" xfId="12435" xr:uid="{00000000-0005-0000-0000-000099300000}"/>
    <cellStyle name="Normal 8 3" xfId="12436" xr:uid="{00000000-0005-0000-0000-00009A300000}"/>
    <cellStyle name="Normal 8 3 2" xfId="12437" xr:uid="{00000000-0005-0000-0000-00009B300000}"/>
    <cellStyle name="Normal 8 3 2 2" xfId="12438" xr:uid="{00000000-0005-0000-0000-00009C300000}"/>
    <cellStyle name="Normal 8 3 2 2 2" xfId="12439" xr:uid="{00000000-0005-0000-0000-00009D300000}"/>
    <cellStyle name="Normal 8 3 2 2 2 2" xfId="12440" xr:uid="{00000000-0005-0000-0000-00009E300000}"/>
    <cellStyle name="Normal 8 3 2 2 2 2 2" xfId="12441" xr:uid="{00000000-0005-0000-0000-00009F300000}"/>
    <cellStyle name="Normal 8 3 2 2 2 2 2 2" xfId="12442" xr:uid="{00000000-0005-0000-0000-0000A0300000}"/>
    <cellStyle name="Normal 8 3 2 2 2 2 3" xfId="12443" xr:uid="{00000000-0005-0000-0000-0000A1300000}"/>
    <cellStyle name="Normal 8 3 2 2 2 3" xfId="12444" xr:uid="{00000000-0005-0000-0000-0000A2300000}"/>
    <cellStyle name="Normal 8 3 2 2 2 3 2" xfId="12445" xr:uid="{00000000-0005-0000-0000-0000A3300000}"/>
    <cellStyle name="Normal 8 3 2 2 2 3 2 2" xfId="12446" xr:uid="{00000000-0005-0000-0000-0000A4300000}"/>
    <cellStyle name="Normal 8 3 2 2 2 3 3" xfId="12447" xr:uid="{00000000-0005-0000-0000-0000A5300000}"/>
    <cellStyle name="Normal 8 3 2 2 2 4" xfId="12448" xr:uid="{00000000-0005-0000-0000-0000A6300000}"/>
    <cellStyle name="Normal 8 3 2 2 2 4 2" xfId="12449" xr:uid="{00000000-0005-0000-0000-0000A7300000}"/>
    <cellStyle name="Normal 8 3 2 2 2 5" xfId="12450" xr:uid="{00000000-0005-0000-0000-0000A8300000}"/>
    <cellStyle name="Normal 8 3 2 2 3" xfId="12451" xr:uid="{00000000-0005-0000-0000-0000A9300000}"/>
    <cellStyle name="Normal 8 3 2 2 3 2" xfId="12452" xr:uid="{00000000-0005-0000-0000-0000AA300000}"/>
    <cellStyle name="Normal 8 3 2 2 3 2 2" xfId="12453" xr:uid="{00000000-0005-0000-0000-0000AB300000}"/>
    <cellStyle name="Normal 8 3 2 2 3 3" xfId="12454" xr:uid="{00000000-0005-0000-0000-0000AC300000}"/>
    <cellStyle name="Normal 8 3 2 2 4" xfId="12455" xr:uid="{00000000-0005-0000-0000-0000AD300000}"/>
    <cellStyle name="Normal 8 3 2 2 4 2" xfId="12456" xr:uid="{00000000-0005-0000-0000-0000AE300000}"/>
    <cellStyle name="Normal 8 3 2 2 4 2 2" xfId="12457" xr:uid="{00000000-0005-0000-0000-0000AF300000}"/>
    <cellStyle name="Normal 8 3 2 2 4 3" xfId="12458" xr:uid="{00000000-0005-0000-0000-0000B0300000}"/>
    <cellStyle name="Normal 8 3 2 2 5" xfId="12459" xr:uid="{00000000-0005-0000-0000-0000B1300000}"/>
    <cellStyle name="Normal 8 3 2 2 5 2" xfId="12460" xr:uid="{00000000-0005-0000-0000-0000B2300000}"/>
    <cellStyle name="Normal 8 3 2 2 6" xfId="12461" xr:uid="{00000000-0005-0000-0000-0000B3300000}"/>
    <cellStyle name="Normal 8 3 2 3" xfId="12462" xr:uid="{00000000-0005-0000-0000-0000B4300000}"/>
    <cellStyle name="Normal 8 3 2 3 2" xfId="12463" xr:uid="{00000000-0005-0000-0000-0000B5300000}"/>
    <cellStyle name="Normal 8 3 2 3 2 2" xfId="12464" xr:uid="{00000000-0005-0000-0000-0000B6300000}"/>
    <cellStyle name="Normal 8 3 2 3 2 2 2" xfId="12465" xr:uid="{00000000-0005-0000-0000-0000B7300000}"/>
    <cellStyle name="Normal 8 3 2 3 2 3" xfId="12466" xr:uid="{00000000-0005-0000-0000-0000B8300000}"/>
    <cellStyle name="Normal 8 3 2 3 3" xfId="12467" xr:uid="{00000000-0005-0000-0000-0000B9300000}"/>
    <cellStyle name="Normal 8 3 2 3 3 2" xfId="12468" xr:uid="{00000000-0005-0000-0000-0000BA300000}"/>
    <cellStyle name="Normal 8 3 2 3 3 2 2" xfId="12469" xr:uid="{00000000-0005-0000-0000-0000BB300000}"/>
    <cellStyle name="Normal 8 3 2 3 3 3" xfId="12470" xr:uid="{00000000-0005-0000-0000-0000BC300000}"/>
    <cellStyle name="Normal 8 3 2 3 4" xfId="12471" xr:uid="{00000000-0005-0000-0000-0000BD300000}"/>
    <cellStyle name="Normal 8 3 2 3 4 2" xfId="12472" xr:uid="{00000000-0005-0000-0000-0000BE300000}"/>
    <cellStyle name="Normal 8 3 2 3 5" xfId="12473" xr:uid="{00000000-0005-0000-0000-0000BF300000}"/>
    <cellStyle name="Normal 8 3 2 4" xfId="12474" xr:uid="{00000000-0005-0000-0000-0000C0300000}"/>
    <cellStyle name="Normal 8 3 2 4 2" xfId="12475" xr:uid="{00000000-0005-0000-0000-0000C1300000}"/>
    <cellStyle name="Normal 8 3 2 4 2 2" xfId="12476" xr:uid="{00000000-0005-0000-0000-0000C2300000}"/>
    <cellStyle name="Normal 8 3 2 4 3" xfId="12477" xr:uid="{00000000-0005-0000-0000-0000C3300000}"/>
    <cellStyle name="Normal 8 3 2 5" xfId="12478" xr:uid="{00000000-0005-0000-0000-0000C4300000}"/>
    <cellStyle name="Normal 8 3 2 5 2" xfId="12479" xr:uid="{00000000-0005-0000-0000-0000C5300000}"/>
    <cellStyle name="Normal 8 3 2 5 2 2" xfId="12480" xr:uid="{00000000-0005-0000-0000-0000C6300000}"/>
    <cellStyle name="Normal 8 3 2 5 3" xfId="12481" xr:uid="{00000000-0005-0000-0000-0000C7300000}"/>
    <cellStyle name="Normal 8 3 2 6" xfId="12482" xr:uid="{00000000-0005-0000-0000-0000C8300000}"/>
    <cellStyle name="Normal 8 3 2 6 2" xfId="12483" xr:uid="{00000000-0005-0000-0000-0000C9300000}"/>
    <cellStyle name="Normal 8 3 2 7" xfId="12484" xr:uid="{00000000-0005-0000-0000-0000CA300000}"/>
    <cellStyle name="Normal 8 3 3" xfId="12485" xr:uid="{00000000-0005-0000-0000-0000CB300000}"/>
    <cellStyle name="Normal 8 3 3 2" xfId="12486" xr:uid="{00000000-0005-0000-0000-0000CC300000}"/>
    <cellStyle name="Normal 8 3 3 2 2" xfId="12487" xr:uid="{00000000-0005-0000-0000-0000CD300000}"/>
    <cellStyle name="Normal 8 3 3 2 2 2" xfId="12488" xr:uid="{00000000-0005-0000-0000-0000CE300000}"/>
    <cellStyle name="Normal 8 3 3 2 2 2 2" xfId="12489" xr:uid="{00000000-0005-0000-0000-0000CF300000}"/>
    <cellStyle name="Normal 8 3 3 2 2 3" xfId="12490" xr:uid="{00000000-0005-0000-0000-0000D0300000}"/>
    <cellStyle name="Normal 8 3 3 2 3" xfId="12491" xr:uid="{00000000-0005-0000-0000-0000D1300000}"/>
    <cellStyle name="Normal 8 3 3 2 3 2" xfId="12492" xr:uid="{00000000-0005-0000-0000-0000D2300000}"/>
    <cellStyle name="Normal 8 3 3 2 3 2 2" xfId="12493" xr:uid="{00000000-0005-0000-0000-0000D3300000}"/>
    <cellStyle name="Normal 8 3 3 2 3 3" xfId="12494" xr:uid="{00000000-0005-0000-0000-0000D4300000}"/>
    <cellStyle name="Normal 8 3 3 2 4" xfId="12495" xr:uid="{00000000-0005-0000-0000-0000D5300000}"/>
    <cellStyle name="Normal 8 3 3 2 4 2" xfId="12496" xr:uid="{00000000-0005-0000-0000-0000D6300000}"/>
    <cellStyle name="Normal 8 3 3 2 5" xfId="12497" xr:uid="{00000000-0005-0000-0000-0000D7300000}"/>
    <cellStyle name="Normal 8 3 3 3" xfId="12498" xr:uid="{00000000-0005-0000-0000-0000D8300000}"/>
    <cellStyle name="Normal 8 3 3 3 2" xfId="12499" xr:uid="{00000000-0005-0000-0000-0000D9300000}"/>
    <cellStyle name="Normal 8 3 3 3 2 2" xfId="12500" xr:uid="{00000000-0005-0000-0000-0000DA300000}"/>
    <cellStyle name="Normal 8 3 3 3 3" xfId="12501" xr:uid="{00000000-0005-0000-0000-0000DB300000}"/>
    <cellStyle name="Normal 8 3 3 4" xfId="12502" xr:uid="{00000000-0005-0000-0000-0000DC300000}"/>
    <cellStyle name="Normal 8 3 3 4 2" xfId="12503" xr:uid="{00000000-0005-0000-0000-0000DD300000}"/>
    <cellStyle name="Normal 8 3 3 4 2 2" xfId="12504" xr:uid="{00000000-0005-0000-0000-0000DE300000}"/>
    <cellStyle name="Normal 8 3 3 4 3" xfId="12505" xr:uid="{00000000-0005-0000-0000-0000DF300000}"/>
    <cellStyle name="Normal 8 3 3 5" xfId="12506" xr:uid="{00000000-0005-0000-0000-0000E0300000}"/>
    <cellStyle name="Normal 8 3 3 5 2" xfId="12507" xr:uid="{00000000-0005-0000-0000-0000E1300000}"/>
    <cellStyle name="Normal 8 3 3 6" xfId="12508" xr:uid="{00000000-0005-0000-0000-0000E2300000}"/>
    <cellStyle name="Normal 8 3 4" xfId="12509" xr:uid="{00000000-0005-0000-0000-0000E3300000}"/>
    <cellStyle name="Normal 8 3 4 2" xfId="12510" xr:uid="{00000000-0005-0000-0000-0000E4300000}"/>
    <cellStyle name="Normal 8 3 4 2 2" xfId="12511" xr:uid="{00000000-0005-0000-0000-0000E5300000}"/>
    <cellStyle name="Normal 8 3 4 2 2 2" xfId="12512" xr:uid="{00000000-0005-0000-0000-0000E6300000}"/>
    <cellStyle name="Normal 8 3 4 2 3" xfId="12513" xr:uid="{00000000-0005-0000-0000-0000E7300000}"/>
    <cellStyle name="Normal 8 3 4 3" xfId="12514" xr:uid="{00000000-0005-0000-0000-0000E8300000}"/>
    <cellStyle name="Normal 8 3 4 3 2" xfId="12515" xr:uid="{00000000-0005-0000-0000-0000E9300000}"/>
    <cellStyle name="Normal 8 3 4 3 2 2" xfId="12516" xr:uid="{00000000-0005-0000-0000-0000EA300000}"/>
    <cellStyle name="Normal 8 3 4 3 3" xfId="12517" xr:uid="{00000000-0005-0000-0000-0000EB300000}"/>
    <cellStyle name="Normal 8 3 4 4" xfId="12518" xr:uid="{00000000-0005-0000-0000-0000EC300000}"/>
    <cellStyle name="Normal 8 3 4 4 2" xfId="12519" xr:uid="{00000000-0005-0000-0000-0000ED300000}"/>
    <cellStyle name="Normal 8 3 4 5" xfId="12520" xr:uid="{00000000-0005-0000-0000-0000EE300000}"/>
    <cellStyle name="Normal 8 3 5" xfId="12521" xr:uid="{00000000-0005-0000-0000-0000EF300000}"/>
    <cellStyle name="Normal 8 3 5 2" xfId="12522" xr:uid="{00000000-0005-0000-0000-0000F0300000}"/>
    <cellStyle name="Normal 8 3 5 2 2" xfId="12523" xr:uid="{00000000-0005-0000-0000-0000F1300000}"/>
    <cellStyle name="Normal 8 3 5 3" xfId="12524" xr:uid="{00000000-0005-0000-0000-0000F2300000}"/>
    <cellStyle name="Normal 8 3 6" xfId="12525" xr:uid="{00000000-0005-0000-0000-0000F3300000}"/>
    <cellStyle name="Normal 8 3 6 2" xfId="12526" xr:uid="{00000000-0005-0000-0000-0000F4300000}"/>
    <cellStyle name="Normal 8 3 6 2 2" xfId="12527" xr:uid="{00000000-0005-0000-0000-0000F5300000}"/>
    <cellStyle name="Normal 8 3 6 3" xfId="12528" xr:uid="{00000000-0005-0000-0000-0000F6300000}"/>
    <cellStyle name="Normal 8 3 7" xfId="12529" xr:uid="{00000000-0005-0000-0000-0000F7300000}"/>
    <cellStyle name="Normal 8 3 7 2" xfId="12530" xr:uid="{00000000-0005-0000-0000-0000F8300000}"/>
    <cellStyle name="Normal 8 3 8" xfId="12531" xr:uid="{00000000-0005-0000-0000-0000F9300000}"/>
    <cellStyle name="Normal 8 3 9" xfId="12532" xr:uid="{00000000-0005-0000-0000-0000FA300000}"/>
    <cellStyle name="Normal 8 4" xfId="12533" xr:uid="{00000000-0005-0000-0000-0000FB300000}"/>
    <cellStyle name="Normal 8 4 2" xfId="12534" xr:uid="{00000000-0005-0000-0000-0000FC300000}"/>
    <cellStyle name="Normal 8 4 2 2" xfId="12535" xr:uid="{00000000-0005-0000-0000-0000FD300000}"/>
    <cellStyle name="Normal 8 4 2 2 2" xfId="12536" xr:uid="{00000000-0005-0000-0000-0000FE300000}"/>
    <cellStyle name="Normal 8 4 2 2 2 2" xfId="12537" xr:uid="{00000000-0005-0000-0000-0000FF300000}"/>
    <cellStyle name="Normal 8 4 2 2 2 2 2" xfId="12538" xr:uid="{00000000-0005-0000-0000-000000310000}"/>
    <cellStyle name="Normal 8 4 2 2 2 2 2 2" xfId="12539" xr:uid="{00000000-0005-0000-0000-000001310000}"/>
    <cellStyle name="Normal 8 4 2 2 2 2 3" xfId="12540" xr:uid="{00000000-0005-0000-0000-000002310000}"/>
    <cellStyle name="Normal 8 4 2 2 2 3" xfId="12541" xr:uid="{00000000-0005-0000-0000-000003310000}"/>
    <cellStyle name="Normal 8 4 2 2 2 3 2" xfId="12542" xr:uid="{00000000-0005-0000-0000-000004310000}"/>
    <cellStyle name="Normal 8 4 2 2 2 3 2 2" xfId="12543" xr:uid="{00000000-0005-0000-0000-000005310000}"/>
    <cellStyle name="Normal 8 4 2 2 2 3 3" xfId="12544" xr:uid="{00000000-0005-0000-0000-000006310000}"/>
    <cellStyle name="Normal 8 4 2 2 2 4" xfId="12545" xr:uid="{00000000-0005-0000-0000-000007310000}"/>
    <cellStyle name="Normal 8 4 2 2 2 4 2" xfId="12546" xr:uid="{00000000-0005-0000-0000-000008310000}"/>
    <cellStyle name="Normal 8 4 2 2 2 5" xfId="12547" xr:uid="{00000000-0005-0000-0000-000009310000}"/>
    <cellStyle name="Normal 8 4 2 2 3" xfId="12548" xr:uid="{00000000-0005-0000-0000-00000A310000}"/>
    <cellStyle name="Normal 8 4 2 2 3 2" xfId="12549" xr:uid="{00000000-0005-0000-0000-00000B310000}"/>
    <cellStyle name="Normal 8 4 2 2 3 2 2" xfId="12550" xr:uid="{00000000-0005-0000-0000-00000C310000}"/>
    <cellStyle name="Normal 8 4 2 2 3 3" xfId="12551" xr:uid="{00000000-0005-0000-0000-00000D310000}"/>
    <cellStyle name="Normal 8 4 2 2 4" xfId="12552" xr:uid="{00000000-0005-0000-0000-00000E310000}"/>
    <cellStyle name="Normal 8 4 2 2 4 2" xfId="12553" xr:uid="{00000000-0005-0000-0000-00000F310000}"/>
    <cellStyle name="Normal 8 4 2 2 4 2 2" xfId="12554" xr:uid="{00000000-0005-0000-0000-000010310000}"/>
    <cellStyle name="Normal 8 4 2 2 4 3" xfId="12555" xr:uid="{00000000-0005-0000-0000-000011310000}"/>
    <cellStyle name="Normal 8 4 2 2 5" xfId="12556" xr:uid="{00000000-0005-0000-0000-000012310000}"/>
    <cellStyle name="Normal 8 4 2 2 5 2" xfId="12557" xr:uid="{00000000-0005-0000-0000-000013310000}"/>
    <cellStyle name="Normal 8 4 2 2 6" xfId="12558" xr:uid="{00000000-0005-0000-0000-000014310000}"/>
    <cellStyle name="Normal 8 4 2 3" xfId="12559" xr:uid="{00000000-0005-0000-0000-000015310000}"/>
    <cellStyle name="Normal 8 4 2 3 2" xfId="12560" xr:uid="{00000000-0005-0000-0000-000016310000}"/>
    <cellStyle name="Normal 8 4 2 3 2 2" xfId="12561" xr:uid="{00000000-0005-0000-0000-000017310000}"/>
    <cellStyle name="Normal 8 4 2 3 2 2 2" xfId="12562" xr:uid="{00000000-0005-0000-0000-000018310000}"/>
    <cellStyle name="Normal 8 4 2 3 2 3" xfId="12563" xr:uid="{00000000-0005-0000-0000-000019310000}"/>
    <cellStyle name="Normal 8 4 2 3 3" xfId="12564" xr:uid="{00000000-0005-0000-0000-00001A310000}"/>
    <cellStyle name="Normal 8 4 2 3 3 2" xfId="12565" xr:uid="{00000000-0005-0000-0000-00001B310000}"/>
    <cellStyle name="Normal 8 4 2 3 3 2 2" xfId="12566" xr:uid="{00000000-0005-0000-0000-00001C310000}"/>
    <cellStyle name="Normal 8 4 2 3 3 3" xfId="12567" xr:uid="{00000000-0005-0000-0000-00001D310000}"/>
    <cellStyle name="Normal 8 4 2 3 4" xfId="12568" xr:uid="{00000000-0005-0000-0000-00001E310000}"/>
    <cellStyle name="Normal 8 4 2 3 4 2" xfId="12569" xr:uid="{00000000-0005-0000-0000-00001F310000}"/>
    <cellStyle name="Normal 8 4 2 3 5" xfId="12570" xr:uid="{00000000-0005-0000-0000-000020310000}"/>
    <cellStyle name="Normal 8 4 2 4" xfId="12571" xr:uid="{00000000-0005-0000-0000-000021310000}"/>
    <cellStyle name="Normal 8 4 2 4 2" xfId="12572" xr:uid="{00000000-0005-0000-0000-000022310000}"/>
    <cellStyle name="Normal 8 4 2 4 2 2" xfId="12573" xr:uid="{00000000-0005-0000-0000-000023310000}"/>
    <cellStyle name="Normal 8 4 2 4 3" xfId="12574" xr:uid="{00000000-0005-0000-0000-000024310000}"/>
    <cellStyle name="Normal 8 4 2 5" xfId="12575" xr:uid="{00000000-0005-0000-0000-000025310000}"/>
    <cellStyle name="Normal 8 4 2 5 2" xfId="12576" xr:uid="{00000000-0005-0000-0000-000026310000}"/>
    <cellStyle name="Normal 8 4 2 5 2 2" xfId="12577" xr:uid="{00000000-0005-0000-0000-000027310000}"/>
    <cellStyle name="Normal 8 4 2 5 3" xfId="12578" xr:uid="{00000000-0005-0000-0000-000028310000}"/>
    <cellStyle name="Normal 8 4 2 6" xfId="12579" xr:uid="{00000000-0005-0000-0000-000029310000}"/>
    <cellStyle name="Normal 8 4 2 6 2" xfId="12580" xr:uid="{00000000-0005-0000-0000-00002A310000}"/>
    <cellStyle name="Normal 8 4 2 7" xfId="12581" xr:uid="{00000000-0005-0000-0000-00002B310000}"/>
    <cellStyle name="Normal 8 4 3" xfId="12582" xr:uid="{00000000-0005-0000-0000-00002C310000}"/>
    <cellStyle name="Normal 8 4 3 2" xfId="12583" xr:uid="{00000000-0005-0000-0000-00002D310000}"/>
    <cellStyle name="Normal 8 4 3 2 2" xfId="12584" xr:uid="{00000000-0005-0000-0000-00002E310000}"/>
    <cellStyle name="Normal 8 4 3 2 2 2" xfId="12585" xr:uid="{00000000-0005-0000-0000-00002F310000}"/>
    <cellStyle name="Normal 8 4 3 2 2 2 2" xfId="12586" xr:uid="{00000000-0005-0000-0000-000030310000}"/>
    <cellStyle name="Normal 8 4 3 2 2 3" xfId="12587" xr:uid="{00000000-0005-0000-0000-000031310000}"/>
    <cellStyle name="Normal 8 4 3 2 3" xfId="12588" xr:uid="{00000000-0005-0000-0000-000032310000}"/>
    <cellStyle name="Normal 8 4 3 2 3 2" xfId="12589" xr:uid="{00000000-0005-0000-0000-000033310000}"/>
    <cellStyle name="Normal 8 4 3 2 3 2 2" xfId="12590" xr:uid="{00000000-0005-0000-0000-000034310000}"/>
    <cellStyle name="Normal 8 4 3 2 3 3" xfId="12591" xr:uid="{00000000-0005-0000-0000-000035310000}"/>
    <cellStyle name="Normal 8 4 3 2 4" xfId="12592" xr:uid="{00000000-0005-0000-0000-000036310000}"/>
    <cellStyle name="Normal 8 4 3 2 4 2" xfId="12593" xr:uid="{00000000-0005-0000-0000-000037310000}"/>
    <cellStyle name="Normal 8 4 3 2 5" xfId="12594" xr:uid="{00000000-0005-0000-0000-000038310000}"/>
    <cellStyle name="Normal 8 4 3 3" xfId="12595" xr:uid="{00000000-0005-0000-0000-000039310000}"/>
    <cellStyle name="Normal 8 4 3 3 2" xfId="12596" xr:uid="{00000000-0005-0000-0000-00003A310000}"/>
    <cellStyle name="Normal 8 4 3 3 2 2" xfId="12597" xr:uid="{00000000-0005-0000-0000-00003B310000}"/>
    <cellStyle name="Normal 8 4 3 3 3" xfId="12598" xr:uid="{00000000-0005-0000-0000-00003C310000}"/>
    <cellStyle name="Normal 8 4 3 4" xfId="12599" xr:uid="{00000000-0005-0000-0000-00003D310000}"/>
    <cellStyle name="Normal 8 4 3 4 2" xfId="12600" xr:uid="{00000000-0005-0000-0000-00003E310000}"/>
    <cellStyle name="Normal 8 4 3 4 2 2" xfId="12601" xr:uid="{00000000-0005-0000-0000-00003F310000}"/>
    <cellStyle name="Normal 8 4 3 4 3" xfId="12602" xr:uid="{00000000-0005-0000-0000-000040310000}"/>
    <cellStyle name="Normal 8 4 3 5" xfId="12603" xr:uid="{00000000-0005-0000-0000-000041310000}"/>
    <cellStyle name="Normal 8 4 3 5 2" xfId="12604" xr:uid="{00000000-0005-0000-0000-000042310000}"/>
    <cellStyle name="Normal 8 4 3 6" xfId="12605" xr:uid="{00000000-0005-0000-0000-000043310000}"/>
    <cellStyle name="Normal 8 4 4" xfId="12606" xr:uid="{00000000-0005-0000-0000-000044310000}"/>
    <cellStyle name="Normal 8 4 4 2" xfId="12607" xr:uid="{00000000-0005-0000-0000-000045310000}"/>
    <cellStyle name="Normal 8 4 4 2 2" xfId="12608" xr:uid="{00000000-0005-0000-0000-000046310000}"/>
    <cellStyle name="Normal 8 4 4 2 2 2" xfId="12609" xr:uid="{00000000-0005-0000-0000-000047310000}"/>
    <cellStyle name="Normal 8 4 4 2 3" xfId="12610" xr:uid="{00000000-0005-0000-0000-000048310000}"/>
    <cellStyle name="Normal 8 4 4 3" xfId="12611" xr:uid="{00000000-0005-0000-0000-000049310000}"/>
    <cellStyle name="Normal 8 4 4 3 2" xfId="12612" xr:uid="{00000000-0005-0000-0000-00004A310000}"/>
    <cellStyle name="Normal 8 4 4 3 2 2" xfId="12613" xr:uid="{00000000-0005-0000-0000-00004B310000}"/>
    <cellStyle name="Normal 8 4 4 3 3" xfId="12614" xr:uid="{00000000-0005-0000-0000-00004C310000}"/>
    <cellStyle name="Normal 8 4 4 4" xfId="12615" xr:uid="{00000000-0005-0000-0000-00004D310000}"/>
    <cellStyle name="Normal 8 4 4 4 2" xfId="12616" xr:uid="{00000000-0005-0000-0000-00004E310000}"/>
    <cellStyle name="Normal 8 4 4 5" xfId="12617" xr:uid="{00000000-0005-0000-0000-00004F310000}"/>
    <cellStyle name="Normal 8 4 5" xfId="12618" xr:uid="{00000000-0005-0000-0000-000050310000}"/>
    <cellStyle name="Normal 8 4 5 2" xfId="12619" xr:uid="{00000000-0005-0000-0000-000051310000}"/>
    <cellStyle name="Normal 8 4 5 2 2" xfId="12620" xr:uid="{00000000-0005-0000-0000-000052310000}"/>
    <cellStyle name="Normal 8 4 5 3" xfId="12621" xr:uid="{00000000-0005-0000-0000-000053310000}"/>
    <cellStyle name="Normal 8 4 6" xfId="12622" xr:uid="{00000000-0005-0000-0000-000054310000}"/>
    <cellStyle name="Normal 8 4 6 2" xfId="12623" xr:uid="{00000000-0005-0000-0000-000055310000}"/>
    <cellStyle name="Normal 8 4 6 2 2" xfId="12624" xr:uid="{00000000-0005-0000-0000-000056310000}"/>
    <cellStyle name="Normal 8 4 6 3" xfId="12625" xr:uid="{00000000-0005-0000-0000-000057310000}"/>
    <cellStyle name="Normal 8 4 7" xfId="12626" xr:uid="{00000000-0005-0000-0000-000058310000}"/>
    <cellStyle name="Normal 8 4 7 2" xfId="12627" xr:uid="{00000000-0005-0000-0000-000059310000}"/>
    <cellStyle name="Normal 8 4 8" xfId="12628" xr:uid="{00000000-0005-0000-0000-00005A310000}"/>
    <cellStyle name="Normal 8 5" xfId="12629" xr:uid="{00000000-0005-0000-0000-00005B310000}"/>
    <cellStyle name="Normal 8 5 2" xfId="12630" xr:uid="{00000000-0005-0000-0000-00005C310000}"/>
    <cellStyle name="Normal 8 5 2 2" xfId="12631" xr:uid="{00000000-0005-0000-0000-00005D310000}"/>
    <cellStyle name="Normal 8 5 2 2 2" xfId="12632" xr:uid="{00000000-0005-0000-0000-00005E310000}"/>
    <cellStyle name="Normal 8 5 2 2 2 2" xfId="12633" xr:uid="{00000000-0005-0000-0000-00005F310000}"/>
    <cellStyle name="Normal 8 5 2 2 2 2 2" xfId="12634" xr:uid="{00000000-0005-0000-0000-000060310000}"/>
    <cellStyle name="Normal 8 5 2 2 2 3" xfId="12635" xr:uid="{00000000-0005-0000-0000-000061310000}"/>
    <cellStyle name="Normal 8 5 2 2 3" xfId="12636" xr:uid="{00000000-0005-0000-0000-000062310000}"/>
    <cellStyle name="Normal 8 5 2 2 3 2" xfId="12637" xr:uid="{00000000-0005-0000-0000-000063310000}"/>
    <cellStyle name="Normal 8 5 2 2 3 2 2" xfId="12638" xr:uid="{00000000-0005-0000-0000-000064310000}"/>
    <cellStyle name="Normal 8 5 2 2 3 3" xfId="12639" xr:uid="{00000000-0005-0000-0000-000065310000}"/>
    <cellStyle name="Normal 8 5 2 2 4" xfId="12640" xr:uid="{00000000-0005-0000-0000-000066310000}"/>
    <cellStyle name="Normal 8 5 2 2 4 2" xfId="12641" xr:uid="{00000000-0005-0000-0000-000067310000}"/>
    <cellStyle name="Normal 8 5 2 2 5" xfId="12642" xr:uid="{00000000-0005-0000-0000-000068310000}"/>
    <cellStyle name="Normal 8 5 2 3" xfId="12643" xr:uid="{00000000-0005-0000-0000-000069310000}"/>
    <cellStyle name="Normal 8 5 2 3 2" xfId="12644" xr:uid="{00000000-0005-0000-0000-00006A310000}"/>
    <cellStyle name="Normal 8 5 2 3 2 2" xfId="12645" xr:uid="{00000000-0005-0000-0000-00006B310000}"/>
    <cellStyle name="Normal 8 5 2 3 3" xfId="12646" xr:uid="{00000000-0005-0000-0000-00006C310000}"/>
    <cellStyle name="Normal 8 5 2 4" xfId="12647" xr:uid="{00000000-0005-0000-0000-00006D310000}"/>
    <cellStyle name="Normal 8 5 2 4 2" xfId="12648" xr:uid="{00000000-0005-0000-0000-00006E310000}"/>
    <cellStyle name="Normal 8 5 2 4 2 2" xfId="12649" xr:uid="{00000000-0005-0000-0000-00006F310000}"/>
    <cellStyle name="Normal 8 5 2 4 3" xfId="12650" xr:uid="{00000000-0005-0000-0000-000070310000}"/>
    <cellStyle name="Normal 8 5 2 5" xfId="12651" xr:uid="{00000000-0005-0000-0000-000071310000}"/>
    <cellStyle name="Normal 8 5 2 5 2" xfId="12652" xr:uid="{00000000-0005-0000-0000-000072310000}"/>
    <cellStyle name="Normal 8 5 2 6" xfId="12653" xr:uid="{00000000-0005-0000-0000-000073310000}"/>
    <cellStyle name="Normal 8 5 3" xfId="12654" xr:uid="{00000000-0005-0000-0000-000074310000}"/>
    <cellStyle name="Normal 8 5 3 2" xfId="12655" xr:uid="{00000000-0005-0000-0000-000075310000}"/>
    <cellStyle name="Normal 8 5 3 2 2" xfId="12656" xr:uid="{00000000-0005-0000-0000-000076310000}"/>
    <cellStyle name="Normal 8 5 3 2 2 2" xfId="12657" xr:uid="{00000000-0005-0000-0000-000077310000}"/>
    <cellStyle name="Normal 8 5 3 2 3" xfId="12658" xr:uid="{00000000-0005-0000-0000-000078310000}"/>
    <cellStyle name="Normal 8 5 3 3" xfId="12659" xr:uid="{00000000-0005-0000-0000-000079310000}"/>
    <cellStyle name="Normal 8 5 3 3 2" xfId="12660" xr:uid="{00000000-0005-0000-0000-00007A310000}"/>
    <cellStyle name="Normal 8 5 3 3 2 2" xfId="12661" xr:uid="{00000000-0005-0000-0000-00007B310000}"/>
    <cellStyle name="Normal 8 5 3 3 3" xfId="12662" xr:uid="{00000000-0005-0000-0000-00007C310000}"/>
    <cellStyle name="Normal 8 5 3 4" xfId="12663" xr:uid="{00000000-0005-0000-0000-00007D310000}"/>
    <cellStyle name="Normal 8 5 3 4 2" xfId="12664" xr:uid="{00000000-0005-0000-0000-00007E310000}"/>
    <cellStyle name="Normal 8 5 3 5" xfId="12665" xr:uid="{00000000-0005-0000-0000-00007F310000}"/>
    <cellStyle name="Normal 8 5 4" xfId="12666" xr:uid="{00000000-0005-0000-0000-000080310000}"/>
    <cellStyle name="Normal 8 5 4 2" xfId="12667" xr:uid="{00000000-0005-0000-0000-000081310000}"/>
    <cellStyle name="Normal 8 5 4 2 2" xfId="12668" xr:uid="{00000000-0005-0000-0000-000082310000}"/>
    <cellStyle name="Normal 8 5 4 3" xfId="12669" xr:uid="{00000000-0005-0000-0000-000083310000}"/>
    <cellStyle name="Normal 8 5 5" xfId="12670" xr:uid="{00000000-0005-0000-0000-000084310000}"/>
    <cellStyle name="Normal 8 5 5 2" xfId="12671" xr:uid="{00000000-0005-0000-0000-000085310000}"/>
    <cellStyle name="Normal 8 5 5 2 2" xfId="12672" xr:uid="{00000000-0005-0000-0000-000086310000}"/>
    <cellStyle name="Normal 8 5 5 3" xfId="12673" xr:uid="{00000000-0005-0000-0000-000087310000}"/>
    <cellStyle name="Normal 8 5 6" xfId="12674" xr:uid="{00000000-0005-0000-0000-000088310000}"/>
    <cellStyle name="Normal 8 5 6 2" xfId="12675" xr:uid="{00000000-0005-0000-0000-000089310000}"/>
    <cellStyle name="Normal 8 5 7" xfId="12676" xr:uid="{00000000-0005-0000-0000-00008A310000}"/>
    <cellStyle name="Normal 8 6" xfId="12677" xr:uid="{00000000-0005-0000-0000-00008B310000}"/>
    <cellStyle name="Normal 8 6 2" xfId="12678" xr:uid="{00000000-0005-0000-0000-00008C310000}"/>
    <cellStyle name="Normal 8 6 2 2" xfId="12679" xr:uid="{00000000-0005-0000-0000-00008D310000}"/>
    <cellStyle name="Normal 8 6 2 2 2" xfId="12680" xr:uid="{00000000-0005-0000-0000-00008E310000}"/>
    <cellStyle name="Normal 8 6 2 2 2 2" xfId="12681" xr:uid="{00000000-0005-0000-0000-00008F310000}"/>
    <cellStyle name="Normal 8 6 2 2 3" xfId="12682" xr:uid="{00000000-0005-0000-0000-000090310000}"/>
    <cellStyle name="Normal 8 6 2 3" xfId="12683" xr:uid="{00000000-0005-0000-0000-000091310000}"/>
    <cellStyle name="Normal 8 6 2 3 2" xfId="12684" xr:uid="{00000000-0005-0000-0000-000092310000}"/>
    <cellStyle name="Normal 8 6 2 3 2 2" xfId="12685" xr:uid="{00000000-0005-0000-0000-000093310000}"/>
    <cellStyle name="Normal 8 6 2 3 3" xfId="12686" xr:uid="{00000000-0005-0000-0000-000094310000}"/>
    <cellStyle name="Normal 8 6 2 4" xfId="12687" xr:uid="{00000000-0005-0000-0000-000095310000}"/>
    <cellStyle name="Normal 8 6 2 4 2" xfId="12688" xr:uid="{00000000-0005-0000-0000-000096310000}"/>
    <cellStyle name="Normal 8 6 2 5" xfId="12689" xr:uid="{00000000-0005-0000-0000-000097310000}"/>
    <cellStyle name="Normal 8 6 3" xfId="12690" xr:uid="{00000000-0005-0000-0000-000098310000}"/>
    <cellStyle name="Normal 8 6 3 2" xfId="12691" xr:uid="{00000000-0005-0000-0000-000099310000}"/>
    <cellStyle name="Normal 8 6 3 2 2" xfId="12692" xr:uid="{00000000-0005-0000-0000-00009A310000}"/>
    <cellStyle name="Normal 8 6 3 3" xfId="12693" xr:uid="{00000000-0005-0000-0000-00009B310000}"/>
    <cellStyle name="Normal 8 6 4" xfId="12694" xr:uid="{00000000-0005-0000-0000-00009C310000}"/>
    <cellStyle name="Normal 8 6 4 2" xfId="12695" xr:uid="{00000000-0005-0000-0000-00009D310000}"/>
    <cellStyle name="Normal 8 6 4 2 2" xfId="12696" xr:uid="{00000000-0005-0000-0000-00009E310000}"/>
    <cellStyle name="Normal 8 6 4 3" xfId="12697" xr:uid="{00000000-0005-0000-0000-00009F310000}"/>
    <cellStyle name="Normal 8 6 5" xfId="12698" xr:uid="{00000000-0005-0000-0000-0000A0310000}"/>
    <cellStyle name="Normal 8 6 5 2" xfId="12699" xr:uid="{00000000-0005-0000-0000-0000A1310000}"/>
    <cellStyle name="Normal 8 6 6" xfId="12700" xr:uid="{00000000-0005-0000-0000-0000A2310000}"/>
    <cellStyle name="Normal 8 7" xfId="12701" xr:uid="{00000000-0005-0000-0000-0000A3310000}"/>
    <cellStyle name="Normal 8 7 2" xfId="12702" xr:uid="{00000000-0005-0000-0000-0000A4310000}"/>
    <cellStyle name="Normal 8 7 2 2" xfId="12703" xr:uid="{00000000-0005-0000-0000-0000A5310000}"/>
    <cellStyle name="Normal 8 7 2 2 2" xfId="12704" xr:uid="{00000000-0005-0000-0000-0000A6310000}"/>
    <cellStyle name="Normal 8 7 2 3" xfId="12705" xr:uid="{00000000-0005-0000-0000-0000A7310000}"/>
    <cellStyle name="Normal 8 7 3" xfId="12706" xr:uid="{00000000-0005-0000-0000-0000A8310000}"/>
    <cellStyle name="Normal 8 7 3 2" xfId="12707" xr:uid="{00000000-0005-0000-0000-0000A9310000}"/>
    <cellStyle name="Normal 8 7 3 2 2" xfId="12708" xr:uid="{00000000-0005-0000-0000-0000AA310000}"/>
    <cellStyle name="Normal 8 7 3 3" xfId="12709" xr:uid="{00000000-0005-0000-0000-0000AB310000}"/>
    <cellStyle name="Normal 8 7 4" xfId="12710" xr:uid="{00000000-0005-0000-0000-0000AC310000}"/>
    <cellStyle name="Normal 8 7 4 2" xfId="12711" xr:uid="{00000000-0005-0000-0000-0000AD310000}"/>
    <cellStyle name="Normal 8 7 5" xfId="12712" xr:uid="{00000000-0005-0000-0000-0000AE310000}"/>
    <cellStyle name="Normal 8 8" xfId="12713" xr:uid="{00000000-0005-0000-0000-0000AF310000}"/>
    <cellStyle name="Normal 8 8 2" xfId="12714" xr:uid="{00000000-0005-0000-0000-0000B0310000}"/>
    <cellStyle name="Normal 8 8 2 2" xfId="12715" xr:uid="{00000000-0005-0000-0000-0000B1310000}"/>
    <cellStyle name="Normal 8 8 3" xfId="12716" xr:uid="{00000000-0005-0000-0000-0000B2310000}"/>
    <cellStyle name="Normal 8 9" xfId="12717" xr:uid="{00000000-0005-0000-0000-0000B3310000}"/>
    <cellStyle name="Normal 8 9 2" xfId="12718" xr:uid="{00000000-0005-0000-0000-0000B4310000}"/>
    <cellStyle name="Normal 8 9 2 2" xfId="12719" xr:uid="{00000000-0005-0000-0000-0000B5310000}"/>
    <cellStyle name="Normal 8 9 3" xfId="12720" xr:uid="{00000000-0005-0000-0000-0000B6310000}"/>
    <cellStyle name="Normal 8_2180" xfId="12721" xr:uid="{00000000-0005-0000-0000-0000B7310000}"/>
    <cellStyle name="Normal 80" xfId="12722" xr:uid="{00000000-0005-0000-0000-0000B8310000}"/>
    <cellStyle name="Normal 80 2" xfId="12723" xr:uid="{00000000-0005-0000-0000-0000B9310000}"/>
    <cellStyle name="Normal 80 3" xfId="12724" xr:uid="{00000000-0005-0000-0000-0000BA310000}"/>
    <cellStyle name="Normal 81" xfId="12725" xr:uid="{00000000-0005-0000-0000-0000BB310000}"/>
    <cellStyle name="Normal 81 2" xfId="12726" xr:uid="{00000000-0005-0000-0000-0000BC310000}"/>
    <cellStyle name="Normal 81 2 2" xfId="12727" xr:uid="{00000000-0005-0000-0000-0000BD310000}"/>
    <cellStyle name="Normal 81 2 2 2" xfId="12728" xr:uid="{00000000-0005-0000-0000-0000BE310000}"/>
    <cellStyle name="Normal 81 2 2 2 2" xfId="12729" xr:uid="{00000000-0005-0000-0000-0000BF310000}"/>
    <cellStyle name="Normal 81 2 2 3" xfId="12730" xr:uid="{00000000-0005-0000-0000-0000C0310000}"/>
    <cellStyle name="Normal 81 2 3" xfId="12731" xr:uid="{00000000-0005-0000-0000-0000C1310000}"/>
    <cellStyle name="Normal 81 2 3 2" xfId="12732" xr:uid="{00000000-0005-0000-0000-0000C2310000}"/>
    <cellStyle name="Normal 81 2 3 2 2" xfId="12733" xr:uid="{00000000-0005-0000-0000-0000C3310000}"/>
    <cellStyle name="Normal 81 2 3 3" xfId="12734" xr:uid="{00000000-0005-0000-0000-0000C4310000}"/>
    <cellStyle name="Normal 81 2 4" xfId="12735" xr:uid="{00000000-0005-0000-0000-0000C5310000}"/>
    <cellStyle name="Normal 81 2 4 2" xfId="12736" xr:uid="{00000000-0005-0000-0000-0000C6310000}"/>
    <cellStyle name="Normal 81 2 5" xfId="12737" xr:uid="{00000000-0005-0000-0000-0000C7310000}"/>
    <cellStyle name="Normal 81 3" xfId="12738" xr:uid="{00000000-0005-0000-0000-0000C8310000}"/>
    <cellStyle name="Normal 81 3 2" xfId="12739" xr:uid="{00000000-0005-0000-0000-0000C9310000}"/>
    <cellStyle name="Normal 81 3 2 2" xfId="12740" xr:uid="{00000000-0005-0000-0000-0000CA310000}"/>
    <cellStyle name="Normal 81 3 3" xfId="12741" xr:uid="{00000000-0005-0000-0000-0000CB310000}"/>
    <cellStyle name="Normal 81 4" xfId="12742" xr:uid="{00000000-0005-0000-0000-0000CC310000}"/>
    <cellStyle name="Normal 81 4 2" xfId="12743" xr:uid="{00000000-0005-0000-0000-0000CD310000}"/>
    <cellStyle name="Normal 81 4 2 2" xfId="12744" xr:uid="{00000000-0005-0000-0000-0000CE310000}"/>
    <cellStyle name="Normal 81 4 3" xfId="12745" xr:uid="{00000000-0005-0000-0000-0000CF310000}"/>
    <cellStyle name="Normal 81 5" xfId="12746" xr:uid="{00000000-0005-0000-0000-0000D0310000}"/>
    <cellStyle name="Normal 81 5 2" xfId="12747" xr:uid="{00000000-0005-0000-0000-0000D1310000}"/>
    <cellStyle name="Normal 81 6" xfId="12748" xr:uid="{00000000-0005-0000-0000-0000D2310000}"/>
    <cellStyle name="Normal 81 7" xfId="12749" xr:uid="{00000000-0005-0000-0000-0000D3310000}"/>
    <cellStyle name="Normal 82" xfId="12750" xr:uid="{00000000-0005-0000-0000-0000D4310000}"/>
    <cellStyle name="Normal 82 2" xfId="12751" xr:uid="{00000000-0005-0000-0000-0000D5310000}"/>
    <cellStyle name="Normal 82 2 2" xfId="12752" xr:uid="{00000000-0005-0000-0000-0000D6310000}"/>
    <cellStyle name="Normal 82 2 2 2" xfId="12753" xr:uid="{00000000-0005-0000-0000-0000D7310000}"/>
    <cellStyle name="Normal 82 2 2 2 2" xfId="12754" xr:uid="{00000000-0005-0000-0000-0000D8310000}"/>
    <cellStyle name="Normal 82 2 2 3" xfId="12755" xr:uid="{00000000-0005-0000-0000-0000D9310000}"/>
    <cellStyle name="Normal 82 2 3" xfId="12756" xr:uid="{00000000-0005-0000-0000-0000DA310000}"/>
    <cellStyle name="Normal 82 2 3 2" xfId="12757" xr:uid="{00000000-0005-0000-0000-0000DB310000}"/>
    <cellStyle name="Normal 82 2 3 2 2" xfId="12758" xr:uid="{00000000-0005-0000-0000-0000DC310000}"/>
    <cellStyle name="Normal 82 2 3 3" xfId="12759" xr:uid="{00000000-0005-0000-0000-0000DD310000}"/>
    <cellStyle name="Normal 82 2 4" xfId="12760" xr:uid="{00000000-0005-0000-0000-0000DE310000}"/>
    <cellStyle name="Normal 82 2 4 2" xfId="12761" xr:uid="{00000000-0005-0000-0000-0000DF310000}"/>
    <cellStyle name="Normal 82 2 5" xfId="12762" xr:uid="{00000000-0005-0000-0000-0000E0310000}"/>
    <cellStyle name="Normal 82 3" xfId="12763" xr:uid="{00000000-0005-0000-0000-0000E1310000}"/>
    <cellStyle name="Normal 82 3 2" xfId="12764" xr:uid="{00000000-0005-0000-0000-0000E2310000}"/>
    <cellStyle name="Normal 82 3 2 2" xfId="12765" xr:uid="{00000000-0005-0000-0000-0000E3310000}"/>
    <cellStyle name="Normal 82 3 3" xfId="12766" xr:uid="{00000000-0005-0000-0000-0000E4310000}"/>
    <cellStyle name="Normal 82 4" xfId="12767" xr:uid="{00000000-0005-0000-0000-0000E5310000}"/>
    <cellStyle name="Normal 82 4 2" xfId="12768" xr:uid="{00000000-0005-0000-0000-0000E6310000}"/>
    <cellStyle name="Normal 82 4 2 2" xfId="12769" xr:uid="{00000000-0005-0000-0000-0000E7310000}"/>
    <cellStyle name="Normal 82 4 3" xfId="12770" xr:uid="{00000000-0005-0000-0000-0000E8310000}"/>
    <cellStyle name="Normal 82 5" xfId="12771" xr:uid="{00000000-0005-0000-0000-0000E9310000}"/>
    <cellStyle name="Normal 82 5 2" xfId="12772" xr:uid="{00000000-0005-0000-0000-0000EA310000}"/>
    <cellStyle name="Normal 82 6" xfId="12773" xr:uid="{00000000-0005-0000-0000-0000EB310000}"/>
    <cellStyle name="Normal 82 7" xfId="12774" xr:uid="{00000000-0005-0000-0000-0000EC310000}"/>
    <cellStyle name="Normal 83" xfId="12775" xr:uid="{00000000-0005-0000-0000-0000ED310000}"/>
    <cellStyle name="Normal 83 2" xfId="12776" xr:uid="{00000000-0005-0000-0000-0000EE310000}"/>
    <cellStyle name="Normal 83 3" xfId="12777" xr:uid="{00000000-0005-0000-0000-0000EF310000}"/>
    <cellStyle name="Normal 84" xfId="12778" xr:uid="{00000000-0005-0000-0000-0000F0310000}"/>
    <cellStyle name="Normal 84 2" xfId="12779" xr:uid="{00000000-0005-0000-0000-0000F1310000}"/>
    <cellStyle name="Normal 84 2 2" xfId="12780" xr:uid="{00000000-0005-0000-0000-0000F2310000}"/>
    <cellStyle name="Normal 84 2 2 2" xfId="12781" xr:uid="{00000000-0005-0000-0000-0000F3310000}"/>
    <cellStyle name="Normal 84 2 2 2 2" xfId="12782" xr:uid="{00000000-0005-0000-0000-0000F4310000}"/>
    <cellStyle name="Normal 84 2 2 3" xfId="12783" xr:uid="{00000000-0005-0000-0000-0000F5310000}"/>
    <cellStyle name="Normal 84 2 3" xfId="12784" xr:uid="{00000000-0005-0000-0000-0000F6310000}"/>
    <cellStyle name="Normal 84 2 3 2" xfId="12785" xr:uid="{00000000-0005-0000-0000-0000F7310000}"/>
    <cellStyle name="Normal 84 2 3 2 2" xfId="12786" xr:uid="{00000000-0005-0000-0000-0000F8310000}"/>
    <cellStyle name="Normal 84 2 3 3" xfId="12787" xr:uid="{00000000-0005-0000-0000-0000F9310000}"/>
    <cellStyle name="Normal 84 2 4" xfId="12788" xr:uid="{00000000-0005-0000-0000-0000FA310000}"/>
    <cellStyle name="Normal 84 2 4 2" xfId="12789" xr:uid="{00000000-0005-0000-0000-0000FB310000}"/>
    <cellStyle name="Normal 84 2 5" xfId="12790" xr:uid="{00000000-0005-0000-0000-0000FC310000}"/>
    <cellStyle name="Normal 84 2 6" xfId="12791" xr:uid="{00000000-0005-0000-0000-0000FD310000}"/>
    <cellStyle name="Normal 84 3" xfId="12792" xr:uid="{00000000-0005-0000-0000-0000FE310000}"/>
    <cellStyle name="Normal 84 3 2" xfId="12793" xr:uid="{00000000-0005-0000-0000-0000FF310000}"/>
    <cellStyle name="Normal 84 3 2 2" xfId="12794" xr:uid="{00000000-0005-0000-0000-000000320000}"/>
    <cellStyle name="Normal 84 3 3" xfId="12795" xr:uid="{00000000-0005-0000-0000-000001320000}"/>
    <cellStyle name="Normal 84 3 4" xfId="12796" xr:uid="{00000000-0005-0000-0000-000002320000}"/>
    <cellStyle name="Normal 84 4" xfId="12797" xr:uid="{00000000-0005-0000-0000-000003320000}"/>
    <cellStyle name="Normal 84 4 2" xfId="12798" xr:uid="{00000000-0005-0000-0000-000004320000}"/>
    <cellStyle name="Normal 84 4 2 2" xfId="12799" xr:uid="{00000000-0005-0000-0000-000005320000}"/>
    <cellStyle name="Normal 84 4 3" xfId="12800" xr:uid="{00000000-0005-0000-0000-000006320000}"/>
    <cellStyle name="Normal 84 5" xfId="12801" xr:uid="{00000000-0005-0000-0000-000007320000}"/>
    <cellStyle name="Normal 84 5 2" xfId="12802" xr:uid="{00000000-0005-0000-0000-000008320000}"/>
    <cellStyle name="Normal 84 6" xfId="12803" xr:uid="{00000000-0005-0000-0000-000009320000}"/>
    <cellStyle name="Normal 84 7" xfId="12804" xr:uid="{00000000-0005-0000-0000-00000A320000}"/>
    <cellStyle name="Normal 85" xfId="12805" xr:uid="{00000000-0005-0000-0000-00000B320000}"/>
    <cellStyle name="Normal 85 2" xfId="12806" xr:uid="{00000000-0005-0000-0000-00000C320000}"/>
    <cellStyle name="Normal 85 2 2" xfId="12807" xr:uid="{00000000-0005-0000-0000-00000D320000}"/>
    <cellStyle name="Normal 85 2 2 2" xfId="12808" xr:uid="{00000000-0005-0000-0000-00000E320000}"/>
    <cellStyle name="Normal 85 2 3" xfId="12809" xr:uid="{00000000-0005-0000-0000-00000F320000}"/>
    <cellStyle name="Normal 85 2 4" xfId="12810" xr:uid="{00000000-0005-0000-0000-000010320000}"/>
    <cellStyle name="Normal 85 3" xfId="12811" xr:uid="{00000000-0005-0000-0000-000011320000}"/>
    <cellStyle name="Normal 85 3 2" xfId="12812" xr:uid="{00000000-0005-0000-0000-000012320000}"/>
    <cellStyle name="Normal 85 3 2 2" xfId="12813" xr:uid="{00000000-0005-0000-0000-000013320000}"/>
    <cellStyle name="Normal 85 3 3" xfId="12814" xr:uid="{00000000-0005-0000-0000-000014320000}"/>
    <cellStyle name="Normal 85 3 4" xfId="12815" xr:uid="{00000000-0005-0000-0000-000015320000}"/>
    <cellStyle name="Normal 85 4" xfId="12816" xr:uid="{00000000-0005-0000-0000-000016320000}"/>
    <cellStyle name="Normal 85 4 2" xfId="12817" xr:uid="{00000000-0005-0000-0000-000017320000}"/>
    <cellStyle name="Normal 85 5" xfId="12818" xr:uid="{00000000-0005-0000-0000-000018320000}"/>
    <cellStyle name="Normal 85 6" xfId="12819" xr:uid="{00000000-0005-0000-0000-000019320000}"/>
    <cellStyle name="Normal 86" xfId="12820" xr:uid="{00000000-0005-0000-0000-00001A320000}"/>
    <cellStyle name="Normal 86 2" xfId="12821" xr:uid="{00000000-0005-0000-0000-00001B320000}"/>
    <cellStyle name="Normal 86 2 2" xfId="12822" xr:uid="{00000000-0005-0000-0000-00001C320000}"/>
    <cellStyle name="Normal 86 3" xfId="12823" xr:uid="{00000000-0005-0000-0000-00001D320000}"/>
    <cellStyle name="Normal 86 3 2" xfId="12824" xr:uid="{00000000-0005-0000-0000-00001E320000}"/>
    <cellStyle name="Normal 86 4" xfId="12825" xr:uid="{00000000-0005-0000-0000-00001F320000}"/>
    <cellStyle name="Normal 86 5" xfId="12826" xr:uid="{00000000-0005-0000-0000-000020320000}"/>
    <cellStyle name="Normal 87" xfId="12827" xr:uid="{00000000-0005-0000-0000-000021320000}"/>
    <cellStyle name="Normal 87 2" xfId="12828" xr:uid="{00000000-0005-0000-0000-000022320000}"/>
    <cellStyle name="Normal 87 2 2" xfId="12829" xr:uid="{00000000-0005-0000-0000-000023320000}"/>
    <cellStyle name="Normal 87 3" xfId="12830" xr:uid="{00000000-0005-0000-0000-000024320000}"/>
    <cellStyle name="Normal 87 4" xfId="12831" xr:uid="{00000000-0005-0000-0000-000025320000}"/>
    <cellStyle name="Normal 88" xfId="12832" xr:uid="{00000000-0005-0000-0000-000026320000}"/>
    <cellStyle name="Normal 88 2" xfId="12833" xr:uid="{00000000-0005-0000-0000-000027320000}"/>
    <cellStyle name="Normal 88 2 2" xfId="12834" xr:uid="{00000000-0005-0000-0000-000028320000}"/>
    <cellStyle name="Normal 88 3" xfId="12835" xr:uid="{00000000-0005-0000-0000-000029320000}"/>
    <cellStyle name="Normal 88 4" xfId="12836" xr:uid="{00000000-0005-0000-0000-00002A320000}"/>
    <cellStyle name="Normal 89" xfId="12837" xr:uid="{00000000-0005-0000-0000-00002B320000}"/>
    <cellStyle name="Normal 89 2" xfId="12838" xr:uid="{00000000-0005-0000-0000-00002C320000}"/>
    <cellStyle name="Normal 89 2 2" xfId="15267" xr:uid="{00000000-0005-0000-0000-00002D320000}"/>
    <cellStyle name="Normal 89 3" xfId="12839" xr:uid="{00000000-0005-0000-0000-00002E320000}"/>
    <cellStyle name="Normal 9" xfId="12840" xr:uid="{00000000-0005-0000-0000-00002F320000}"/>
    <cellStyle name="Normal 9 10" xfId="12841" xr:uid="{00000000-0005-0000-0000-000030320000}"/>
    <cellStyle name="Normal 9 10 2" xfId="12842" xr:uid="{00000000-0005-0000-0000-000031320000}"/>
    <cellStyle name="Normal 9 11" xfId="12843" xr:uid="{00000000-0005-0000-0000-000032320000}"/>
    <cellStyle name="Normal 9 11 2" xfId="12844" xr:uid="{00000000-0005-0000-0000-000033320000}"/>
    <cellStyle name="Normal 9 12" xfId="12845" xr:uid="{00000000-0005-0000-0000-000034320000}"/>
    <cellStyle name="Normal 9 12 2" xfId="12846" xr:uid="{00000000-0005-0000-0000-000035320000}"/>
    <cellStyle name="Normal 9 13" xfId="12847" xr:uid="{00000000-0005-0000-0000-000036320000}"/>
    <cellStyle name="Normal 9 13 2" xfId="12848" xr:uid="{00000000-0005-0000-0000-000037320000}"/>
    <cellStyle name="Normal 9 14" xfId="12849" xr:uid="{00000000-0005-0000-0000-000038320000}"/>
    <cellStyle name="Normal 9 15" xfId="12850" xr:uid="{00000000-0005-0000-0000-000039320000}"/>
    <cellStyle name="Normal 9 2" xfId="12851" xr:uid="{00000000-0005-0000-0000-00003A320000}"/>
    <cellStyle name="Normal 9 2 10" xfId="12852" xr:uid="{00000000-0005-0000-0000-00003B320000}"/>
    <cellStyle name="Normal 9 2 10 2" xfId="12853" xr:uid="{00000000-0005-0000-0000-00003C320000}"/>
    <cellStyle name="Normal 9 2 11" xfId="12854" xr:uid="{00000000-0005-0000-0000-00003D320000}"/>
    <cellStyle name="Normal 9 2 11 2" xfId="12855" xr:uid="{00000000-0005-0000-0000-00003E320000}"/>
    <cellStyle name="Normal 9 2 12" xfId="12856" xr:uid="{00000000-0005-0000-0000-00003F320000}"/>
    <cellStyle name="Normal 9 2 12 2" xfId="12857" xr:uid="{00000000-0005-0000-0000-000040320000}"/>
    <cellStyle name="Normal 9 2 13" xfId="12858" xr:uid="{00000000-0005-0000-0000-000041320000}"/>
    <cellStyle name="Normal 9 2 14" xfId="12859" xr:uid="{00000000-0005-0000-0000-000042320000}"/>
    <cellStyle name="Normal 9 2 2" xfId="12860" xr:uid="{00000000-0005-0000-0000-000043320000}"/>
    <cellStyle name="Normal 9 2 2 2" xfId="12861" xr:uid="{00000000-0005-0000-0000-000044320000}"/>
    <cellStyle name="Normal 9 2 2 2 2" xfId="12862" xr:uid="{00000000-0005-0000-0000-000045320000}"/>
    <cellStyle name="Normal 9 2 2 2 2 2" xfId="12863" xr:uid="{00000000-0005-0000-0000-000046320000}"/>
    <cellStyle name="Normal 9 2 2 2 2 2 2" xfId="12864" xr:uid="{00000000-0005-0000-0000-000047320000}"/>
    <cellStyle name="Normal 9 2 2 2 2 2 2 2" xfId="12865" xr:uid="{00000000-0005-0000-0000-000048320000}"/>
    <cellStyle name="Normal 9 2 2 2 2 2 2 2 2" xfId="12866" xr:uid="{00000000-0005-0000-0000-000049320000}"/>
    <cellStyle name="Normal 9 2 2 2 2 2 2 3" xfId="12867" xr:uid="{00000000-0005-0000-0000-00004A320000}"/>
    <cellStyle name="Normal 9 2 2 2 2 2 3" xfId="12868" xr:uid="{00000000-0005-0000-0000-00004B320000}"/>
    <cellStyle name="Normal 9 2 2 2 2 2 3 2" xfId="12869" xr:uid="{00000000-0005-0000-0000-00004C320000}"/>
    <cellStyle name="Normal 9 2 2 2 2 2 3 2 2" xfId="12870" xr:uid="{00000000-0005-0000-0000-00004D320000}"/>
    <cellStyle name="Normal 9 2 2 2 2 2 3 3" xfId="12871" xr:uid="{00000000-0005-0000-0000-00004E320000}"/>
    <cellStyle name="Normal 9 2 2 2 2 2 4" xfId="12872" xr:uid="{00000000-0005-0000-0000-00004F320000}"/>
    <cellStyle name="Normal 9 2 2 2 2 2 4 2" xfId="12873" xr:uid="{00000000-0005-0000-0000-000050320000}"/>
    <cellStyle name="Normal 9 2 2 2 2 2 5" xfId="12874" xr:uid="{00000000-0005-0000-0000-000051320000}"/>
    <cellStyle name="Normal 9 2 2 2 2 3" xfId="12875" xr:uid="{00000000-0005-0000-0000-000052320000}"/>
    <cellStyle name="Normal 9 2 2 2 2 3 2" xfId="12876" xr:uid="{00000000-0005-0000-0000-000053320000}"/>
    <cellStyle name="Normal 9 2 2 2 2 3 2 2" xfId="12877" xr:uid="{00000000-0005-0000-0000-000054320000}"/>
    <cellStyle name="Normal 9 2 2 2 2 3 3" xfId="12878" xr:uid="{00000000-0005-0000-0000-000055320000}"/>
    <cellStyle name="Normal 9 2 2 2 2 4" xfId="12879" xr:uid="{00000000-0005-0000-0000-000056320000}"/>
    <cellStyle name="Normal 9 2 2 2 2 4 2" xfId="12880" xr:uid="{00000000-0005-0000-0000-000057320000}"/>
    <cellStyle name="Normal 9 2 2 2 2 4 2 2" xfId="12881" xr:uid="{00000000-0005-0000-0000-000058320000}"/>
    <cellStyle name="Normal 9 2 2 2 2 4 3" xfId="12882" xr:uid="{00000000-0005-0000-0000-000059320000}"/>
    <cellStyle name="Normal 9 2 2 2 2 5" xfId="12883" xr:uid="{00000000-0005-0000-0000-00005A320000}"/>
    <cellStyle name="Normal 9 2 2 2 2 5 2" xfId="12884" xr:uid="{00000000-0005-0000-0000-00005B320000}"/>
    <cellStyle name="Normal 9 2 2 2 2 6" xfId="12885" xr:uid="{00000000-0005-0000-0000-00005C320000}"/>
    <cellStyle name="Normal 9 2 2 2 3" xfId="12886" xr:uid="{00000000-0005-0000-0000-00005D320000}"/>
    <cellStyle name="Normal 9 2 2 2 3 2" xfId="12887" xr:uid="{00000000-0005-0000-0000-00005E320000}"/>
    <cellStyle name="Normal 9 2 2 2 3 2 2" xfId="12888" xr:uid="{00000000-0005-0000-0000-00005F320000}"/>
    <cellStyle name="Normal 9 2 2 2 3 2 2 2" xfId="12889" xr:uid="{00000000-0005-0000-0000-000060320000}"/>
    <cellStyle name="Normal 9 2 2 2 3 2 3" xfId="12890" xr:uid="{00000000-0005-0000-0000-000061320000}"/>
    <cellStyle name="Normal 9 2 2 2 3 3" xfId="12891" xr:uid="{00000000-0005-0000-0000-000062320000}"/>
    <cellStyle name="Normal 9 2 2 2 3 3 2" xfId="12892" xr:uid="{00000000-0005-0000-0000-000063320000}"/>
    <cellStyle name="Normal 9 2 2 2 3 3 2 2" xfId="12893" xr:uid="{00000000-0005-0000-0000-000064320000}"/>
    <cellStyle name="Normal 9 2 2 2 3 3 3" xfId="12894" xr:uid="{00000000-0005-0000-0000-000065320000}"/>
    <cellStyle name="Normal 9 2 2 2 3 4" xfId="12895" xr:uid="{00000000-0005-0000-0000-000066320000}"/>
    <cellStyle name="Normal 9 2 2 2 3 4 2" xfId="12896" xr:uid="{00000000-0005-0000-0000-000067320000}"/>
    <cellStyle name="Normal 9 2 2 2 3 5" xfId="12897" xr:uid="{00000000-0005-0000-0000-000068320000}"/>
    <cellStyle name="Normal 9 2 2 2 4" xfId="12898" xr:uid="{00000000-0005-0000-0000-000069320000}"/>
    <cellStyle name="Normal 9 2 2 2 4 2" xfId="12899" xr:uid="{00000000-0005-0000-0000-00006A320000}"/>
    <cellStyle name="Normal 9 2 2 2 4 2 2" xfId="12900" xr:uid="{00000000-0005-0000-0000-00006B320000}"/>
    <cellStyle name="Normal 9 2 2 2 4 3" xfId="12901" xr:uid="{00000000-0005-0000-0000-00006C320000}"/>
    <cellStyle name="Normal 9 2 2 2 5" xfId="12902" xr:uid="{00000000-0005-0000-0000-00006D320000}"/>
    <cellStyle name="Normal 9 2 2 2 5 2" xfId="12903" xr:uid="{00000000-0005-0000-0000-00006E320000}"/>
    <cellStyle name="Normal 9 2 2 2 5 2 2" xfId="12904" xr:uid="{00000000-0005-0000-0000-00006F320000}"/>
    <cellStyle name="Normal 9 2 2 2 5 3" xfId="12905" xr:uid="{00000000-0005-0000-0000-000070320000}"/>
    <cellStyle name="Normal 9 2 2 2 6" xfId="12906" xr:uid="{00000000-0005-0000-0000-000071320000}"/>
    <cellStyle name="Normal 9 2 2 2 6 2" xfId="12907" xr:uid="{00000000-0005-0000-0000-000072320000}"/>
    <cellStyle name="Normal 9 2 2 2 7" xfId="12908" xr:uid="{00000000-0005-0000-0000-000073320000}"/>
    <cellStyle name="Normal 9 2 2 3" xfId="12909" xr:uid="{00000000-0005-0000-0000-000074320000}"/>
    <cellStyle name="Normal 9 2 2 3 2" xfId="12910" xr:uid="{00000000-0005-0000-0000-000075320000}"/>
    <cellStyle name="Normal 9 2 2 3 2 2" xfId="12911" xr:uid="{00000000-0005-0000-0000-000076320000}"/>
    <cellStyle name="Normal 9 2 2 3 2 2 2" xfId="12912" xr:uid="{00000000-0005-0000-0000-000077320000}"/>
    <cellStyle name="Normal 9 2 2 3 2 2 2 2" xfId="12913" xr:uid="{00000000-0005-0000-0000-000078320000}"/>
    <cellStyle name="Normal 9 2 2 3 2 2 3" xfId="12914" xr:uid="{00000000-0005-0000-0000-000079320000}"/>
    <cellStyle name="Normal 9 2 2 3 2 3" xfId="12915" xr:uid="{00000000-0005-0000-0000-00007A320000}"/>
    <cellStyle name="Normal 9 2 2 3 2 3 2" xfId="12916" xr:uid="{00000000-0005-0000-0000-00007B320000}"/>
    <cellStyle name="Normal 9 2 2 3 2 3 2 2" xfId="12917" xr:uid="{00000000-0005-0000-0000-00007C320000}"/>
    <cellStyle name="Normal 9 2 2 3 2 3 3" xfId="12918" xr:uid="{00000000-0005-0000-0000-00007D320000}"/>
    <cellStyle name="Normal 9 2 2 3 2 4" xfId="12919" xr:uid="{00000000-0005-0000-0000-00007E320000}"/>
    <cellStyle name="Normal 9 2 2 3 2 4 2" xfId="12920" xr:uid="{00000000-0005-0000-0000-00007F320000}"/>
    <cellStyle name="Normal 9 2 2 3 2 5" xfId="12921" xr:uid="{00000000-0005-0000-0000-000080320000}"/>
    <cellStyle name="Normal 9 2 2 3 3" xfId="12922" xr:uid="{00000000-0005-0000-0000-000081320000}"/>
    <cellStyle name="Normal 9 2 2 3 3 2" xfId="12923" xr:uid="{00000000-0005-0000-0000-000082320000}"/>
    <cellStyle name="Normal 9 2 2 3 3 2 2" xfId="12924" xr:uid="{00000000-0005-0000-0000-000083320000}"/>
    <cellStyle name="Normal 9 2 2 3 3 3" xfId="12925" xr:uid="{00000000-0005-0000-0000-000084320000}"/>
    <cellStyle name="Normal 9 2 2 3 4" xfId="12926" xr:uid="{00000000-0005-0000-0000-000085320000}"/>
    <cellStyle name="Normal 9 2 2 3 4 2" xfId="12927" xr:uid="{00000000-0005-0000-0000-000086320000}"/>
    <cellStyle name="Normal 9 2 2 3 4 2 2" xfId="12928" xr:uid="{00000000-0005-0000-0000-000087320000}"/>
    <cellStyle name="Normal 9 2 2 3 4 3" xfId="12929" xr:uid="{00000000-0005-0000-0000-000088320000}"/>
    <cellStyle name="Normal 9 2 2 3 5" xfId="12930" xr:uid="{00000000-0005-0000-0000-000089320000}"/>
    <cellStyle name="Normal 9 2 2 3 5 2" xfId="12931" xr:uid="{00000000-0005-0000-0000-00008A320000}"/>
    <cellStyle name="Normal 9 2 2 3 6" xfId="12932" xr:uid="{00000000-0005-0000-0000-00008B320000}"/>
    <cellStyle name="Normal 9 2 2 4" xfId="12933" xr:uid="{00000000-0005-0000-0000-00008C320000}"/>
    <cellStyle name="Normal 9 2 2 4 2" xfId="12934" xr:uid="{00000000-0005-0000-0000-00008D320000}"/>
    <cellStyle name="Normal 9 2 2 4 2 2" xfId="12935" xr:uid="{00000000-0005-0000-0000-00008E320000}"/>
    <cellStyle name="Normal 9 2 2 4 2 2 2" xfId="12936" xr:uid="{00000000-0005-0000-0000-00008F320000}"/>
    <cellStyle name="Normal 9 2 2 4 2 3" xfId="12937" xr:uid="{00000000-0005-0000-0000-000090320000}"/>
    <cellStyle name="Normal 9 2 2 4 3" xfId="12938" xr:uid="{00000000-0005-0000-0000-000091320000}"/>
    <cellStyle name="Normal 9 2 2 4 3 2" xfId="12939" xr:uid="{00000000-0005-0000-0000-000092320000}"/>
    <cellStyle name="Normal 9 2 2 4 3 2 2" xfId="12940" xr:uid="{00000000-0005-0000-0000-000093320000}"/>
    <cellStyle name="Normal 9 2 2 4 3 3" xfId="12941" xr:uid="{00000000-0005-0000-0000-000094320000}"/>
    <cellStyle name="Normal 9 2 2 4 4" xfId="12942" xr:uid="{00000000-0005-0000-0000-000095320000}"/>
    <cellStyle name="Normal 9 2 2 4 4 2" xfId="12943" xr:uid="{00000000-0005-0000-0000-000096320000}"/>
    <cellStyle name="Normal 9 2 2 4 5" xfId="12944" xr:uid="{00000000-0005-0000-0000-000097320000}"/>
    <cellStyle name="Normal 9 2 2 5" xfId="12945" xr:uid="{00000000-0005-0000-0000-000098320000}"/>
    <cellStyle name="Normal 9 2 2 5 2" xfId="12946" xr:uid="{00000000-0005-0000-0000-000099320000}"/>
    <cellStyle name="Normal 9 2 2 5 2 2" xfId="12947" xr:uid="{00000000-0005-0000-0000-00009A320000}"/>
    <cellStyle name="Normal 9 2 2 5 3" xfId="12948" xr:uid="{00000000-0005-0000-0000-00009B320000}"/>
    <cellStyle name="Normal 9 2 2 6" xfId="12949" xr:uid="{00000000-0005-0000-0000-00009C320000}"/>
    <cellStyle name="Normal 9 2 2 6 2" xfId="12950" xr:uid="{00000000-0005-0000-0000-00009D320000}"/>
    <cellStyle name="Normal 9 2 2 6 2 2" xfId="12951" xr:uid="{00000000-0005-0000-0000-00009E320000}"/>
    <cellStyle name="Normal 9 2 2 6 3" xfId="12952" xr:uid="{00000000-0005-0000-0000-00009F320000}"/>
    <cellStyle name="Normal 9 2 2 7" xfId="12953" xr:uid="{00000000-0005-0000-0000-0000A0320000}"/>
    <cellStyle name="Normal 9 2 2 7 2" xfId="12954" xr:uid="{00000000-0005-0000-0000-0000A1320000}"/>
    <cellStyle name="Normal 9 2 2 8" xfId="12955" xr:uid="{00000000-0005-0000-0000-0000A2320000}"/>
    <cellStyle name="Normal 9 2 2 9" xfId="12956" xr:uid="{00000000-0005-0000-0000-0000A3320000}"/>
    <cellStyle name="Normal 9 2 3" xfId="12957" xr:uid="{00000000-0005-0000-0000-0000A4320000}"/>
    <cellStyle name="Normal 9 2 3 2" xfId="12958" xr:uid="{00000000-0005-0000-0000-0000A5320000}"/>
    <cellStyle name="Normal 9 2 3 2 2" xfId="12959" xr:uid="{00000000-0005-0000-0000-0000A6320000}"/>
    <cellStyle name="Normal 9 2 3 2 2 2" xfId="12960" xr:uid="{00000000-0005-0000-0000-0000A7320000}"/>
    <cellStyle name="Normal 9 2 3 2 2 2 2" xfId="12961" xr:uid="{00000000-0005-0000-0000-0000A8320000}"/>
    <cellStyle name="Normal 9 2 3 2 2 2 2 2" xfId="12962" xr:uid="{00000000-0005-0000-0000-0000A9320000}"/>
    <cellStyle name="Normal 9 2 3 2 2 2 3" xfId="12963" xr:uid="{00000000-0005-0000-0000-0000AA320000}"/>
    <cellStyle name="Normal 9 2 3 2 2 3" xfId="12964" xr:uid="{00000000-0005-0000-0000-0000AB320000}"/>
    <cellStyle name="Normal 9 2 3 2 2 3 2" xfId="12965" xr:uid="{00000000-0005-0000-0000-0000AC320000}"/>
    <cellStyle name="Normal 9 2 3 2 2 3 2 2" xfId="12966" xr:uid="{00000000-0005-0000-0000-0000AD320000}"/>
    <cellStyle name="Normal 9 2 3 2 2 3 3" xfId="12967" xr:uid="{00000000-0005-0000-0000-0000AE320000}"/>
    <cellStyle name="Normal 9 2 3 2 2 4" xfId="12968" xr:uid="{00000000-0005-0000-0000-0000AF320000}"/>
    <cellStyle name="Normal 9 2 3 2 2 4 2" xfId="12969" xr:uid="{00000000-0005-0000-0000-0000B0320000}"/>
    <cellStyle name="Normal 9 2 3 2 2 5" xfId="12970" xr:uid="{00000000-0005-0000-0000-0000B1320000}"/>
    <cellStyle name="Normal 9 2 3 2 3" xfId="12971" xr:uid="{00000000-0005-0000-0000-0000B2320000}"/>
    <cellStyle name="Normal 9 2 3 2 3 2" xfId="12972" xr:uid="{00000000-0005-0000-0000-0000B3320000}"/>
    <cellStyle name="Normal 9 2 3 2 3 2 2" xfId="12973" xr:uid="{00000000-0005-0000-0000-0000B4320000}"/>
    <cellStyle name="Normal 9 2 3 2 3 3" xfId="12974" xr:uid="{00000000-0005-0000-0000-0000B5320000}"/>
    <cellStyle name="Normal 9 2 3 2 4" xfId="12975" xr:uid="{00000000-0005-0000-0000-0000B6320000}"/>
    <cellStyle name="Normal 9 2 3 2 4 2" xfId="12976" xr:uid="{00000000-0005-0000-0000-0000B7320000}"/>
    <cellStyle name="Normal 9 2 3 2 4 2 2" xfId="12977" xr:uid="{00000000-0005-0000-0000-0000B8320000}"/>
    <cellStyle name="Normal 9 2 3 2 4 3" xfId="12978" xr:uid="{00000000-0005-0000-0000-0000B9320000}"/>
    <cellStyle name="Normal 9 2 3 2 5" xfId="12979" xr:uid="{00000000-0005-0000-0000-0000BA320000}"/>
    <cellStyle name="Normal 9 2 3 2 5 2" xfId="12980" xr:uid="{00000000-0005-0000-0000-0000BB320000}"/>
    <cellStyle name="Normal 9 2 3 2 6" xfId="12981" xr:uid="{00000000-0005-0000-0000-0000BC320000}"/>
    <cellStyle name="Normal 9 2 3 3" xfId="12982" xr:uid="{00000000-0005-0000-0000-0000BD320000}"/>
    <cellStyle name="Normal 9 2 3 3 2" xfId="12983" xr:uid="{00000000-0005-0000-0000-0000BE320000}"/>
    <cellStyle name="Normal 9 2 3 3 2 2" xfId="12984" xr:uid="{00000000-0005-0000-0000-0000BF320000}"/>
    <cellStyle name="Normal 9 2 3 3 2 2 2" xfId="12985" xr:uid="{00000000-0005-0000-0000-0000C0320000}"/>
    <cellStyle name="Normal 9 2 3 3 2 3" xfId="12986" xr:uid="{00000000-0005-0000-0000-0000C1320000}"/>
    <cellStyle name="Normal 9 2 3 3 3" xfId="12987" xr:uid="{00000000-0005-0000-0000-0000C2320000}"/>
    <cellStyle name="Normal 9 2 3 3 3 2" xfId="12988" xr:uid="{00000000-0005-0000-0000-0000C3320000}"/>
    <cellStyle name="Normal 9 2 3 3 3 2 2" xfId="12989" xr:uid="{00000000-0005-0000-0000-0000C4320000}"/>
    <cellStyle name="Normal 9 2 3 3 3 3" xfId="12990" xr:uid="{00000000-0005-0000-0000-0000C5320000}"/>
    <cellStyle name="Normal 9 2 3 3 4" xfId="12991" xr:uid="{00000000-0005-0000-0000-0000C6320000}"/>
    <cellStyle name="Normal 9 2 3 3 4 2" xfId="12992" xr:uid="{00000000-0005-0000-0000-0000C7320000}"/>
    <cellStyle name="Normal 9 2 3 3 5" xfId="12993" xr:uid="{00000000-0005-0000-0000-0000C8320000}"/>
    <cellStyle name="Normal 9 2 3 4" xfId="12994" xr:uid="{00000000-0005-0000-0000-0000C9320000}"/>
    <cellStyle name="Normal 9 2 3 4 2" xfId="12995" xr:uid="{00000000-0005-0000-0000-0000CA320000}"/>
    <cellStyle name="Normal 9 2 3 4 2 2" xfId="12996" xr:uid="{00000000-0005-0000-0000-0000CB320000}"/>
    <cellStyle name="Normal 9 2 3 4 3" xfId="12997" xr:uid="{00000000-0005-0000-0000-0000CC320000}"/>
    <cellStyle name="Normal 9 2 3 4 3 2" xfId="12998" xr:uid="{00000000-0005-0000-0000-0000CD320000}"/>
    <cellStyle name="Normal 9 2 3 4 4" xfId="12999" xr:uid="{00000000-0005-0000-0000-0000CE320000}"/>
    <cellStyle name="Normal 9 2 3 5" xfId="13000" xr:uid="{00000000-0005-0000-0000-0000CF320000}"/>
    <cellStyle name="Normal 9 2 3 5 2" xfId="13001" xr:uid="{00000000-0005-0000-0000-0000D0320000}"/>
    <cellStyle name="Normal 9 2 3 5 2 2" xfId="13002" xr:uid="{00000000-0005-0000-0000-0000D1320000}"/>
    <cellStyle name="Normal 9 2 3 5 3" xfId="13003" xr:uid="{00000000-0005-0000-0000-0000D2320000}"/>
    <cellStyle name="Normal 9 2 3 6" xfId="13004" xr:uid="{00000000-0005-0000-0000-0000D3320000}"/>
    <cellStyle name="Normal 9 2 3 6 2" xfId="13005" xr:uid="{00000000-0005-0000-0000-0000D4320000}"/>
    <cellStyle name="Normal 9 2 3 7" xfId="13006" xr:uid="{00000000-0005-0000-0000-0000D5320000}"/>
    <cellStyle name="Normal 9 2 4" xfId="13007" xr:uid="{00000000-0005-0000-0000-0000D6320000}"/>
    <cellStyle name="Normal 9 2 4 2" xfId="13008" xr:uid="{00000000-0005-0000-0000-0000D7320000}"/>
    <cellStyle name="Normal 9 2 4 2 2" xfId="13009" xr:uid="{00000000-0005-0000-0000-0000D8320000}"/>
    <cellStyle name="Normal 9 2 4 2 2 2" xfId="13010" xr:uid="{00000000-0005-0000-0000-0000D9320000}"/>
    <cellStyle name="Normal 9 2 4 2 2 2 2" xfId="13011" xr:uid="{00000000-0005-0000-0000-0000DA320000}"/>
    <cellStyle name="Normal 9 2 4 2 2 3" xfId="13012" xr:uid="{00000000-0005-0000-0000-0000DB320000}"/>
    <cellStyle name="Normal 9 2 4 2 3" xfId="13013" xr:uid="{00000000-0005-0000-0000-0000DC320000}"/>
    <cellStyle name="Normal 9 2 4 2 3 2" xfId="13014" xr:uid="{00000000-0005-0000-0000-0000DD320000}"/>
    <cellStyle name="Normal 9 2 4 2 3 2 2" xfId="13015" xr:uid="{00000000-0005-0000-0000-0000DE320000}"/>
    <cellStyle name="Normal 9 2 4 2 3 3" xfId="13016" xr:uid="{00000000-0005-0000-0000-0000DF320000}"/>
    <cellStyle name="Normal 9 2 4 2 4" xfId="13017" xr:uid="{00000000-0005-0000-0000-0000E0320000}"/>
    <cellStyle name="Normal 9 2 4 2 4 2" xfId="13018" xr:uid="{00000000-0005-0000-0000-0000E1320000}"/>
    <cellStyle name="Normal 9 2 4 2 5" xfId="13019" xr:uid="{00000000-0005-0000-0000-0000E2320000}"/>
    <cellStyle name="Normal 9 2 4 2 5 2" xfId="13020" xr:uid="{00000000-0005-0000-0000-0000E3320000}"/>
    <cellStyle name="Normal 9 2 4 2 6" xfId="13021" xr:uid="{00000000-0005-0000-0000-0000E4320000}"/>
    <cellStyle name="Normal 9 2 4 3" xfId="13022" xr:uid="{00000000-0005-0000-0000-0000E5320000}"/>
    <cellStyle name="Normal 9 2 4 3 2" xfId="13023" xr:uid="{00000000-0005-0000-0000-0000E6320000}"/>
    <cellStyle name="Normal 9 2 4 3 2 2" xfId="13024" xr:uid="{00000000-0005-0000-0000-0000E7320000}"/>
    <cellStyle name="Normal 9 2 4 3 3" xfId="13025" xr:uid="{00000000-0005-0000-0000-0000E8320000}"/>
    <cellStyle name="Normal 9 2 4 3 3 2" xfId="13026" xr:uid="{00000000-0005-0000-0000-0000E9320000}"/>
    <cellStyle name="Normal 9 2 4 3 4" xfId="13027" xr:uid="{00000000-0005-0000-0000-0000EA320000}"/>
    <cellStyle name="Normal 9 2 4 4" xfId="13028" xr:uid="{00000000-0005-0000-0000-0000EB320000}"/>
    <cellStyle name="Normal 9 2 4 4 2" xfId="13029" xr:uid="{00000000-0005-0000-0000-0000EC320000}"/>
    <cellStyle name="Normal 9 2 4 4 2 2" xfId="13030" xr:uid="{00000000-0005-0000-0000-0000ED320000}"/>
    <cellStyle name="Normal 9 2 4 4 3" xfId="13031" xr:uid="{00000000-0005-0000-0000-0000EE320000}"/>
    <cellStyle name="Normal 9 2 4 4 3 2" xfId="13032" xr:uid="{00000000-0005-0000-0000-0000EF320000}"/>
    <cellStyle name="Normal 9 2 4 4 4" xfId="13033" xr:uid="{00000000-0005-0000-0000-0000F0320000}"/>
    <cellStyle name="Normal 9 2 4 5" xfId="13034" xr:uid="{00000000-0005-0000-0000-0000F1320000}"/>
    <cellStyle name="Normal 9 2 4 5 2" xfId="13035" xr:uid="{00000000-0005-0000-0000-0000F2320000}"/>
    <cellStyle name="Normal 9 2 4 6" xfId="13036" xr:uid="{00000000-0005-0000-0000-0000F3320000}"/>
    <cellStyle name="Normal 9 2 4 6 2" xfId="13037" xr:uid="{00000000-0005-0000-0000-0000F4320000}"/>
    <cellStyle name="Normal 9 2 4 7" xfId="13038" xr:uid="{00000000-0005-0000-0000-0000F5320000}"/>
    <cellStyle name="Normal 9 2 5" xfId="13039" xr:uid="{00000000-0005-0000-0000-0000F6320000}"/>
    <cellStyle name="Normal 9 2 5 10" xfId="13040" xr:uid="{00000000-0005-0000-0000-0000F7320000}"/>
    <cellStyle name="Normal 9 2 5 2" xfId="13041" xr:uid="{00000000-0005-0000-0000-0000F8320000}"/>
    <cellStyle name="Normal 9 2 5 2 2" xfId="13042" xr:uid="{00000000-0005-0000-0000-0000F9320000}"/>
    <cellStyle name="Normal 9 2 5 2 2 2" xfId="13043" xr:uid="{00000000-0005-0000-0000-0000FA320000}"/>
    <cellStyle name="Normal 9 2 5 2 2 2 2" xfId="13044" xr:uid="{00000000-0005-0000-0000-0000FB320000}"/>
    <cellStyle name="Normal 9 2 5 2 2 3" xfId="13045" xr:uid="{00000000-0005-0000-0000-0000FC320000}"/>
    <cellStyle name="Normal 9 2 5 2 2 3 2" xfId="13046" xr:uid="{00000000-0005-0000-0000-0000FD320000}"/>
    <cellStyle name="Normal 9 2 5 2 2 4" xfId="13047" xr:uid="{00000000-0005-0000-0000-0000FE320000}"/>
    <cellStyle name="Normal 9 2 5 2 2 4 2" xfId="13048" xr:uid="{00000000-0005-0000-0000-0000FF320000}"/>
    <cellStyle name="Normal 9 2 5 2 2 5" xfId="13049" xr:uid="{00000000-0005-0000-0000-000000330000}"/>
    <cellStyle name="Normal 9 2 5 2 2 5 2" xfId="13050" xr:uid="{00000000-0005-0000-0000-000001330000}"/>
    <cellStyle name="Normal 9 2 5 2 2 6" xfId="13051" xr:uid="{00000000-0005-0000-0000-000002330000}"/>
    <cellStyle name="Normal 9 2 5 2 3" xfId="13052" xr:uid="{00000000-0005-0000-0000-000003330000}"/>
    <cellStyle name="Normal 9 2 5 2 3 2" xfId="13053" xr:uid="{00000000-0005-0000-0000-000004330000}"/>
    <cellStyle name="Normal 9 2 5 2 3 2 2" xfId="13054" xr:uid="{00000000-0005-0000-0000-000005330000}"/>
    <cellStyle name="Normal 9 2 5 2 3 3" xfId="13055" xr:uid="{00000000-0005-0000-0000-000006330000}"/>
    <cellStyle name="Normal 9 2 5 2 3 3 2" xfId="13056" xr:uid="{00000000-0005-0000-0000-000007330000}"/>
    <cellStyle name="Normal 9 2 5 2 3 4" xfId="13057" xr:uid="{00000000-0005-0000-0000-000008330000}"/>
    <cellStyle name="Normal 9 2 5 2 4" xfId="13058" xr:uid="{00000000-0005-0000-0000-000009330000}"/>
    <cellStyle name="Normal 9 2 5 2 4 2" xfId="13059" xr:uid="{00000000-0005-0000-0000-00000A330000}"/>
    <cellStyle name="Normal 9 2 5 2 4 2 2" xfId="13060" xr:uid="{00000000-0005-0000-0000-00000B330000}"/>
    <cellStyle name="Normal 9 2 5 2 4 3" xfId="13061" xr:uid="{00000000-0005-0000-0000-00000C330000}"/>
    <cellStyle name="Normal 9 2 5 2 4 3 2" xfId="13062" xr:uid="{00000000-0005-0000-0000-00000D330000}"/>
    <cellStyle name="Normal 9 2 5 2 4 4" xfId="13063" xr:uid="{00000000-0005-0000-0000-00000E330000}"/>
    <cellStyle name="Normal 9 2 5 2 5" xfId="13064" xr:uid="{00000000-0005-0000-0000-00000F330000}"/>
    <cellStyle name="Normal 9 2 5 2 5 2" xfId="13065" xr:uid="{00000000-0005-0000-0000-000010330000}"/>
    <cellStyle name="Normal 9 2 5 2 6" xfId="13066" xr:uid="{00000000-0005-0000-0000-000011330000}"/>
    <cellStyle name="Normal 9 2 5 2 6 2" xfId="13067" xr:uid="{00000000-0005-0000-0000-000012330000}"/>
    <cellStyle name="Normal 9 2 5 2 7" xfId="13068" xr:uid="{00000000-0005-0000-0000-000013330000}"/>
    <cellStyle name="Normal 9 2 5 3" xfId="13069" xr:uid="{00000000-0005-0000-0000-000014330000}"/>
    <cellStyle name="Normal 9 2 5 3 2" xfId="13070" xr:uid="{00000000-0005-0000-0000-000015330000}"/>
    <cellStyle name="Normal 9 2 5 3 2 2" xfId="13071" xr:uid="{00000000-0005-0000-0000-000016330000}"/>
    <cellStyle name="Normal 9 2 5 3 2 2 2" xfId="13072" xr:uid="{00000000-0005-0000-0000-000017330000}"/>
    <cellStyle name="Normal 9 2 5 3 2 2 2 2" xfId="13073" xr:uid="{00000000-0005-0000-0000-000018330000}"/>
    <cellStyle name="Normal 9 2 5 3 2 2 3" xfId="13074" xr:uid="{00000000-0005-0000-0000-000019330000}"/>
    <cellStyle name="Normal 9 2 5 3 2 2 3 2" xfId="13075" xr:uid="{00000000-0005-0000-0000-00001A330000}"/>
    <cellStyle name="Normal 9 2 5 3 2 2 4" xfId="13076" xr:uid="{00000000-0005-0000-0000-00001B330000}"/>
    <cellStyle name="Normal 9 2 5 3 2 3" xfId="13077" xr:uid="{00000000-0005-0000-0000-00001C330000}"/>
    <cellStyle name="Normal 9 2 5 3 2 3 2" xfId="13078" xr:uid="{00000000-0005-0000-0000-00001D330000}"/>
    <cellStyle name="Normal 9 2 5 3 2 3 2 2" xfId="13079" xr:uid="{00000000-0005-0000-0000-00001E330000}"/>
    <cellStyle name="Normal 9 2 5 3 2 3 3" xfId="13080" xr:uid="{00000000-0005-0000-0000-00001F330000}"/>
    <cellStyle name="Normal 9 2 5 3 2 3 3 2" xfId="13081" xr:uid="{00000000-0005-0000-0000-000020330000}"/>
    <cellStyle name="Normal 9 2 5 3 2 3 4" xfId="13082" xr:uid="{00000000-0005-0000-0000-000021330000}"/>
    <cellStyle name="Normal 9 2 5 3 2 4" xfId="13083" xr:uid="{00000000-0005-0000-0000-000022330000}"/>
    <cellStyle name="Normal 9 2 5 3 2 4 2" xfId="13084" xr:uid="{00000000-0005-0000-0000-000023330000}"/>
    <cellStyle name="Normal 9 2 5 3 2 5" xfId="13085" xr:uid="{00000000-0005-0000-0000-000024330000}"/>
    <cellStyle name="Normal 9 2 5 3 2 5 2" xfId="13086" xr:uid="{00000000-0005-0000-0000-000025330000}"/>
    <cellStyle name="Normal 9 2 5 3 2 6" xfId="13087" xr:uid="{00000000-0005-0000-0000-000026330000}"/>
    <cellStyle name="Normal 9 2 5 3 3" xfId="13088" xr:uid="{00000000-0005-0000-0000-000027330000}"/>
    <cellStyle name="Normal 9 2 5 3 3 2" xfId="13089" xr:uid="{00000000-0005-0000-0000-000028330000}"/>
    <cellStyle name="Normal 9 2 5 3 3 2 2" xfId="13090" xr:uid="{00000000-0005-0000-0000-000029330000}"/>
    <cellStyle name="Normal 9 2 5 3 3 3" xfId="13091" xr:uid="{00000000-0005-0000-0000-00002A330000}"/>
    <cellStyle name="Normal 9 2 5 3 3 3 2" xfId="13092" xr:uid="{00000000-0005-0000-0000-00002B330000}"/>
    <cellStyle name="Normal 9 2 5 3 3 4" xfId="13093" xr:uid="{00000000-0005-0000-0000-00002C330000}"/>
    <cellStyle name="Normal 9 2 5 3 3 4 2" xfId="13094" xr:uid="{00000000-0005-0000-0000-00002D330000}"/>
    <cellStyle name="Normal 9 2 5 3 3 5" xfId="13095" xr:uid="{00000000-0005-0000-0000-00002E330000}"/>
    <cellStyle name="Normal 9 2 5 3 3 5 2" xfId="13096" xr:uid="{00000000-0005-0000-0000-00002F330000}"/>
    <cellStyle name="Normal 9 2 5 3 3 6" xfId="13097" xr:uid="{00000000-0005-0000-0000-000030330000}"/>
    <cellStyle name="Normal 9 2 5 3 4" xfId="13098" xr:uid="{00000000-0005-0000-0000-000031330000}"/>
    <cellStyle name="Normal 9 2 5 3 4 2" xfId="13099" xr:uid="{00000000-0005-0000-0000-000032330000}"/>
    <cellStyle name="Normal 9 2 5 3 4 2 2" xfId="13100" xr:uid="{00000000-0005-0000-0000-000033330000}"/>
    <cellStyle name="Normal 9 2 5 3 4 3" xfId="13101" xr:uid="{00000000-0005-0000-0000-000034330000}"/>
    <cellStyle name="Normal 9 2 5 3 4 3 2" xfId="13102" xr:uid="{00000000-0005-0000-0000-000035330000}"/>
    <cellStyle name="Normal 9 2 5 3 4 4" xfId="13103" xr:uid="{00000000-0005-0000-0000-000036330000}"/>
    <cellStyle name="Normal 9 2 5 3 5" xfId="13104" xr:uid="{00000000-0005-0000-0000-000037330000}"/>
    <cellStyle name="Normal 9 2 5 3 5 2" xfId="13105" xr:uid="{00000000-0005-0000-0000-000038330000}"/>
    <cellStyle name="Normal 9 2 5 3 5 2 2" xfId="13106" xr:uid="{00000000-0005-0000-0000-000039330000}"/>
    <cellStyle name="Normal 9 2 5 3 5 3" xfId="13107" xr:uid="{00000000-0005-0000-0000-00003A330000}"/>
    <cellStyle name="Normal 9 2 5 3 5 3 2" xfId="13108" xr:uid="{00000000-0005-0000-0000-00003B330000}"/>
    <cellStyle name="Normal 9 2 5 3 5 4" xfId="13109" xr:uid="{00000000-0005-0000-0000-00003C330000}"/>
    <cellStyle name="Normal 9 2 5 3 6" xfId="13110" xr:uid="{00000000-0005-0000-0000-00003D330000}"/>
    <cellStyle name="Normal 9 2 5 3 6 2" xfId="13111" xr:uid="{00000000-0005-0000-0000-00003E330000}"/>
    <cellStyle name="Normal 9 2 5 3 7" xfId="13112" xr:uid="{00000000-0005-0000-0000-00003F330000}"/>
    <cellStyle name="Normal 9 2 5 3 7 2" xfId="13113" xr:uid="{00000000-0005-0000-0000-000040330000}"/>
    <cellStyle name="Normal 9 2 5 3 8" xfId="13114" xr:uid="{00000000-0005-0000-0000-000041330000}"/>
    <cellStyle name="Normal 9 2 5 4" xfId="13115" xr:uid="{00000000-0005-0000-0000-000042330000}"/>
    <cellStyle name="Normal 9 2 5 4 2" xfId="13116" xr:uid="{00000000-0005-0000-0000-000043330000}"/>
    <cellStyle name="Normal 9 2 5 4 2 2" xfId="13117" xr:uid="{00000000-0005-0000-0000-000044330000}"/>
    <cellStyle name="Normal 9 2 5 4 2 2 2" xfId="13118" xr:uid="{00000000-0005-0000-0000-000045330000}"/>
    <cellStyle name="Normal 9 2 5 4 2 3" xfId="13119" xr:uid="{00000000-0005-0000-0000-000046330000}"/>
    <cellStyle name="Normal 9 2 5 4 2 3 2" xfId="13120" xr:uid="{00000000-0005-0000-0000-000047330000}"/>
    <cellStyle name="Normal 9 2 5 4 2 4" xfId="13121" xr:uid="{00000000-0005-0000-0000-000048330000}"/>
    <cellStyle name="Normal 9 2 5 4 3" xfId="13122" xr:uid="{00000000-0005-0000-0000-000049330000}"/>
    <cellStyle name="Normal 9 2 5 4 3 2" xfId="13123" xr:uid="{00000000-0005-0000-0000-00004A330000}"/>
    <cellStyle name="Normal 9 2 5 4 3 2 2" xfId="13124" xr:uid="{00000000-0005-0000-0000-00004B330000}"/>
    <cellStyle name="Normal 9 2 5 4 3 3" xfId="13125" xr:uid="{00000000-0005-0000-0000-00004C330000}"/>
    <cellStyle name="Normal 9 2 5 4 3 3 2" xfId="13126" xr:uid="{00000000-0005-0000-0000-00004D330000}"/>
    <cellStyle name="Normal 9 2 5 4 3 4" xfId="13127" xr:uid="{00000000-0005-0000-0000-00004E330000}"/>
    <cellStyle name="Normal 9 2 5 4 4" xfId="13128" xr:uid="{00000000-0005-0000-0000-00004F330000}"/>
    <cellStyle name="Normal 9 2 5 4 4 2" xfId="13129" xr:uid="{00000000-0005-0000-0000-000050330000}"/>
    <cellStyle name="Normal 9 2 5 4 5" xfId="13130" xr:uid="{00000000-0005-0000-0000-000051330000}"/>
    <cellStyle name="Normal 9 2 5 4 5 2" xfId="13131" xr:uid="{00000000-0005-0000-0000-000052330000}"/>
    <cellStyle name="Normal 9 2 5 4 6" xfId="13132" xr:uid="{00000000-0005-0000-0000-000053330000}"/>
    <cellStyle name="Normal 9 2 5 5" xfId="13133" xr:uid="{00000000-0005-0000-0000-000054330000}"/>
    <cellStyle name="Normal 9 2 5 5 2" xfId="13134" xr:uid="{00000000-0005-0000-0000-000055330000}"/>
    <cellStyle name="Normal 9 2 5 5 2 2" xfId="13135" xr:uid="{00000000-0005-0000-0000-000056330000}"/>
    <cellStyle name="Normal 9 2 5 5 3" xfId="13136" xr:uid="{00000000-0005-0000-0000-000057330000}"/>
    <cellStyle name="Normal 9 2 5 5 3 2" xfId="13137" xr:uid="{00000000-0005-0000-0000-000058330000}"/>
    <cellStyle name="Normal 9 2 5 5 4" xfId="13138" xr:uid="{00000000-0005-0000-0000-000059330000}"/>
    <cellStyle name="Normal 9 2 5 5 4 2" xfId="13139" xr:uid="{00000000-0005-0000-0000-00005A330000}"/>
    <cellStyle name="Normal 9 2 5 5 5" xfId="13140" xr:uid="{00000000-0005-0000-0000-00005B330000}"/>
    <cellStyle name="Normal 9 2 5 5 5 2" xfId="13141" xr:uid="{00000000-0005-0000-0000-00005C330000}"/>
    <cellStyle name="Normal 9 2 5 5 6" xfId="13142" xr:uid="{00000000-0005-0000-0000-00005D330000}"/>
    <cellStyle name="Normal 9 2 5 6" xfId="13143" xr:uid="{00000000-0005-0000-0000-00005E330000}"/>
    <cellStyle name="Normal 9 2 5 6 2" xfId="13144" xr:uid="{00000000-0005-0000-0000-00005F330000}"/>
    <cellStyle name="Normal 9 2 5 6 2 2" xfId="13145" xr:uid="{00000000-0005-0000-0000-000060330000}"/>
    <cellStyle name="Normal 9 2 5 6 3" xfId="13146" xr:uid="{00000000-0005-0000-0000-000061330000}"/>
    <cellStyle name="Normal 9 2 5 6 3 2" xfId="13147" xr:uid="{00000000-0005-0000-0000-000062330000}"/>
    <cellStyle name="Normal 9 2 5 6 4" xfId="13148" xr:uid="{00000000-0005-0000-0000-000063330000}"/>
    <cellStyle name="Normal 9 2 5 7" xfId="13149" xr:uid="{00000000-0005-0000-0000-000064330000}"/>
    <cellStyle name="Normal 9 2 5 7 2" xfId="13150" xr:uid="{00000000-0005-0000-0000-000065330000}"/>
    <cellStyle name="Normal 9 2 5 7 2 2" xfId="13151" xr:uid="{00000000-0005-0000-0000-000066330000}"/>
    <cellStyle name="Normal 9 2 5 7 3" xfId="13152" xr:uid="{00000000-0005-0000-0000-000067330000}"/>
    <cellStyle name="Normal 9 2 5 7 3 2" xfId="13153" xr:uid="{00000000-0005-0000-0000-000068330000}"/>
    <cellStyle name="Normal 9 2 5 7 4" xfId="13154" xr:uid="{00000000-0005-0000-0000-000069330000}"/>
    <cellStyle name="Normal 9 2 5 8" xfId="13155" xr:uid="{00000000-0005-0000-0000-00006A330000}"/>
    <cellStyle name="Normal 9 2 5 8 2" xfId="13156" xr:uid="{00000000-0005-0000-0000-00006B330000}"/>
    <cellStyle name="Normal 9 2 5 9" xfId="13157" xr:uid="{00000000-0005-0000-0000-00006C330000}"/>
    <cellStyle name="Normal 9 2 5 9 2" xfId="13158" xr:uid="{00000000-0005-0000-0000-00006D330000}"/>
    <cellStyle name="Normal 9 2 5_10070" xfId="13159" xr:uid="{00000000-0005-0000-0000-00006E330000}"/>
    <cellStyle name="Normal 9 2 6" xfId="13160" xr:uid="{00000000-0005-0000-0000-00006F330000}"/>
    <cellStyle name="Normal 9 2 6 2" xfId="13161" xr:uid="{00000000-0005-0000-0000-000070330000}"/>
    <cellStyle name="Normal 9 2 6 2 2" xfId="13162" xr:uid="{00000000-0005-0000-0000-000071330000}"/>
    <cellStyle name="Normal 9 2 6 3" xfId="13163" xr:uid="{00000000-0005-0000-0000-000072330000}"/>
    <cellStyle name="Normal 9 2 6 3 2" xfId="13164" xr:uid="{00000000-0005-0000-0000-000073330000}"/>
    <cellStyle name="Normal 9 2 6 4" xfId="13165" xr:uid="{00000000-0005-0000-0000-000074330000}"/>
    <cellStyle name="Normal 9 2 6 4 2" xfId="13166" xr:uid="{00000000-0005-0000-0000-000075330000}"/>
    <cellStyle name="Normal 9 2 6 5" xfId="13167" xr:uid="{00000000-0005-0000-0000-000076330000}"/>
    <cellStyle name="Normal 9 2 6 5 2" xfId="13168" xr:uid="{00000000-0005-0000-0000-000077330000}"/>
    <cellStyle name="Normal 9 2 6 6" xfId="13169" xr:uid="{00000000-0005-0000-0000-000078330000}"/>
    <cellStyle name="Normal 9 2 7" xfId="13170" xr:uid="{00000000-0005-0000-0000-000079330000}"/>
    <cellStyle name="Normal 9 2 7 2" xfId="13171" xr:uid="{00000000-0005-0000-0000-00007A330000}"/>
    <cellStyle name="Normal 9 2 7 2 2" xfId="13172" xr:uid="{00000000-0005-0000-0000-00007B330000}"/>
    <cellStyle name="Normal 9 2 7 3" xfId="13173" xr:uid="{00000000-0005-0000-0000-00007C330000}"/>
    <cellStyle name="Normal 9 2 7 3 2" xfId="13174" xr:uid="{00000000-0005-0000-0000-00007D330000}"/>
    <cellStyle name="Normal 9 2 7 4" xfId="13175" xr:uid="{00000000-0005-0000-0000-00007E330000}"/>
    <cellStyle name="Normal 9 2 8" xfId="13176" xr:uid="{00000000-0005-0000-0000-00007F330000}"/>
    <cellStyle name="Normal 9 2 8 2" xfId="13177" xr:uid="{00000000-0005-0000-0000-000080330000}"/>
    <cellStyle name="Normal 9 2 8 2 2" xfId="13178" xr:uid="{00000000-0005-0000-0000-000081330000}"/>
    <cellStyle name="Normal 9 2 8 3" xfId="13179" xr:uid="{00000000-0005-0000-0000-000082330000}"/>
    <cellStyle name="Normal 9 2 8 3 2" xfId="13180" xr:uid="{00000000-0005-0000-0000-000083330000}"/>
    <cellStyle name="Normal 9 2 8 4" xfId="13181" xr:uid="{00000000-0005-0000-0000-000084330000}"/>
    <cellStyle name="Normal 9 2 9" xfId="13182" xr:uid="{00000000-0005-0000-0000-000085330000}"/>
    <cellStyle name="Normal 9 2 9 2" xfId="13183" xr:uid="{00000000-0005-0000-0000-000086330000}"/>
    <cellStyle name="Normal 9 3" xfId="13184" xr:uid="{00000000-0005-0000-0000-000087330000}"/>
    <cellStyle name="Normal 9 3 2" xfId="13185" xr:uid="{00000000-0005-0000-0000-000088330000}"/>
    <cellStyle name="Normal 9 3 2 2" xfId="13186" xr:uid="{00000000-0005-0000-0000-000089330000}"/>
    <cellStyle name="Normal 9 3 2 2 2" xfId="13187" xr:uid="{00000000-0005-0000-0000-00008A330000}"/>
    <cellStyle name="Normal 9 3 2 2 2 2" xfId="13188" xr:uid="{00000000-0005-0000-0000-00008B330000}"/>
    <cellStyle name="Normal 9 3 2 2 2 2 2" xfId="13189" xr:uid="{00000000-0005-0000-0000-00008C330000}"/>
    <cellStyle name="Normal 9 3 2 2 2 2 2 2" xfId="13190" xr:uid="{00000000-0005-0000-0000-00008D330000}"/>
    <cellStyle name="Normal 9 3 2 2 2 2 3" xfId="13191" xr:uid="{00000000-0005-0000-0000-00008E330000}"/>
    <cellStyle name="Normal 9 3 2 2 2 3" xfId="13192" xr:uid="{00000000-0005-0000-0000-00008F330000}"/>
    <cellStyle name="Normal 9 3 2 2 2 3 2" xfId="13193" xr:uid="{00000000-0005-0000-0000-000090330000}"/>
    <cellStyle name="Normal 9 3 2 2 2 3 2 2" xfId="13194" xr:uid="{00000000-0005-0000-0000-000091330000}"/>
    <cellStyle name="Normal 9 3 2 2 2 3 3" xfId="13195" xr:uid="{00000000-0005-0000-0000-000092330000}"/>
    <cellStyle name="Normal 9 3 2 2 2 4" xfId="13196" xr:uid="{00000000-0005-0000-0000-000093330000}"/>
    <cellStyle name="Normal 9 3 2 2 2 4 2" xfId="13197" xr:uid="{00000000-0005-0000-0000-000094330000}"/>
    <cellStyle name="Normal 9 3 2 2 2 5" xfId="13198" xr:uid="{00000000-0005-0000-0000-000095330000}"/>
    <cellStyle name="Normal 9 3 2 2 3" xfId="13199" xr:uid="{00000000-0005-0000-0000-000096330000}"/>
    <cellStyle name="Normal 9 3 2 2 3 2" xfId="13200" xr:uid="{00000000-0005-0000-0000-000097330000}"/>
    <cellStyle name="Normal 9 3 2 2 3 2 2" xfId="13201" xr:uid="{00000000-0005-0000-0000-000098330000}"/>
    <cellStyle name="Normal 9 3 2 2 3 3" xfId="13202" xr:uid="{00000000-0005-0000-0000-000099330000}"/>
    <cellStyle name="Normal 9 3 2 2 4" xfId="13203" xr:uid="{00000000-0005-0000-0000-00009A330000}"/>
    <cellStyle name="Normal 9 3 2 2 4 2" xfId="13204" xr:uid="{00000000-0005-0000-0000-00009B330000}"/>
    <cellStyle name="Normal 9 3 2 2 4 2 2" xfId="13205" xr:uid="{00000000-0005-0000-0000-00009C330000}"/>
    <cellStyle name="Normal 9 3 2 2 4 3" xfId="13206" xr:uid="{00000000-0005-0000-0000-00009D330000}"/>
    <cellStyle name="Normal 9 3 2 2 5" xfId="13207" xr:uid="{00000000-0005-0000-0000-00009E330000}"/>
    <cellStyle name="Normal 9 3 2 2 5 2" xfId="13208" xr:uid="{00000000-0005-0000-0000-00009F330000}"/>
    <cellStyle name="Normal 9 3 2 2 6" xfId="13209" xr:uid="{00000000-0005-0000-0000-0000A0330000}"/>
    <cellStyle name="Normal 9 3 2 3" xfId="13210" xr:uid="{00000000-0005-0000-0000-0000A1330000}"/>
    <cellStyle name="Normal 9 3 2 3 2" xfId="13211" xr:uid="{00000000-0005-0000-0000-0000A2330000}"/>
    <cellStyle name="Normal 9 3 2 3 2 2" xfId="13212" xr:uid="{00000000-0005-0000-0000-0000A3330000}"/>
    <cellStyle name="Normal 9 3 2 3 2 2 2" xfId="13213" xr:uid="{00000000-0005-0000-0000-0000A4330000}"/>
    <cellStyle name="Normal 9 3 2 3 2 3" xfId="13214" xr:uid="{00000000-0005-0000-0000-0000A5330000}"/>
    <cellStyle name="Normal 9 3 2 3 3" xfId="13215" xr:uid="{00000000-0005-0000-0000-0000A6330000}"/>
    <cellStyle name="Normal 9 3 2 3 3 2" xfId="13216" xr:uid="{00000000-0005-0000-0000-0000A7330000}"/>
    <cellStyle name="Normal 9 3 2 3 3 2 2" xfId="13217" xr:uid="{00000000-0005-0000-0000-0000A8330000}"/>
    <cellStyle name="Normal 9 3 2 3 3 3" xfId="13218" xr:uid="{00000000-0005-0000-0000-0000A9330000}"/>
    <cellStyle name="Normal 9 3 2 3 4" xfId="13219" xr:uid="{00000000-0005-0000-0000-0000AA330000}"/>
    <cellStyle name="Normal 9 3 2 3 4 2" xfId="13220" xr:uid="{00000000-0005-0000-0000-0000AB330000}"/>
    <cellStyle name="Normal 9 3 2 3 5" xfId="13221" xr:uid="{00000000-0005-0000-0000-0000AC330000}"/>
    <cellStyle name="Normal 9 3 2 4" xfId="13222" xr:uid="{00000000-0005-0000-0000-0000AD330000}"/>
    <cellStyle name="Normal 9 3 2 4 2" xfId="13223" xr:uid="{00000000-0005-0000-0000-0000AE330000}"/>
    <cellStyle name="Normal 9 3 2 4 2 2" xfId="13224" xr:uid="{00000000-0005-0000-0000-0000AF330000}"/>
    <cellStyle name="Normal 9 3 2 4 3" xfId="13225" xr:uid="{00000000-0005-0000-0000-0000B0330000}"/>
    <cellStyle name="Normal 9 3 2 5" xfId="13226" xr:uid="{00000000-0005-0000-0000-0000B1330000}"/>
    <cellStyle name="Normal 9 3 2 5 2" xfId="13227" xr:uid="{00000000-0005-0000-0000-0000B2330000}"/>
    <cellStyle name="Normal 9 3 2 5 2 2" xfId="13228" xr:uid="{00000000-0005-0000-0000-0000B3330000}"/>
    <cellStyle name="Normal 9 3 2 5 3" xfId="13229" xr:uid="{00000000-0005-0000-0000-0000B4330000}"/>
    <cellStyle name="Normal 9 3 2 6" xfId="13230" xr:uid="{00000000-0005-0000-0000-0000B5330000}"/>
    <cellStyle name="Normal 9 3 2 6 2" xfId="13231" xr:uid="{00000000-0005-0000-0000-0000B6330000}"/>
    <cellStyle name="Normal 9 3 2 7" xfId="13232" xr:uid="{00000000-0005-0000-0000-0000B7330000}"/>
    <cellStyle name="Normal 9 3 3" xfId="13233" xr:uid="{00000000-0005-0000-0000-0000B8330000}"/>
    <cellStyle name="Normal 9 3 3 2" xfId="13234" xr:uid="{00000000-0005-0000-0000-0000B9330000}"/>
    <cellStyle name="Normal 9 3 3 2 2" xfId="13235" xr:uid="{00000000-0005-0000-0000-0000BA330000}"/>
    <cellStyle name="Normal 9 3 3 2 2 2" xfId="13236" xr:uid="{00000000-0005-0000-0000-0000BB330000}"/>
    <cellStyle name="Normal 9 3 3 2 2 2 2" xfId="13237" xr:uid="{00000000-0005-0000-0000-0000BC330000}"/>
    <cellStyle name="Normal 9 3 3 2 2 3" xfId="13238" xr:uid="{00000000-0005-0000-0000-0000BD330000}"/>
    <cellStyle name="Normal 9 3 3 2 3" xfId="13239" xr:uid="{00000000-0005-0000-0000-0000BE330000}"/>
    <cellStyle name="Normal 9 3 3 2 3 2" xfId="13240" xr:uid="{00000000-0005-0000-0000-0000BF330000}"/>
    <cellStyle name="Normal 9 3 3 2 3 2 2" xfId="13241" xr:uid="{00000000-0005-0000-0000-0000C0330000}"/>
    <cellStyle name="Normal 9 3 3 2 3 3" xfId="13242" xr:uid="{00000000-0005-0000-0000-0000C1330000}"/>
    <cellStyle name="Normal 9 3 3 2 4" xfId="13243" xr:uid="{00000000-0005-0000-0000-0000C2330000}"/>
    <cellStyle name="Normal 9 3 3 2 4 2" xfId="13244" xr:uid="{00000000-0005-0000-0000-0000C3330000}"/>
    <cellStyle name="Normal 9 3 3 2 5" xfId="13245" xr:uid="{00000000-0005-0000-0000-0000C4330000}"/>
    <cellStyle name="Normal 9 3 3 3" xfId="13246" xr:uid="{00000000-0005-0000-0000-0000C5330000}"/>
    <cellStyle name="Normal 9 3 3 3 2" xfId="13247" xr:uid="{00000000-0005-0000-0000-0000C6330000}"/>
    <cellStyle name="Normal 9 3 3 3 2 2" xfId="13248" xr:uid="{00000000-0005-0000-0000-0000C7330000}"/>
    <cellStyle name="Normal 9 3 3 3 3" xfId="13249" xr:uid="{00000000-0005-0000-0000-0000C8330000}"/>
    <cellStyle name="Normal 9 3 3 4" xfId="13250" xr:uid="{00000000-0005-0000-0000-0000C9330000}"/>
    <cellStyle name="Normal 9 3 3 4 2" xfId="13251" xr:uid="{00000000-0005-0000-0000-0000CA330000}"/>
    <cellStyle name="Normal 9 3 3 4 2 2" xfId="13252" xr:uid="{00000000-0005-0000-0000-0000CB330000}"/>
    <cellStyle name="Normal 9 3 3 4 3" xfId="13253" xr:uid="{00000000-0005-0000-0000-0000CC330000}"/>
    <cellStyle name="Normal 9 3 3 5" xfId="13254" xr:uid="{00000000-0005-0000-0000-0000CD330000}"/>
    <cellStyle name="Normal 9 3 3 5 2" xfId="13255" xr:uid="{00000000-0005-0000-0000-0000CE330000}"/>
    <cellStyle name="Normal 9 3 3 6" xfId="13256" xr:uid="{00000000-0005-0000-0000-0000CF330000}"/>
    <cellStyle name="Normal 9 3 4" xfId="13257" xr:uid="{00000000-0005-0000-0000-0000D0330000}"/>
    <cellStyle name="Normal 9 3 4 2" xfId="13258" xr:uid="{00000000-0005-0000-0000-0000D1330000}"/>
    <cellStyle name="Normal 9 3 4 2 2" xfId="13259" xr:uid="{00000000-0005-0000-0000-0000D2330000}"/>
    <cellStyle name="Normal 9 3 4 2 2 2" xfId="13260" xr:uid="{00000000-0005-0000-0000-0000D3330000}"/>
    <cellStyle name="Normal 9 3 4 2 3" xfId="13261" xr:uid="{00000000-0005-0000-0000-0000D4330000}"/>
    <cellStyle name="Normal 9 3 4 3" xfId="13262" xr:uid="{00000000-0005-0000-0000-0000D5330000}"/>
    <cellStyle name="Normal 9 3 4 3 2" xfId="13263" xr:uid="{00000000-0005-0000-0000-0000D6330000}"/>
    <cellStyle name="Normal 9 3 4 3 2 2" xfId="13264" xr:uid="{00000000-0005-0000-0000-0000D7330000}"/>
    <cellStyle name="Normal 9 3 4 3 3" xfId="13265" xr:uid="{00000000-0005-0000-0000-0000D8330000}"/>
    <cellStyle name="Normal 9 3 4 4" xfId="13266" xr:uid="{00000000-0005-0000-0000-0000D9330000}"/>
    <cellStyle name="Normal 9 3 4 4 2" xfId="13267" xr:uid="{00000000-0005-0000-0000-0000DA330000}"/>
    <cellStyle name="Normal 9 3 4 5" xfId="13268" xr:uid="{00000000-0005-0000-0000-0000DB330000}"/>
    <cellStyle name="Normal 9 3 5" xfId="13269" xr:uid="{00000000-0005-0000-0000-0000DC330000}"/>
    <cellStyle name="Normal 9 3 5 2" xfId="13270" xr:uid="{00000000-0005-0000-0000-0000DD330000}"/>
    <cellStyle name="Normal 9 3 5 2 2" xfId="13271" xr:uid="{00000000-0005-0000-0000-0000DE330000}"/>
    <cellStyle name="Normal 9 3 5 3" xfId="13272" xr:uid="{00000000-0005-0000-0000-0000DF330000}"/>
    <cellStyle name="Normal 9 3 6" xfId="13273" xr:uid="{00000000-0005-0000-0000-0000E0330000}"/>
    <cellStyle name="Normal 9 3 6 2" xfId="13274" xr:uid="{00000000-0005-0000-0000-0000E1330000}"/>
    <cellStyle name="Normal 9 3 6 2 2" xfId="13275" xr:uid="{00000000-0005-0000-0000-0000E2330000}"/>
    <cellStyle name="Normal 9 3 6 3" xfId="13276" xr:uid="{00000000-0005-0000-0000-0000E3330000}"/>
    <cellStyle name="Normal 9 3 7" xfId="13277" xr:uid="{00000000-0005-0000-0000-0000E4330000}"/>
    <cellStyle name="Normal 9 3 7 2" xfId="13278" xr:uid="{00000000-0005-0000-0000-0000E5330000}"/>
    <cellStyle name="Normal 9 3 8" xfId="13279" xr:uid="{00000000-0005-0000-0000-0000E6330000}"/>
    <cellStyle name="Normal 9 3 9" xfId="13280" xr:uid="{00000000-0005-0000-0000-0000E7330000}"/>
    <cellStyle name="Normal 9 4" xfId="13281" xr:uid="{00000000-0005-0000-0000-0000E8330000}"/>
    <cellStyle name="Normal 9 4 2" xfId="13282" xr:uid="{00000000-0005-0000-0000-0000E9330000}"/>
    <cellStyle name="Normal 9 4 2 2" xfId="13283" xr:uid="{00000000-0005-0000-0000-0000EA330000}"/>
    <cellStyle name="Normal 9 4 2 2 2" xfId="13284" xr:uid="{00000000-0005-0000-0000-0000EB330000}"/>
    <cellStyle name="Normal 9 4 2 2 2 2" xfId="13285" xr:uid="{00000000-0005-0000-0000-0000EC330000}"/>
    <cellStyle name="Normal 9 4 2 2 2 2 2" xfId="13286" xr:uid="{00000000-0005-0000-0000-0000ED330000}"/>
    <cellStyle name="Normal 9 4 2 2 2 2 2 2" xfId="13287" xr:uid="{00000000-0005-0000-0000-0000EE330000}"/>
    <cellStyle name="Normal 9 4 2 2 2 2 3" xfId="13288" xr:uid="{00000000-0005-0000-0000-0000EF330000}"/>
    <cellStyle name="Normal 9 4 2 2 2 3" xfId="13289" xr:uid="{00000000-0005-0000-0000-0000F0330000}"/>
    <cellStyle name="Normal 9 4 2 2 2 3 2" xfId="13290" xr:uid="{00000000-0005-0000-0000-0000F1330000}"/>
    <cellStyle name="Normal 9 4 2 2 2 3 2 2" xfId="13291" xr:uid="{00000000-0005-0000-0000-0000F2330000}"/>
    <cellStyle name="Normal 9 4 2 2 2 3 3" xfId="13292" xr:uid="{00000000-0005-0000-0000-0000F3330000}"/>
    <cellStyle name="Normal 9 4 2 2 2 4" xfId="13293" xr:uid="{00000000-0005-0000-0000-0000F4330000}"/>
    <cellStyle name="Normal 9 4 2 2 2 4 2" xfId="13294" xr:uid="{00000000-0005-0000-0000-0000F5330000}"/>
    <cellStyle name="Normal 9 4 2 2 2 5" xfId="13295" xr:uid="{00000000-0005-0000-0000-0000F6330000}"/>
    <cellStyle name="Normal 9 4 2 2 3" xfId="13296" xr:uid="{00000000-0005-0000-0000-0000F7330000}"/>
    <cellStyle name="Normal 9 4 2 2 3 2" xfId="13297" xr:uid="{00000000-0005-0000-0000-0000F8330000}"/>
    <cellStyle name="Normal 9 4 2 2 3 2 2" xfId="13298" xr:uid="{00000000-0005-0000-0000-0000F9330000}"/>
    <cellStyle name="Normal 9 4 2 2 3 3" xfId="13299" xr:uid="{00000000-0005-0000-0000-0000FA330000}"/>
    <cellStyle name="Normal 9 4 2 2 4" xfId="13300" xr:uid="{00000000-0005-0000-0000-0000FB330000}"/>
    <cellStyle name="Normal 9 4 2 2 4 2" xfId="13301" xr:uid="{00000000-0005-0000-0000-0000FC330000}"/>
    <cellStyle name="Normal 9 4 2 2 4 2 2" xfId="13302" xr:uid="{00000000-0005-0000-0000-0000FD330000}"/>
    <cellStyle name="Normal 9 4 2 2 4 3" xfId="13303" xr:uid="{00000000-0005-0000-0000-0000FE330000}"/>
    <cellStyle name="Normal 9 4 2 2 5" xfId="13304" xr:uid="{00000000-0005-0000-0000-0000FF330000}"/>
    <cellStyle name="Normal 9 4 2 2 5 2" xfId="13305" xr:uid="{00000000-0005-0000-0000-000000340000}"/>
    <cellStyle name="Normal 9 4 2 2 6" xfId="13306" xr:uid="{00000000-0005-0000-0000-000001340000}"/>
    <cellStyle name="Normal 9 4 2 3" xfId="13307" xr:uid="{00000000-0005-0000-0000-000002340000}"/>
    <cellStyle name="Normal 9 4 2 3 2" xfId="13308" xr:uid="{00000000-0005-0000-0000-000003340000}"/>
    <cellStyle name="Normal 9 4 2 3 2 2" xfId="13309" xr:uid="{00000000-0005-0000-0000-000004340000}"/>
    <cellStyle name="Normal 9 4 2 3 2 2 2" xfId="13310" xr:uid="{00000000-0005-0000-0000-000005340000}"/>
    <cellStyle name="Normal 9 4 2 3 2 3" xfId="13311" xr:uid="{00000000-0005-0000-0000-000006340000}"/>
    <cellStyle name="Normal 9 4 2 3 3" xfId="13312" xr:uid="{00000000-0005-0000-0000-000007340000}"/>
    <cellStyle name="Normal 9 4 2 3 3 2" xfId="13313" xr:uid="{00000000-0005-0000-0000-000008340000}"/>
    <cellStyle name="Normal 9 4 2 3 3 2 2" xfId="13314" xr:uid="{00000000-0005-0000-0000-000009340000}"/>
    <cellStyle name="Normal 9 4 2 3 3 3" xfId="13315" xr:uid="{00000000-0005-0000-0000-00000A340000}"/>
    <cellStyle name="Normal 9 4 2 3 4" xfId="13316" xr:uid="{00000000-0005-0000-0000-00000B340000}"/>
    <cellStyle name="Normal 9 4 2 3 4 2" xfId="13317" xr:uid="{00000000-0005-0000-0000-00000C340000}"/>
    <cellStyle name="Normal 9 4 2 3 5" xfId="13318" xr:uid="{00000000-0005-0000-0000-00000D340000}"/>
    <cellStyle name="Normal 9 4 2 4" xfId="13319" xr:uid="{00000000-0005-0000-0000-00000E340000}"/>
    <cellStyle name="Normal 9 4 2 4 2" xfId="13320" xr:uid="{00000000-0005-0000-0000-00000F340000}"/>
    <cellStyle name="Normal 9 4 2 4 2 2" xfId="13321" xr:uid="{00000000-0005-0000-0000-000010340000}"/>
    <cellStyle name="Normal 9 4 2 4 3" xfId="13322" xr:uid="{00000000-0005-0000-0000-000011340000}"/>
    <cellStyle name="Normal 9 4 2 5" xfId="13323" xr:uid="{00000000-0005-0000-0000-000012340000}"/>
    <cellStyle name="Normal 9 4 2 5 2" xfId="13324" xr:uid="{00000000-0005-0000-0000-000013340000}"/>
    <cellStyle name="Normal 9 4 2 5 2 2" xfId="13325" xr:uid="{00000000-0005-0000-0000-000014340000}"/>
    <cellStyle name="Normal 9 4 2 5 3" xfId="13326" xr:uid="{00000000-0005-0000-0000-000015340000}"/>
    <cellStyle name="Normal 9 4 2 6" xfId="13327" xr:uid="{00000000-0005-0000-0000-000016340000}"/>
    <cellStyle name="Normal 9 4 2 6 2" xfId="13328" xr:uid="{00000000-0005-0000-0000-000017340000}"/>
    <cellStyle name="Normal 9 4 2 7" xfId="13329" xr:uid="{00000000-0005-0000-0000-000018340000}"/>
    <cellStyle name="Normal 9 4 3" xfId="13330" xr:uid="{00000000-0005-0000-0000-000019340000}"/>
    <cellStyle name="Normal 9 4 3 2" xfId="13331" xr:uid="{00000000-0005-0000-0000-00001A340000}"/>
    <cellStyle name="Normal 9 4 3 2 2" xfId="13332" xr:uid="{00000000-0005-0000-0000-00001B340000}"/>
    <cellStyle name="Normal 9 4 3 2 2 2" xfId="13333" xr:uid="{00000000-0005-0000-0000-00001C340000}"/>
    <cellStyle name="Normal 9 4 3 2 2 2 2" xfId="13334" xr:uid="{00000000-0005-0000-0000-00001D340000}"/>
    <cellStyle name="Normal 9 4 3 2 2 3" xfId="13335" xr:uid="{00000000-0005-0000-0000-00001E340000}"/>
    <cellStyle name="Normal 9 4 3 2 3" xfId="13336" xr:uid="{00000000-0005-0000-0000-00001F340000}"/>
    <cellStyle name="Normal 9 4 3 2 3 2" xfId="13337" xr:uid="{00000000-0005-0000-0000-000020340000}"/>
    <cellStyle name="Normal 9 4 3 2 3 2 2" xfId="13338" xr:uid="{00000000-0005-0000-0000-000021340000}"/>
    <cellStyle name="Normal 9 4 3 2 3 3" xfId="13339" xr:uid="{00000000-0005-0000-0000-000022340000}"/>
    <cellStyle name="Normal 9 4 3 2 4" xfId="13340" xr:uid="{00000000-0005-0000-0000-000023340000}"/>
    <cellStyle name="Normal 9 4 3 2 4 2" xfId="13341" xr:uid="{00000000-0005-0000-0000-000024340000}"/>
    <cellStyle name="Normal 9 4 3 2 5" xfId="13342" xr:uid="{00000000-0005-0000-0000-000025340000}"/>
    <cellStyle name="Normal 9 4 3 3" xfId="13343" xr:uid="{00000000-0005-0000-0000-000026340000}"/>
    <cellStyle name="Normal 9 4 3 3 2" xfId="13344" xr:uid="{00000000-0005-0000-0000-000027340000}"/>
    <cellStyle name="Normal 9 4 3 3 2 2" xfId="13345" xr:uid="{00000000-0005-0000-0000-000028340000}"/>
    <cellStyle name="Normal 9 4 3 3 3" xfId="13346" xr:uid="{00000000-0005-0000-0000-000029340000}"/>
    <cellStyle name="Normal 9 4 3 4" xfId="13347" xr:uid="{00000000-0005-0000-0000-00002A340000}"/>
    <cellStyle name="Normal 9 4 3 4 2" xfId="13348" xr:uid="{00000000-0005-0000-0000-00002B340000}"/>
    <cellStyle name="Normal 9 4 3 4 2 2" xfId="13349" xr:uid="{00000000-0005-0000-0000-00002C340000}"/>
    <cellStyle name="Normal 9 4 3 4 3" xfId="13350" xr:uid="{00000000-0005-0000-0000-00002D340000}"/>
    <cellStyle name="Normal 9 4 3 5" xfId="13351" xr:uid="{00000000-0005-0000-0000-00002E340000}"/>
    <cellStyle name="Normal 9 4 3 5 2" xfId="13352" xr:uid="{00000000-0005-0000-0000-00002F340000}"/>
    <cellStyle name="Normal 9 4 3 6" xfId="13353" xr:uid="{00000000-0005-0000-0000-000030340000}"/>
    <cellStyle name="Normal 9 4 4" xfId="13354" xr:uid="{00000000-0005-0000-0000-000031340000}"/>
    <cellStyle name="Normal 9 4 4 2" xfId="13355" xr:uid="{00000000-0005-0000-0000-000032340000}"/>
    <cellStyle name="Normal 9 4 4 2 2" xfId="13356" xr:uid="{00000000-0005-0000-0000-000033340000}"/>
    <cellStyle name="Normal 9 4 4 2 2 2" xfId="13357" xr:uid="{00000000-0005-0000-0000-000034340000}"/>
    <cellStyle name="Normal 9 4 4 2 3" xfId="13358" xr:uid="{00000000-0005-0000-0000-000035340000}"/>
    <cellStyle name="Normal 9 4 4 3" xfId="13359" xr:uid="{00000000-0005-0000-0000-000036340000}"/>
    <cellStyle name="Normal 9 4 4 3 2" xfId="13360" xr:uid="{00000000-0005-0000-0000-000037340000}"/>
    <cellStyle name="Normal 9 4 4 3 2 2" xfId="13361" xr:uid="{00000000-0005-0000-0000-000038340000}"/>
    <cellStyle name="Normal 9 4 4 3 3" xfId="13362" xr:uid="{00000000-0005-0000-0000-000039340000}"/>
    <cellStyle name="Normal 9 4 4 4" xfId="13363" xr:uid="{00000000-0005-0000-0000-00003A340000}"/>
    <cellStyle name="Normal 9 4 4 4 2" xfId="13364" xr:uid="{00000000-0005-0000-0000-00003B340000}"/>
    <cellStyle name="Normal 9 4 4 5" xfId="13365" xr:uid="{00000000-0005-0000-0000-00003C340000}"/>
    <cellStyle name="Normal 9 4 5" xfId="13366" xr:uid="{00000000-0005-0000-0000-00003D340000}"/>
    <cellStyle name="Normal 9 4 5 2" xfId="13367" xr:uid="{00000000-0005-0000-0000-00003E340000}"/>
    <cellStyle name="Normal 9 4 5 2 2" xfId="13368" xr:uid="{00000000-0005-0000-0000-00003F340000}"/>
    <cellStyle name="Normal 9 4 5 3" xfId="13369" xr:uid="{00000000-0005-0000-0000-000040340000}"/>
    <cellStyle name="Normal 9 4 6" xfId="13370" xr:uid="{00000000-0005-0000-0000-000041340000}"/>
    <cellStyle name="Normal 9 4 6 2" xfId="13371" xr:uid="{00000000-0005-0000-0000-000042340000}"/>
    <cellStyle name="Normal 9 4 6 2 2" xfId="13372" xr:uid="{00000000-0005-0000-0000-000043340000}"/>
    <cellStyle name="Normal 9 4 6 3" xfId="13373" xr:uid="{00000000-0005-0000-0000-000044340000}"/>
    <cellStyle name="Normal 9 4 7" xfId="13374" xr:uid="{00000000-0005-0000-0000-000045340000}"/>
    <cellStyle name="Normal 9 4 7 2" xfId="13375" xr:uid="{00000000-0005-0000-0000-000046340000}"/>
    <cellStyle name="Normal 9 4 8" xfId="13376" xr:uid="{00000000-0005-0000-0000-000047340000}"/>
    <cellStyle name="Normal 9 5" xfId="13377" xr:uid="{00000000-0005-0000-0000-000048340000}"/>
    <cellStyle name="Normal 9 5 10" xfId="13378" xr:uid="{00000000-0005-0000-0000-000049340000}"/>
    <cellStyle name="Normal 9 5 2" xfId="13379" xr:uid="{00000000-0005-0000-0000-00004A340000}"/>
    <cellStyle name="Normal 9 5 2 2" xfId="13380" xr:uid="{00000000-0005-0000-0000-00004B340000}"/>
    <cellStyle name="Normal 9 5 2 2 2" xfId="13381" xr:uid="{00000000-0005-0000-0000-00004C340000}"/>
    <cellStyle name="Normal 9 5 2 2 2 2" xfId="13382" xr:uid="{00000000-0005-0000-0000-00004D340000}"/>
    <cellStyle name="Normal 9 5 2 2 2 2 2" xfId="13383" xr:uid="{00000000-0005-0000-0000-00004E340000}"/>
    <cellStyle name="Normal 9 5 2 2 2 3" xfId="13384" xr:uid="{00000000-0005-0000-0000-00004F340000}"/>
    <cellStyle name="Normal 9 5 2 2 3" xfId="13385" xr:uid="{00000000-0005-0000-0000-000050340000}"/>
    <cellStyle name="Normal 9 5 2 2 3 2" xfId="13386" xr:uid="{00000000-0005-0000-0000-000051340000}"/>
    <cellStyle name="Normal 9 5 2 2 3 2 2" xfId="13387" xr:uid="{00000000-0005-0000-0000-000052340000}"/>
    <cellStyle name="Normal 9 5 2 2 3 3" xfId="13388" xr:uid="{00000000-0005-0000-0000-000053340000}"/>
    <cellStyle name="Normal 9 5 2 2 4" xfId="13389" xr:uid="{00000000-0005-0000-0000-000054340000}"/>
    <cellStyle name="Normal 9 5 2 2 4 2" xfId="13390" xr:uid="{00000000-0005-0000-0000-000055340000}"/>
    <cellStyle name="Normal 9 5 2 2 5" xfId="13391" xr:uid="{00000000-0005-0000-0000-000056340000}"/>
    <cellStyle name="Normal 9 5 2 2 5 2" xfId="13392" xr:uid="{00000000-0005-0000-0000-000057340000}"/>
    <cellStyle name="Normal 9 5 2 2 6" xfId="13393" xr:uid="{00000000-0005-0000-0000-000058340000}"/>
    <cellStyle name="Normal 9 5 2 3" xfId="13394" xr:uid="{00000000-0005-0000-0000-000059340000}"/>
    <cellStyle name="Normal 9 5 2 3 2" xfId="13395" xr:uid="{00000000-0005-0000-0000-00005A340000}"/>
    <cellStyle name="Normal 9 5 2 3 2 2" xfId="13396" xr:uid="{00000000-0005-0000-0000-00005B340000}"/>
    <cellStyle name="Normal 9 5 2 3 3" xfId="13397" xr:uid="{00000000-0005-0000-0000-00005C340000}"/>
    <cellStyle name="Normal 9 5 2 3 3 2" xfId="13398" xr:uid="{00000000-0005-0000-0000-00005D340000}"/>
    <cellStyle name="Normal 9 5 2 3 4" xfId="13399" xr:uid="{00000000-0005-0000-0000-00005E340000}"/>
    <cellStyle name="Normal 9 5 2 4" xfId="13400" xr:uid="{00000000-0005-0000-0000-00005F340000}"/>
    <cellStyle name="Normal 9 5 2 4 2" xfId="13401" xr:uid="{00000000-0005-0000-0000-000060340000}"/>
    <cellStyle name="Normal 9 5 2 4 2 2" xfId="13402" xr:uid="{00000000-0005-0000-0000-000061340000}"/>
    <cellStyle name="Normal 9 5 2 4 3" xfId="13403" xr:uid="{00000000-0005-0000-0000-000062340000}"/>
    <cellStyle name="Normal 9 5 2 4 3 2" xfId="13404" xr:uid="{00000000-0005-0000-0000-000063340000}"/>
    <cellStyle name="Normal 9 5 2 4 4" xfId="13405" xr:uid="{00000000-0005-0000-0000-000064340000}"/>
    <cellStyle name="Normal 9 5 2 5" xfId="13406" xr:uid="{00000000-0005-0000-0000-000065340000}"/>
    <cellStyle name="Normal 9 5 2 5 2" xfId="13407" xr:uid="{00000000-0005-0000-0000-000066340000}"/>
    <cellStyle name="Normal 9 5 2 6" xfId="13408" xr:uid="{00000000-0005-0000-0000-000067340000}"/>
    <cellStyle name="Normal 9 5 2 6 2" xfId="13409" xr:uid="{00000000-0005-0000-0000-000068340000}"/>
    <cellStyle name="Normal 9 5 2 7" xfId="13410" xr:uid="{00000000-0005-0000-0000-000069340000}"/>
    <cellStyle name="Normal 9 5 3" xfId="13411" xr:uid="{00000000-0005-0000-0000-00006A340000}"/>
    <cellStyle name="Normal 9 5 3 2" xfId="13412" xr:uid="{00000000-0005-0000-0000-00006B340000}"/>
    <cellStyle name="Normal 9 5 3 2 2" xfId="13413" xr:uid="{00000000-0005-0000-0000-00006C340000}"/>
    <cellStyle name="Normal 9 5 3 2 2 2" xfId="13414" xr:uid="{00000000-0005-0000-0000-00006D340000}"/>
    <cellStyle name="Normal 9 5 3 2 2 2 2" xfId="13415" xr:uid="{00000000-0005-0000-0000-00006E340000}"/>
    <cellStyle name="Normal 9 5 3 2 2 3" xfId="13416" xr:uid="{00000000-0005-0000-0000-00006F340000}"/>
    <cellStyle name="Normal 9 5 3 2 2 3 2" xfId="13417" xr:uid="{00000000-0005-0000-0000-000070340000}"/>
    <cellStyle name="Normal 9 5 3 2 2 4" xfId="13418" xr:uid="{00000000-0005-0000-0000-000071340000}"/>
    <cellStyle name="Normal 9 5 3 2 3" xfId="13419" xr:uid="{00000000-0005-0000-0000-000072340000}"/>
    <cellStyle name="Normal 9 5 3 2 3 2" xfId="13420" xr:uid="{00000000-0005-0000-0000-000073340000}"/>
    <cellStyle name="Normal 9 5 3 2 3 2 2" xfId="13421" xr:uid="{00000000-0005-0000-0000-000074340000}"/>
    <cellStyle name="Normal 9 5 3 2 3 3" xfId="13422" xr:uid="{00000000-0005-0000-0000-000075340000}"/>
    <cellStyle name="Normal 9 5 3 2 3 3 2" xfId="13423" xr:uid="{00000000-0005-0000-0000-000076340000}"/>
    <cellStyle name="Normal 9 5 3 2 3 4" xfId="13424" xr:uid="{00000000-0005-0000-0000-000077340000}"/>
    <cellStyle name="Normal 9 5 3 2 4" xfId="13425" xr:uid="{00000000-0005-0000-0000-000078340000}"/>
    <cellStyle name="Normal 9 5 3 2 4 2" xfId="13426" xr:uid="{00000000-0005-0000-0000-000079340000}"/>
    <cellStyle name="Normal 9 5 3 2 5" xfId="13427" xr:uid="{00000000-0005-0000-0000-00007A340000}"/>
    <cellStyle name="Normal 9 5 3 2 5 2" xfId="13428" xr:uid="{00000000-0005-0000-0000-00007B340000}"/>
    <cellStyle name="Normal 9 5 3 2 6" xfId="13429" xr:uid="{00000000-0005-0000-0000-00007C340000}"/>
    <cellStyle name="Normal 9 5 3 3" xfId="13430" xr:uid="{00000000-0005-0000-0000-00007D340000}"/>
    <cellStyle name="Normal 9 5 3 3 2" xfId="13431" xr:uid="{00000000-0005-0000-0000-00007E340000}"/>
    <cellStyle name="Normal 9 5 3 3 2 2" xfId="13432" xr:uid="{00000000-0005-0000-0000-00007F340000}"/>
    <cellStyle name="Normal 9 5 3 3 3" xfId="13433" xr:uid="{00000000-0005-0000-0000-000080340000}"/>
    <cellStyle name="Normal 9 5 3 3 3 2" xfId="13434" xr:uid="{00000000-0005-0000-0000-000081340000}"/>
    <cellStyle name="Normal 9 5 3 3 4" xfId="13435" xr:uid="{00000000-0005-0000-0000-000082340000}"/>
    <cellStyle name="Normal 9 5 3 3 4 2" xfId="13436" xr:uid="{00000000-0005-0000-0000-000083340000}"/>
    <cellStyle name="Normal 9 5 3 3 5" xfId="13437" xr:uid="{00000000-0005-0000-0000-000084340000}"/>
    <cellStyle name="Normal 9 5 3 3 5 2" xfId="13438" xr:uid="{00000000-0005-0000-0000-000085340000}"/>
    <cellStyle name="Normal 9 5 3 3 6" xfId="13439" xr:uid="{00000000-0005-0000-0000-000086340000}"/>
    <cellStyle name="Normal 9 5 3 4" xfId="13440" xr:uid="{00000000-0005-0000-0000-000087340000}"/>
    <cellStyle name="Normal 9 5 3 4 2" xfId="13441" xr:uid="{00000000-0005-0000-0000-000088340000}"/>
    <cellStyle name="Normal 9 5 3 4 2 2" xfId="13442" xr:uid="{00000000-0005-0000-0000-000089340000}"/>
    <cellStyle name="Normal 9 5 3 4 3" xfId="13443" xr:uid="{00000000-0005-0000-0000-00008A340000}"/>
    <cellStyle name="Normal 9 5 3 4 3 2" xfId="13444" xr:uid="{00000000-0005-0000-0000-00008B340000}"/>
    <cellStyle name="Normal 9 5 3 4 4" xfId="13445" xr:uid="{00000000-0005-0000-0000-00008C340000}"/>
    <cellStyle name="Normal 9 5 3 5" xfId="13446" xr:uid="{00000000-0005-0000-0000-00008D340000}"/>
    <cellStyle name="Normal 9 5 3 5 2" xfId="13447" xr:uid="{00000000-0005-0000-0000-00008E340000}"/>
    <cellStyle name="Normal 9 5 3 5 2 2" xfId="13448" xr:uid="{00000000-0005-0000-0000-00008F340000}"/>
    <cellStyle name="Normal 9 5 3 5 3" xfId="13449" xr:uid="{00000000-0005-0000-0000-000090340000}"/>
    <cellStyle name="Normal 9 5 3 5 3 2" xfId="13450" xr:uid="{00000000-0005-0000-0000-000091340000}"/>
    <cellStyle name="Normal 9 5 3 5 4" xfId="13451" xr:uid="{00000000-0005-0000-0000-000092340000}"/>
    <cellStyle name="Normal 9 5 3 6" xfId="13452" xr:uid="{00000000-0005-0000-0000-000093340000}"/>
    <cellStyle name="Normal 9 5 3 6 2" xfId="13453" xr:uid="{00000000-0005-0000-0000-000094340000}"/>
    <cellStyle name="Normal 9 5 3 7" xfId="13454" xr:uid="{00000000-0005-0000-0000-000095340000}"/>
    <cellStyle name="Normal 9 5 3 7 2" xfId="13455" xr:uid="{00000000-0005-0000-0000-000096340000}"/>
    <cellStyle name="Normal 9 5 3 8" xfId="13456" xr:uid="{00000000-0005-0000-0000-000097340000}"/>
    <cellStyle name="Normal 9 5 4" xfId="13457" xr:uid="{00000000-0005-0000-0000-000098340000}"/>
    <cellStyle name="Normal 9 5 4 2" xfId="13458" xr:uid="{00000000-0005-0000-0000-000099340000}"/>
    <cellStyle name="Normal 9 5 4 2 2" xfId="13459" xr:uid="{00000000-0005-0000-0000-00009A340000}"/>
    <cellStyle name="Normal 9 5 4 2 2 2" xfId="13460" xr:uid="{00000000-0005-0000-0000-00009B340000}"/>
    <cellStyle name="Normal 9 5 4 2 3" xfId="13461" xr:uid="{00000000-0005-0000-0000-00009C340000}"/>
    <cellStyle name="Normal 9 5 4 2 3 2" xfId="13462" xr:uid="{00000000-0005-0000-0000-00009D340000}"/>
    <cellStyle name="Normal 9 5 4 2 4" xfId="13463" xr:uid="{00000000-0005-0000-0000-00009E340000}"/>
    <cellStyle name="Normal 9 5 4 3" xfId="13464" xr:uid="{00000000-0005-0000-0000-00009F340000}"/>
    <cellStyle name="Normal 9 5 4 3 2" xfId="13465" xr:uid="{00000000-0005-0000-0000-0000A0340000}"/>
    <cellStyle name="Normal 9 5 4 3 2 2" xfId="13466" xr:uid="{00000000-0005-0000-0000-0000A1340000}"/>
    <cellStyle name="Normal 9 5 4 3 3" xfId="13467" xr:uid="{00000000-0005-0000-0000-0000A2340000}"/>
    <cellStyle name="Normal 9 5 4 3 3 2" xfId="13468" xr:uid="{00000000-0005-0000-0000-0000A3340000}"/>
    <cellStyle name="Normal 9 5 4 3 4" xfId="13469" xr:uid="{00000000-0005-0000-0000-0000A4340000}"/>
    <cellStyle name="Normal 9 5 4 4" xfId="13470" xr:uid="{00000000-0005-0000-0000-0000A5340000}"/>
    <cellStyle name="Normal 9 5 4 4 2" xfId="13471" xr:uid="{00000000-0005-0000-0000-0000A6340000}"/>
    <cellStyle name="Normal 9 5 4 5" xfId="13472" xr:uid="{00000000-0005-0000-0000-0000A7340000}"/>
    <cellStyle name="Normal 9 5 4 5 2" xfId="13473" xr:uid="{00000000-0005-0000-0000-0000A8340000}"/>
    <cellStyle name="Normal 9 5 4 6" xfId="13474" xr:uid="{00000000-0005-0000-0000-0000A9340000}"/>
    <cellStyle name="Normal 9 5 5" xfId="13475" xr:uid="{00000000-0005-0000-0000-0000AA340000}"/>
    <cellStyle name="Normal 9 5 5 2" xfId="13476" xr:uid="{00000000-0005-0000-0000-0000AB340000}"/>
    <cellStyle name="Normal 9 5 5 2 2" xfId="13477" xr:uid="{00000000-0005-0000-0000-0000AC340000}"/>
    <cellStyle name="Normal 9 5 5 3" xfId="13478" xr:uid="{00000000-0005-0000-0000-0000AD340000}"/>
    <cellStyle name="Normal 9 5 5 3 2" xfId="13479" xr:uid="{00000000-0005-0000-0000-0000AE340000}"/>
    <cellStyle name="Normal 9 5 5 4" xfId="13480" xr:uid="{00000000-0005-0000-0000-0000AF340000}"/>
    <cellStyle name="Normal 9 5 5 4 2" xfId="13481" xr:uid="{00000000-0005-0000-0000-0000B0340000}"/>
    <cellStyle name="Normal 9 5 5 5" xfId="13482" xr:uid="{00000000-0005-0000-0000-0000B1340000}"/>
    <cellStyle name="Normal 9 5 5 5 2" xfId="13483" xr:uid="{00000000-0005-0000-0000-0000B2340000}"/>
    <cellStyle name="Normal 9 5 5 6" xfId="13484" xr:uid="{00000000-0005-0000-0000-0000B3340000}"/>
    <cellStyle name="Normal 9 5 6" xfId="13485" xr:uid="{00000000-0005-0000-0000-0000B4340000}"/>
    <cellStyle name="Normal 9 5 6 2" xfId="13486" xr:uid="{00000000-0005-0000-0000-0000B5340000}"/>
    <cellStyle name="Normal 9 5 6 2 2" xfId="13487" xr:uid="{00000000-0005-0000-0000-0000B6340000}"/>
    <cellStyle name="Normal 9 5 6 3" xfId="13488" xr:uid="{00000000-0005-0000-0000-0000B7340000}"/>
    <cellStyle name="Normal 9 5 6 3 2" xfId="13489" xr:uid="{00000000-0005-0000-0000-0000B8340000}"/>
    <cellStyle name="Normal 9 5 6 4" xfId="13490" xr:uid="{00000000-0005-0000-0000-0000B9340000}"/>
    <cellStyle name="Normal 9 5 7" xfId="13491" xr:uid="{00000000-0005-0000-0000-0000BA340000}"/>
    <cellStyle name="Normal 9 5 7 2" xfId="13492" xr:uid="{00000000-0005-0000-0000-0000BB340000}"/>
    <cellStyle name="Normal 9 5 7 2 2" xfId="13493" xr:uid="{00000000-0005-0000-0000-0000BC340000}"/>
    <cellStyle name="Normal 9 5 7 3" xfId="13494" xr:uid="{00000000-0005-0000-0000-0000BD340000}"/>
    <cellStyle name="Normal 9 5 7 3 2" xfId="13495" xr:uid="{00000000-0005-0000-0000-0000BE340000}"/>
    <cellStyle name="Normal 9 5 7 4" xfId="13496" xr:uid="{00000000-0005-0000-0000-0000BF340000}"/>
    <cellStyle name="Normal 9 5 8" xfId="13497" xr:uid="{00000000-0005-0000-0000-0000C0340000}"/>
    <cellStyle name="Normal 9 5 8 2" xfId="13498" xr:uid="{00000000-0005-0000-0000-0000C1340000}"/>
    <cellStyle name="Normal 9 5 9" xfId="13499" xr:uid="{00000000-0005-0000-0000-0000C2340000}"/>
    <cellStyle name="Normal 9 5 9 2" xfId="13500" xr:uid="{00000000-0005-0000-0000-0000C3340000}"/>
    <cellStyle name="Normal 9 5_10070" xfId="13501" xr:uid="{00000000-0005-0000-0000-0000C4340000}"/>
    <cellStyle name="Normal 9 6" xfId="13502" xr:uid="{00000000-0005-0000-0000-0000C5340000}"/>
    <cellStyle name="Normal 9 6 2" xfId="13503" xr:uid="{00000000-0005-0000-0000-0000C6340000}"/>
    <cellStyle name="Normal 9 6 2 2" xfId="13504" xr:uid="{00000000-0005-0000-0000-0000C7340000}"/>
    <cellStyle name="Normal 9 6 2 2 2" xfId="13505" xr:uid="{00000000-0005-0000-0000-0000C8340000}"/>
    <cellStyle name="Normal 9 6 2 2 2 2" xfId="13506" xr:uid="{00000000-0005-0000-0000-0000C9340000}"/>
    <cellStyle name="Normal 9 6 2 2 3" xfId="13507" xr:uid="{00000000-0005-0000-0000-0000CA340000}"/>
    <cellStyle name="Normal 9 6 2 3" xfId="13508" xr:uid="{00000000-0005-0000-0000-0000CB340000}"/>
    <cellStyle name="Normal 9 6 2 3 2" xfId="13509" xr:uid="{00000000-0005-0000-0000-0000CC340000}"/>
    <cellStyle name="Normal 9 6 2 3 2 2" xfId="13510" xr:uid="{00000000-0005-0000-0000-0000CD340000}"/>
    <cellStyle name="Normal 9 6 2 3 3" xfId="13511" xr:uid="{00000000-0005-0000-0000-0000CE340000}"/>
    <cellStyle name="Normal 9 6 2 4" xfId="13512" xr:uid="{00000000-0005-0000-0000-0000CF340000}"/>
    <cellStyle name="Normal 9 6 2 4 2" xfId="13513" xr:uid="{00000000-0005-0000-0000-0000D0340000}"/>
    <cellStyle name="Normal 9 6 2 5" xfId="13514" xr:uid="{00000000-0005-0000-0000-0000D1340000}"/>
    <cellStyle name="Normal 9 6 3" xfId="13515" xr:uid="{00000000-0005-0000-0000-0000D2340000}"/>
    <cellStyle name="Normal 9 6 3 2" xfId="13516" xr:uid="{00000000-0005-0000-0000-0000D3340000}"/>
    <cellStyle name="Normal 9 6 3 2 2" xfId="13517" xr:uid="{00000000-0005-0000-0000-0000D4340000}"/>
    <cellStyle name="Normal 9 6 3 3" xfId="13518" xr:uid="{00000000-0005-0000-0000-0000D5340000}"/>
    <cellStyle name="Normal 9 6 3 3 2" xfId="13519" xr:uid="{00000000-0005-0000-0000-0000D6340000}"/>
    <cellStyle name="Normal 9 6 3 4" xfId="13520" xr:uid="{00000000-0005-0000-0000-0000D7340000}"/>
    <cellStyle name="Normal 9 6 4" xfId="13521" xr:uid="{00000000-0005-0000-0000-0000D8340000}"/>
    <cellStyle name="Normal 9 6 4 2" xfId="13522" xr:uid="{00000000-0005-0000-0000-0000D9340000}"/>
    <cellStyle name="Normal 9 6 4 2 2" xfId="13523" xr:uid="{00000000-0005-0000-0000-0000DA340000}"/>
    <cellStyle name="Normal 9 6 4 3" xfId="13524" xr:uid="{00000000-0005-0000-0000-0000DB340000}"/>
    <cellStyle name="Normal 9 6 5" xfId="13525" xr:uid="{00000000-0005-0000-0000-0000DC340000}"/>
    <cellStyle name="Normal 9 6 5 2" xfId="13526" xr:uid="{00000000-0005-0000-0000-0000DD340000}"/>
    <cellStyle name="Normal 9 6 6" xfId="13527" xr:uid="{00000000-0005-0000-0000-0000DE340000}"/>
    <cellStyle name="Normal 9 7" xfId="13528" xr:uid="{00000000-0005-0000-0000-0000DF340000}"/>
    <cellStyle name="Normal 9 7 2" xfId="13529" xr:uid="{00000000-0005-0000-0000-0000E0340000}"/>
    <cellStyle name="Normal 9 7 2 2" xfId="13530" xr:uid="{00000000-0005-0000-0000-0000E1340000}"/>
    <cellStyle name="Normal 9 7 2 2 2" xfId="13531" xr:uid="{00000000-0005-0000-0000-0000E2340000}"/>
    <cellStyle name="Normal 9 7 2 3" xfId="13532" xr:uid="{00000000-0005-0000-0000-0000E3340000}"/>
    <cellStyle name="Normal 9 7 3" xfId="13533" xr:uid="{00000000-0005-0000-0000-0000E4340000}"/>
    <cellStyle name="Normal 9 7 3 2" xfId="13534" xr:uid="{00000000-0005-0000-0000-0000E5340000}"/>
    <cellStyle name="Normal 9 7 3 2 2" xfId="13535" xr:uid="{00000000-0005-0000-0000-0000E6340000}"/>
    <cellStyle name="Normal 9 7 3 3" xfId="13536" xr:uid="{00000000-0005-0000-0000-0000E7340000}"/>
    <cellStyle name="Normal 9 7 4" xfId="13537" xr:uid="{00000000-0005-0000-0000-0000E8340000}"/>
    <cellStyle name="Normal 9 7 4 2" xfId="13538" xr:uid="{00000000-0005-0000-0000-0000E9340000}"/>
    <cellStyle name="Normal 9 7 5" xfId="13539" xr:uid="{00000000-0005-0000-0000-0000EA340000}"/>
    <cellStyle name="Normal 9 7 5 2" xfId="13540" xr:uid="{00000000-0005-0000-0000-0000EB340000}"/>
    <cellStyle name="Normal 9 7 6" xfId="13541" xr:uid="{00000000-0005-0000-0000-0000EC340000}"/>
    <cellStyle name="Normal 9 8" xfId="13542" xr:uid="{00000000-0005-0000-0000-0000ED340000}"/>
    <cellStyle name="Normal 9 8 2" xfId="13543" xr:uid="{00000000-0005-0000-0000-0000EE340000}"/>
    <cellStyle name="Normal 9 8 2 2" xfId="13544" xr:uid="{00000000-0005-0000-0000-0000EF340000}"/>
    <cellStyle name="Normal 9 8 3" xfId="13545" xr:uid="{00000000-0005-0000-0000-0000F0340000}"/>
    <cellStyle name="Normal 9 8 3 2" xfId="13546" xr:uid="{00000000-0005-0000-0000-0000F1340000}"/>
    <cellStyle name="Normal 9 8 4" xfId="13547" xr:uid="{00000000-0005-0000-0000-0000F2340000}"/>
    <cellStyle name="Normal 9 9" xfId="13548" xr:uid="{00000000-0005-0000-0000-0000F3340000}"/>
    <cellStyle name="Normal 9 9 2" xfId="13549" xr:uid="{00000000-0005-0000-0000-0000F4340000}"/>
    <cellStyle name="Normal 9 9 2 2" xfId="13550" xr:uid="{00000000-0005-0000-0000-0000F5340000}"/>
    <cellStyle name="Normal 9 9 3" xfId="13551" xr:uid="{00000000-0005-0000-0000-0000F6340000}"/>
    <cellStyle name="Normal 9 9 3 2" xfId="13552" xr:uid="{00000000-0005-0000-0000-0000F7340000}"/>
    <cellStyle name="Normal 9 9 4" xfId="13553" xr:uid="{00000000-0005-0000-0000-0000F8340000}"/>
    <cellStyle name="Normal 9_2180" xfId="13554" xr:uid="{00000000-0005-0000-0000-0000F9340000}"/>
    <cellStyle name="Normal 90" xfId="13555" xr:uid="{00000000-0005-0000-0000-0000FA340000}"/>
    <cellStyle name="Normal 90 2" xfId="13556" xr:uid="{00000000-0005-0000-0000-0000FB340000}"/>
    <cellStyle name="Normal 90 2 2" xfId="13557" xr:uid="{00000000-0005-0000-0000-0000FC340000}"/>
    <cellStyle name="Normal 90 3" xfId="13558" xr:uid="{00000000-0005-0000-0000-0000FD340000}"/>
    <cellStyle name="Normal 90 4" xfId="13559" xr:uid="{00000000-0005-0000-0000-0000FE340000}"/>
    <cellStyle name="Normal 91" xfId="13560" xr:uid="{00000000-0005-0000-0000-0000FF340000}"/>
    <cellStyle name="Normal 91 2" xfId="13561" xr:uid="{00000000-0005-0000-0000-000000350000}"/>
    <cellStyle name="Normal 91 3" xfId="13562" xr:uid="{00000000-0005-0000-0000-000001350000}"/>
    <cellStyle name="Normal 92" xfId="13563" xr:uid="{00000000-0005-0000-0000-000002350000}"/>
    <cellStyle name="Normal 92 2" xfId="13564" xr:uid="{00000000-0005-0000-0000-000003350000}"/>
    <cellStyle name="Normal 92 2 2" xfId="13565" xr:uid="{00000000-0005-0000-0000-000004350000}"/>
    <cellStyle name="Normal 92 2 2 2" xfId="13566" xr:uid="{00000000-0005-0000-0000-000005350000}"/>
    <cellStyle name="Normal 92 2 3" xfId="13567" xr:uid="{00000000-0005-0000-0000-000006350000}"/>
    <cellStyle name="Normal 92 3" xfId="13568" xr:uid="{00000000-0005-0000-0000-000007350000}"/>
    <cellStyle name="Normal 92 4" xfId="13569" xr:uid="{00000000-0005-0000-0000-000008350000}"/>
    <cellStyle name="Normal 93" xfId="13570" xr:uid="{00000000-0005-0000-0000-000009350000}"/>
    <cellStyle name="Normal 93 2" xfId="13571" xr:uid="{00000000-0005-0000-0000-00000A350000}"/>
    <cellStyle name="Normal 93 2 2" xfId="13572" xr:uid="{00000000-0005-0000-0000-00000B350000}"/>
    <cellStyle name="Normal 93 3" xfId="13573" xr:uid="{00000000-0005-0000-0000-00000C350000}"/>
    <cellStyle name="Normal 93 3 2" xfId="13574" xr:uid="{00000000-0005-0000-0000-00000D350000}"/>
    <cellStyle name="Normal 93 4" xfId="13575" xr:uid="{00000000-0005-0000-0000-00000E350000}"/>
    <cellStyle name="Normal 93 5" xfId="13576" xr:uid="{00000000-0005-0000-0000-00000F350000}"/>
    <cellStyle name="Normal 94" xfId="13577" xr:uid="{00000000-0005-0000-0000-000010350000}"/>
    <cellStyle name="Normal 94 2" xfId="13578" xr:uid="{00000000-0005-0000-0000-000011350000}"/>
    <cellStyle name="Normal 94 2 2" xfId="13579" xr:uid="{00000000-0005-0000-0000-000012350000}"/>
    <cellStyle name="Normal 94 3" xfId="13580" xr:uid="{00000000-0005-0000-0000-000013350000}"/>
    <cellStyle name="Normal 94 3 2" xfId="13581" xr:uid="{00000000-0005-0000-0000-000014350000}"/>
    <cellStyle name="Normal 94 4" xfId="13582" xr:uid="{00000000-0005-0000-0000-000015350000}"/>
    <cellStyle name="Normal 94 5" xfId="13583" xr:uid="{00000000-0005-0000-0000-000016350000}"/>
    <cellStyle name="Normal 95" xfId="13584" xr:uid="{00000000-0005-0000-0000-000017350000}"/>
    <cellStyle name="Normal 95 2" xfId="13585" xr:uid="{00000000-0005-0000-0000-000018350000}"/>
    <cellStyle name="Normal 95 2 2" xfId="13586" xr:uid="{00000000-0005-0000-0000-000019350000}"/>
    <cellStyle name="Normal 95 3" xfId="13587" xr:uid="{00000000-0005-0000-0000-00001A350000}"/>
    <cellStyle name="Normal 95 3 2" xfId="13588" xr:uid="{00000000-0005-0000-0000-00001B350000}"/>
    <cellStyle name="Normal 95 4" xfId="13589" xr:uid="{00000000-0005-0000-0000-00001C350000}"/>
    <cellStyle name="Normal 95 5" xfId="13590" xr:uid="{00000000-0005-0000-0000-00001D350000}"/>
    <cellStyle name="Normal 96" xfId="13591" xr:uid="{00000000-0005-0000-0000-00001E350000}"/>
    <cellStyle name="Normal 96 2" xfId="13592" xr:uid="{00000000-0005-0000-0000-00001F350000}"/>
    <cellStyle name="Normal 96 2 2" xfId="13593" xr:uid="{00000000-0005-0000-0000-000020350000}"/>
    <cellStyle name="Normal 96 3" xfId="13594" xr:uid="{00000000-0005-0000-0000-000021350000}"/>
    <cellStyle name="Normal 96 3 2" xfId="13595" xr:uid="{00000000-0005-0000-0000-000022350000}"/>
    <cellStyle name="Normal 96 4" xfId="13596" xr:uid="{00000000-0005-0000-0000-000023350000}"/>
    <cellStyle name="Normal 96 5" xfId="13597" xr:uid="{00000000-0005-0000-0000-000024350000}"/>
    <cellStyle name="Normal 97" xfId="13598" xr:uid="{00000000-0005-0000-0000-000025350000}"/>
    <cellStyle name="Normal 97 2" xfId="13599" xr:uid="{00000000-0005-0000-0000-000026350000}"/>
    <cellStyle name="Normal 97 2 2" xfId="13600" xr:uid="{00000000-0005-0000-0000-000027350000}"/>
    <cellStyle name="Normal 97 3" xfId="13601" xr:uid="{00000000-0005-0000-0000-000028350000}"/>
    <cellStyle name="Normal 97 3 2" xfId="13602" xr:uid="{00000000-0005-0000-0000-000029350000}"/>
    <cellStyle name="Normal 97 4" xfId="13603" xr:uid="{00000000-0005-0000-0000-00002A350000}"/>
    <cellStyle name="Normal 97 5" xfId="13604" xr:uid="{00000000-0005-0000-0000-00002B350000}"/>
    <cellStyle name="Normal 98" xfId="13605" xr:uid="{00000000-0005-0000-0000-00002C350000}"/>
    <cellStyle name="Normal 98 2" xfId="13606" xr:uid="{00000000-0005-0000-0000-00002D350000}"/>
    <cellStyle name="Normal 98 2 2" xfId="13607" xr:uid="{00000000-0005-0000-0000-00002E350000}"/>
    <cellStyle name="Normal 98 2 2 2" xfId="13608" xr:uid="{00000000-0005-0000-0000-00002F350000}"/>
    <cellStyle name="Normal 98 2 3" xfId="13609" xr:uid="{00000000-0005-0000-0000-000030350000}"/>
    <cellStyle name="Normal 98 3" xfId="13610" xr:uid="{00000000-0005-0000-0000-000031350000}"/>
    <cellStyle name="Normal 98 4" xfId="13611" xr:uid="{00000000-0005-0000-0000-000032350000}"/>
    <cellStyle name="Normal 99" xfId="13612" xr:uid="{00000000-0005-0000-0000-000033350000}"/>
    <cellStyle name="Normal 99 2" xfId="13613" xr:uid="{00000000-0005-0000-0000-000034350000}"/>
    <cellStyle name="Normal 99 2 2" xfId="13614" xr:uid="{00000000-0005-0000-0000-000035350000}"/>
    <cellStyle name="Normal 99 3" xfId="13615" xr:uid="{00000000-0005-0000-0000-000036350000}"/>
    <cellStyle name="Normal 99 3 2" xfId="13616" xr:uid="{00000000-0005-0000-0000-000037350000}"/>
    <cellStyle name="Normal 99 4" xfId="13617" xr:uid="{00000000-0005-0000-0000-000038350000}"/>
    <cellStyle name="Normal 99 4 2" xfId="13618" xr:uid="{00000000-0005-0000-0000-000039350000}"/>
    <cellStyle name="Normal 99 5" xfId="13619" xr:uid="{00000000-0005-0000-0000-00003A350000}"/>
    <cellStyle name="Normal 99 6" xfId="13620" xr:uid="{00000000-0005-0000-0000-00003B350000}"/>
    <cellStyle name="Normal_Report" xfId="15272" xr:uid="{00000000-0005-0000-0000-00003C350000}"/>
    <cellStyle name="Note 2" xfId="13621" xr:uid="{00000000-0005-0000-0000-00003D350000}"/>
    <cellStyle name="Note 2 2" xfId="13622" xr:uid="{00000000-0005-0000-0000-00003E350000}"/>
    <cellStyle name="Note 2 2 2" xfId="13623" xr:uid="{00000000-0005-0000-0000-00003F350000}"/>
    <cellStyle name="Note 2 2 2 2" xfId="13624" xr:uid="{00000000-0005-0000-0000-000040350000}"/>
    <cellStyle name="Note 2 2 2 2 2" xfId="13625" xr:uid="{00000000-0005-0000-0000-000041350000}"/>
    <cellStyle name="Note 2 2 2 3" xfId="13626" xr:uid="{00000000-0005-0000-0000-000042350000}"/>
    <cellStyle name="Note 2 2 2 3 2" xfId="13627" xr:uid="{00000000-0005-0000-0000-000043350000}"/>
    <cellStyle name="Note 2 2 2 4" xfId="13628" xr:uid="{00000000-0005-0000-0000-000044350000}"/>
    <cellStyle name="Note 2 2 2 4 2" xfId="13629" xr:uid="{00000000-0005-0000-0000-000045350000}"/>
    <cellStyle name="Note 2 2 2 5" xfId="13630" xr:uid="{00000000-0005-0000-0000-000046350000}"/>
    <cellStyle name="Note 2 2 2 5 2" xfId="13631" xr:uid="{00000000-0005-0000-0000-000047350000}"/>
    <cellStyle name="Note 2 2 2 6" xfId="13632" xr:uid="{00000000-0005-0000-0000-000048350000}"/>
    <cellStyle name="Note 2 2 3" xfId="13633" xr:uid="{00000000-0005-0000-0000-000049350000}"/>
    <cellStyle name="Note 2 2 3 2" xfId="13634" xr:uid="{00000000-0005-0000-0000-00004A350000}"/>
    <cellStyle name="Note 2 2 3 2 2" xfId="13635" xr:uid="{00000000-0005-0000-0000-00004B350000}"/>
    <cellStyle name="Note 2 2 3 3" xfId="13636" xr:uid="{00000000-0005-0000-0000-00004C350000}"/>
    <cellStyle name="Note 2 2 3 3 2" xfId="13637" xr:uid="{00000000-0005-0000-0000-00004D350000}"/>
    <cellStyle name="Note 2 2 3 4" xfId="13638" xr:uid="{00000000-0005-0000-0000-00004E350000}"/>
    <cellStyle name="Note 2 2 3 4 2" xfId="13639" xr:uid="{00000000-0005-0000-0000-00004F350000}"/>
    <cellStyle name="Note 2 2 3 5" xfId="13640" xr:uid="{00000000-0005-0000-0000-000050350000}"/>
    <cellStyle name="Note 2 2 3 5 2" xfId="13641" xr:uid="{00000000-0005-0000-0000-000051350000}"/>
    <cellStyle name="Note 2 2 3 6" xfId="13642" xr:uid="{00000000-0005-0000-0000-000052350000}"/>
    <cellStyle name="Note 2 2 4" xfId="13643" xr:uid="{00000000-0005-0000-0000-000053350000}"/>
    <cellStyle name="Note 2 2 5" xfId="13644" xr:uid="{00000000-0005-0000-0000-000054350000}"/>
    <cellStyle name="Note 2 3" xfId="13645" xr:uid="{00000000-0005-0000-0000-000055350000}"/>
    <cellStyle name="Note 2 3 2" xfId="13646" xr:uid="{00000000-0005-0000-0000-000056350000}"/>
    <cellStyle name="Note 2 3 2 2" xfId="13647" xr:uid="{00000000-0005-0000-0000-000057350000}"/>
    <cellStyle name="Note 2 3 2 2 2" xfId="13648" xr:uid="{00000000-0005-0000-0000-000058350000}"/>
    <cellStyle name="Note 2 3 2 3" xfId="13649" xr:uid="{00000000-0005-0000-0000-000059350000}"/>
    <cellStyle name="Note 2 3 2 3 2" xfId="13650" xr:uid="{00000000-0005-0000-0000-00005A350000}"/>
    <cellStyle name="Note 2 3 2 4" xfId="13651" xr:uid="{00000000-0005-0000-0000-00005B350000}"/>
    <cellStyle name="Note 2 3 2 4 2" xfId="13652" xr:uid="{00000000-0005-0000-0000-00005C350000}"/>
    <cellStyle name="Note 2 3 2 5" xfId="13653" xr:uid="{00000000-0005-0000-0000-00005D350000}"/>
    <cellStyle name="Note 2 3 2 5 2" xfId="13654" xr:uid="{00000000-0005-0000-0000-00005E350000}"/>
    <cellStyle name="Note 2 3 2 6" xfId="13655" xr:uid="{00000000-0005-0000-0000-00005F350000}"/>
    <cellStyle name="Note 2 3 3" xfId="13656" xr:uid="{00000000-0005-0000-0000-000060350000}"/>
    <cellStyle name="Note 2 3 3 2" xfId="13657" xr:uid="{00000000-0005-0000-0000-000061350000}"/>
    <cellStyle name="Note 2 3 4" xfId="13658" xr:uid="{00000000-0005-0000-0000-000062350000}"/>
    <cellStyle name="Note 2 3 5" xfId="13659" xr:uid="{00000000-0005-0000-0000-000063350000}"/>
    <cellStyle name="Note 2 4" xfId="13660" xr:uid="{00000000-0005-0000-0000-000064350000}"/>
    <cellStyle name="Note 2 4 2" xfId="13661" xr:uid="{00000000-0005-0000-0000-000065350000}"/>
    <cellStyle name="Note 2 4 2 2" xfId="13662" xr:uid="{00000000-0005-0000-0000-000066350000}"/>
    <cellStyle name="Note 2 4 2 2 2" xfId="13663" xr:uid="{00000000-0005-0000-0000-000067350000}"/>
    <cellStyle name="Note 2 4 2 3" xfId="13664" xr:uid="{00000000-0005-0000-0000-000068350000}"/>
    <cellStyle name="Note 2 4 2 3 2" xfId="13665" xr:uid="{00000000-0005-0000-0000-000069350000}"/>
    <cellStyle name="Note 2 4 2 4" xfId="13666" xr:uid="{00000000-0005-0000-0000-00006A350000}"/>
    <cellStyle name="Note 2 4 2 4 2" xfId="13667" xr:uid="{00000000-0005-0000-0000-00006B350000}"/>
    <cellStyle name="Note 2 4 2 5" xfId="13668" xr:uid="{00000000-0005-0000-0000-00006C350000}"/>
    <cellStyle name="Note 2 4 2 5 2" xfId="13669" xr:uid="{00000000-0005-0000-0000-00006D350000}"/>
    <cellStyle name="Note 2 4 2 6" xfId="13670" xr:uid="{00000000-0005-0000-0000-00006E350000}"/>
    <cellStyle name="Note 2 4 3" xfId="13671" xr:uid="{00000000-0005-0000-0000-00006F350000}"/>
    <cellStyle name="Note 2 4 3 2" xfId="13672" xr:uid="{00000000-0005-0000-0000-000070350000}"/>
    <cellStyle name="Note 2 4 4" xfId="13673" xr:uid="{00000000-0005-0000-0000-000071350000}"/>
    <cellStyle name="Note 2 4 5" xfId="13674" xr:uid="{00000000-0005-0000-0000-000072350000}"/>
    <cellStyle name="Note 2 5" xfId="13675" xr:uid="{00000000-0005-0000-0000-000073350000}"/>
    <cellStyle name="Note 2 5 2" xfId="13676" xr:uid="{00000000-0005-0000-0000-000074350000}"/>
    <cellStyle name="Note 2 5 2 2" xfId="13677" xr:uid="{00000000-0005-0000-0000-000075350000}"/>
    <cellStyle name="Note 2 5 3" xfId="13678" xr:uid="{00000000-0005-0000-0000-000076350000}"/>
    <cellStyle name="Note 2 5 3 2" xfId="13679" xr:uid="{00000000-0005-0000-0000-000077350000}"/>
    <cellStyle name="Note 2 5 4" xfId="13680" xr:uid="{00000000-0005-0000-0000-000078350000}"/>
    <cellStyle name="Note 2 5 4 2" xfId="13681" xr:uid="{00000000-0005-0000-0000-000079350000}"/>
    <cellStyle name="Note 2 5 5" xfId="13682" xr:uid="{00000000-0005-0000-0000-00007A350000}"/>
    <cellStyle name="Note 2 5 5 2" xfId="13683" xr:uid="{00000000-0005-0000-0000-00007B350000}"/>
    <cellStyle name="Note 2 5 6" xfId="13684" xr:uid="{00000000-0005-0000-0000-00007C350000}"/>
    <cellStyle name="Note 2 6" xfId="13685" xr:uid="{00000000-0005-0000-0000-00007D350000}"/>
    <cellStyle name="Note 2 6 2" xfId="13686" xr:uid="{00000000-0005-0000-0000-00007E350000}"/>
    <cellStyle name="Note 2 7" xfId="13687" xr:uid="{00000000-0005-0000-0000-00007F350000}"/>
    <cellStyle name="Note 2 8" xfId="13688" xr:uid="{00000000-0005-0000-0000-000080350000}"/>
    <cellStyle name="Note 2 9" xfId="13689" xr:uid="{00000000-0005-0000-0000-000081350000}"/>
    <cellStyle name="Note 3" xfId="13690" xr:uid="{00000000-0005-0000-0000-000082350000}"/>
    <cellStyle name="Note 3 2" xfId="13691" xr:uid="{00000000-0005-0000-0000-000083350000}"/>
    <cellStyle name="Note 3 2 2" xfId="13692" xr:uid="{00000000-0005-0000-0000-000084350000}"/>
    <cellStyle name="Note 3 2 2 2" xfId="13693" xr:uid="{00000000-0005-0000-0000-000085350000}"/>
    <cellStyle name="Note 3 2 2 2 2" xfId="13694" xr:uid="{00000000-0005-0000-0000-000086350000}"/>
    <cellStyle name="Note 3 2 2 3" xfId="13695" xr:uid="{00000000-0005-0000-0000-000087350000}"/>
    <cellStyle name="Note 3 2 2 3 2" xfId="13696" xr:uid="{00000000-0005-0000-0000-000088350000}"/>
    <cellStyle name="Note 3 2 2 4" xfId="13697" xr:uid="{00000000-0005-0000-0000-000089350000}"/>
    <cellStyle name="Note 3 2 2 4 2" xfId="13698" xr:uid="{00000000-0005-0000-0000-00008A350000}"/>
    <cellStyle name="Note 3 2 2 5" xfId="13699" xr:uid="{00000000-0005-0000-0000-00008B350000}"/>
    <cellStyle name="Note 3 2 2 5 2" xfId="13700" xr:uid="{00000000-0005-0000-0000-00008C350000}"/>
    <cellStyle name="Note 3 2 2 6" xfId="13701" xr:uid="{00000000-0005-0000-0000-00008D350000}"/>
    <cellStyle name="Note 3 2 3" xfId="13702" xr:uid="{00000000-0005-0000-0000-00008E350000}"/>
    <cellStyle name="Note 3 2 3 2" xfId="13703" xr:uid="{00000000-0005-0000-0000-00008F350000}"/>
    <cellStyle name="Note 3 2 3 2 2" xfId="13704" xr:uid="{00000000-0005-0000-0000-000090350000}"/>
    <cellStyle name="Note 3 2 3 3" xfId="13705" xr:uid="{00000000-0005-0000-0000-000091350000}"/>
    <cellStyle name="Note 3 2 3 3 2" xfId="13706" xr:uid="{00000000-0005-0000-0000-000092350000}"/>
    <cellStyle name="Note 3 2 3 4" xfId="13707" xr:uid="{00000000-0005-0000-0000-000093350000}"/>
    <cellStyle name="Note 3 2 3 4 2" xfId="13708" xr:uid="{00000000-0005-0000-0000-000094350000}"/>
    <cellStyle name="Note 3 2 3 5" xfId="13709" xr:uid="{00000000-0005-0000-0000-000095350000}"/>
    <cellStyle name="Note 3 2 3 5 2" xfId="13710" xr:uid="{00000000-0005-0000-0000-000096350000}"/>
    <cellStyle name="Note 3 2 3 6" xfId="13711" xr:uid="{00000000-0005-0000-0000-000097350000}"/>
    <cellStyle name="Note 3 2 4" xfId="13712" xr:uid="{00000000-0005-0000-0000-000098350000}"/>
    <cellStyle name="Note 3 2 5" xfId="13713" xr:uid="{00000000-0005-0000-0000-000099350000}"/>
    <cellStyle name="Note 3 3" xfId="13714" xr:uid="{00000000-0005-0000-0000-00009A350000}"/>
    <cellStyle name="Note 3 3 2" xfId="13715" xr:uid="{00000000-0005-0000-0000-00009B350000}"/>
    <cellStyle name="Note 3 3 2 2" xfId="13716" xr:uid="{00000000-0005-0000-0000-00009C350000}"/>
    <cellStyle name="Note 3 3 2 2 2" xfId="13717" xr:uid="{00000000-0005-0000-0000-00009D350000}"/>
    <cellStyle name="Note 3 3 2 3" xfId="13718" xr:uid="{00000000-0005-0000-0000-00009E350000}"/>
    <cellStyle name="Note 3 3 2 3 2" xfId="13719" xr:uid="{00000000-0005-0000-0000-00009F350000}"/>
    <cellStyle name="Note 3 3 2 4" xfId="13720" xr:uid="{00000000-0005-0000-0000-0000A0350000}"/>
    <cellStyle name="Note 3 3 2 4 2" xfId="13721" xr:uid="{00000000-0005-0000-0000-0000A1350000}"/>
    <cellStyle name="Note 3 3 2 5" xfId="13722" xr:uid="{00000000-0005-0000-0000-0000A2350000}"/>
    <cellStyle name="Note 3 3 2 5 2" xfId="13723" xr:uid="{00000000-0005-0000-0000-0000A3350000}"/>
    <cellStyle name="Note 3 3 2 6" xfId="13724" xr:uid="{00000000-0005-0000-0000-0000A4350000}"/>
    <cellStyle name="Note 3 3 3" xfId="13725" xr:uid="{00000000-0005-0000-0000-0000A5350000}"/>
    <cellStyle name="Note 3 3 3 2" xfId="13726" xr:uid="{00000000-0005-0000-0000-0000A6350000}"/>
    <cellStyle name="Note 3 3 4" xfId="13727" xr:uid="{00000000-0005-0000-0000-0000A7350000}"/>
    <cellStyle name="Note 3 3 5" xfId="13728" xr:uid="{00000000-0005-0000-0000-0000A8350000}"/>
    <cellStyle name="Note 3 4" xfId="13729" xr:uid="{00000000-0005-0000-0000-0000A9350000}"/>
    <cellStyle name="Note 3 4 2" xfId="13730" xr:uid="{00000000-0005-0000-0000-0000AA350000}"/>
    <cellStyle name="Note 3 4 2 2" xfId="13731" xr:uid="{00000000-0005-0000-0000-0000AB350000}"/>
    <cellStyle name="Note 3 4 2 2 2" xfId="13732" xr:uid="{00000000-0005-0000-0000-0000AC350000}"/>
    <cellStyle name="Note 3 4 2 3" xfId="13733" xr:uid="{00000000-0005-0000-0000-0000AD350000}"/>
    <cellStyle name="Note 3 4 2 3 2" xfId="13734" xr:uid="{00000000-0005-0000-0000-0000AE350000}"/>
    <cellStyle name="Note 3 4 2 4" xfId="13735" xr:uid="{00000000-0005-0000-0000-0000AF350000}"/>
    <cellStyle name="Note 3 4 2 4 2" xfId="13736" xr:uid="{00000000-0005-0000-0000-0000B0350000}"/>
    <cellStyle name="Note 3 4 2 5" xfId="13737" xr:uid="{00000000-0005-0000-0000-0000B1350000}"/>
    <cellStyle name="Note 3 4 2 5 2" xfId="13738" xr:uid="{00000000-0005-0000-0000-0000B2350000}"/>
    <cellStyle name="Note 3 4 2 6" xfId="13739" xr:uid="{00000000-0005-0000-0000-0000B3350000}"/>
    <cellStyle name="Note 3 4 3" xfId="13740" xr:uid="{00000000-0005-0000-0000-0000B4350000}"/>
    <cellStyle name="Note 3 4 3 2" xfId="13741" xr:uid="{00000000-0005-0000-0000-0000B5350000}"/>
    <cellStyle name="Note 3 4 4" xfId="13742" xr:uid="{00000000-0005-0000-0000-0000B6350000}"/>
    <cellStyle name="Note 3 4 5" xfId="13743" xr:uid="{00000000-0005-0000-0000-0000B7350000}"/>
    <cellStyle name="Note 3 5" xfId="13744" xr:uid="{00000000-0005-0000-0000-0000B8350000}"/>
    <cellStyle name="Note 3 5 2" xfId="13745" xr:uid="{00000000-0005-0000-0000-0000B9350000}"/>
    <cellStyle name="Note 3 5 2 2" xfId="13746" xr:uid="{00000000-0005-0000-0000-0000BA350000}"/>
    <cellStyle name="Note 3 5 3" xfId="13747" xr:uid="{00000000-0005-0000-0000-0000BB350000}"/>
    <cellStyle name="Note 3 5 3 2" xfId="13748" xr:uid="{00000000-0005-0000-0000-0000BC350000}"/>
    <cellStyle name="Note 3 5 4" xfId="13749" xr:uid="{00000000-0005-0000-0000-0000BD350000}"/>
    <cellStyle name="Note 3 5 4 2" xfId="13750" xr:uid="{00000000-0005-0000-0000-0000BE350000}"/>
    <cellStyle name="Note 3 5 5" xfId="13751" xr:uid="{00000000-0005-0000-0000-0000BF350000}"/>
    <cellStyle name="Note 3 5 5 2" xfId="13752" xr:uid="{00000000-0005-0000-0000-0000C0350000}"/>
    <cellStyle name="Note 3 5 6" xfId="13753" xr:uid="{00000000-0005-0000-0000-0000C1350000}"/>
    <cellStyle name="Note 3 6" xfId="13754" xr:uid="{00000000-0005-0000-0000-0000C2350000}"/>
    <cellStyle name="Note 3 6 2" xfId="13755" xr:uid="{00000000-0005-0000-0000-0000C3350000}"/>
    <cellStyle name="Note 3 7" xfId="13756" xr:uid="{00000000-0005-0000-0000-0000C4350000}"/>
    <cellStyle name="Note 3 8" xfId="13757" xr:uid="{00000000-0005-0000-0000-0000C5350000}"/>
    <cellStyle name="Note 3 9" xfId="13758" xr:uid="{00000000-0005-0000-0000-0000C6350000}"/>
    <cellStyle name="Note 4" xfId="13759" xr:uid="{00000000-0005-0000-0000-0000C7350000}"/>
    <cellStyle name="Note 4 2" xfId="13760" xr:uid="{00000000-0005-0000-0000-0000C8350000}"/>
    <cellStyle name="Note 4 2 2" xfId="13761" xr:uid="{00000000-0005-0000-0000-0000C9350000}"/>
    <cellStyle name="Note 4 3" xfId="13762" xr:uid="{00000000-0005-0000-0000-0000CA350000}"/>
    <cellStyle name="Note 4 3 2" xfId="13763" xr:uid="{00000000-0005-0000-0000-0000CB350000}"/>
    <cellStyle name="Note 4 3 2 2" xfId="13764" xr:uid="{00000000-0005-0000-0000-0000CC350000}"/>
    <cellStyle name="Note 4 3 3" xfId="13765" xr:uid="{00000000-0005-0000-0000-0000CD350000}"/>
    <cellStyle name="Note 4 3 3 2" xfId="13766" xr:uid="{00000000-0005-0000-0000-0000CE350000}"/>
    <cellStyle name="Note 4 3 4" xfId="13767" xr:uid="{00000000-0005-0000-0000-0000CF350000}"/>
    <cellStyle name="Note 4 3 4 2" xfId="13768" xr:uid="{00000000-0005-0000-0000-0000D0350000}"/>
    <cellStyle name="Note 4 3 5" xfId="13769" xr:uid="{00000000-0005-0000-0000-0000D1350000}"/>
    <cellStyle name="Note 4 3 5 2" xfId="13770" xr:uid="{00000000-0005-0000-0000-0000D2350000}"/>
    <cellStyle name="Note 4 3 6" xfId="13771" xr:uid="{00000000-0005-0000-0000-0000D3350000}"/>
    <cellStyle name="Note 4 4" xfId="13772" xr:uid="{00000000-0005-0000-0000-0000D4350000}"/>
    <cellStyle name="Note 4 4 2" xfId="13773" xr:uid="{00000000-0005-0000-0000-0000D5350000}"/>
    <cellStyle name="Note 4 5" xfId="13774" xr:uid="{00000000-0005-0000-0000-0000D6350000}"/>
    <cellStyle name="Note 4 5 2" xfId="13775" xr:uid="{00000000-0005-0000-0000-0000D7350000}"/>
    <cellStyle name="Note 4 6" xfId="13776" xr:uid="{00000000-0005-0000-0000-0000D8350000}"/>
    <cellStyle name="Note 4 7" xfId="13777" xr:uid="{00000000-0005-0000-0000-0000D9350000}"/>
    <cellStyle name="Note 5" xfId="13778" xr:uid="{00000000-0005-0000-0000-0000DA350000}"/>
    <cellStyle name="Note 5 2" xfId="13779" xr:uid="{00000000-0005-0000-0000-0000DB350000}"/>
    <cellStyle name="Note 5 2 2" xfId="13780" xr:uid="{00000000-0005-0000-0000-0000DC350000}"/>
    <cellStyle name="Note 5 2 2 2" xfId="13781" xr:uid="{00000000-0005-0000-0000-0000DD350000}"/>
    <cellStyle name="Note 5 2 3" xfId="13782" xr:uid="{00000000-0005-0000-0000-0000DE350000}"/>
    <cellStyle name="Note 5 2 3 2" xfId="13783" xr:uid="{00000000-0005-0000-0000-0000DF350000}"/>
    <cellStyle name="Note 5 2 4" xfId="13784" xr:uid="{00000000-0005-0000-0000-0000E0350000}"/>
    <cellStyle name="Note 5 2 4 2" xfId="13785" xr:uid="{00000000-0005-0000-0000-0000E1350000}"/>
    <cellStyle name="Note 5 2 5" xfId="13786" xr:uid="{00000000-0005-0000-0000-0000E2350000}"/>
    <cellStyle name="Note 5 2 5 2" xfId="13787" xr:uid="{00000000-0005-0000-0000-0000E3350000}"/>
    <cellStyle name="Note 5 2 6" xfId="13788" xr:uid="{00000000-0005-0000-0000-0000E4350000}"/>
    <cellStyle name="Note 5 3" xfId="13789" xr:uid="{00000000-0005-0000-0000-0000E5350000}"/>
    <cellStyle name="Note 6" xfId="13790" xr:uid="{00000000-0005-0000-0000-0000E6350000}"/>
    <cellStyle name="Note 6 2" xfId="13791" xr:uid="{00000000-0005-0000-0000-0000E7350000}"/>
    <cellStyle name="Notes" xfId="13792" xr:uid="{00000000-0005-0000-0000-0000E8350000}"/>
    <cellStyle name="Notes 2" xfId="13793" xr:uid="{00000000-0005-0000-0000-0000E9350000}"/>
    <cellStyle name="Notes 3" xfId="13794" xr:uid="{00000000-0005-0000-0000-0000EA350000}"/>
    <cellStyle name="Output 2" xfId="13795" xr:uid="{00000000-0005-0000-0000-0000EB350000}"/>
    <cellStyle name="Output 2 2" xfId="13796" xr:uid="{00000000-0005-0000-0000-0000EC350000}"/>
    <cellStyle name="Output 2 2 2" xfId="13797" xr:uid="{00000000-0005-0000-0000-0000ED350000}"/>
    <cellStyle name="Output 2 2 2 2" xfId="13798" xr:uid="{00000000-0005-0000-0000-0000EE350000}"/>
    <cellStyle name="Output 2 2 2 2 2" xfId="13799" xr:uid="{00000000-0005-0000-0000-0000EF350000}"/>
    <cellStyle name="Output 2 2 2 2 2 2" xfId="13800" xr:uid="{00000000-0005-0000-0000-0000F0350000}"/>
    <cellStyle name="Output 2 2 2 2 3" xfId="13801" xr:uid="{00000000-0005-0000-0000-0000F1350000}"/>
    <cellStyle name="Output 2 2 2 2 3 2" xfId="13802" xr:uid="{00000000-0005-0000-0000-0000F2350000}"/>
    <cellStyle name="Output 2 2 2 2 4" xfId="13803" xr:uid="{00000000-0005-0000-0000-0000F3350000}"/>
    <cellStyle name="Output 2 2 2 2 4 2" xfId="13804" xr:uid="{00000000-0005-0000-0000-0000F4350000}"/>
    <cellStyle name="Output 2 2 2 2 5" xfId="13805" xr:uid="{00000000-0005-0000-0000-0000F5350000}"/>
    <cellStyle name="Output 2 2 2 2 5 2" xfId="13806" xr:uid="{00000000-0005-0000-0000-0000F6350000}"/>
    <cellStyle name="Output 2 2 2 2 6" xfId="13807" xr:uid="{00000000-0005-0000-0000-0000F7350000}"/>
    <cellStyle name="Output 2 2 2 3" xfId="13808" xr:uid="{00000000-0005-0000-0000-0000F8350000}"/>
    <cellStyle name="Output 2 2 2 3 2" xfId="13809" xr:uid="{00000000-0005-0000-0000-0000F9350000}"/>
    <cellStyle name="Output 2 2 2 4" xfId="13810" xr:uid="{00000000-0005-0000-0000-0000FA350000}"/>
    <cellStyle name="Output 2 2 3" xfId="13811" xr:uid="{00000000-0005-0000-0000-0000FB350000}"/>
    <cellStyle name="Output 2 2 3 2" xfId="13812" xr:uid="{00000000-0005-0000-0000-0000FC350000}"/>
    <cellStyle name="Output 2 2 3 2 2" xfId="13813" xr:uid="{00000000-0005-0000-0000-0000FD350000}"/>
    <cellStyle name="Output 2 2 3 3" xfId="13814" xr:uid="{00000000-0005-0000-0000-0000FE350000}"/>
    <cellStyle name="Output 2 2 3 3 2" xfId="13815" xr:uid="{00000000-0005-0000-0000-0000FF350000}"/>
    <cellStyle name="Output 2 2 3 4" xfId="13816" xr:uid="{00000000-0005-0000-0000-000000360000}"/>
    <cellStyle name="Output 2 2 3 4 2" xfId="13817" xr:uid="{00000000-0005-0000-0000-000001360000}"/>
    <cellStyle name="Output 2 2 3 5" xfId="13818" xr:uid="{00000000-0005-0000-0000-000002360000}"/>
    <cellStyle name="Output 2 2 3 5 2" xfId="13819" xr:uid="{00000000-0005-0000-0000-000003360000}"/>
    <cellStyle name="Output 2 2 3 6" xfId="13820" xr:uid="{00000000-0005-0000-0000-000004360000}"/>
    <cellStyle name="Output 2 2 4" xfId="13821" xr:uid="{00000000-0005-0000-0000-000005360000}"/>
    <cellStyle name="Output 2 2 4 2" xfId="13822" xr:uid="{00000000-0005-0000-0000-000006360000}"/>
    <cellStyle name="Output 2 2 5" xfId="13823" xr:uid="{00000000-0005-0000-0000-000007360000}"/>
    <cellStyle name="Output 2 2 6" xfId="13824" xr:uid="{00000000-0005-0000-0000-000008360000}"/>
    <cellStyle name="Output 2 3" xfId="13825" xr:uid="{00000000-0005-0000-0000-000009360000}"/>
    <cellStyle name="Output 2 3 2" xfId="13826" xr:uid="{00000000-0005-0000-0000-00000A360000}"/>
    <cellStyle name="Output 2 3 2 2" xfId="13827" xr:uid="{00000000-0005-0000-0000-00000B360000}"/>
    <cellStyle name="Output 2 3 2 2 2" xfId="13828" xr:uid="{00000000-0005-0000-0000-00000C360000}"/>
    <cellStyle name="Output 2 3 2 3" xfId="13829" xr:uid="{00000000-0005-0000-0000-00000D360000}"/>
    <cellStyle name="Output 2 3 2 3 2" xfId="13830" xr:uid="{00000000-0005-0000-0000-00000E360000}"/>
    <cellStyle name="Output 2 3 2 4" xfId="13831" xr:uid="{00000000-0005-0000-0000-00000F360000}"/>
    <cellStyle name="Output 2 3 2 4 2" xfId="13832" xr:uid="{00000000-0005-0000-0000-000010360000}"/>
    <cellStyle name="Output 2 3 2 5" xfId="13833" xr:uid="{00000000-0005-0000-0000-000011360000}"/>
    <cellStyle name="Output 2 3 2 5 2" xfId="13834" xr:uid="{00000000-0005-0000-0000-000012360000}"/>
    <cellStyle name="Output 2 3 2 6" xfId="13835" xr:uid="{00000000-0005-0000-0000-000013360000}"/>
    <cellStyle name="Output 2 3 3" xfId="13836" xr:uid="{00000000-0005-0000-0000-000014360000}"/>
    <cellStyle name="Output 2 3 3 2" xfId="13837" xr:uid="{00000000-0005-0000-0000-000015360000}"/>
    <cellStyle name="Output 2 3 4" xfId="13838" xr:uid="{00000000-0005-0000-0000-000016360000}"/>
    <cellStyle name="Output 2 3 5" xfId="13839" xr:uid="{00000000-0005-0000-0000-000017360000}"/>
    <cellStyle name="Output 2 4" xfId="13840" xr:uid="{00000000-0005-0000-0000-000018360000}"/>
    <cellStyle name="Output 2 4 2" xfId="13841" xr:uid="{00000000-0005-0000-0000-000019360000}"/>
    <cellStyle name="Output 2 4 2 2" xfId="13842" xr:uid="{00000000-0005-0000-0000-00001A360000}"/>
    <cellStyle name="Output 2 4 3" xfId="13843" xr:uid="{00000000-0005-0000-0000-00001B360000}"/>
    <cellStyle name="Output 2 4 3 2" xfId="13844" xr:uid="{00000000-0005-0000-0000-00001C360000}"/>
    <cellStyle name="Output 2 4 4" xfId="13845" xr:uid="{00000000-0005-0000-0000-00001D360000}"/>
    <cellStyle name="Output 2 4 4 2" xfId="13846" xr:uid="{00000000-0005-0000-0000-00001E360000}"/>
    <cellStyle name="Output 2 4 5" xfId="13847" xr:uid="{00000000-0005-0000-0000-00001F360000}"/>
    <cellStyle name="Output 2 4 5 2" xfId="13848" xr:uid="{00000000-0005-0000-0000-000020360000}"/>
    <cellStyle name="Output 2 4 6" xfId="13849" xr:uid="{00000000-0005-0000-0000-000021360000}"/>
    <cellStyle name="Output 2 5" xfId="13850" xr:uid="{00000000-0005-0000-0000-000022360000}"/>
    <cellStyle name="Output 2 5 2" xfId="13851" xr:uid="{00000000-0005-0000-0000-000023360000}"/>
    <cellStyle name="Output 2 6" xfId="13852" xr:uid="{00000000-0005-0000-0000-000024360000}"/>
    <cellStyle name="Output 2 7" xfId="13853" xr:uid="{00000000-0005-0000-0000-000025360000}"/>
    <cellStyle name="Output 2 8" xfId="13854" xr:uid="{00000000-0005-0000-0000-000026360000}"/>
    <cellStyle name="Output 3" xfId="13855" xr:uid="{00000000-0005-0000-0000-000027360000}"/>
    <cellStyle name="Output 3 2" xfId="13856" xr:uid="{00000000-0005-0000-0000-000028360000}"/>
    <cellStyle name="Output 3 2 2" xfId="13857" xr:uid="{00000000-0005-0000-0000-000029360000}"/>
    <cellStyle name="Output 3 2 2 2" xfId="13858" xr:uid="{00000000-0005-0000-0000-00002A360000}"/>
    <cellStyle name="Output 3 2 2 2 2" xfId="13859" xr:uid="{00000000-0005-0000-0000-00002B360000}"/>
    <cellStyle name="Output 3 2 2 3" xfId="13860" xr:uid="{00000000-0005-0000-0000-00002C360000}"/>
    <cellStyle name="Output 3 2 2 3 2" xfId="13861" xr:uid="{00000000-0005-0000-0000-00002D360000}"/>
    <cellStyle name="Output 3 2 2 4" xfId="13862" xr:uid="{00000000-0005-0000-0000-00002E360000}"/>
    <cellStyle name="Output 3 2 2 4 2" xfId="13863" xr:uid="{00000000-0005-0000-0000-00002F360000}"/>
    <cellStyle name="Output 3 2 2 5" xfId="13864" xr:uid="{00000000-0005-0000-0000-000030360000}"/>
    <cellStyle name="Output 3 2 2 5 2" xfId="13865" xr:uid="{00000000-0005-0000-0000-000031360000}"/>
    <cellStyle name="Output 3 2 2 6" xfId="13866" xr:uid="{00000000-0005-0000-0000-000032360000}"/>
    <cellStyle name="Output 3 2 3" xfId="13867" xr:uid="{00000000-0005-0000-0000-000033360000}"/>
    <cellStyle name="Output 3 2 3 2" xfId="13868" xr:uid="{00000000-0005-0000-0000-000034360000}"/>
    <cellStyle name="Output 3 2 4" xfId="13869" xr:uid="{00000000-0005-0000-0000-000035360000}"/>
    <cellStyle name="Output 3 2 5" xfId="13870" xr:uid="{00000000-0005-0000-0000-000036360000}"/>
    <cellStyle name="Output 3 3" xfId="13871" xr:uid="{00000000-0005-0000-0000-000037360000}"/>
    <cellStyle name="Output 3 3 2" xfId="13872" xr:uid="{00000000-0005-0000-0000-000038360000}"/>
    <cellStyle name="Output 3 3 2 2" xfId="13873" xr:uid="{00000000-0005-0000-0000-000039360000}"/>
    <cellStyle name="Output 3 3 3" xfId="13874" xr:uid="{00000000-0005-0000-0000-00003A360000}"/>
    <cellStyle name="Output 3 3 3 2" xfId="13875" xr:uid="{00000000-0005-0000-0000-00003B360000}"/>
    <cellStyle name="Output 3 3 4" xfId="13876" xr:uid="{00000000-0005-0000-0000-00003C360000}"/>
    <cellStyle name="Output 3 3 4 2" xfId="13877" xr:uid="{00000000-0005-0000-0000-00003D360000}"/>
    <cellStyle name="Output 3 3 5" xfId="13878" xr:uid="{00000000-0005-0000-0000-00003E360000}"/>
    <cellStyle name="Output 3 3 5 2" xfId="13879" xr:uid="{00000000-0005-0000-0000-00003F360000}"/>
    <cellStyle name="Output 3 3 6" xfId="13880" xr:uid="{00000000-0005-0000-0000-000040360000}"/>
    <cellStyle name="Output 3 3 7" xfId="13881" xr:uid="{00000000-0005-0000-0000-000041360000}"/>
    <cellStyle name="Output 3 4" xfId="13882" xr:uid="{00000000-0005-0000-0000-000042360000}"/>
    <cellStyle name="Output 3 4 2" xfId="13883" xr:uid="{00000000-0005-0000-0000-000043360000}"/>
    <cellStyle name="Output 3 4 2 2" xfId="13884" xr:uid="{00000000-0005-0000-0000-000044360000}"/>
    <cellStyle name="Output 3 4 3" xfId="13885" xr:uid="{00000000-0005-0000-0000-000045360000}"/>
    <cellStyle name="Output 3 4 3 2" xfId="13886" xr:uid="{00000000-0005-0000-0000-000046360000}"/>
    <cellStyle name="Output 3 4 4" xfId="13887" xr:uid="{00000000-0005-0000-0000-000047360000}"/>
    <cellStyle name="Output 3 4 4 2" xfId="13888" xr:uid="{00000000-0005-0000-0000-000048360000}"/>
    <cellStyle name="Output 3 4 5" xfId="13889" xr:uid="{00000000-0005-0000-0000-000049360000}"/>
    <cellStyle name="Output 3 4 5 2" xfId="13890" xr:uid="{00000000-0005-0000-0000-00004A360000}"/>
    <cellStyle name="Output 3 4 6" xfId="13891" xr:uid="{00000000-0005-0000-0000-00004B360000}"/>
    <cellStyle name="Output 3 5" xfId="13892" xr:uid="{00000000-0005-0000-0000-00004C360000}"/>
    <cellStyle name="Output 3 5 2" xfId="13893" xr:uid="{00000000-0005-0000-0000-00004D360000}"/>
    <cellStyle name="Output 3 6" xfId="13894" xr:uid="{00000000-0005-0000-0000-00004E360000}"/>
    <cellStyle name="Output 3 7" xfId="13895" xr:uid="{00000000-0005-0000-0000-00004F360000}"/>
    <cellStyle name="Output 3 8" xfId="13896" xr:uid="{00000000-0005-0000-0000-000050360000}"/>
    <cellStyle name="Output 4" xfId="13897" xr:uid="{00000000-0005-0000-0000-000051360000}"/>
    <cellStyle name="Output 4 2" xfId="13898" xr:uid="{00000000-0005-0000-0000-000052360000}"/>
    <cellStyle name="Output 5" xfId="13899" xr:uid="{00000000-0005-0000-0000-000053360000}"/>
    <cellStyle name="Output 6" xfId="13900" xr:uid="{00000000-0005-0000-0000-000054360000}"/>
    <cellStyle name="Percent" xfId="15264" builtinId="5"/>
    <cellStyle name="Percent 10" xfId="13901" xr:uid="{00000000-0005-0000-0000-000056360000}"/>
    <cellStyle name="Percent 10 2" xfId="13902" xr:uid="{00000000-0005-0000-0000-000057360000}"/>
    <cellStyle name="Percent 10 2 2" xfId="13903" xr:uid="{00000000-0005-0000-0000-000058360000}"/>
    <cellStyle name="Percent 10 3" xfId="13904" xr:uid="{00000000-0005-0000-0000-000059360000}"/>
    <cellStyle name="Percent 10 3 2" xfId="13905" xr:uid="{00000000-0005-0000-0000-00005A360000}"/>
    <cellStyle name="Percent 10 4" xfId="13906" xr:uid="{00000000-0005-0000-0000-00005B360000}"/>
    <cellStyle name="Percent 10 4 2" xfId="13907" xr:uid="{00000000-0005-0000-0000-00005C360000}"/>
    <cellStyle name="Percent 10 4 3" xfId="15271" xr:uid="{00000000-0005-0000-0000-00005D360000}"/>
    <cellStyle name="Percent 10 5" xfId="13908" xr:uid="{00000000-0005-0000-0000-00005E360000}"/>
    <cellStyle name="Percent 10 6" xfId="13909" xr:uid="{00000000-0005-0000-0000-00005F360000}"/>
    <cellStyle name="Percent 11" xfId="13910" xr:uid="{00000000-0005-0000-0000-000060360000}"/>
    <cellStyle name="Percent 11 2" xfId="13911" xr:uid="{00000000-0005-0000-0000-000061360000}"/>
    <cellStyle name="Percent 11 2 2" xfId="13912" xr:uid="{00000000-0005-0000-0000-000062360000}"/>
    <cellStyle name="Percent 11 2 2 2" xfId="13913" xr:uid="{00000000-0005-0000-0000-000063360000}"/>
    <cellStyle name="Percent 11 2 3" xfId="13914" xr:uid="{00000000-0005-0000-0000-000064360000}"/>
    <cellStyle name="Percent 11 3" xfId="13915" xr:uid="{00000000-0005-0000-0000-000065360000}"/>
    <cellStyle name="Percent 11 3 2" xfId="13916" xr:uid="{00000000-0005-0000-0000-000066360000}"/>
    <cellStyle name="Percent 11 3 2 2" xfId="13917" xr:uid="{00000000-0005-0000-0000-000067360000}"/>
    <cellStyle name="Percent 11 3 3" xfId="13918" xr:uid="{00000000-0005-0000-0000-000068360000}"/>
    <cellStyle name="Percent 11 4" xfId="13919" xr:uid="{00000000-0005-0000-0000-000069360000}"/>
    <cellStyle name="Percent 11 4 2" xfId="13920" xr:uid="{00000000-0005-0000-0000-00006A360000}"/>
    <cellStyle name="Percent 11 5" xfId="13921" xr:uid="{00000000-0005-0000-0000-00006B360000}"/>
    <cellStyle name="Percent 12" xfId="13922" xr:uid="{00000000-0005-0000-0000-00006C360000}"/>
    <cellStyle name="Percent 12 2" xfId="13923" xr:uid="{00000000-0005-0000-0000-00006D360000}"/>
    <cellStyle name="Percent 13" xfId="13924" xr:uid="{00000000-0005-0000-0000-00006E360000}"/>
    <cellStyle name="Percent 13 2" xfId="13925" xr:uid="{00000000-0005-0000-0000-00006F360000}"/>
    <cellStyle name="Percent 14" xfId="13926" xr:uid="{00000000-0005-0000-0000-000070360000}"/>
    <cellStyle name="Percent 14 2" xfId="13927" xr:uid="{00000000-0005-0000-0000-000071360000}"/>
    <cellStyle name="Percent 14 2 2" xfId="13928" xr:uid="{00000000-0005-0000-0000-000072360000}"/>
    <cellStyle name="Percent 14 2 2 2" xfId="13929" xr:uid="{00000000-0005-0000-0000-000073360000}"/>
    <cellStyle name="Percent 14 2 3" xfId="13930" xr:uid="{00000000-0005-0000-0000-000074360000}"/>
    <cellStyle name="Percent 14 2 4" xfId="15269" xr:uid="{00000000-0005-0000-0000-000075360000}"/>
    <cellStyle name="Percent 14 3" xfId="13931" xr:uid="{00000000-0005-0000-0000-000076360000}"/>
    <cellStyle name="Percent 15" xfId="13932" xr:uid="{00000000-0005-0000-0000-000077360000}"/>
    <cellStyle name="Percent 15 2" xfId="15270" xr:uid="{00000000-0005-0000-0000-000078360000}"/>
    <cellStyle name="Percent 16" xfId="13933" xr:uid="{00000000-0005-0000-0000-000079360000}"/>
    <cellStyle name="Percent 16 2" xfId="13934" xr:uid="{00000000-0005-0000-0000-00007A360000}"/>
    <cellStyle name="Percent 16 2 2" xfId="13935" xr:uid="{00000000-0005-0000-0000-00007B360000}"/>
    <cellStyle name="Percent 16 2 2 2" xfId="13936" xr:uid="{00000000-0005-0000-0000-00007C360000}"/>
    <cellStyle name="Percent 16 2 3" xfId="13937" xr:uid="{00000000-0005-0000-0000-00007D360000}"/>
    <cellStyle name="Percent 2" xfId="13938" xr:uid="{00000000-0005-0000-0000-00007E360000}"/>
    <cellStyle name="Percent 2 2" xfId="13939" xr:uid="{00000000-0005-0000-0000-00007F360000}"/>
    <cellStyle name="Percent 2 2 2" xfId="13940" xr:uid="{00000000-0005-0000-0000-000080360000}"/>
    <cellStyle name="Percent 2 2 2 2" xfId="13941" xr:uid="{00000000-0005-0000-0000-000081360000}"/>
    <cellStyle name="Percent 2 2 2 3" xfId="13942" xr:uid="{00000000-0005-0000-0000-000082360000}"/>
    <cellStyle name="Percent 2 2 3" xfId="13943" xr:uid="{00000000-0005-0000-0000-000083360000}"/>
    <cellStyle name="Percent 2 2 3 2" xfId="13944" xr:uid="{00000000-0005-0000-0000-000084360000}"/>
    <cellStyle name="Percent 2 2 3 2 2" xfId="13945" xr:uid="{00000000-0005-0000-0000-000085360000}"/>
    <cellStyle name="Percent 2 2 3 3" xfId="13946" xr:uid="{00000000-0005-0000-0000-000086360000}"/>
    <cellStyle name="Percent 2 2 3 4" xfId="13947" xr:uid="{00000000-0005-0000-0000-000087360000}"/>
    <cellStyle name="Percent 2 2 4" xfId="13948" xr:uid="{00000000-0005-0000-0000-000088360000}"/>
    <cellStyle name="Percent 2 2 5" xfId="13949" xr:uid="{00000000-0005-0000-0000-000089360000}"/>
    <cellStyle name="Percent 2 2 6" xfId="13950" xr:uid="{00000000-0005-0000-0000-00008A360000}"/>
    <cellStyle name="Percent 2 3" xfId="13951" xr:uid="{00000000-0005-0000-0000-00008B360000}"/>
    <cellStyle name="Percent 2 3 2" xfId="13952" xr:uid="{00000000-0005-0000-0000-00008C360000}"/>
    <cellStyle name="Percent 2 3 2 2" xfId="13953" xr:uid="{00000000-0005-0000-0000-00008D360000}"/>
    <cellStyle name="Percent 2 3 3" xfId="13954" xr:uid="{00000000-0005-0000-0000-00008E360000}"/>
    <cellStyle name="Percent 2 3 3 2" xfId="13955" xr:uid="{00000000-0005-0000-0000-00008F360000}"/>
    <cellStyle name="Percent 2 3 4" xfId="13956" xr:uid="{00000000-0005-0000-0000-000090360000}"/>
    <cellStyle name="Percent 2 3 5" xfId="13957" xr:uid="{00000000-0005-0000-0000-000091360000}"/>
    <cellStyle name="Percent 2 4" xfId="13958" xr:uid="{00000000-0005-0000-0000-000092360000}"/>
    <cellStyle name="Percent 2 4 2" xfId="13959" xr:uid="{00000000-0005-0000-0000-000093360000}"/>
    <cellStyle name="Percent 2 4 2 2" xfId="13960" xr:uid="{00000000-0005-0000-0000-000094360000}"/>
    <cellStyle name="Percent 2 4 3" xfId="13961" xr:uid="{00000000-0005-0000-0000-000095360000}"/>
    <cellStyle name="Percent 2 4 3 2" xfId="13962" xr:uid="{00000000-0005-0000-0000-000096360000}"/>
    <cellStyle name="Percent 2 4 4" xfId="13963" xr:uid="{00000000-0005-0000-0000-000097360000}"/>
    <cellStyle name="Percent 2 4 5" xfId="13964" xr:uid="{00000000-0005-0000-0000-000098360000}"/>
    <cellStyle name="Percent 2 5" xfId="13965" xr:uid="{00000000-0005-0000-0000-000099360000}"/>
    <cellStyle name="Percent 2 5 2" xfId="13966" xr:uid="{00000000-0005-0000-0000-00009A360000}"/>
    <cellStyle name="Percent 2 6" xfId="13967" xr:uid="{00000000-0005-0000-0000-00009B360000}"/>
    <cellStyle name="Percent 2 6 2" xfId="13968" xr:uid="{00000000-0005-0000-0000-00009C360000}"/>
    <cellStyle name="Percent 2 6 3" xfId="13969" xr:uid="{00000000-0005-0000-0000-00009D360000}"/>
    <cellStyle name="Percent 2 7" xfId="13970" xr:uid="{00000000-0005-0000-0000-00009E360000}"/>
    <cellStyle name="Percent 2 8" xfId="13971" xr:uid="{00000000-0005-0000-0000-00009F360000}"/>
    <cellStyle name="Percent 2 9" xfId="13972" xr:uid="{00000000-0005-0000-0000-0000A0360000}"/>
    <cellStyle name="Percent 3" xfId="13973" xr:uid="{00000000-0005-0000-0000-0000A1360000}"/>
    <cellStyle name="Percent 3 10" xfId="13974" xr:uid="{00000000-0005-0000-0000-0000A2360000}"/>
    <cellStyle name="Percent 3 10 2" xfId="13975" xr:uid="{00000000-0005-0000-0000-0000A3360000}"/>
    <cellStyle name="Percent 3 11" xfId="13976" xr:uid="{00000000-0005-0000-0000-0000A4360000}"/>
    <cellStyle name="Percent 3 12" xfId="13977" xr:uid="{00000000-0005-0000-0000-0000A5360000}"/>
    <cellStyle name="Percent 3 13" xfId="13978" xr:uid="{00000000-0005-0000-0000-0000A6360000}"/>
    <cellStyle name="Percent 3 2" xfId="13979" xr:uid="{00000000-0005-0000-0000-0000A7360000}"/>
    <cellStyle name="Percent 3 2 10" xfId="13980" xr:uid="{00000000-0005-0000-0000-0000A8360000}"/>
    <cellStyle name="Percent 3 2 2" xfId="13981" xr:uid="{00000000-0005-0000-0000-0000A9360000}"/>
    <cellStyle name="Percent 3 2 2 2" xfId="13982" xr:uid="{00000000-0005-0000-0000-0000AA360000}"/>
    <cellStyle name="Percent 3 2 2 2 2" xfId="13983" xr:uid="{00000000-0005-0000-0000-0000AB360000}"/>
    <cellStyle name="Percent 3 2 2 2 2 2" xfId="13984" xr:uid="{00000000-0005-0000-0000-0000AC360000}"/>
    <cellStyle name="Percent 3 2 2 2 2 2 2" xfId="13985" xr:uid="{00000000-0005-0000-0000-0000AD360000}"/>
    <cellStyle name="Percent 3 2 2 2 2 2 2 2" xfId="13986" xr:uid="{00000000-0005-0000-0000-0000AE360000}"/>
    <cellStyle name="Percent 3 2 2 2 2 2 2 2 2" xfId="13987" xr:uid="{00000000-0005-0000-0000-0000AF360000}"/>
    <cellStyle name="Percent 3 2 2 2 2 2 2 3" xfId="13988" xr:uid="{00000000-0005-0000-0000-0000B0360000}"/>
    <cellStyle name="Percent 3 2 2 2 2 2 3" xfId="13989" xr:uid="{00000000-0005-0000-0000-0000B1360000}"/>
    <cellStyle name="Percent 3 2 2 2 2 2 3 2" xfId="13990" xr:uid="{00000000-0005-0000-0000-0000B2360000}"/>
    <cellStyle name="Percent 3 2 2 2 2 2 3 2 2" xfId="13991" xr:uid="{00000000-0005-0000-0000-0000B3360000}"/>
    <cellStyle name="Percent 3 2 2 2 2 2 3 3" xfId="13992" xr:uid="{00000000-0005-0000-0000-0000B4360000}"/>
    <cellStyle name="Percent 3 2 2 2 2 2 4" xfId="13993" xr:uid="{00000000-0005-0000-0000-0000B5360000}"/>
    <cellStyle name="Percent 3 2 2 2 2 2 4 2" xfId="13994" xr:uid="{00000000-0005-0000-0000-0000B6360000}"/>
    <cellStyle name="Percent 3 2 2 2 2 2 5" xfId="13995" xr:uid="{00000000-0005-0000-0000-0000B7360000}"/>
    <cellStyle name="Percent 3 2 2 2 2 3" xfId="13996" xr:uid="{00000000-0005-0000-0000-0000B8360000}"/>
    <cellStyle name="Percent 3 2 2 2 2 3 2" xfId="13997" xr:uid="{00000000-0005-0000-0000-0000B9360000}"/>
    <cellStyle name="Percent 3 2 2 2 2 3 2 2" xfId="13998" xr:uid="{00000000-0005-0000-0000-0000BA360000}"/>
    <cellStyle name="Percent 3 2 2 2 2 3 3" xfId="13999" xr:uid="{00000000-0005-0000-0000-0000BB360000}"/>
    <cellStyle name="Percent 3 2 2 2 2 4" xfId="14000" xr:uid="{00000000-0005-0000-0000-0000BC360000}"/>
    <cellStyle name="Percent 3 2 2 2 2 4 2" xfId="14001" xr:uid="{00000000-0005-0000-0000-0000BD360000}"/>
    <cellStyle name="Percent 3 2 2 2 2 4 2 2" xfId="14002" xr:uid="{00000000-0005-0000-0000-0000BE360000}"/>
    <cellStyle name="Percent 3 2 2 2 2 4 3" xfId="14003" xr:uid="{00000000-0005-0000-0000-0000BF360000}"/>
    <cellStyle name="Percent 3 2 2 2 2 5" xfId="14004" xr:uid="{00000000-0005-0000-0000-0000C0360000}"/>
    <cellStyle name="Percent 3 2 2 2 2 5 2" xfId="14005" xr:uid="{00000000-0005-0000-0000-0000C1360000}"/>
    <cellStyle name="Percent 3 2 2 2 2 6" xfId="14006" xr:uid="{00000000-0005-0000-0000-0000C2360000}"/>
    <cellStyle name="Percent 3 2 2 2 3" xfId="14007" xr:uid="{00000000-0005-0000-0000-0000C3360000}"/>
    <cellStyle name="Percent 3 2 2 2 3 2" xfId="14008" xr:uid="{00000000-0005-0000-0000-0000C4360000}"/>
    <cellStyle name="Percent 3 2 2 2 3 2 2" xfId="14009" xr:uid="{00000000-0005-0000-0000-0000C5360000}"/>
    <cellStyle name="Percent 3 2 2 2 3 2 2 2" xfId="14010" xr:uid="{00000000-0005-0000-0000-0000C6360000}"/>
    <cellStyle name="Percent 3 2 2 2 3 2 3" xfId="14011" xr:uid="{00000000-0005-0000-0000-0000C7360000}"/>
    <cellStyle name="Percent 3 2 2 2 3 3" xfId="14012" xr:uid="{00000000-0005-0000-0000-0000C8360000}"/>
    <cellStyle name="Percent 3 2 2 2 3 3 2" xfId="14013" xr:uid="{00000000-0005-0000-0000-0000C9360000}"/>
    <cellStyle name="Percent 3 2 2 2 3 3 2 2" xfId="14014" xr:uid="{00000000-0005-0000-0000-0000CA360000}"/>
    <cellStyle name="Percent 3 2 2 2 3 3 3" xfId="14015" xr:uid="{00000000-0005-0000-0000-0000CB360000}"/>
    <cellStyle name="Percent 3 2 2 2 3 4" xfId="14016" xr:uid="{00000000-0005-0000-0000-0000CC360000}"/>
    <cellStyle name="Percent 3 2 2 2 3 4 2" xfId="14017" xr:uid="{00000000-0005-0000-0000-0000CD360000}"/>
    <cellStyle name="Percent 3 2 2 2 3 5" xfId="14018" xr:uid="{00000000-0005-0000-0000-0000CE360000}"/>
    <cellStyle name="Percent 3 2 2 2 4" xfId="14019" xr:uid="{00000000-0005-0000-0000-0000CF360000}"/>
    <cellStyle name="Percent 3 2 2 2 4 2" xfId="14020" xr:uid="{00000000-0005-0000-0000-0000D0360000}"/>
    <cellStyle name="Percent 3 2 2 2 4 2 2" xfId="14021" xr:uid="{00000000-0005-0000-0000-0000D1360000}"/>
    <cellStyle name="Percent 3 2 2 2 4 3" xfId="14022" xr:uid="{00000000-0005-0000-0000-0000D2360000}"/>
    <cellStyle name="Percent 3 2 2 2 5" xfId="14023" xr:uid="{00000000-0005-0000-0000-0000D3360000}"/>
    <cellStyle name="Percent 3 2 2 2 5 2" xfId="14024" xr:uid="{00000000-0005-0000-0000-0000D4360000}"/>
    <cellStyle name="Percent 3 2 2 2 5 2 2" xfId="14025" xr:uid="{00000000-0005-0000-0000-0000D5360000}"/>
    <cellStyle name="Percent 3 2 2 2 5 3" xfId="14026" xr:uid="{00000000-0005-0000-0000-0000D6360000}"/>
    <cellStyle name="Percent 3 2 2 2 6" xfId="14027" xr:uid="{00000000-0005-0000-0000-0000D7360000}"/>
    <cellStyle name="Percent 3 2 2 2 6 2" xfId="14028" xr:uid="{00000000-0005-0000-0000-0000D8360000}"/>
    <cellStyle name="Percent 3 2 2 2 7" xfId="14029" xr:uid="{00000000-0005-0000-0000-0000D9360000}"/>
    <cellStyle name="Percent 3 2 2 3" xfId="14030" xr:uid="{00000000-0005-0000-0000-0000DA360000}"/>
    <cellStyle name="Percent 3 2 2 3 2" xfId="14031" xr:uid="{00000000-0005-0000-0000-0000DB360000}"/>
    <cellStyle name="Percent 3 2 2 3 2 2" xfId="14032" xr:uid="{00000000-0005-0000-0000-0000DC360000}"/>
    <cellStyle name="Percent 3 2 2 3 2 2 2" xfId="14033" xr:uid="{00000000-0005-0000-0000-0000DD360000}"/>
    <cellStyle name="Percent 3 2 2 3 2 2 2 2" xfId="14034" xr:uid="{00000000-0005-0000-0000-0000DE360000}"/>
    <cellStyle name="Percent 3 2 2 3 2 2 3" xfId="14035" xr:uid="{00000000-0005-0000-0000-0000DF360000}"/>
    <cellStyle name="Percent 3 2 2 3 2 3" xfId="14036" xr:uid="{00000000-0005-0000-0000-0000E0360000}"/>
    <cellStyle name="Percent 3 2 2 3 2 3 2" xfId="14037" xr:uid="{00000000-0005-0000-0000-0000E1360000}"/>
    <cellStyle name="Percent 3 2 2 3 2 3 2 2" xfId="14038" xr:uid="{00000000-0005-0000-0000-0000E2360000}"/>
    <cellStyle name="Percent 3 2 2 3 2 3 3" xfId="14039" xr:uid="{00000000-0005-0000-0000-0000E3360000}"/>
    <cellStyle name="Percent 3 2 2 3 2 4" xfId="14040" xr:uid="{00000000-0005-0000-0000-0000E4360000}"/>
    <cellStyle name="Percent 3 2 2 3 2 4 2" xfId="14041" xr:uid="{00000000-0005-0000-0000-0000E5360000}"/>
    <cellStyle name="Percent 3 2 2 3 2 5" xfId="14042" xr:uid="{00000000-0005-0000-0000-0000E6360000}"/>
    <cellStyle name="Percent 3 2 2 3 3" xfId="14043" xr:uid="{00000000-0005-0000-0000-0000E7360000}"/>
    <cellStyle name="Percent 3 2 2 3 3 2" xfId="14044" xr:uid="{00000000-0005-0000-0000-0000E8360000}"/>
    <cellStyle name="Percent 3 2 2 3 3 2 2" xfId="14045" xr:uid="{00000000-0005-0000-0000-0000E9360000}"/>
    <cellStyle name="Percent 3 2 2 3 3 3" xfId="14046" xr:uid="{00000000-0005-0000-0000-0000EA360000}"/>
    <cellStyle name="Percent 3 2 2 3 4" xfId="14047" xr:uid="{00000000-0005-0000-0000-0000EB360000}"/>
    <cellStyle name="Percent 3 2 2 3 4 2" xfId="14048" xr:uid="{00000000-0005-0000-0000-0000EC360000}"/>
    <cellStyle name="Percent 3 2 2 3 4 2 2" xfId="14049" xr:uid="{00000000-0005-0000-0000-0000ED360000}"/>
    <cellStyle name="Percent 3 2 2 3 4 3" xfId="14050" xr:uid="{00000000-0005-0000-0000-0000EE360000}"/>
    <cellStyle name="Percent 3 2 2 3 5" xfId="14051" xr:uid="{00000000-0005-0000-0000-0000EF360000}"/>
    <cellStyle name="Percent 3 2 2 3 5 2" xfId="14052" xr:uid="{00000000-0005-0000-0000-0000F0360000}"/>
    <cellStyle name="Percent 3 2 2 3 6" xfId="14053" xr:uid="{00000000-0005-0000-0000-0000F1360000}"/>
    <cellStyle name="Percent 3 2 2 4" xfId="14054" xr:uid="{00000000-0005-0000-0000-0000F2360000}"/>
    <cellStyle name="Percent 3 2 2 4 2" xfId="14055" xr:uid="{00000000-0005-0000-0000-0000F3360000}"/>
    <cellStyle name="Percent 3 2 2 4 2 2" xfId="14056" xr:uid="{00000000-0005-0000-0000-0000F4360000}"/>
    <cellStyle name="Percent 3 2 2 4 2 2 2" xfId="14057" xr:uid="{00000000-0005-0000-0000-0000F5360000}"/>
    <cellStyle name="Percent 3 2 2 4 2 3" xfId="14058" xr:uid="{00000000-0005-0000-0000-0000F6360000}"/>
    <cellStyle name="Percent 3 2 2 4 3" xfId="14059" xr:uid="{00000000-0005-0000-0000-0000F7360000}"/>
    <cellStyle name="Percent 3 2 2 4 3 2" xfId="14060" xr:uid="{00000000-0005-0000-0000-0000F8360000}"/>
    <cellStyle name="Percent 3 2 2 4 3 2 2" xfId="14061" xr:uid="{00000000-0005-0000-0000-0000F9360000}"/>
    <cellStyle name="Percent 3 2 2 4 3 3" xfId="14062" xr:uid="{00000000-0005-0000-0000-0000FA360000}"/>
    <cellStyle name="Percent 3 2 2 4 4" xfId="14063" xr:uid="{00000000-0005-0000-0000-0000FB360000}"/>
    <cellStyle name="Percent 3 2 2 4 4 2" xfId="14064" xr:uid="{00000000-0005-0000-0000-0000FC360000}"/>
    <cellStyle name="Percent 3 2 2 4 5" xfId="14065" xr:uid="{00000000-0005-0000-0000-0000FD360000}"/>
    <cellStyle name="Percent 3 2 2 5" xfId="14066" xr:uid="{00000000-0005-0000-0000-0000FE360000}"/>
    <cellStyle name="Percent 3 2 2 5 2" xfId="14067" xr:uid="{00000000-0005-0000-0000-0000FF360000}"/>
    <cellStyle name="Percent 3 2 2 5 2 2" xfId="14068" xr:uid="{00000000-0005-0000-0000-000000370000}"/>
    <cellStyle name="Percent 3 2 2 5 3" xfId="14069" xr:uid="{00000000-0005-0000-0000-000001370000}"/>
    <cellStyle name="Percent 3 2 2 6" xfId="14070" xr:uid="{00000000-0005-0000-0000-000002370000}"/>
    <cellStyle name="Percent 3 2 2 6 2" xfId="14071" xr:uid="{00000000-0005-0000-0000-000003370000}"/>
    <cellStyle name="Percent 3 2 2 6 2 2" xfId="14072" xr:uid="{00000000-0005-0000-0000-000004370000}"/>
    <cellStyle name="Percent 3 2 2 6 3" xfId="14073" xr:uid="{00000000-0005-0000-0000-000005370000}"/>
    <cellStyle name="Percent 3 2 2 7" xfId="14074" xr:uid="{00000000-0005-0000-0000-000006370000}"/>
    <cellStyle name="Percent 3 2 2 7 2" xfId="14075" xr:uid="{00000000-0005-0000-0000-000007370000}"/>
    <cellStyle name="Percent 3 2 2 8" xfId="14076" xr:uid="{00000000-0005-0000-0000-000008370000}"/>
    <cellStyle name="Percent 3 2 2 9" xfId="14077" xr:uid="{00000000-0005-0000-0000-000009370000}"/>
    <cellStyle name="Percent 3 2 3" xfId="14078" xr:uid="{00000000-0005-0000-0000-00000A370000}"/>
    <cellStyle name="Percent 3 2 3 2" xfId="14079" xr:uid="{00000000-0005-0000-0000-00000B370000}"/>
    <cellStyle name="Percent 3 2 3 2 2" xfId="14080" xr:uid="{00000000-0005-0000-0000-00000C370000}"/>
    <cellStyle name="Percent 3 2 3 2 2 2" xfId="14081" xr:uid="{00000000-0005-0000-0000-00000D370000}"/>
    <cellStyle name="Percent 3 2 3 2 2 2 2" xfId="14082" xr:uid="{00000000-0005-0000-0000-00000E370000}"/>
    <cellStyle name="Percent 3 2 3 2 2 2 2 2" xfId="14083" xr:uid="{00000000-0005-0000-0000-00000F370000}"/>
    <cellStyle name="Percent 3 2 3 2 2 2 3" xfId="14084" xr:uid="{00000000-0005-0000-0000-000010370000}"/>
    <cellStyle name="Percent 3 2 3 2 2 3" xfId="14085" xr:uid="{00000000-0005-0000-0000-000011370000}"/>
    <cellStyle name="Percent 3 2 3 2 2 3 2" xfId="14086" xr:uid="{00000000-0005-0000-0000-000012370000}"/>
    <cellStyle name="Percent 3 2 3 2 2 3 2 2" xfId="14087" xr:uid="{00000000-0005-0000-0000-000013370000}"/>
    <cellStyle name="Percent 3 2 3 2 2 3 3" xfId="14088" xr:uid="{00000000-0005-0000-0000-000014370000}"/>
    <cellStyle name="Percent 3 2 3 2 2 4" xfId="14089" xr:uid="{00000000-0005-0000-0000-000015370000}"/>
    <cellStyle name="Percent 3 2 3 2 2 4 2" xfId="14090" xr:uid="{00000000-0005-0000-0000-000016370000}"/>
    <cellStyle name="Percent 3 2 3 2 2 5" xfId="14091" xr:uid="{00000000-0005-0000-0000-000017370000}"/>
    <cellStyle name="Percent 3 2 3 2 3" xfId="14092" xr:uid="{00000000-0005-0000-0000-000018370000}"/>
    <cellStyle name="Percent 3 2 3 2 3 2" xfId="14093" xr:uid="{00000000-0005-0000-0000-000019370000}"/>
    <cellStyle name="Percent 3 2 3 2 3 2 2" xfId="14094" xr:uid="{00000000-0005-0000-0000-00001A370000}"/>
    <cellStyle name="Percent 3 2 3 2 3 3" xfId="14095" xr:uid="{00000000-0005-0000-0000-00001B370000}"/>
    <cellStyle name="Percent 3 2 3 2 4" xfId="14096" xr:uid="{00000000-0005-0000-0000-00001C370000}"/>
    <cellStyle name="Percent 3 2 3 2 4 2" xfId="14097" xr:uid="{00000000-0005-0000-0000-00001D370000}"/>
    <cellStyle name="Percent 3 2 3 2 4 2 2" xfId="14098" xr:uid="{00000000-0005-0000-0000-00001E370000}"/>
    <cellStyle name="Percent 3 2 3 2 4 3" xfId="14099" xr:uid="{00000000-0005-0000-0000-00001F370000}"/>
    <cellStyle name="Percent 3 2 3 2 5" xfId="14100" xr:uid="{00000000-0005-0000-0000-000020370000}"/>
    <cellStyle name="Percent 3 2 3 2 5 2" xfId="14101" xr:uid="{00000000-0005-0000-0000-000021370000}"/>
    <cellStyle name="Percent 3 2 3 2 6" xfId="14102" xr:uid="{00000000-0005-0000-0000-000022370000}"/>
    <cellStyle name="Percent 3 2 3 3" xfId="14103" xr:uid="{00000000-0005-0000-0000-000023370000}"/>
    <cellStyle name="Percent 3 2 3 3 2" xfId="14104" xr:uid="{00000000-0005-0000-0000-000024370000}"/>
    <cellStyle name="Percent 3 2 3 3 2 2" xfId="14105" xr:uid="{00000000-0005-0000-0000-000025370000}"/>
    <cellStyle name="Percent 3 2 3 3 2 2 2" xfId="14106" xr:uid="{00000000-0005-0000-0000-000026370000}"/>
    <cellStyle name="Percent 3 2 3 3 2 3" xfId="14107" xr:uid="{00000000-0005-0000-0000-000027370000}"/>
    <cellStyle name="Percent 3 2 3 3 3" xfId="14108" xr:uid="{00000000-0005-0000-0000-000028370000}"/>
    <cellStyle name="Percent 3 2 3 3 3 2" xfId="14109" xr:uid="{00000000-0005-0000-0000-000029370000}"/>
    <cellStyle name="Percent 3 2 3 3 3 2 2" xfId="14110" xr:uid="{00000000-0005-0000-0000-00002A370000}"/>
    <cellStyle name="Percent 3 2 3 3 3 3" xfId="14111" xr:uid="{00000000-0005-0000-0000-00002B370000}"/>
    <cellStyle name="Percent 3 2 3 3 4" xfId="14112" xr:uid="{00000000-0005-0000-0000-00002C370000}"/>
    <cellStyle name="Percent 3 2 3 3 4 2" xfId="14113" xr:uid="{00000000-0005-0000-0000-00002D370000}"/>
    <cellStyle name="Percent 3 2 3 3 5" xfId="14114" xr:uid="{00000000-0005-0000-0000-00002E370000}"/>
    <cellStyle name="Percent 3 2 3 4" xfId="14115" xr:uid="{00000000-0005-0000-0000-00002F370000}"/>
    <cellStyle name="Percent 3 2 3 4 2" xfId="14116" xr:uid="{00000000-0005-0000-0000-000030370000}"/>
    <cellStyle name="Percent 3 2 3 4 2 2" xfId="14117" xr:uid="{00000000-0005-0000-0000-000031370000}"/>
    <cellStyle name="Percent 3 2 3 4 3" xfId="14118" xr:uid="{00000000-0005-0000-0000-000032370000}"/>
    <cellStyle name="Percent 3 2 3 5" xfId="14119" xr:uid="{00000000-0005-0000-0000-000033370000}"/>
    <cellStyle name="Percent 3 2 3 5 2" xfId="14120" xr:uid="{00000000-0005-0000-0000-000034370000}"/>
    <cellStyle name="Percent 3 2 3 5 2 2" xfId="14121" xr:uid="{00000000-0005-0000-0000-000035370000}"/>
    <cellStyle name="Percent 3 2 3 5 3" xfId="14122" xr:uid="{00000000-0005-0000-0000-000036370000}"/>
    <cellStyle name="Percent 3 2 3 6" xfId="14123" xr:uid="{00000000-0005-0000-0000-000037370000}"/>
    <cellStyle name="Percent 3 2 3 6 2" xfId="14124" xr:uid="{00000000-0005-0000-0000-000038370000}"/>
    <cellStyle name="Percent 3 2 3 7" xfId="14125" xr:uid="{00000000-0005-0000-0000-000039370000}"/>
    <cellStyle name="Percent 3 2 4" xfId="14126" xr:uid="{00000000-0005-0000-0000-00003A370000}"/>
    <cellStyle name="Percent 3 2 4 2" xfId="14127" xr:uid="{00000000-0005-0000-0000-00003B370000}"/>
    <cellStyle name="Percent 3 2 4 2 2" xfId="14128" xr:uid="{00000000-0005-0000-0000-00003C370000}"/>
    <cellStyle name="Percent 3 2 4 2 2 2" xfId="14129" xr:uid="{00000000-0005-0000-0000-00003D370000}"/>
    <cellStyle name="Percent 3 2 4 2 2 2 2" xfId="14130" xr:uid="{00000000-0005-0000-0000-00003E370000}"/>
    <cellStyle name="Percent 3 2 4 2 2 3" xfId="14131" xr:uid="{00000000-0005-0000-0000-00003F370000}"/>
    <cellStyle name="Percent 3 2 4 2 3" xfId="14132" xr:uid="{00000000-0005-0000-0000-000040370000}"/>
    <cellStyle name="Percent 3 2 4 2 3 2" xfId="14133" xr:uid="{00000000-0005-0000-0000-000041370000}"/>
    <cellStyle name="Percent 3 2 4 2 3 2 2" xfId="14134" xr:uid="{00000000-0005-0000-0000-000042370000}"/>
    <cellStyle name="Percent 3 2 4 2 3 3" xfId="14135" xr:uid="{00000000-0005-0000-0000-000043370000}"/>
    <cellStyle name="Percent 3 2 4 2 4" xfId="14136" xr:uid="{00000000-0005-0000-0000-000044370000}"/>
    <cellStyle name="Percent 3 2 4 2 4 2" xfId="14137" xr:uid="{00000000-0005-0000-0000-000045370000}"/>
    <cellStyle name="Percent 3 2 4 2 5" xfId="14138" xr:uid="{00000000-0005-0000-0000-000046370000}"/>
    <cellStyle name="Percent 3 2 4 3" xfId="14139" xr:uid="{00000000-0005-0000-0000-000047370000}"/>
    <cellStyle name="Percent 3 2 4 3 2" xfId="14140" xr:uid="{00000000-0005-0000-0000-000048370000}"/>
    <cellStyle name="Percent 3 2 4 3 2 2" xfId="14141" xr:uid="{00000000-0005-0000-0000-000049370000}"/>
    <cellStyle name="Percent 3 2 4 3 3" xfId="14142" xr:uid="{00000000-0005-0000-0000-00004A370000}"/>
    <cellStyle name="Percent 3 2 4 4" xfId="14143" xr:uid="{00000000-0005-0000-0000-00004B370000}"/>
    <cellStyle name="Percent 3 2 4 4 2" xfId="14144" xr:uid="{00000000-0005-0000-0000-00004C370000}"/>
    <cellStyle name="Percent 3 2 4 4 2 2" xfId="14145" xr:uid="{00000000-0005-0000-0000-00004D370000}"/>
    <cellStyle name="Percent 3 2 4 4 3" xfId="14146" xr:uid="{00000000-0005-0000-0000-00004E370000}"/>
    <cellStyle name="Percent 3 2 4 5" xfId="14147" xr:uid="{00000000-0005-0000-0000-00004F370000}"/>
    <cellStyle name="Percent 3 2 4 5 2" xfId="14148" xr:uid="{00000000-0005-0000-0000-000050370000}"/>
    <cellStyle name="Percent 3 2 4 6" xfId="14149" xr:uid="{00000000-0005-0000-0000-000051370000}"/>
    <cellStyle name="Percent 3 2 5" xfId="14150" xr:uid="{00000000-0005-0000-0000-000052370000}"/>
    <cellStyle name="Percent 3 2 5 2" xfId="14151" xr:uid="{00000000-0005-0000-0000-000053370000}"/>
    <cellStyle name="Percent 3 2 5 2 2" xfId="14152" xr:uid="{00000000-0005-0000-0000-000054370000}"/>
    <cellStyle name="Percent 3 2 5 2 2 2" xfId="14153" xr:uid="{00000000-0005-0000-0000-000055370000}"/>
    <cellStyle name="Percent 3 2 5 2 3" xfId="14154" xr:uid="{00000000-0005-0000-0000-000056370000}"/>
    <cellStyle name="Percent 3 2 5 3" xfId="14155" xr:uid="{00000000-0005-0000-0000-000057370000}"/>
    <cellStyle name="Percent 3 2 5 3 2" xfId="14156" xr:uid="{00000000-0005-0000-0000-000058370000}"/>
    <cellStyle name="Percent 3 2 5 3 2 2" xfId="14157" xr:uid="{00000000-0005-0000-0000-000059370000}"/>
    <cellStyle name="Percent 3 2 5 3 3" xfId="14158" xr:uid="{00000000-0005-0000-0000-00005A370000}"/>
    <cellStyle name="Percent 3 2 5 4" xfId="14159" xr:uid="{00000000-0005-0000-0000-00005B370000}"/>
    <cellStyle name="Percent 3 2 5 4 2" xfId="14160" xr:uid="{00000000-0005-0000-0000-00005C370000}"/>
    <cellStyle name="Percent 3 2 5 5" xfId="14161" xr:uid="{00000000-0005-0000-0000-00005D370000}"/>
    <cellStyle name="Percent 3 2 6" xfId="14162" xr:uid="{00000000-0005-0000-0000-00005E370000}"/>
    <cellStyle name="Percent 3 2 6 2" xfId="14163" xr:uid="{00000000-0005-0000-0000-00005F370000}"/>
    <cellStyle name="Percent 3 2 6 2 2" xfId="14164" xr:uid="{00000000-0005-0000-0000-000060370000}"/>
    <cellStyle name="Percent 3 2 6 3" xfId="14165" xr:uid="{00000000-0005-0000-0000-000061370000}"/>
    <cellStyle name="Percent 3 2 7" xfId="14166" xr:uid="{00000000-0005-0000-0000-000062370000}"/>
    <cellStyle name="Percent 3 2 7 2" xfId="14167" xr:uid="{00000000-0005-0000-0000-000063370000}"/>
    <cellStyle name="Percent 3 2 7 2 2" xfId="14168" xr:uid="{00000000-0005-0000-0000-000064370000}"/>
    <cellStyle name="Percent 3 2 7 3" xfId="14169" xr:uid="{00000000-0005-0000-0000-000065370000}"/>
    <cellStyle name="Percent 3 2 8" xfId="14170" xr:uid="{00000000-0005-0000-0000-000066370000}"/>
    <cellStyle name="Percent 3 2 8 2" xfId="14171" xr:uid="{00000000-0005-0000-0000-000067370000}"/>
    <cellStyle name="Percent 3 2 9" xfId="14172" xr:uid="{00000000-0005-0000-0000-000068370000}"/>
    <cellStyle name="Percent 3 3" xfId="14173" xr:uid="{00000000-0005-0000-0000-000069370000}"/>
    <cellStyle name="Percent 3 3 2" xfId="14174" xr:uid="{00000000-0005-0000-0000-00006A370000}"/>
    <cellStyle name="Percent 3 3 2 2" xfId="14175" xr:uid="{00000000-0005-0000-0000-00006B370000}"/>
    <cellStyle name="Percent 3 3 2 2 2" xfId="14176" xr:uid="{00000000-0005-0000-0000-00006C370000}"/>
    <cellStyle name="Percent 3 3 2 2 2 2" xfId="14177" xr:uid="{00000000-0005-0000-0000-00006D370000}"/>
    <cellStyle name="Percent 3 3 2 2 2 2 2" xfId="14178" xr:uid="{00000000-0005-0000-0000-00006E370000}"/>
    <cellStyle name="Percent 3 3 2 2 2 2 2 2" xfId="14179" xr:uid="{00000000-0005-0000-0000-00006F370000}"/>
    <cellStyle name="Percent 3 3 2 2 2 2 3" xfId="14180" xr:uid="{00000000-0005-0000-0000-000070370000}"/>
    <cellStyle name="Percent 3 3 2 2 2 3" xfId="14181" xr:uid="{00000000-0005-0000-0000-000071370000}"/>
    <cellStyle name="Percent 3 3 2 2 2 3 2" xfId="14182" xr:uid="{00000000-0005-0000-0000-000072370000}"/>
    <cellStyle name="Percent 3 3 2 2 2 3 2 2" xfId="14183" xr:uid="{00000000-0005-0000-0000-000073370000}"/>
    <cellStyle name="Percent 3 3 2 2 2 3 3" xfId="14184" xr:uid="{00000000-0005-0000-0000-000074370000}"/>
    <cellStyle name="Percent 3 3 2 2 2 4" xfId="14185" xr:uid="{00000000-0005-0000-0000-000075370000}"/>
    <cellStyle name="Percent 3 3 2 2 2 4 2" xfId="14186" xr:uid="{00000000-0005-0000-0000-000076370000}"/>
    <cellStyle name="Percent 3 3 2 2 2 5" xfId="14187" xr:uid="{00000000-0005-0000-0000-000077370000}"/>
    <cellStyle name="Percent 3 3 2 2 3" xfId="14188" xr:uid="{00000000-0005-0000-0000-000078370000}"/>
    <cellStyle name="Percent 3 3 2 2 3 2" xfId="14189" xr:uid="{00000000-0005-0000-0000-000079370000}"/>
    <cellStyle name="Percent 3 3 2 2 3 2 2" xfId="14190" xr:uid="{00000000-0005-0000-0000-00007A370000}"/>
    <cellStyle name="Percent 3 3 2 2 3 3" xfId="14191" xr:uid="{00000000-0005-0000-0000-00007B370000}"/>
    <cellStyle name="Percent 3 3 2 2 4" xfId="14192" xr:uid="{00000000-0005-0000-0000-00007C370000}"/>
    <cellStyle name="Percent 3 3 2 2 4 2" xfId="14193" xr:uid="{00000000-0005-0000-0000-00007D370000}"/>
    <cellStyle name="Percent 3 3 2 2 4 2 2" xfId="14194" xr:uid="{00000000-0005-0000-0000-00007E370000}"/>
    <cellStyle name="Percent 3 3 2 2 4 3" xfId="14195" xr:uid="{00000000-0005-0000-0000-00007F370000}"/>
    <cellStyle name="Percent 3 3 2 2 5" xfId="14196" xr:uid="{00000000-0005-0000-0000-000080370000}"/>
    <cellStyle name="Percent 3 3 2 2 5 2" xfId="14197" xr:uid="{00000000-0005-0000-0000-000081370000}"/>
    <cellStyle name="Percent 3 3 2 2 6" xfId="14198" xr:uid="{00000000-0005-0000-0000-000082370000}"/>
    <cellStyle name="Percent 3 3 2 3" xfId="14199" xr:uid="{00000000-0005-0000-0000-000083370000}"/>
    <cellStyle name="Percent 3 3 2 3 2" xfId="14200" xr:uid="{00000000-0005-0000-0000-000084370000}"/>
    <cellStyle name="Percent 3 3 2 3 2 2" xfId="14201" xr:uid="{00000000-0005-0000-0000-000085370000}"/>
    <cellStyle name="Percent 3 3 2 3 2 2 2" xfId="14202" xr:uid="{00000000-0005-0000-0000-000086370000}"/>
    <cellStyle name="Percent 3 3 2 3 2 3" xfId="14203" xr:uid="{00000000-0005-0000-0000-000087370000}"/>
    <cellStyle name="Percent 3 3 2 3 3" xfId="14204" xr:uid="{00000000-0005-0000-0000-000088370000}"/>
    <cellStyle name="Percent 3 3 2 3 3 2" xfId="14205" xr:uid="{00000000-0005-0000-0000-000089370000}"/>
    <cellStyle name="Percent 3 3 2 3 3 2 2" xfId="14206" xr:uid="{00000000-0005-0000-0000-00008A370000}"/>
    <cellStyle name="Percent 3 3 2 3 3 3" xfId="14207" xr:uid="{00000000-0005-0000-0000-00008B370000}"/>
    <cellStyle name="Percent 3 3 2 3 4" xfId="14208" xr:uid="{00000000-0005-0000-0000-00008C370000}"/>
    <cellStyle name="Percent 3 3 2 3 4 2" xfId="14209" xr:uid="{00000000-0005-0000-0000-00008D370000}"/>
    <cellStyle name="Percent 3 3 2 3 5" xfId="14210" xr:uid="{00000000-0005-0000-0000-00008E370000}"/>
    <cellStyle name="Percent 3 3 2 4" xfId="14211" xr:uid="{00000000-0005-0000-0000-00008F370000}"/>
    <cellStyle name="Percent 3 3 2 4 2" xfId="14212" xr:uid="{00000000-0005-0000-0000-000090370000}"/>
    <cellStyle name="Percent 3 3 2 4 2 2" xfId="14213" xr:uid="{00000000-0005-0000-0000-000091370000}"/>
    <cellStyle name="Percent 3 3 2 4 3" xfId="14214" xr:uid="{00000000-0005-0000-0000-000092370000}"/>
    <cellStyle name="Percent 3 3 2 5" xfId="14215" xr:uid="{00000000-0005-0000-0000-000093370000}"/>
    <cellStyle name="Percent 3 3 2 5 2" xfId="14216" xr:uid="{00000000-0005-0000-0000-000094370000}"/>
    <cellStyle name="Percent 3 3 2 5 2 2" xfId="14217" xr:uid="{00000000-0005-0000-0000-000095370000}"/>
    <cellStyle name="Percent 3 3 2 5 3" xfId="14218" xr:uid="{00000000-0005-0000-0000-000096370000}"/>
    <cellStyle name="Percent 3 3 2 6" xfId="14219" xr:uid="{00000000-0005-0000-0000-000097370000}"/>
    <cellStyle name="Percent 3 3 2 6 2" xfId="14220" xr:uid="{00000000-0005-0000-0000-000098370000}"/>
    <cellStyle name="Percent 3 3 2 7" xfId="14221" xr:uid="{00000000-0005-0000-0000-000099370000}"/>
    <cellStyle name="Percent 3 3 3" xfId="14222" xr:uid="{00000000-0005-0000-0000-00009A370000}"/>
    <cellStyle name="Percent 3 3 3 2" xfId="14223" xr:uid="{00000000-0005-0000-0000-00009B370000}"/>
    <cellStyle name="Percent 3 3 3 2 2" xfId="14224" xr:uid="{00000000-0005-0000-0000-00009C370000}"/>
    <cellStyle name="Percent 3 3 3 2 2 2" xfId="14225" xr:uid="{00000000-0005-0000-0000-00009D370000}"/>
    <cellStyle name="Percent 3 3 3 2 2 2 2" xfId="14226" xr:uid="{00000000-0005-0000-0000-00009E370000}"/>
    <cellStyle name="Percent 3 3 3 2 2 3" xfId="14227" xr:uid="{00000000-0005-0000-0000-00009F370000}"/>
    <cellStyle name="Percent 3 3 3 2 3" xfId="14228" xr:uid="{00000000-0005-0000-0000-0000A0370000}"/>
    <cellStyle name="Percent 3 3 3 2 3 2" xfId="14229" xr:uid="{00000000-0005-0000-0000-0000A1370000}"/>
    <cellStyle name="Percent 3 3 3 2 3 2 2" xfId="14230" xr:uid="{00000000-0005-0000-0000-0000A2370000}"/>
    <cellStyle name="Percent 3 3 3 2 3 3" xfId="14231" xr:uid="{00000000-0005-0000-0000-0000A3370000}"/>
    <cellStyle name="Percent 3 3 3 2 4" xfId="14232" xr:uid="{00000000-0005-0000-0000-0000A4370000}"/>
    <cellStyle name="Percent 3 3 3 2 4 2" xfId="14233" xr:uid="{00000000-0005-0000-0000-0000A5370000}"/>
    <cellStyle name="Percent 3 3 3 2 5" xfId="14234" xr:uid="{00000000-0005-0000-0000-0000A6370000}"/>
    <cellStyle name="Percent 3 3 3 3" xfId="14235" xr:uid="{00000000-0005-0000-0000-0000A7370000}"/>
    <cellStyle name="Percent 3 3 3 3 2" xfId="14236" xr:uid="{00000000-0005-0000-0000-0000A8370000}"/>
    <cellStyle name="Percent 3 3 3 3 2 2" xfId="14237" xr:uid="{00000000-0005-0000-0000-0000A9370000}"/>
    <cellStyle name="Percent 3 3 3 3 3" xfId="14238" xr:uid="{00000000-0005-0000-0000-0000AA370000}"/>
    <cellStyle name="Percent 3 3 3 4" xfId="14239" xr:uid="{00000000-0005-0000-0000-0000AB370000}"/>
    <cellStyle name="Percent 3 3 3 4 2" xfId="14240" xr:uid="{00000000-0005-0000-0000-0000AC370000}"/>
    <cellStyle name="Percent 3 3 3 4 2 2" xfId="14241" xr:uid="{00000000-0005-0000-0000-0000AD370000}"/>
    <cellStyle name="Percent 3 3 3 4 3" xfId="14242" xr:uid="{00000000-0005-0000-0000-0000AE370000}"/>
    <cellStyle name="Percent 3 3 3 5" xfId="14243" xr:uid="{00000000-0005-0000-0000-0000AF370000}"/>
    <cellStyle name="Percent 3 3 3 5 2" xfId="14244" xr:uid="{00000000-0005-0000-0000-0000B0370000}"/>
    <cellStyle name="Percent 3 3 3 6" xfId="14245" xr:uid="{00000000-0005-0000-0000-0000B1370000}"/>
    <cellStyle name="Percent 3 3 4" xfId="14246" xr:uid="{00000000-0005-0000-0000-0000B2370000}"/>
    <cellStyle name="Percent 3 3 4 2" xfId="14247" xr:uid="{00000000-0005-0000-0000-0000B3370000}"/>
    <cellStyle name="Percent 3 3 4 2 2" xfId="14248" xr:uid="{00000000-0005-0000-0000-0000B4370000}"/>
    <cellStyle name="Percent 3 3 4 2 2 2" xfId="14249" xr:uid="{00000000-0005-0000-0000-0000B5370000}"/>
    <cellStyle name="Percent 3 3 4 2 3" xfId="14250" xr:uid="{00000000-0005-0000-0000-0000B6370000}"/>
    <cellStyle name="Percent 3 3 4 3" xfId="14251" xr:uid="{00000000-0005-0000-0000-0000B7370000}"/>
    <cellStyle name="Percent 3 3 4 3 2" xfId="14252" xr:uid="{00000000-0005-0000-0000-0000B8370000}"/>
    <cellStyle name="Percent 3 3 4 3 2 2" xfId="14253" xr:uid="{00000000-0005-0000-0000-0000B9370000}"/>
    <cellStyle name="Percent 3 3 4 3 3" xfId="14254" xr:uid="{00000000-0005-0000-0000-0000BA370000}"/>
    <cellStyle name="Percent 3 3 4 4" xfId="14255" xr:uid="{00000000-0005-0000-0000-0000BB370000}"/>
    <cellStyle name="Percent 3 3 4 4 2" xfId="14256" xr:uid="{00000000-0005-0000-0000-0000BC370000}"/>
    <cellStyle name="Percent 3 3 4 5" xfId="14257" xr:uid="{00000000-0005-0000-0000-0000BD370000}"/>
    <cellStyle name="Percent 3 3 5" xfId="14258" xr:uid="{00000000-0005-0000-0000-0000BE370000}"/>
    <cellStyle name="Percent 3 3 5 2" xfId="14259" xr:uid="{00000000-0005-0000-0000-0000BF370000}"/>
    <cellStyle name="Percent 3 3 5 2 2" xfId="14260" xr:uid="{00000000-0005-0000-0000-0000C0370000}"/>
    <cellStyle name="Percent 3 3 5 3" xfId="14261" xr:uid="{00000000-0005-0000-0000-0000C1370000}"/>
    <cellStyle name="Percent 3 3 6" xfId="14262" xr:uid="{00000000-0005-0000-0000-0000C2370000}"/>
    <cellStyle name="Percent 3 3 6 2" xfId="14263" xr:uid="{00000000-0005-0000-0000-0000C3370000}"/>
    <cellStyle name="Percent 3 3 6 2 2" xfId="14264" xr:uid="{00000000-0005-0000-0000-0000C4370000}"/>
    <cellStyle name="Percent 3 3 6 3" xfId="14265" xr:uid="{00000000-0005-0000-0000-0000C5370000}"/>
    <cellStyle name="Percent 3 3 7" xfId="14266" xr:uid="{00000000-0005-0000-0000-0000C6370000}"/>
    <cellStyle name="Percent 3 3 7 2" xfId="14267" xr:uid="{00000000-0005-0000-0000-0000C7370000}"/>
    <cellStyle name="Percent 3 3 8" xfId="14268" xr:uid="{00000000-0005-0000-0000-0000C8370000}"/>
    <cellStyle name="Percent 3 3 9" xfId="14269" xr:uid="{00000000-0005-0000-0000-0000C9370000}"/>
    <cellStyle name="Percent 3 4" xfId="14270" xr:uid="{00000000-0005-0000-0000-0000CA370000}"/>
    <cellStyle name="Percent 3 4 2" xfId="14271" xr:uid="{00000000-0005-0000-0000-0000CB370000}"/>
    <cellStyle name="Percent 3 4 2 2" xfId="14272" xr:uid="{00000000-0005-0000-0000-0000CC370000}"/>
    <cellStyle name="Percent 3 4 2 2 2" xfId="14273" xr:uid="{00000000-0005-0000-0000-0000CD370000}"/>
    <cellStyle name="Percent 3 4 2 2 2 2" xfId="14274" xr:uid="{00000000-0005-0000-0000-0000CE370000}"/>
    <cellStyle name="Percent 3 4 2 2 2 2 2" xfId="14275" xr:uid="{00000000-0005-0000-0000-0000CF370000}"/>
    <cellStyle name="Percent 3 4 2 2 2 2 2 2" xfId="14276" xr:uid="{00000000-0005-0000-0000-0000D0370000}"/>
    <cellStyle name="Percent 3 4 2 2 2 2 3" xfId="14277" xr:uid="{00000000-0005-0000-0000-0000D1370000}"/>
    <cellStyle name="Percent 3 4 2 2 2 3" xfId="14278" xr:uid="{00000000-0005-0000-0000-0000D2370000}"/>
    <cellStyle name="Percent 3 4 2 2 2 3 2" xfId="14279" xr:uid="{00000000-0005-0000-0000-0000D3370000}"/>
    <cellStyle name="Percent 3 4 2 2 2 3 2 2" xfId="14280" xr:uid="{00000000-0005-0000-0000-0000D4370000}"/>
    <cellStyle name="Percent 3 4 2 2 2 3 3" xfId="14281" xr:uid="{00000000-0005-0000-0000-0000D5370000}"/>
    <cellStyle name="Percent 3 4 2 2 2 4" xfId="14282" xr:uid="{00000000-0005-0000-0000-0000D6370000}"/>
    <cellStyle name="Percent 3 4 2 2 2 4 2" xfId="14283" xr:uid="{00000000-0005-0000-0000-0000D7370000}"/>
    <cellStyle name="Percent 3 4 2 2 2 5" xfId="14284" xr:uid="{00000000-0005-0000-0000-0000D8370000}"/>
    <cellStyle name="Percent 3 4 2 2 3" xfId="14285" xr:uid="{00000000-0005-0000-0000-0000D9370000}"/>
    <cellStyle name="Percent 3 4 2 2 3 2" xfId="14286" xr:uid="{00000000-0005-0000-0000-0000DA370000}"/>
    <cellStyle name="Percent 3 4 2 2 3 2 2" xfId="14287" xr:uid="{00000000-0005-0000-0000-0000DB370000}"/>
    <cellStyle name="Percent 3 4 2 2 3 3" xfId="14288" xr:uid="{00000000-0005-0000-0000-0000DC370000}"/>
    <cellStyle name="Percent 3 4 2 2 4" xfId="14289" xr:uid="{00000000-0005-0000-0000-0000DD370000}"/>
    <cellStyle name="Percent 3 4 2 2 4 2" xfId="14290" xr:uid="{00000000-0005-0000-0000-0000DE370000}"/>
    <cellStyle name="Percent 3 4 2 2 4 2 2" xfId="14291" xr:uid="{00000000-0005-0000-0000-0000DF370000}"/>
    <cellStyle name="Percent 3 4 2 2 4 3" xfId="14292" xr:uid="{00000000-0005-0000-0000-0000E0370000}"/>
    <cellStyle name="Percent 3 4 2 2 5" xfId="14293" xr:uid="{00000000-0005-0000-0000-0000E1370000}"/>
    <cellStyle name="Percent 3 4 2 2 5 2" xfId="14294" xr:uid="{00000000-0005-0000-0000-0000E2370000}"/>
    <cellStyle name="Percent 3 4 2 2 6" xfId="14295" xr:uid="{00000000-0005-0000-0000-0000E3370000}"/>
    <cellStyle name="Percent 3 4 2 3" xfId="14296" xr:uid="{00000000-0005-0000-0000-0000E4370000}"/>
    <cellStyle name="Percent 3 4 2 3 2" xfId="14297" xr:uid="{00000000-0005-0000-0000-0000E5370000}"/>
    <cellStyle name="Percent 3 4 2 3 2 2" xfId="14298" xr:uid="{00000000-0005-0000-0000-0000E6370000}"/>
    <cellStyle name="Percent 3 4 2 3 2 2 2" xfId="14299" xr:uid="{00000000-0005-0000-0000-0000E7370000}"/>
    <cellStyle name="Percent 3 4 2 3 2 3" xfId="14300" xr:uid="{00000000-0005-0000-0000-0000E8370000}"/>
    <cellStyle name="Percent 3 4 2 3 3" xfId="14301" xr:uid="{00000000-0005-0000-0000-0000E9370000}"/>
    <cellStyle name="Percent 3 4 2 3 3 2" xfId="14302" xr:uid="{00000000-0005-0000-0000-0000EA370000}"/>
    <cellStyle name="Percent 3 4 2 3 3 2 2" xfId="14303" xr:uid="{00000000-0005-0000-0000-0000EB370000}"/>
    <cellStyle name="Percent 3 4 2 3 3 3" xfId="14304" xr:uid="{00000000-0005-0000-0000-0000EC370000}"/>
    <cellStyle name="Percent 3 4 2 3 4" xfId="14305" xr:uid="{00000000-0005-0000-0000-0000ED370000}"/>
    <cellStyle name="Percent 3 4 2 3 4 2" xfId="14306" xr:uid="{00000000-0005-0000-0000-0000EE370000}"/>
    <cellStyle name="Percent 3 4 2 3 5" xfId="14307" xr:uid="{00000000-0005-0000-0000-0000EF370000}"/>
    <cellStyle name="Percent 3 4 2 4" xfId="14308" xr:uid="{00000000-0005-0000-0000-0000F0370000}"/>
    <cellStyle name="Percent 3 4 2 4 2" xfId="14309" xr:uid="{00000000-0005-0000-0000-0000F1370000}"/>
    <cellStyle name="Percent 3 4 2 4 2 2" xfId="14310" xr:uid="{00000000-0005-0000-0000-0000F2370000}"/>
    <cellStyle name="Percent 3 4 2 4 3" xfId="14311" xr:uid="{00000000-0005-0000-0000-0000F3370000}"/>
    <cellStyle name="Percent 3 4 2 5" xfId="14312" xr:uid="{00000000-0005-0000-0000-0000F4370000}"/>
    <cellStyle name="Percent 3 4 2 5 2" xfId="14313" xr:uid="{00000000-0005-0000-0000-0000F5370000}"/>
    <cellStyle name="Percent 3 4 2 5 2 2" xfId="14314" xr:uid="{00000000-0005-0000-0000-0000F6370000}"/>
    <cellStyle name="Percent 3 4 2 5 3" xfId="14315" xr:uid="{00000000-0005-0000-0000-0000F7370000}"/>
    <cellStyle name="Percent 3 4 2 6" xfId="14316" xr:uid="{00000000-0005-0000-0000-0000F8370000}"/>
    <cellStyle name="Percent 3 4 2 6 2" xfId="14317" xr:uid="{00000000-0005-0000-0000-0000F9370000}"/>
    <cellStyle name="Percent 3 4 2 7" xfId="14318" xr:uid="{00000000-0005-0000-0000-0000FA370000}"/>
    <cellStyle name="Percent 3 4 3" xfId="14319" xr:uid="{00000000-0005-0000-0000-0000FB370000}"/>
    <cellStyle name="Percent 3 4 3 2" xfId="14320" xr:uid="{00000000-0005-0000-0000-0000FC370000}"/>
    <cellStyle name="Percent 3 4 3 2 2" xfId="14321" xr:uid="{00000000-0005-0000-0000-0000FD370000}"/>
    <cellStyle name="Percent 3 4 3 2 2 2" xfId="14322" xr:uid="{00000000-0005-0000-0000-0000FE370000}"/>
    <cellStyle name="Percent 3 4 3 2 2 2 2" xfId="14323" xr:uid="{00000000-0005-0000-0000-0000FF370000}"/>
    <cellStyle name="Percent 3 4 3 2 2 3" xfId="14324" xr:uid="{00000000-0005-0000-0000-000000380000}"/>
    <cellStyle name="Percent 3 4 3 2 3" xfId="14325" xr:uid="{00000000-0005-0000-0000-000001380000}"/>
    <cellStyle name="Percent 3 4 3 2 3 2" xfId="14326" xr:uid="{00000000-0005-0000-0000-000002380000}"/>
    <cellStyle name="Percent 3 4 3 2 3 2 2" xfId="14327" xr:uid="{00000000-0005-0000-0000-000003380000}"/>
    <cellStyle name="Percent 3 4 3 2 3 3" xfId="14328" xr:uid="{00000000-0005-0000-0000-000004380000}"/>
    <cellStyle name="Percent 3 4 3 2 4" xfId="14329" xr:uid="{00000000-0005-0000-0000-000005380000}"/>
    <cellStyle name="Percent 3 4 3 2 4 2" xfId="14330" xr:uid="{00000000-0005-0000-0000-000006380000}"/>
    <cellStyle name="Percent 3 4 3 2 5" xfId="14331" xr:uid="{00000000-0005-0000-0000-000007380000}"/>
    <cellStyle name="Percent 3 4 3 3" xfId="14332" xr:uid="{00000000-0005-0000-0000-000008380000}"/>
    <cellStyle name="Percent 3 4 3 3 2" xfId="14333" xr:uid="{00000000-0005-0000-0000-000009380000}"/>
    <cellStyle name="Percent 3 4 3 3 2 2" xfId="14334" xr:uid="{00000000-0005-0000-0000-00000A380000}"/>
    <cellStyle name="Percent 3 4 3 3 3" xfId="14335" xr:uid="{00000000-0005-0000-0000-00000B380000}"/>
    <cellStyle name="Percent 3 4 3 4" xfId="14336" xr:uid="{00000000-0005-0000-0000-00000C380000}"/>
    <cellStyle name="Percent 3 4 3 4 2" xfId="14337" xr:uid="{00000000-0005-0000-0000-00000D380000}"/>
    <cellStyle name="Percent 3 4 3 4 2 2" xfId="14338" xr:uid="{00000000-0005-0000-0000-00000E380000}"/>
    <cellStyle name="Percent 3 4 3 4 3" xfId="14339" xr:uid="{00000000-0005-0000-0000-00000F380000}"/>
    <cellStyle name="Percent 3 4 3 5" xfId="14340" xr:uid="{00000000-0005-0000-0000-000010380000}"/>
    <cellStyle name="Percent 3 4 3 5 2" xfId="14341" xr:uid="{00000000-0005-0000-0000-000011380000}"/>
    <cellStyle name="Percent 3 4 3 6" xfId="14342" xr:uid="{00000000-0005-0000-0000-000012380000}"/>
    <cellStyle name="Percent 3 4 4" xfId="14343" xr:uid="{00000000-0005-0000-0000-000013380000}"/>
    <cellStyle name="Percent 3 4 4 2" xfId="14344" xr:uid="{00000000-0005-0000-0000-000014380000}"/>
    <cellStyle name="Percent 3 4 4 2 2" xfId="14345" xr:uid="{00000000-0005-0000-0000-000015380000}"/>
    <cellStyle name="Percent 3 4 4 2 2 2" xfId="14346" xr:uid="{00000000-0005-0000-0000-000016380000}"/>
    <cellStyle name="Percent 3 4 4 2 3" xfId="14347" xr:uid="{00000000-0005-0000-0000-000017380000}"/>
    <cellStyle name="Percent 3 4 4 3" xfId="14348" xr:uid="{00000000-0005-0000-0000-000018380000}"/>
    <cellStyle name="Percent 3 4 4 3 2" xfId="14349" xr:uid="{00000000-0005-0000-0000-000019380000}"/>
    <cellStyle name="Percent 3 4 4 3 2 2" xfId="14350" xr:uid="{00000000-0005-0000-0000-00001A380000}"/>
    <cellStyle name="Percent 3 4 4 3 3" xfId="14351" xr:uid="{00000000-0005-0000-0000-00001B380000}"/>
    <cellStyle name="Percent 3 4 4 4" xfId="14352" xr:uid="{00000000-0005-0000-0000-00001C380000}"/>
    <cellStyle name="Percent 3 4 4 4 2" xfId="14353" xr:uid="{00000000-0005-0000-0000-00001D380000}"/>
    <cellStyle name="Percent 3 4 4 5" xfId="14354" xr:uid="{00000000-0005-0000-0000-00001E380000}"/>
    <cellStyle name="Percent 3 4 5" xfId="14355" xr:uid="{00000000-0005-0000-0000-00001F380000}"/>
    <cellStyle name="Percent 3 4 5 2" xfId="14356" xr:uid="{00000000-0005-0000-0000-000020380000}"/>
    <cellStyle name="Percent 3 4 5 2 2" xfId="14357" xr:uid="{00000000-0005-0000-0000-000021380000}"/>
    <cellStyle name="Percent 3 4 5 3" xfId="14358" xr:uid="{00000000-0005-0000-0000-000022380000}"/>
    <cellStyle name="Percent 3 4 6" xfId="14359" xr:uid="{00000000-0005-0000-0000-000023380000}"/>
    <cellStyle name="Percent 3 4 6 2" xfId="14360" xr:uid="{00000000-0005-0000-0000-000024380000}"/>
    <cellStyle name="Percent 3 4 6 2 2" xfId="14361" xr:uid="{00000000-0005-0000-0000-000025380000}"/>
    <cellStyle name="Percent 3 4 6 3" xfId="14362" xr:uid="{00000000-0005-0000-0000-000026380000}"/>
    <cellStyle name="Percent 3 4 7" xfId="14363" xr:uid="{00000000-0005-0000-0000-000027380000}"/>
    <cellStyle name="Percent 3 4 7 2" xfId="14364" xr:uid="{00000000-0005-0000-0000-000028380000}"/>
    <cellStyle name="Percent 3 4 8" xfId="14365" xr:uid="{00000000-0005-0000-0000-000029380000}"/>
    <cellStyle name="Percent 3 5" xfId="14366" xr:uid="{00000000-0005-0000-0000-00002A380000}"/>
    <cellStyle name="Percent 3 5 2" xfId="14367" xr:uid="{00000000-0005-0000-0000-00002B380000}"/>
    <cellStyle name="Percent 3 5 2 2" xfId="14368" xr:uid="{00000000-0005-0000-0000-00002C380000}"/>
    <cellStyle name="Percent 3 5 3" xfId="14369" xr:uid="{00000000-0005-0000-0000-00002D380000}"/>
    <cellStyle name="Percent 3 6" xfId="14370" xr:uid="{00000000-0005-0000-0000-00002E380000}"/>
    <cellStyle name="Percent 3 6 2" xfId="14371" xr:uid="{00000000-0005-0000-0000-00002F380000}"/>
    <cellStyle name="Percent 3 6 2 2" xfId="14372" xr:uid="{00000000-0005-0000-0000-000030380000}"/>
    <cellStyle name="Percent 3 6 2 2 2" xfId="14373" xr:uid="{00000000-0005-0000-0000-000031380000}"/>
    <cellStyle name="Percent 3 6 2 2 2 2" xfId="14374" xr:uid="{00000000-0005-0000-0000-000032380000}"/>
    <cellStyle name="Percent 3 6 2 2 3" xfId="14375" xr:uid="{00000000-0005-0000-0000-000033380000}"/>
    <cellStyle name="Percent 3 6 2 3" xfId="14376" xr:uid="{00000000-0005-0000-0000-000034380000}"/>
    <cellStyle name="Percent 3 6 2 3 2" xfId="14377" xr:uid="{00000000-0005-0000-0000-000035380000}"/>
    <cellStyle name="Percent 3 6 2 3 2 2" xfId="14378" xr:uid="{00000000-0005-0000-0000-000036380000}"/>
    <cellStyle name="Percent 3 6 2 3 3" xfId="14379" xr:uid="{00000000-0005-0000-0000-000037380000}"/>
    <cellStyle name="Percent 3 6 2 4" xfId="14380" xr:uid="{00000000-0005-0000-0000-000038380000}"/>
    <cellStyle name="Percent 3 6 2 4 2" xfId="14381" xr:uid="{00000000-0005-0000-0000-000039380000}"/>
    <cellStyle name="Percent 3 6 2 5" xfId="14382" xr:uid="{00000000-0005-0000-0000-00003A380000}"/>
    <cellStyle name="Percent 3 6 3" xfId="14383" xr:uid="{00000000-0005-0000-0000-00003B380000}"/>
    <cellStyle name="Percent 3 6 3 2" xfId="14384" xr:uid="{00000000-0005-0000-0000-00003C380000}"/>
    <cellStyle name="Percent 3 6 3 2 2" xfId="14385" xr:uid="{00000000-0005-0000-0000-00003D380000}"/>
    <cellStyle name="Percent 3 6 3 3" xfId="14386" xr:uid="{00000000-0005-0000-0000-00003E380000}"/>
    <cellStyle name="Percent 3 6 4" xfId="14387" xr:uid="{00000000-0005-0000-0000-00003F380000}"/>
    <cellStyle name="Percent 3 6 4 2" xfId="14388" xr:uid="{00000000-0005-0000-0000-000040380000}"/>
    <cellStyle name="Percent 3 6 4 2 2" xfId="14389" xr:uid="{00000000-0005-0000-0000-000041380000}"/>
    <cellStyle name="Percent 3 6 4 3" xfId="14390" xr:uid="{00000000-0005-0000-0000-000042380000}"/>
    <cellStyle name="Percent 3 6 5" xfId="14391" xr:uid="{00000000-0005-0000-0000-000043380000}"/>
    <cellStyle name="Percent 3 6 5 2" xfId="14392" xr:uid="{00000000-0005-0000-0000-000044380000}"/>
    <cellStyle name="Percent 3 6 6" xfId="14393" xr:uid="{00000000-0005-0000-0000-000045380000}"/>
    <cellStyle name="Percent 3 7" xfId="14394" xr:uid="{00000000-0005-0000-0000-000046380000}"/>
    <cellStyle name="Percent 3 7 2" xfId="14395" xr:uid="{00000000-0005-0000-0000-000047380000}"/>
    <cellStyle name="Percent 3 7 2 2" xfId="14396" xr:uid="{00000000-0005-0000-0000-000048380000}"/>
    <cellStyle name="Percent 3 7 2 2 2" xfId="14397" xr:uid="{00000000-0005-0000-0000-000049380000}"/>
    <cellStyle name="Percent 3 7 2 3" xfId="14398" xr:uid="{00000000-0005-0000-0000-00004A380000}"/>
    <cellStyle name="Percent 3 7 3" xfId="14399" xr:uid="{00000000-0005-0000-0000-00004B380000}"/>
    <cellStyle name="Percent 3 7 3 2" xfId="14400" xr:uid="{00000000-0005-0000-0000-00004C380000}"/>
    <cellStyle name="Percent 3 7 3 2 2" xfId="14401" xr:uid="{00000000-0005-0000-0000-00004D380000}"/>
    <cellStyle name="Percent 3 7 3 3" xfId="14402" xr:uid="{00000000-0005-0000-0000-00004E380000}"/>
    <cellStyle name="Percent 3 7 4" xfId="14403" xr:uid="{00000000-0005-0000-0000-00004F380000}"/>
    <cellStyle name="Percent 3 7 4 2" xfId="14404" xr:uid="{00000000-0005-0000-0000-000050380000}"/>
    <cellStyle name="Percent 3 7 5" xfId="14405" xr:uid="{00000000-0005-0000-0000-000051380000}"/>
    <cellStyle name="Percent 3 8" xfId="14406" xr:uid="{00000000-0005-0000-0000-000052380000}"/>
    <cellStyle name="Percent 3 8 2" xfId="14407" xr:uid="{00000000-0005-0000-0000-000053380000}"/>
    <cellStyle name="Percent 3 8 2 2" xfId="14408" xr:uid="{00000000-0005-0000-0000-000054380000}"/>
    <cellStyle name="Percent 3 8 3" xfId="14409" xr:uid="{00000000-0005-0000-0000-000055380000}"/>
    <cellStyle name="Percent 3 9" xfId="14410" xr:uid="{00000000-0005-0000-0000-000056380000}"/>
    <cellStyle name="Percent 3 9 2" xfId="14411" xr:uid="{00000000-0005-0000-0000-000057380000}"/>
    <cellStyle name="Percent 3 9 2 2" xfId="14412" xr:uid="{00000000-0005-0000-0000-000058380000}"/>
    <cellStyle name="Percent 3 9 3" xfId="14413" xr:uid="{00000000-0005-0000-0000-000059380000}"/>
    <cellStyle name="Percent 4" xfId="14414" xr:uid="{00000000-0005-0000-0000-00005A380000}"/>
    <cellStyle name="Percent 4 2" xfId="14415" xr:uid="{00000000-0005-0000-0000-00005B380000}"/>
    <cellStyle name="Percent 4 2 2" xfId="14416" xr:uid="{00000000-0005-0000-0000-00005C380000}"/>
    <cellStyle name="Percent 4 2 2 2" xfId="14417" xr:uid="{00000000-0005-0000-0000-00005D380000}"/>
    <cellStyle name="Percent 4 2 3" xfId="14418" xr:uid="{00000000-0005-0000-0000-00005E380000}"/>
    <cellStyle name="Percent 4 2 4" xfId="14419" xr:uid="{00000000-0005-0000-0000-00005F380000}"/>
    <cellStyle name="Percent 4 3" xfId="14420" xr:uid="{00000000-0005-0000-0000-000060380000}"/>
    <cellStyle name="Percent 4 3 2" xfId="14421" xr:uid="{00000000-0005-0000-0000-000061380000}"/>
    <cellStyle name="Percent 4 3 2 2" xfId="14422" xr:uid="{00000000-0005-0000-0000-000062380000}"/>
    <cellStyle name="Percent 4 3 3" xfId="14423" xr:uid="{00000000-0005-0000-0000-000063380000}"/>
    <cellStyle name="Percent 4 3 4" xfId="14424" xr:uid="{00000000-0005-0000-0000-000064380000}"/>
    <cellStyle name="Percent 4 4" xfId="14425" xr:uid="{00000000-0005-0000-0000-000065380000}"/>
    <cellStyle name="Percent 4 4 2" xfId="14426" xr:uid="{00000000-0005-0000-0000-000066380000}"/>
    <cellStyle name="Percent 4 4 2 2" xfId="14427" xr:uid="{00000000-0005-0000-0000-000067380000}"/>
    <cellStyle name="Percent 4 4 2 2 2" xfId="14428" xr:uid="{00000000-0005-0000-0000-000068380000}"/>
    <cellStyle name="Percent 4 4 2 3" xfId="14429" xr:uid="{00000000-0005-0000-0000-000069380000}"/>
    <cellStyle name="Percent 4 4 3" xfId="14430" xr:uid="{00000000-0005-0000-0000-00006A380000}"/>
    <cellStyle name="Percent 4 4 3 2" xfId="14431" xr:uid="{00000000-0005-0000-0000-00006B380000}"/>
    <cellStyle name="Percent 4 4 4" xfId="14432" xr:uid="{00000000-0005-0000-0000-00006C380000}"/>
    <cellStyle name="Percent 4 4 5" xfId="14433" xr:uid="{00000000-0005-0000-0000-00006D380000}"/>
    <cellStyle name="Percent 4 5" xfId="14434" xr:uid="{00000000-0005-0000-0000-00006E380000}"/>
    <cellStyle name="Percent 4 5 2" xfId="14435" xr:uid="{00000000-0005-0000-0000-00006F380000}"/>
    <cellStyle name="Percent 4 6" xfId="14436" xr:uid="{00000000-0005-0000-0000-000070380000}"/>
    <cellStyle name="Percent 4 7" xfId="14437" xr:uid="{00000000-0005-0000-0000-000071380000}"/>
    <cellStyle name="Percent 4 8" xfId="14438" xr:uid="{00000000-0005-0000-0000-000072380000}"/>
    <cellStyle name="Percent 5" xfId="14439" xr:uid="{00000000-0005-0000-0000-000073380000}"/>
    <cellStyle name="Percent 5 10" xfId="14440" xr:uid="{00000000-0005-0000-0000-000074380000}"/>
    <cellStyle name="Percent 5 11" xfId="14441" xr:uid="{00000000-0005-0000-0000-000075380000}"/>
    <cellStyle name="Percent 5 2" xfId="14442" xr:uid="{00000000-0005-0000-0000-000076380000}"/>
    <cellStyle name="Percent 5 2 2" xfId="14443" xr:uid="{00000000-0005-0000-0000-000077380000}"/>
    <cellStyle name="Percent 5 2 2 2" xfId="14444" xr:uid="{00000000-0005-0000-0000-000078380000}"/>
    <cellStyle name="Percent 5 2 2 2 2" xfId="14445" xr:uid="{00000000-0005-0000-0000-000079380000}"/>
    <cellStyle name="Percent 5 2 2 2 2 2" xfId="14446" xr:uid="{00000000-0005-0000-0000-00007A380000}"/>
    <cellStyle name="Percent 5 2 2 2 2 2 2" xfId="14447" xr:uid="{00000000-0005-0000-0000-00007B380000}"/>
    <cellStyle name="Percent 5 2 2 2 2 2 2 2" xfId="14448" xr:uid="{00000000-0005-0000-0000-00007C380000}"/>
    <cellStyle name="Percent 5 2 2 2 2 2 3" xfId="14449" xr:uid="{00000000-0005-0000-0000-00007D380000}"/>
    <cellStyle name="Percent 5 2 2 2 2 3" xfId="14450" xr:uid="{00000000-0005-0000-0000-00007E380000}"/>
    <cellStyle name="Percent 5 2 2 2 2 3 2" xfId="14451" xr:uid="{00000000-0005-0000-0000-00007F380000}"/>
    <cellStyle name="Percent 5 2 2 2 2 3 2 2" xfId="14452" xr:uid="{00000000-0005-0000-0000-000080380000}"/>
    <cellStyle name="Percent 5 2 2 2 2 3 3" xfId="14453" xr:uid="{00000000-0005-0000-0000-000081380000}"/>
    <cellStyle name="Percent 5 2 2 2 2 4" xfId="14454" xr:uid="{00000000-0005-0000-0000-000082380000}"/>
    <cellStyle name="Percent 5 2 2 2 2 4 2" xfId="14455" xr:uid="{00000000-0005-0000-0000-000083380000}"/>
    <cellStyle name="Percent 5 2 2 2 2 5" xfId="14456" xr:uid="{00000000-0005-0000-0000-000084380000}"/>
    <cellStyle name="Percent 5 2 2 2 3" xfId="14457" xr:uid="{00000000-0005-0000-0000-000085380000}"/>
    <cellStyle name="Percent 5 2 2 2 3 2" xfId="14458" xr:uid="{00000000-0005-0000-0000-000086380000}"/>
    <cellStyle name="Percent 5 2 2 2 3 2 2" xfId="14459" xr:uid="{00000000-0005-0000-0000-000087380000}"/>
    <cellStyle name="Percent 5 2 2 2 3 3" xfId="14460" xr:uid="{00000000-0005-0000-0000-000088380000}"/>
    <cellStyle name="Percent 5 2 2 2 4" xfId="14461" xr:uid="{00000000-0005-0000-0000-000089380000}"/>
    <cellStyle name="Percent 5 2 2 2 4 2" xfId="14462" xr:uid="{00000000-0005-0000-0000-00008A380000}"/>
    <cellStyle name="Percent 5 2 2 2 4 2 2" xfId="14463" xr:uid="{00000000-0005-0000-0000-00008B380000}"/>
    <cellStyle name="Percent 5 2 2 2 4 3" xfId="14464" xr:uid="{00000000-0005-0000-0000-00008C380000}"/>
    <cellStyle name="Percent 5 2 2 2 5" xfId="14465" xr:uid="{00000000-0005-0000-0000-00008D380000}"/>
    <cellStyle name="Percent 5 2 2 2 5 2" xfId="14466" xr:uid="{00000000-0005-0000-0000-00008E380000}"/>
    <cellStyle name="Percent 5 2 2 2 6" xfId="14467" xr:uid="{00000000-0005-0000-0000-00008F380000}"/>
    <cellStyle name="Percent 5 2 2 3" xfId="14468" xr:uid="{00000000-0005-0000-0000-000090380000}"/>
    <cellStyle name="Percent 5 2 2 3 2" xfId="14469" xr:uid="{00000000-0005-0000-0000-000091380000}"/>
    <cellStyle name="Percent 5 2 2 3 2 2" xfId="14470" xr:uid="{00000000-0005-0000-0000-000092380000}"/>
    <cellStyle name="Percent 5 2 2 3 2 2 2" xfId="14471" xr:uid="{00000000-0005-0000-0000-000093380000}"/>
    <cellStyle name="Percent 5 2 2 3 2 3" xfId="14472" xr:uid="{00000000-0005-0000-0000-000094380000}"/>
    <cellStyle name="Percent 5 2 2 3 3" xfId="14473" xr:uid="{00000000-0005-0000-0000-000095380000}"/>
    <cellStyle name="Percent 5 2 2 3 3 2" xfId="14474" xr:uid="{00000000-0005-0000-0000-000096380000}"/>
    <cellStyle name="Percent 5 2 2 3 3 2 2" xfId="14475" xr:uid="{00000000-0005-0000-0000-000097380000}"/>
    <cellStyle name="Percent 5 2 2 3 3 3" xfId="14476" xr:uid="{00000000-0005-0000-0000-000098380000}"/>
    <cellStyle name="Percent 5 2 2 3 4" xfId="14477" xr:uid="{00000000-0005-0000-0000-000099380000}"/>
    <cellStyle name="Percent 5 2 2 3 4 2" xfId="14478" xr:uid="{00000000-0005-0000-0000-00009A380000}"/>
    <cellStyle name="Percent 5 2 2 3 5" xfId="14479" xr:uid="{00000000-0005-0000-0000-00009B380000}"/>
    <cellStyle name="Percent 5 2 2 4" xfId="14480" xr:uid="{00000000-0005-0000-0000-00009C380000}"/>
    <cellStyle name="Percent 5 2 2 4 2" xfId="14481" xr:uid="{00000000-0005-0000-0000-00009D380000}"/>
    <cellStyle name="Percent 5 2 2 4 2 2" xfId="14482" xr:uid="{00000000-0005-0000-0000-00009E380000}"/>
    <cellStyle name="Percent 5 2 2 4 3" xfId="14483" xr:uid="{00000000-0005-0000-0000-00009F380000}"/>
    <cellStyle name="Percent 5 2 2 5" xfId="14484" xr:uid="{00000000-0005-0000-0000-0000A0380000}"/>
    <cellStyle name="Percent 5 2 2 5 2" xfId="14485" xr:uid="{00000000-0005-0000-0000-0000A1380000}"/>
    <cellStyle name="Percent 5 2 2 5 2 2" xfId="14486" xr:uid="{00000000-0005-0000-0000-0000A2380000}"/>
    <cellStyle name="Percent 5 2 2 5 3" xfId="14487" xr:uid="{00000000-0005-0000-0000-0000A3380000}"/>
    <cellStyle name="Percent 5 2 2 6" xfId="14488" xr:uid="{00000000-0005-0000-0000-0000A4380000}"/>
    <cellStyle name="Percent 5 2 2 6 2" xfId="14489" xr:uid="{00000000-0005-0000-0000-0000A5380000}"/>
    <cellStyle name="Percent 5 2 2 7" xfId="14490" xr:uid="{00000000-0005-0000-0000-0000A6380000}"/>
    <cellStyle name="Percent 5 2 3" xfId="14491" xr:uid="{00000000-0005-0000-0000-0000A7380000}"/>
    <cellStyle name="Percent 5 2 3 2" xfId="14492" xr:uid="{00000000-0005-0000-0000-0000A8380000}"/>
    <cellStyle name="Percent 5 2 3 2 2" xfId="14493" xr:uid="{00000000-0005-0000-0000-0000A9380000}"/>
    <cellStyle name="Percent 5 2 3 2 2 2" xfId="14494" xr:uid="{00000000-0005-0000-0000-0000AA380000}"/>
    <cellStyle name="Percent 5 2 3 2 2 2 2" xfId="14495" xr:uid="{00000000-0005-0000-0000-0000AB380000}"/>
    <cellStyle name="Percent 5 2 3 2 2 3" xfId="14496" xr:uid="{00000000-0005-0000-0000-0000AC380000}"/>
    <cellStyle name="Percent 5 2 3 2 3" xfId="14497" xr:uid="{00000000-0005-0000-0000-0000AD380000}"/>
    <cellStyle name="Percent 5 2 3 2 3 2" xfId="14498" xr:uid="{00000000-0005-0000-0000-0000AE380000}"/>
    <cellStyle name="Percent 5 2 3 2 3 2 2" xfId="14499" xr:uid="{00000000-0005-0000-0000-0000AF380000}"/>
    <cellStyle name="Percent 5 2 3 2 3 3" xfId="14500" xr:uid="{00000000-0005-0000-0000-0000B0380000}"/>
    <cellStyle name="Percent 5 2 3 2 4" xfId="14501" xr:uid="{00000000-0005-0000-0000-0000B1380000}"/>
    <cellStyle name="Percent 5 2 3 2 4 2" xfId="14502" xr:uid="{00000000-0005-0000-0000-0000B2380000}"/>
    <cellStyle name="Percent 5 2 3 2 5" xfId="14503" xr:uid="{00000000-0005-0000-0000-0000B3380000}"/>
    <cellStyle name="Percent 5 2 3 3" xfId="14504" xr:uid="{00000000-0005-0000-0000-0000B4380000}"/>
    <cellStyle name="Percent 5 2 3 3 2" xfId="14505" xr:uid="{00000000-0005-0000-0000-0000B5380000}"/>
    <cellStyle name="Percent 5 2 3 3 2 2" xfId="14506" xr:uid="{00000000-0005-0000-0000-0000B6380000}"/>
    <cellStyle name="Percent 5 2 3 3 3" xfId="14507" xr:uid="{00000000-0005-0000-0000-0000B7380000}"/>
    <cellStyle name="Percent 5 2 3 4" xfId="14508" xr:uid="{00000000-0005-0000-0000-0000B8380000}"/>
    <cellStyle name="Percent 5 2 3 4 2" xfId="14509" xr:uid="{00000000-0005-0000-0000-0000B9380000}"/>
    <cellStyle name="Percent 5 2 3 4 2 2" xfId="14510" xr:uid="{00000000-0005-0000-0000-0000BA380000}"/>
    <cellStyle name="Percent 5 2 3 4 3" xfId="14511" xr:uid="{00000000-0005-0000-0000-0000BB380000}"/>
    <cellStyle name="Percent 5 2 3 5" xfId="14512" xr:uid="{00000000-0005-0000-0000-0000BC380000}"/>
    <cellStyle name="Percent 5 2 3 5 2" xfId="14513" xr:uid="{00000000-0005-0000-0000-0000BD380000}"/>
    <cellStyle name="Percent 5 2 3 6" xfId="14514" xr:uid="{00000000-0005-0000-0000-0000BE380000}"/>
    <cellStyle name="Percent 5 2 4" xfId="14515" xr:uid="{00000000-0005-0000-0000-0000BF380000}"/>
    <cellStyle name="Percent 5 2 4 2" xfId="14516" xr:uid="{00000000-0005-0000-0000-0000C0380000}"/>
    <cellStyle name="Percent 5 2 4 2 2" xfId="14517" xr:uid="{00000000-0005-0000-0000-0000C1380000}"/>
    <cellStyle name="Percent 5 2 4 2 2 2" xfId="14518" xr:uid="{00000000-0005-0000-0000-0000C2380000}"/>
    <cellStyle name="Percent 5 2 4 2 3" xfId="14519" xr:uid="{00000000-0005-0000-0000-0000C3380000}"/>
    <cellStyle name="Percent 5 2 4 3" xfId="14520" xr:uid="{00000000-0005-0000-0000-0000C4380000}"/>
    <cellStyle name="Percent 5 2 4 3 2" xfId="14521" xr:uid="{00000000-0005-0000-0000-0000C5380000}"/>
    <cellStyle name="Percent 5 2 4 3 2 2" xfId="14522" xr:uid="{00000000-0005-0000-0000-0000C6380000}"/>
    <cellStyle name="Percent 5 2 4 3 3" xfId="14523" xr:uid="{00000000-0005-0000-0000-0000C7380000}"/>
    <cellStyle name="Percent 5 2 4 4" xfId="14524" xr:uid="{00000000-0005-0000-0000-0000C8380000}"/>
    <cellStyle name="Percent 5 2 4 4 2" xfId="14525" xr:uid="{00000000-0005-0000-0000-0000C9380000}"/>
    <cellStyle name="Percent 5 2 4 5" xfId="14526" xr:uid="{00000000-0005-0000-0000-0000CA380000}"/>
    <cellStyle name="Percent 5 2 5" xfId="14527" xr:uid="{00000000-0005-0000-0000-0000CB380000}"/>
    <cellStyle name="Percent 5 2 5 2" xfId="14528" xr:uid="{00000000-0005-0000-0000-0000CC380000}"/>
    <cellStyle name="Percent 5 2 5 2 2" xfId="14529" xr:uid="{00000000-0005-0000-0000-0000CD380000}"/>
    <cellStyle name="Percent 5 2 5 3" xfId="14530" xr:uid="{00000000-0005-0000-0000-0000CE380000}"/>
    <cellStyle name="Percent 5 2 6" xfId="14531" xr:uid="{00000000-0005-0000-0000-0000CF380000}"/>
    <cellStyle name="Percent 5 2 6 2" xfId="14532" xr:uid="{00000000-0005-0000-0000-0000D0380000}"/>
    <cellStyle name="Percent 5 2 6 2 2" xfId="14533" xr:uid="{00000000-0005-0000-0000-0000D1380000}"/>
    <cellStyle name="Percent 5 2 6 3" xfId="14534" xr:uid="{00000000-0005-0000-0000-0000D2380000}"/>
    <cellStyle name="Percent 5 2 7" xfId="14535" xr:uid="{00000000-0005-0000-0000-0000D3380000}"/>
    <cellStyle name="Percent 5 2 7 2" xfId="14536" xr:uid="{00000000-0005-0000-0000-0000D4380000}"/>
    <cellStyle name="Percent 5 2 8" xfId="14537" xr:uid="{00000000-0005-0000-0000-0000D5380000}"/>
    <cellStyle name="Percent 5 2 9" xfId="14538" xr:uid="{00000000-0005-0000-0000-0000D6380000}"/>
    <cellStyle name="Percent 5 3" xfId="14539" xr:uid="{00000000-0005-0000-0000-0000D7380000}"/>
    <cellStyle name="Percent 5 3 2" xfId="14540" xr:uid="{00000000-0005-0000-0000-0000D8380000}"/>
    <cellStyle name="Percent 5 3 2 2" xfId="14541" xr:uid="{00000000-0005-0000-0000-0000D9380000}"/>
    <cellStyle name="Percent 5 3 2 2 2" xfId="14542" xr:uid="{00000000-0005-0000-0000-0000DA380000}"/>
    <cellStyle name="Percent 5 3 2 2 2 2" xfId="14543" xr:uid="{00000000-0005-0000-0000-0000DB380000}"/>
    <cellStyle name="Percent 5 3 2 2 2 2 2" xfId="14544" xr:uid="{00000000-0005-0000-0000-0000DC380000}"/>
    <cellStyle name="Percent 5 3 2 2 2 3" xfId="14545" xr:uid="{00000000-0005-0000-0000-0000DD380000}"/>
    <cellStyle name="Percent 5 3 2 2 3" xfId="14546" xr:uid="{00000000-0005-0000-0000-0000DE380000}"/>
    <cellStyle name="Percent 5 3 2 2 3 2" xfId="14547" xr:uid="{00000000-0005-0000-0000-0000DF380000}"/>
    <cellStyle name="Percent 5 3 2 2 3 2 2" xfId="14548" xr:uid="{00000000-0005-0000-0000-0000E0380000}"/>
    <cellStyle name="Percent 5 3 2 2 3 3" xfId="14549" xr:uid="{00000000-0005-0000-0000-0000E1380000}"/>
    <cellStyle name="Percent 5 3 2 2 4" xfId="14550" xr:uid="{00000000-0005-0000-0000-0000E2380000}"/>
    <cellStyle name="Percent 5 3 2 2 4 2" xfId="14551" xr:uid="{00000000-0005-0000-0000-0000E3380000}"/>
    <cellStyle name="Percent 5 3 2 2 5" xfId="14552" xr:uid="{00000000-0005-0000-0000-0000E4380000}"/>
    <cellStyle name="Percent 5 3 2 3" xfId="14553" xr:uid="{00000000-0005-0000-0000-0000E5380000}"/>
    <cellStyle name="Percent 5 3 2 3 2" xfId="14554" xr:uid="{00000000-0005-0000-0000-0000E6380000}"/>
    <cellStyle name="Percent 5 3 2 3 2 2" xfId="14555" xr:uid="{00000000-0005-0000-0000-0000E7380000}"/>
    <cellStyle name="Percent 5 3 2 3 3" xfId="14556" xr:uid="{00000000-0005-0000-0000-0000E8380000}"/>
    <cellStyle name="Percent 5 3 2 4" xfId="14557" xr:uid="{00000000-0005-0000-0000-0000E9380000}"/>
    <cellStyle name="Percent 5 3 2 4 2" xfId="14558" xr:uid="{00000000-0005-0000-0000-0000EA380000}"/>
    <cellStyle name="Percent 5 3 2 4 2 2" xfId="14559" xr:uid="{00000000-0005-0000-0000-0000EB380000}"/>
    <cellStyle name="Percent 5 3 2 4 3" xfId="14560" xr:uid="{00000000-0005-0000-0000-0000EC380000}"/>
    <cellStyle name="Percent 5 3 2 5" xfId="14561" xr:uid="{00000000-0005-0000-0000-0000ED380000}"/>
    <cellStyle name="Percent 5 3 2 5 2" xfId="14562" xr:uid="{00000000-0005-0000-0000-0000EE380000}"/>
    <cellStyle name="Percent 5 3 2 6" xfId="14563" xr:uid="{00000000-0005-0000-0000-0000EF380000}"/>
    <cellStyle name="Percent 5 3 3" xfId="14564" xr:uid="{00000000-0005-0000-0000-0000F0380000}"/>
    <cellStyle name="Percent 5 3 3 2" xfId="14565" xr:uid="{00000000-0005-0000-0000-0000F1380000}"/>
    <cellStyle name="Percent 5 3 3 2 2" xfId="14566" xr:uid="{00000000-0005-0000-0000-0000F2380000}"/>
    <cellStyle name="Percent 5 3 3 2 2 2" xfId="14567" xr:uid="{00000000-0005-0000-0000-0000F3380000}"/>
    <cellStyle name="Percent 5 3 3 2 3" xfId="14568" xr:uid="{00000000-0005-0000-0000-0000F4380000}"/>
    <cellStyle name="Percent 5 3 3 3" xfId="14569" xr:uid="{00000000-0005-0000-0000-0000F5380000}"/>
    <cellStyle name="Percent 5 3 3 3 2" xfId="14570" xr:uid="{00000000-0005-0000-0000-0000F6380000}"/>
    <cellStyle name="Percent 5 3 3 3 2 2" xfId="14571" xr:uid="{00000000-0005-0000-0000-0000F7380000}"/>
    <cellStyle name="Percent 5 3 3 3 3" xfId="14572" xr:uid="{00000000-0005-0000-0000-0000F8380000}"/>
    <cellStyle name="Percent 5 3 3 4" xfId="14573" xr:uid="{00000000-0005-0000-0000-0000F9380000}"/>
    <cellStyle name="Percent 5 3 3 4 2" xfId="14574" xr:uid="{00000000-0005-0000-0000-0000FA380000}"/>
    <cellStyle name="Percent 5 3 3 5" xfId="14575" xr:uid="{00000000-0005-0000-0000-0000FB380000}"/>
    <cellStyle name="Percent 5 3 4" xfId="14576" xr:uid="{00000000-0005-0000-0000-0000FC380000}"/>
    <cellStyle name="Percent 5 3 4 2" xfId="14577" xr:uid="{00000000-0005-0000-0000-0000FD380000}"/>
    <cellStyle name="Percent 5 3 4 2 2" xfId="14578" xr:uid="{00000000-0005-0000-0000-0000FE380000}"/>
    <cellStyle name="Percent 5 3 4 3" xfId="14579" xr:uid="{00000000-0005-0000-0000-0000FF380000}"/>
    <cellStyle name="Percent 5 3 5" xfId="14580" xr:uid="{00000000-0005-0000-0000-000000390000}"/>
    <cellStyle name="Percent 5 3 5 2" xfId="14581" xr:uid="{00000000-0005-0000-0000-000001390000}"/>
    <cellStyle name="Percent 5 3 5 2 2" xfId="14582" xr:uid="{00000000-0005-0000-0000-000002390000}"/>
    <cellStyle name="Percent 5 3 5 3" xfId="14583" xr:uid="{00000000-0005-0000-0000-000003390000}"/>
    <cellStyle name="Percent 5 3 6" xfId="14584" xr:uid="{00000000-0005-0000-0000-000004390000}"/>
    <cellStyle name="Percent 5 3 6 2" xfId="14585" xr:uid="{00000000-0005-0000-0000-000005390000}"/>
    <cellStyle name="Percent 5 3 7" xfId="14586" xr:uid="{00000000-0005-0000-0000-000006390000}"/>
    <cellStyle name="Percent 5 4" xfId="14587" xr:uid="{00000000-0005-0000-0000-000007390000}"/>
    <cellStyle name="Percent 5 4 2" xfId="14588" xr:uid="{00000000-0005-0000-0000-000008390000}"/>
    <cellStyle name="Percent 5 4 2 2" xfId="14589" xr:uid="{00000000-0005-0000-0000-000009390000}"/>
    <cellStyle name="Percent 5 4 2 2 2" xfId="14590" xr:uid="{00000000-0005-0000-0000-00000A390000}"/>
    <cellStyle name="Percent 5 4 2 2 2 2" xfId="14591" xr:uid="{00000000-0005-0000-0000-00000B390000}"/>
    <cellStyle name="Percent 5 4 2 2 3" xfId="14592" xr:uid="{00000000-0005-0000-0000-00000C390000}"/>
    <cellStyle name="Percent 5 4 2 3" xfId="14593" xr:uid="{00000000-0005-0000-0000-00000D390000}"/>
    <cellStyle name="Percent 5 4 2 3 2" xfId="14594" xr:uid="{00000000-0005-0000-0000-00000E390000}"/>
    <cellStyle name="Percent 5 4 2 3 2 2" xfId="14595" xr:uid="{00000000-0005-0000-0000-00000F390000}"/>
    <cellStyle name="Percent 5 4 2 3 3" xfId="14596" xr:uid="{00000000-0005-0000-0000-000010390000}"/>
    <cellStyle name="Percent 5 4 2 4" xfId="14597" xr:uid="{00000000-0005-0000-0000-000011390000}"/>
    <cellStyle name="Percent 5 4 2 4 2" xfId="14598" xr:uid="{00000000-0005-0000-0000-000012390000}"/>
    <cellStyle name="Percent 5 4 2 5" xfId="14599" xr:uid="{00000000-0005-0000-0000-000013390000}"/>
    <cellStyle name="Percent 5 4 3" xfId="14600" xr:uid="{00000000-0005-0000-0000-000014390000}"/>
    <cellStyle name="Percent 5 4 3 2" xfId="14601" xr:uid="{00000000-0005-0000-0000-000015390000}"/>
    <cellStyle name="Percent 5 4 3 2 2" xfId="14602" xr:uid="{00000000-0005-0000-0000-000016390000}"/>
    <cellStyle name="Percent 5 4 3 3" xfId="14603" xr:uid="{00000000-0005-0000-0000-000017390000}"/>
    <cellStyle name="Percent 5 4 4" xfId="14604" xr:uid="{00000000-0005-0000-0000-000018390000}"/>
    <cellStyle name="Percent 5 4 4 2" xfId="14605" xr:uid="{00000000-0005-0000-0000-000019390000}"/>
    <cellStyle name="Percent 5 4 4 2 2" xfId="14606" xr:uid="{00000000-0005-0000-0000-00001A390000}"/>
    <cellStyle name="Percent 5 4 4 3" xfId="14607" xr:uid="{00000000-0005-0000-0000-00001B390000}"/>
    <cellStyle name="Percent 5 4 5" xfId="14608" xr:uid="{00000000-0005-0000-0000-00001C390000}"/>
    <cellStyle name="Percent 5 4 5 2" xfId="14609" xr:uid="{00000000-0005-0000-0000-00001D390000}"/>
    <cellStyle name="Percent 5 4 6" xfId="14610" xr:uid="{00000000-0005-0000-0000-00001E390000}"/>
    <cellStyle name="Percent 5 5" xfId="14611" xr:uid="{00000000-0005-0000-0000-00001F390000}"/>
    <cellStyle name="Percent 5 5 2" xfId="14612" xr:uid="{00000000-0005-0000-0000-000020390000}"/>
    <cellStyle name="Percent 5 5 2 2" xfId="14613" xr:uid="{00000000-0005-0000-0000-000021390000}"/>
    <cellStyle name="Percent 5 5 2 2 2" xfId="14614" xr:uid="{00000000-0005-0000-0000-000022390000}"/>
    <cellStyle name="Percent 5 5 2 3" xfId="14615" xr:uid="{00000000-0005-0000-0000-000023390000}"/>
    <cellStyle name="Percent 5 5 3" xfId="14616" xr:uid="{00000000-0005-0000-0000-000024390000}"/>
    <cellStyle name="Percent 5 5 3 2" xfId="14617" xr:uid="{00000000-0005-0000-0000-000025390000}"/>
    <cellStyle name="Percent 5 5 3 2 2" xfId="14618" xr:uid="{00000000-0005-0000-0000-000026390000}"/>
    <cellStyle name="Percent 5 5 3 3" xfId="14619" xr:uid="{00000000-0005-0000-0000-000027390000}"/>
    <cellStyle name="Percent 5 5 4" xfId="14620" xr:uid="{00000000-0005-0000-0000-000028390000}"/>
    <cellStyle name="Percent 5 5 4 2" xfId="14621" xr:uid="{00000000-0005-0000-0000-000029390000}"/>
    <cellStyle name="Percent 5 5 5" xfId="14622" xr:uid="{00000000-0005-0000-0000-00002A390000}"/>
    <cellStyle name="Percent 5 6" xfId="14623" xr:uid="{00000000-0005-0000-0000-00002B390000}"/>
    <cellStyle name="Percent 5 6 2" xfId="14624" xr:uid="{00000000-0005-0000-0000-00002C390000}"/>
    <cellStyle name="Percent 5 6 2 2" xfId="14625" xr:uid="{00000000-0005-0000-0000-00002D390000}"/>
    <cellStyle name="Percent 5 6 3" xfId="14626" xr:uid="{00000000-0005-0000-0000-00002E390000}"/>
    <cellStyle name="Percent 5 7" xfId="14627" xr:uid="{00000000-0005-0000-0000-00002F390000}"/>
    <cellStyle name="Percent 5 7 2" xfId="14628" xr:uid="{00000000-0005-0000-0000-000030390000}"/>
    <cellStyle name="Percent 5 7 2 2" xfId="14629" xr:uid="{00000000-0005-0000-0000-000031390000}"/>
    <cellStyle name="Percent 5 7 3" xfId="14630" xr:uid="{00000000-0005-0000-0000-000032390000}"/>
    <cellStyle name="Percent 5 8" xfId="14631" xr:uid="{00000000-0005-0000-0000-000033390000}"/>
    <cellStyle name="Percent 5 8 2" xfId="14632" xr:uid="{00000000-0005-0000-0000-000034390000}"/>
    <cellStyle name="Percent 5 9" xfId="14633" xr:uid="{00000000-0005-0000-0000-000035390000}"/>
    <cellStyle name="Percent 6" xfId="14634" xr:uid="{00000000-0005-0000-0000-000036390000}"/>
    <cellStyle name="Percent 6 2" xfId="14635" xr:uid="{00000000-0005-0000-0000-000037390000}"/>
    <cellStyle name="Percent 6 2 2" xfId="14636" xr:uid="{00000000-0005-0000-0000-000038390000}"/>
    <cellStyle name="Percent 6 2 2 2" xfId="14637" xr:uid="{00000000-0005-0000-0000-000039390000}"/>
    <cellStyle name="Percent 6 2 2 2 2" xfId="14638" xr:uid="{00000000-0005-0000-0000-00003A390000}"/>
    <cellStyle name="Percent 6 2 2 2 2 2" xfId="14639" xr:uid="{00000000-0005-0000-0000-00003B390000}"/>
    <cellStyle name="Percent 6 2 2 2 2 2 2" xfId="14640" xr:uid="{00000000-0005-0000-0000-00003C390000}"/>
    <cellStyle name="Percent 6 2 2 2 2 3" xfId="14641" xr:uid="{00000000-0005-0000-0000-00003D390000}"/>
    <cellStyle name="Percent 6 2 2 2 3" xfId="14642" xr:uid="{00000000-0005-0000-0000-00003E390000}"/>
    <cellStyle name="Percent 6 2 2 2 3 2" xfId="14643" xr:uid="{00000000-0005-0000-0000-00003F390000}"/>
    <cellStyle name="Percent 6 2 2 2 3 2 2" xfId="14644" xr:uid="{00000000-0005-0000-0000-000040390000}"/>
    <cellStyle name="Percent 6 2 2 2 3 3" xfId="14645" xr:uid="{00000000-0005-0000-0000-000041390000}"/>
    <cellStyle name="Percent 6 2 2 2 4" xfId="14646" xr:uid="{00000000-0005-0000-0000-000042390000}"/>
    <cellStyle name="Percent 6 2 2 2 4 2" xfId="14647" xr:uid="{00000000-0005-0000-0000-000043390000}"/>
    <cellStyle name="Percent 6 2 2 2 5" xfId="14648" xr:uid="{00000000-0005-0000-0000-000044390000}"/>
    <cellStyle name="Percent 6 2 2 3" xfId="14649" xr:uid="{00000000-0005-0000-0000-000045390000}"/>
    <cellStyle name="Percent 6 2 2 3 2" xfId="14650" xr:uid="{00000000-0005-0000-0000-000046390000}"/>
    <cellStyle name="Percent 6 2 2 3 2 2" xfId="14651" xr:uid="{00000000-0005-0000-0000-000047390000}"/>
    <cellStyle name="Percent 6 2 2 3 3" xfId="14652" xr:uid="{00000000-0005-0000-0000-000048390000}"/>
    <cellStyle name="Percent 6 2 2 4" xfId="14653" xr:uid="{00000000-0005-0000-0000-000049390000}"/>
    <cellStyle name="Percent 6 2 2 4 2" xfId="14654" xr:uid="{00000000-0005-0000-0000-00004A390000}"/>
    <cellStyle name="Percent 6 2 2 4 2 2" xfId="14655" xr:uid="{00000000-0005-0000-0000-00004B390000}"/>
    <cellStyle name="Percent 6 2 2 4 3" xfId="14656" xr:uid="{00000000-0005-0000-0000-00004C390000}"/>
    <cellStyle name="Percent 6 2 2 5" xfId="14657" xr:uid="{00000000-0005-0000-0000-00004D390000}"/>
    <cellStyle name="Percent 6 2 2 5 2" xfId="14658" xr:uid="{00000000-0005-0000-0000-00004E390000}"/>
    <cellStyle name="Percent 6 2 2 6" xfId="14659" xr:uid="{00000000-0005-0000-0000-00004F390000}"/>
    <cellStyle name="Percent 6 2 3" xfId="14660" xr:uid="{00000000-0005-0000-0000-000050390000}"/>
    <cellStyle name="Percent 6 2 3 2" xfId="14661" xr:uid="{00000000-0005-0000-0000-000051390000}"/>
    <cellStyle name="Percent 6 2 3 2 2" xfId="14662" xr:uid="{00000000-0005-0000-0000-000052390000}"/>
    <cellStyle name="Percent 6 2 3 2 2 2" xfId="14663" xr:uid="{00000000-0005-0000-0000-000053390000}"/>
    <cellStyle name="Percent 6 2 3 2 3" xfId="14664" xr:uid="{00000000-0005-0000-0000-000054390000}"/>
    <cellStyle name="Percent 6 2 3 3" xfId="14665" xr:uid="{00000000-0005-0000-0000-000055390000}"/>
    <cellStyle name="Percent 6 2 3 3 2" xfId="14666" xr:uid="{00000000-0005-0000-0000-000056390000}"/>
    <cellStyle name="Percent 6 2 3 3 2 2" xfId="14667" xr:uid="{00000000-0005-0000-0000-000057390000}"/>
    <cellStyle name="Percent 6 2 3 3 3" xfId="14668" xr:uid="{00000000-0005-0000-0000-000058390000}"/>
    <cellStyle name="Percent 6 2 3 4" xfId="14669" xr:uid="{00000000-0005-0000-0000-000059390000}"/>
    <cellStyle name="Percent 6 2 3 4 2" xfId="14670" xr:uid="{00000000-0005-0000-0000-00005A390000}"/>
    <cellStyle name="Percent 6 2 3 5" xfId="14671" xr:uid="{00000000-0005-0000-0000-00005B390000}"/>
    <cellStyle name="Percent 6 2 4" xfId="14672" xr:uid="{00000000-0005-0000-0000-00005C390000}"/>
    <cellStyle name="Percent 6 2 4 2" xfId="14673" xr:uid="{00000000-0005-0000-0000-00005D390000}"/>
    <cellStyle name="Percent 6 2 4 2 2" xfId="14674" xr:uid="{00000000-0005-0000-0000-00005E390000}"/>
    <cellStyle name="Percent 6 2 4 3" xfId="14675" xr:uid="{00000000-0005-0000-0000-00005F390000}"/>
    <cellStyle name="Percent 6 2 5" xfId="14676" xr:uid="{00000000-0005-0000-0000-000060390000}"/>
    <cellStyle name="Percent 6 2 5 2" xfId="14677" xr:uid="{00000000-0005-0000-0000-000061390000}"/>
    <cellStyle name="Percent 6 2 5 2 2" xfId="14678" xr:uid="{00000000-0005-0000-0000-000062390000}"/>
    <cellStyle name="Percent 6 2 5 3" xfId="14679" xr:uid="{00000000-0005-0000-0000-000063390000}"/>
    <cellStyle name="Percent 6 2 6" xfId="14680" xr:uid="{00000000-0005-0000-0000-000064390000}"/>
    <cellStyle name="Percent 6 2 6 2" xfId="14681" xr:uid="{00000000-0005-0000-0000-000065390000}"/>
    <cellStyle name="Percent 6 2 7" xfId="14682" xr:uid="{00000000-0005-0000-0000-000066390000}"/>
    <cellStyle name="Percent 6 2 8" xfId="14683" xr:uid="{00000000-0005-0000-0000-000067390000}"/>
    <cellStyle name="Percent 6 3" xfId="14684" xr:uid="{00000000-0005-0000-0000-000068390000}"/>
    <cellStyle name="Percent 6 3 2" xfId="14685" xr:uid="{00000000-0005-0000-0000-000069390000}"/>
    <cellStyle name="Percent 6 3 2 2" xfId="14686" xr:uid="{00000000-0005-0000-0000-00006A390000}"/>
    <cellStyle name="Percent 6 3 2 2 2" xfId="14687" xr:uid="{00000000-0005-0000-0000-00006B390000}"/>
    <cellStyle name="Percent 6 3 2 2 2 2" xfId="14688" xr:uid="{00000000-0005-0000-0000-00006C390000}"/>
    <cellStyle name="Percent 6 3 2 2 3" xfId="14689" xr:uid="{00000000-0005-0000-0000-00006D390000}"/>
    <cellStyle name="Percent 6 3 2 3" xfId="14690" xr:uid="{00000000-0005-0000-0000-00006E390000}"/>
    <cellStyle name="Percent 6 3 2 3 2" xfId="14691" xr:uid="{00000000-0005-0000-0000-00006F390000}"/>
    <cellStyle name="Percent 6 3 2 3 2 2" xfId="14692" xr:uid="{00000000-0005-0000-0000-000070390000}"/>
    <cellStyle name="Percent 6 3 2 3 3" xfId="14693" xr:uid="{00000000-0005-0000-0000-000071390000}"/>
    <cellStyle name="Percent 6 3 2 4" xfId="14694" xr:uid="{00000000-0005-0000-0000-000072390000}"/>
    <cellStyle name="Percent 6 3 2 4 2" xfId="14695" xr:uid="{00000000-0005-0000-0000-000073390000}"/>
    <cellStyle name="Percent 6 3 2 5" xfId="14696" xr:uid="{00000000-0005-0000-0000-000074390000}"/>
    <cellStyle name="Percent 6 3 3" xfId="14697" xr:uid="{00000000-0005-0000-0000-000075390000}"/>
    <cellStyle name="Percent 6 3 3 2" xfId="14698" xr:uid="{00000000-0005-0000-0000-000076390000}"/>
    <cellStyle name="Percent 6 3 3 2 2" xfId="14699" xr:uid="{00000000-0005-0000-0000-000077390000}"/>
    <cellStyle name="Percent 6 3 3 3" xfId="14700" xr:uid="{00000000-0005-0000-0000-000078390000}"/>
    <cellStyle name="Percent 6 3 4" xfId="14701" xr:uid="{00000000-0005-0000-0000-000079390000}"/>
    <cellStyle name="Percent 6 3 4 2" xfId="14702" xr:uid="{00000000-0005-0000-0000-00007A390000}"/>
    <cellStyle name="Percent 6 3 4 2 2" xfId="14703" xr:uid="{00000000-0005-0000-0000-00007B390000}"/>
    <cellStyle name="Percent 6 3 4 3" xfId="14704" xr:uid="{00000000-0005-0000-0000-00007C390000}"/>
    <cellStyle name="Percent 6 3 5" xfId="14705" xr:uid="{00000000-0005-0000-0000-00007D390000}"/>
    <cellStyle name="Percent 6 3 5 2" xfId="14706" xr:uid="{00000000-0005-0000-0000-00007E390000}"/>
    <cellStyle name="Percent 6 3 6" xfId="14707" xr:uid="{00000000-0005-0000-0000-00007F390000}"/>
    <cellStyle name="Percent 6 4" xfId="14708" xr:uid="{00000000-0005-0000-0000-000080390000}"/>
    <cellStyle name="Percent 6 4 2" xfId="14709" xr:uid="{00000000-0005-0000-0000-000081390000}"/>
    <cellStyle name="Percent 6 4 2 2" xfId="14710" xr:uid="{00000000-0005-0000-0000-000082390000}"/>
    <cellStyle name="Percent 6 4 2 2 2" xfId="14711" xr:uid="{00000000-0005-0000-0000-000083390000}"/>
    <cellStyle name="Percent 6 4 2 3" xfId="14712" xr:uid="{00000000-0005-0000-0000-000084390000}"/>
    <cellStyle name="Percent 6 4 3" xfId="14713" xr:uid="{00000000-0005-0000-0000-000085390000}"/>
    <cellStyle name="Percent 6 4 3 2" xfId="14714" xr:uid="{00000000-0005-0000-0000-000086390000}"/>
    <cellStyle name="Percent 6 4 3 2 2" xfId="14715" xr:uid="{00000000-0005-0000-0000-000087390000}"/>
    <cellStyle name="Percent 6 4 3 3" xfId="14716" xr:uid="{00000000-0005-0000-0000-000088390000}"/>
    <cellStyle name="Percent 6 4 4" xfId="14717" xr:uid="{00000000-0005-0000-0000-000089390000}"/>
    <cellStyle name="Percent 6 4 4 2" xfId="14718" xr:uid="{00000000-0005-0000-0000-00008A390000}"/>
    <cellStyle name="Percent 6 4 5" xfId="14719" xr:uid="{00000000-0005-0000-0000-00008B390000}"/>
    <cellStyle name="Percent 6 5" xfId="14720" xr:uid="{00000000-0005-0000-0000-00008C390000}"/>
    <cellStyle name="Percent 6 5 2" xfId="14721" xr:uid="{00000000-0005-0000-0000-00008D390000}"/>
    <cellStyle name="Percent 6 5 2 2" xfId="14722" xr:uid="{00000000-0005-0000-0000-00008E390000}"/>
    <cellStyle name="Percent 6 5 3" xfId="14723" xr:uid="{00000000-0005-0000-0000-00008F390000}"/>
    <cellStyle name="Percent 6 6" xfId="14724" xr:uid="{00000000-0005-0000-0000-000090390000}"/>
    <cellStyle name="Percent 6 6 2" xfId="14725" xr:uid="{00000000-0005-0000-0000-000091390000}"/>
    <cellStyle name="Percent 6 6 2 2" xfId="14726" xr:uid="{00000000-0005-0000-0000-000092390000}"/>
    <cellStyle name="Percent 6 6 3" xfId="14727" xr:uid="{00000000-0005-0000-0000-000093390000}"/>
    <cellStyle name="Percent 6 7" xfId="14728" xr:uid="{00000000-0005-0000-0000-000094390000}"/>
    <cellStyle name="Percent 6 7 2" xfId="14729" xr:uid="{00000000-0005-0000-0000-000095390000}"/>
    <cellStyle name="Percent 6 8" xfId="14730" xr:uid="{00000000-0005-0000-0000-000096390000}"/>
    <cellStyle name="Percent 6 9" xfId="14731" xr:uid="{00000000-0005-0000-0000-000097390000}"/>
    <cellStyle name="Percent 7" xfId="14732" xr:uid="{00000000-0005-0000-0000-000098390000}"/>
    <cellStyle name="Percent 7 2" xfId="14733" xr:uid="{00000000-0005-0000-0000-000099390000}"/>
    <cellStyle name="Percent 7 2 2" xfId="14734" xr:uid="{00000000-0005-0000-0000-00009A390000}"/>
    <cellStyle name="Percent 7 2 2 2" xfId="14735" xr:uid="{00000000-0005-0000-0000-00009B390000}"/>
    <cellStyle name="Percent 7 2 2 2 2" xfId="14736" xr:uid="{00000000-0005-0000-0000-00009C390000}"/>
    <cellStyle name="Percent 7 2 2 2 2 2" xfId="14737" xr:uid="{00000000-0005-0000-0000-00009D390000}"/>
    <cellStyle name="Percent 7 2 2 2 2 2 2" xfId="14738" xr:uid="{00000000-0005-0000-0000-00009E390000}"/>
    <cellStyle name="Percent 7 2 2 2 2 3" xfId="14739" xr:uid="{00000000-0005-0000-0000-00009F390000}"/>
    <cellStyle name="Percent 7 2 2 2 3" xfId="14740" xr:uid="{00000000-0005-0000-0000-0000A0390000}"/>
    <cellStyle name="Percent 7 2 2 2 3 2" xfId="14741" xr:uid="{00000000-0005-0000-0000-0000A1390000}"/>
    <cellStyle name="Percent 7 2 2 2 3 2 2" xfId="14742" xr:uid="{00000000-0005-0000-0000-0000A2390000}"/>
    <cellStyle name="Percent 7 2 2 2 3 3" xfId="14743" xr:uid="{00000000-0005-0000-0000-0000A3390000}"/>
    <cellStyle name="Percent 7 2 2 2 4" xfId="14744" xr:uid="{00000000-0005-0000-0000-0000A4390000}"/>
    <cellStyle name="Percent 7 2 2 2 4 2" xfId="14745" xr:uid="{00000000-0005-0000-0000-0000A5390000}"/>
    <cellStyle name="Percent 7 2 2 2 5" xfId="14746" xr:uid="{00000000-0005-0000-0000-0000A6390000}"/>
    <cellStyle name="Percent 7 2 2 3" xfId="14747" xr:uid="{00000000-0005-0000-0000-0000A7390000}"/>
    <cellStyle name="Percent 7 2 2 3 2" xfId="14748" xr:uid="{00000000-0005-0000-0000-0000A8390000}"/>
    <cellStyle name="Percent 7 2 2 3 2 2" xfId="14749" xr:uid="{00000000-0005-0000-0000-0000A9390000}"/>
    <cellStyle name="Percent 7 2 2 3 3" xfId="14750" xr:uid="{00000000-0005-0000-0000-0000AA390000}"/>
    <cellStyle name="Percent 7 2 2 4" xfId="14751" xr:uid="{00000000-0005-0000-0000-0000AB390000}"/>
    <cellStyle name="Percent 7 2 2 4 2" xfId="14752" xr:uid="{00000000-0005-0000-0000-0000AC390000}"/>
    <cellStyle name="Percent 7 2 2 4 2 2" xfId="14753" xr:uid="{00000000-0005-0000-0000-0000AD390000}"/>
    <cellStyle name="Percent 7 2 2 4 3" xfId="14754" xr:uid="{00000000-0005-0000-0000-0000AE390000}"/>
    <cellStyle name="Percent 7 2 2 5" xfId="14755" xr:uid="{00000000-0005-0000-0000-0000AF390000}"/>
    <cellStyle name="Percent 7 2 2 5 2" xfId="14756" xr:uid="{00000000-0005-0000-0000-0000B0390000}"/>
    <cellStyle name="Percent 7 2 2 6" xfId="14757" xr:uid="{00000000-0005-0000-0000-0000B1390000}"/>
    <cellStyle name="Percent 7 2 3" xfId="14758" xr:uid="{00000000-0005-0000-0000-0000B2390000}"/>
    <cellStyle name="Percent 7 2 3 2" xfId="14759" xr:uid="{00000000-0005-0000-0000-0000B3390000}"/>
    <cellStyle name="Percent 7 2 3 2 2" xfId="14760" xr:uid="{00000000-0005-0000-0000-0000B4390000}"/>
    <cellStyle name="Percent 7 2 3 2 2 2" xfId="14761" xr:uid="{00000000-0005-0000-0000-0000B5390000}"/>
    <cellStyle name="Percent 7 2 3 2 3" xfId="14762" xr:uid="{00000000-0005-0000-0000-0000B6390000}"/>
    <cellStyle name="Percent 7 2 3 3" xfId="14763" xr:uid="{00000000-0005-0000-0000-0000B7390000}"/>
    <cellStyle name="Percent 7 2 3 3 2" xfId="14764" xr:uid="{00000000-0005-0000-0000-0000B8390000}"/>
    <cellStyle name="Percent 7 2 3 3 2 2" xfId="14765" xr:uid="{00000000-0005-0000-0000-0000B9390000}"/>
    <cellStyle name="Percent 7 2 3 3 3" xfId="14766" xr:uid="{00000000-0005-0000-0000-0000BA390000}"/>
    <cellStyle name="Percent 7 2 3 4" xfId="14767" xr:uid="{00000000-0005-0000-0000-0000BB390000}"/>
    <cellStyle name="Percent 7 2 3 4 2" xfId="14768" xr:uid="{00000000-0005-0000-0000-0000BC390000}"/>
    <cellStyle name="Percent 7 2 3 5" xfId="14769" xr:uid="{00000000-0005-0000-0000-0000BD390000}"/>
    <cellStyle name="Percent 7 2 4" xfId="14770" xr:uid="{00000000-0005-0000-0000-0000BE390000}"/>
    <cellStyle name="Percent 7 2 4 2" xfId="14771" xr:uid="{00000000-0005-0000-0000-0000BF390000}"/>
    <cellStyle name="Percent 7 2 4 2 2" xfId="14772" xr:uid="{00000000-0005-0000-0000-0000C0390000}"/>
    <cellStyle name="Percent 7 2 4 3" xfId="14773" xr:uid="{00000000-0005-0000-0000-0000C1390000}"/>
    <cellStyle name="Percent 7 2 5" xfId="14774" xr:uid="{00000000-0005-0000-0000-0000C2390000}"/>
    <cellStyle name="Percent 7 2 5 2" xfId="14775" xr:uid="{00000000-0005-0000-0000-0000C3390000}"/>
    <cellStyle name="Percent 7 2 5 2 2" xfId="14776" xr:uid="{00000000-0005-0000-0000-0000C4390000}"/>
    <cellStyle name="Percent 7 2 5 3" xfId="14777" xr:uid="{00000000-0005-0000-0000-0000C5390000}"/>
    <cellStyle name="Percent 7 2 6" xfId="14778" xr:uid="{00000000-0005-0000-0000-0000C6390000}"/>
    <cellStyle name="Percent 7 2 6 2" xfId="14779" xr:uid="{00000000-0005-0000-0000-0000C7390000}"/>
    <cellStyle name="Percent 7 2 7" xfId="14780" xr:uid="{00000000-0005-0000-0000-0000C8390000}"/>
    <cellStyle name="Percent 7 2 8" xfId="14781" xr:uid="{00000000-0005-0000-0000-0000C9390000}"/>
    <cellStyle name="Percent 7 3" xfId="14782" xr:uid="{00000000-0005-0000-0000-0000CA390000}"/>
    <cellStyle name="Percent 7 3 2" xfId="14783" xr:uid="{00000000-0005-0000-0000-0000CB390000}"/>
    <cellStyle name="Percent 7 3 2 2" xfId="14784" xr:uid="{00000000-0005-0000-0000-0000CC390000}"/>
    <cellStyle name="Percent 7 3 2 2 2" xfId="14785" xr:uid="{00000000-0005-0000-0000-0000CD390000}"/>
    <cellStyle name="Percent 7 3 2 2 2 2" xfId="14786" xr:uid="{00000000-0005-0000-0000-0000CE390000}"/>
    <cellStyle name="Percent 7 3 2 2 3" xfId="14787" xr:uid="{00000000-0005-0000-0000-0000CF390000}"/>
    <cellStyle name="Percent 7 3 2 3" xfId="14788" xr:uid="{00000000-0005-0000-0000-0000D0390000}"/>
    <cellStyle name="Percent 7 3 2 3 2" xfId="14789" xr:uid="{00000000-0005-0000-0000-0000D1390000}"/>
    <cellStyle name="Percent 7 3 2 3 2 2" xfId="14790" xr:uid="{00000000-0005-0000-0000-0000D2390000}"/>
    <cellStyle name="Percent 7 3 2 3 3" xfId="14791" xr:uid="{00000000-0005-0000-0000-0000D3390000}"/>
    <cellStyle name="Percent 7 3 2 4" xfId="14792" xr:uid="{00000000-0005-0000-0000-0000D4390000}"/>
    <cellStyle name="Percent 7 3 2 4 2" xfId="14793" xr:uid="{00000000-0005-0000-0000-0000D5390000}"/>
    <cellStyle name="Percent 7 3 2 5" xfId="14794" xr:uid="{00000000-0005-0000-0000-0000D6390000}"/>
    <cellStyle name="Percent 7 3 3" xfId="14795" xr:uid="{00000000-0005-0000-0000-0000D7390000}"/>
    <cellStyle name="Percent 7 3 3 2" xfId="14796" xr:uid="{00000000-0005-0000-0000-0000D8390000}"/>
    <cellStyle name="Percent 7 3 3 2 2" xfId="14797" xr:uid="{00000000-0005-0000-0000-0000D9390000}"/>
    <cellStyle name="Percent 7 3 3 3" xfId="14798" xr:uid="{00000000-0005-0000-0000-0000DA390000}"/>
    <cellStyle name="Percent 7 3 4" xfId="14799" xr:uid="{00000000-0005-0000-0000-0000DB390000}"/>
    <cellStyle name="Percent 7 3 4 2" xfId="14800" xr:uid="{00000000-0005-0000-0000-0000DC390000}"/>
    <cellStyle name="Percent 7 3 4 2 2" xfId="14801" xr:uid="{00000000-0005-0000-0000-0000DD390000}"/>
    <cellStyle name="Percent 7 3 4 3" xfId="14802" xr:uid="{00000000-0005-0000-0000-0000DE390000}"/>
    <cellStyle name="Percent 7 3 5" xfId="14803" xr:uid="{00000000-0005-0000-0000-0000DF390000}"/>
    <cellStyle name="Percent 7 3 5 2" xfId="14804" xr:uid="{00000000-0005-0000-0000-0000E0390000}"/>
    <cellStyle name="Percent 7 3 6" xfId="14805" xr:uid="{00000000-0005-0000-0000-0000E1390000}"/>
    <cellStyle name="Percent 7 3 7" xfId="14806" xr:uid="{00000000-0005-0000-0000-0000E2390000}"/>
    <cellStyle name="Percent 7 4" xfId="14807" xr:uid="{00000000-0005-0000-0000-0000E3390000}"/>
    <cellStyle name="Percent 7 4 2" xfId="14808" xr:uid="{00000000-0005-0000-0000-0000E4390000}"/>
    <cellStyle name="Percent 7 4 2 2" xfId="14809" xr:uid="{00000000-0005-0000-0000-0000E5390000}"/>
    <cellStyle name="Percent 7 4 2 2 2" xfId="14810" xr:uid="{00000000-0005-0000-0000-0000E6390000}"/>
    <cellStyle name="Percent 7 4 2 3" xfId="14811" xr:uid="{00000000-0005-0000-0000-0000E7390000}"/>
    <cellStyle name="Percent 7 4 3" xfId="14812" xr:uid="{00000000-0005-0000-0000-0000E8390000}"/>
    <cellStyle name="Percent 7 4 3 2" xfId="14813" xr:uid="{00000000-0005-0000-0000-0000E9390000}"/>
    <cellStyle name="Percent 7 4 3 2 2" xfId="14814" xr:uid="{00000000-0005-0000-0000-0000EA390000}"/>
    <cellStyle name="Percent 7 4 3 3" xfId="14815" xr:uid="{00000000-0005-0000-0000-0000EB390000}"/>
    <cellStyle name="Percent 7 4 4" xfId="14816" xr:uid="{00000000-0005-0000-0000-0000EC390000}"/>
    <cellStyle name="Percent 7 4 4 2" xfId="14817" xr:uid="{00000000-0005-0000-0000-0000ED390000}"/>
    <cellStyle name="Percent 7 4 5" xfId="14818" xr:uid="{00000000-0005-0000-0000-0000EE390000}"/>
    <cellStyle name="Percent 7 5" xfId="14819" xr:uid="{00000000-0005-0000-0000-0000EF390000}"/>
    <cellStyle name="Percent 7 5 2" xfId="14820" xr:uid="{00000000-0005-0000-0000-0000F0390000}"/>
    <cellStyle name="Percent 7 5 2 2" xfId="14821" xr:uid="{00000000-0005-0000-0000-0000F1390000}"/>
    <cellStyle name="Percent 7 5 3" xfId="14822" xr:uid="{00000000-0005-0000-0000-0000F2390000}"/>
    <cellStyle name="Percent 7 6" xfId="14823" xr:uid="{00000000-0005-0000-0000-0000F3390000}"/>
    <cellStyle name="Percent 7 6 2" xfId="14824" xr:uid="{00000000-0005-0000-0000-0000F4390000}"/>
    <cellStyle name="Percent 7 6 2 2" xfId="14825" xr:uid="{00000000-0005-0000-0000-0000F5390000}"/>
    <cellStyle name="Percent 7 6 3" xfId="14826" xr:uid="{00000000-0005-0000-0000-0000F6390000}"/>
    <cellStyle name="Percent 7 7" xfId="14827" xr:uid="{00000000-0005-0000-0000-0000F7390000}"/>
    <cellStyle name="Percent 7 7 2" xfId="14828" xr:uid="{00000000-0005-0000-0000-0000F8390000}"/>
    <cellStyle name="Percent 7 8" xfId="14829" xr:uid="{00000000-0005-0000-0000-0000F9390000}"/>
    <cellStyle name="Percent 7 9" xfId="14830" xr:uid="{00000000-0005-0000-0000-0000FA390000}"/>
    <cellStyle name="Percent 8" xfId="14831" xr:uid="{00000000-0005-0000-0000-0000FB390000}"/>
    <cellStyle name="Percent 8 2" xfId="14832" xr:uid="{00000000-0005-0000-0000-0000FC390000}"/>
    <cellStyle name="Percent 8 2 2" xfId="14833" xr:uid="{00000000-0005-0000-0000-0000FD390000}"/>
    <cellStyle name="Percent 8 2 2 2" xfId="14834" xr:uid="{00000000-0005-0000-0000-0000FE390000}"/>
    <cellStyle name="Percent 8 2 2 2 2" xfId="14835" xr:uid="{00000000-0005-0000-0000-0000FF390000}"/>
    <cellStyle name="Percent 8 2 2 2 2 2" xfId="14836" xr:uid="{00000000-0005-0000-0000-0000003A0000}"/>
    <cellStyle name="Percent 8 2 2 2 3" xfId="14837" xr:uid="{00000000-0005-0000-0000-0000013A0000}"/>
    <cellStyle name="Percent 8 2 2 3" xfId="14838" xr:uid="{00000000-0005-0000-0000-0000023A0000}"/>
    <cellStyle name="Percent 8 2 2 3 2" xfId="14839" xr:uid="{00000000-0005-0000-0000-0000033A0000}"/>
    <cellStyle name="Percent 8 2 2 3 2 2" xfId="14840" xr:uid="{00000000-0005-0000-0000-0000043A0000}"/>
    <cellStyle name="Percent 8 2 2 3 3" xfId="14841" xr:uid="{00000000-0005-0000-0000-0000053A0000}"/>
    <cellStyle name="Percent 8 2 2 4" xfId="14842" xr:uid="{00000000-0005-0000-0000-0000063A0000}"/>
    <cellStyle name="Percent 8 2 2 4 2" xfId="14843" xr:uid="{00000000-0005-0000-0000-0000073A0000}"/>
    <cellStyle name="Percent 8 2 2 5" xfId="14844" xr:uid="{00000000-0005-0000-0000-0000083A0000}"/>
    <cellStyle name="Percent 8 2 3" xfId="14845" xr:uid="{00000000-0005-0000-0000-0000093A0000}"/>
    <cellStyle name="Percent 8 2 3 2" xfId="14846" xr:uid="{00000000-0005-0000-0000-00000A3A0000}"/>
    <cellStyle name="Percent 8 2 3 2 2" xfId="14847" xr:uid="{00000000-0005-0000-0000-00000B3A0000}"/>
    <cellStyle name="Percent 8 2 3 3" xfId="14848" xr:uid="{00000000-0005-0000-0000-00000C3A0000}"/>
    <cellStyle name="Percent 8 2 4" xfId="14849" xr:uid="{00000000-0005-0000-0000-00000D3A0000}"/>
    <cellStyle name="Percent 8 2 4 2" xfId="14850" xr:uid="{00000000-0005-0000-0000-00000E3A0000}"/>
    <cellStyle name="Percent 8 2 4 2 2" xfId="14851" xr:uid="{00000000-0005-0000-0000-00000F3A0000}"/>
    <cellStyle name="Percent 8 2 4 3" xfId="14852" xr:uid="{00000000-0005-0000-0000-0000103A0000}"/>
    <cellStyle name="Percent 8 2 5" xfId="14853" xr:uid="{00000000-0005-0000-0000-0000113A0000}"/>
    <cellStyle name="Percent 8 2 5 2" xfId="14854" xr:uid="{00000000-0005-0000-0000-0000123A0000}"/>
    <cellStyle name="Percent 8 2 6" xfId="14855" xr:uid="{00000000-0005-0000-0000-0000133A0000}"/>
    <cellStyle name="Percent 8 3" xfId="14856" xr:uid="{00000000-0005-0000-0000-0000143A0000}"/>
    <cellStyle name="Percent 8 3 2" xfId="14857" xr:uid="{00000000-0005-0000-0000-0000153A0000}"/>
    <cellStyle name="Percent 8 3 2 2" xfId="14858" xr:uid="{00000000-0005-0000-0000-0000163A0000}"/>
    <cellStyle name="Percent 8 3 2 2 2" xfId="14859" xr:uid="{00000000-0005-0000-0000-0000173A0000}"/>
    <cellStyle name="Percent 8 3 2 3" xfId="14860" xr:uid="{00000000-0005-0000-0000-0000183A0000}"/>
    <cellStyle name="Percent 8 3 3" xfId="14861" xr:uid="{00000000-0005-0000-0000-0000193A0000}"/>
    <cellStyle name="Percent 8 3 3 2" xfId="14862" xr:uid="{00000000-0005-0000-0000-00001A3A0000}"/>
    <cellStyle name="Percent 8 3 3 2 2" xfId="14863" xr:uid="{00000000-0005-0000-0000-00001B3A0000}"/>
    <cellStyle name="Percent 8 3 3 3" xfId="14864" xr:uid="{00000000-0005-0000-0000-00001C3A0000}"/>
    <cellStyle name="Percent 8 3 4" xfId="14865" xr:uid="{00000000-0005-0000-0000-00001D3A0000}"/>
    <cellStyle name="Percent 8 3 4 2" xfId="14866" xr:uid="{00000000-0005-0000-0000-00001E3A0000}"/>
    <cellStyle name="Percent 8 3 5" xfId="14867" xr:uid="{00000000-0005-0000-0000-00001F3A0000}"/>
    <cellStyle name="Percent 8 4" xfId="14868" xr:uid="{00000000-0005-0000-0000-0000203A0000}"/>
    <cellStyle name="Percent 8 4 2" xfId="14869" xr:uid="{00000000-0005-0000-0000-0000213A0000}"/>
    <cellStyle name="Percent 8 4 2 2" xfId="14870" xr:uid="{00000000-0005-0000-0000-0000223A0000}"/>
    <cellStyle name="Percent 8 4 3" xfId="14871" xr:uid="{00000000-0005-0000-0000-0000233A0000}"/>
    <cellStyle name="Percent 8 5" xfId="14872" xr:uid="{00000000-0005-0000-0000-0000243A0000}"/>
    <cellStyle name="Percent 8 5 2" xfId="14873" xr:uid="{00000000-0005-0000-0000-0000253A0000}"/>
    <cellStyle name="Percent 8 5 2 2" xfId="14874" xr:uid="{00000000-0005-0000-0000-0000263A0000}"/>
    <cellStyle name="Percent 8 5 3" xfId="14875" xr:uid="{00000000-0005-0000-0000-0000273A0000}"/>
    <cellStyle name="Percent 8 6" xfId="14876" xr:uid="{00000000-0005-0000-0000-0000283A0000}"/>
    <cellStyle name="Percent 8 6 2" xfId="14877" xr:uid="{00000000-0005-0000-0000-0000293A0000}"/>
    <cellStyle name="Percent 8 7" xfId="14878" xr:uid="{00000000-0005-0000-0000-00002A3A0000}"/>
    <cellStyle name="Percent 8 7 2" xfId="14879" xr:uid="{00000000-0005-0000-0000-00002B3A0000}"/>
    <cellStyle name="Percent 8 8" xfId="14880" xr:uid="{00000000-0005-0000-0000-00002C3A0000}"/>
    <cellStyle name="Percent 8 9" xfId="14881" xr:uid="{00000000-0005-0000-0000-00002D3A0000}"/>
    <cellStyle name="Percent 9" xfId="14882" xr:uid="{00000000-0005-0000-0000-00002E3A0000}"/>
    <cellStyle name="Percent 9 2" xfId="14883" xr:uid="{00000000-0005-0000-0000-00002F3A0000}"/>
    <cellStyle name="Percent 9 2 2" xfId="14884" xr:uid="{00000000-0005-0000-0000-0000303A0000}"/>
    <cellStyle name="Percent 9 3" xfId="14885" xr:uid="{00000000-0005-0000-0000-0000313A0000}"/>
    <cellStyle name="Percent 9 3 2" xfId="14886" xr:uid="{00000000-0005-0000-0000-0000323A0000}"/>
    <cellStyle name="Percent 9 4" xfId="14887" xr:uid="{00000000-0005-0000-0000-0000333A0000}"/>
    <cellStyle name="Percent 9 4 2" xfId="14888" xr:uid="{00000000-0005-0000-0000-0000343A0000}"/>
    <cellStyle name="Percent 9 5" xfId="14889" xr:uid="{00000000-0005-0000-0000-0000353A0000}"/>
    <cellStyle name="Percent 9 6" xfId="14890" xr:uid="{00000000-0005-0000-0000-0000363A0000}"/>
    <cellStyle name="Percent(1)" xfId="14891" xr:uid="{00000000-0005-0000-0000-0000373A0000}"/>
    <cellStyle name="Percent(1) 2" xfId="14892" xr:uid="{00000000-0005-0000-0000-0000383A0000}"/>
    <cellStyle name="Percent(1) 3" xfId="14893" xr:uid="{00000000-0005-0000-0000-0000393A0000}"/>
    <cellStyle name="Percent(2)" xfId="14894" xr:uid="{00000000-0005-0000-0000-00003A3A0000}"/>
    <cellStyle name="Percent(2) 2" xfId="14895" xr:uid="{00000000-0005-0000-0000-00003B3A0000}"/>
    <cellStyle name="Percent(2) 3" xfId="14896" xr:uid="{00000000-0005-0000-0000-00003C3A0000}"/>
    <cellStyle name="Posting_Period" xfId="14897" xr:uid="{00000000-0005-0000-0000-00003D3A0000}"/>
    <cellStyle name="PRM" xfId="14898" xr:uid="{00000000-0005-0000-0000-00003E3A0000}"/>
    <cellStyle name="PRM 2" xfId="14899" xr:uid="{00000000-0005-0000-0000-00003F3A0000}"/>
    <cellStyle name="PRM 2 2" xfId="14900" xr:uid="{00000000-0005-0000-0000-0000403A0000}"/>
    <cellStyle name="PRM 2 3" xfId="14901" xr:uid="{00000000-0005-0000-0000-0000413A0000}"/>
    <cellStyle name="PRM 3" xfId="14902" xr:uid="{00000000-0005-0000-0000-0000423A0000}"/>
    <cellStyle name="PRM 3 2" xfId="14903" xr:uid="{00000000-0005-0000-0000-0000433A0000}"/>
    <cellStyle name="PRM 3 3" xfId="14904" xr:uid="{00000000-0005-0000-0000-0000443A0000}"/>
    <cellStyle name="PRM 4" xfId="14905" xr:uid="{00000000-0005-0000-0000-0000453A0000}"/>
    <cellStyle name="PRM 5" xfId="14906" xr:uid="{00000000-0005-0000-0000-0000463A0000}"/>
    <cellStyle name="PRM_2011-11" xfId="14907" xr:uid="{00000000-0005-0000-0000-0000473A0000}"/>
    <cellStyle name="PS_Comma" xfId="14908" xr:uid="{00000000-0005-0000-0000-0000483A0000}"/>
    <cellStyle name="PSChar" xfId="14909" xr:uid="{00000000-0005-0000-0000-0000493A0000}"/>
    <cellStyle name="PSChar 2" xfId="14910" xr:uid="{00000000-0005-0000-0000-00004A3A0000}"/>
    <cellStyle name="PSChar 3" xfId="14911" xr:uid="{00000000-0005-0000-0000-00004B3A0000}"/>
    <cellStyle name="PSDate" xfId="14912" xr:uid="{00000000-0005-0000-0000-00004C3A0000}"/>
    <cellStyle name="PSDate 2" xfId="14913" xr:uid="{00000000-0005-0000-0000-00004D3A0000}"/>
    <cellStyle name="PSDate 3" xfId="14914" xr:uid="{00000000-0005-0000-0000-00004E3A0000}"/>
    <cellStyle name="PSDec" xfId="14915" xr:uid="{00000000-0005-0000-0000-00004F3A0000}"/>
    <cellStyle name="PSDec 2" xfId="14916" xr:uid="{00000000-0005-0000-0000-0000503A0000}"/>
    <cellStyle name="PSDec 3" xfId="14917" xr:uid="{00000000-0005-0000-0000-0000513A0000}"/>
    <cellStyle name="PSHeading" xfId="14918" xr:uid="{00000000-0005-0000-0000-0000523A0000}"/>
    <cellStyle name="PSHeading 2" xfId="14919" xr:uid="{00000000-0005-0000-0000-0000533A0000}"/>
    <cellStyle name="PSHeading 2 2" xfId="14920" xr:uid="{00000000-0005-0000-0000-0000543A0000}"/>
    <cellStyle name="PSHeading 2 2 2" xfId="14921" xr:uid="{00000000-0005-0000-0000-0000553A0000}"/>
    <cellStyle name="PSHeading 2 3" xfId="14922" xr:uid="{00000000-0005-0000-0000-0000563A0000}"/>
    <cellStyle name="PSHeading 3" xfId="14923" xr:uid="{00000000-0005-0000-0000-0000573A0000}"/>
    <cellStyle name="PSHeading 4" xfId="14924" xr:uid="{00000000-0005-0000-0000-0000583A0000}"/>
    <cellStyle name="PSInt" xfId="14925" xr:uid="{00000000-0005-0000-0000-0000593A0000}"/>
    <cellStyle name="PSInt 2" xfId="14926" xr:uid="{00000000-0005-0000-0000-00005A3A0000}"/>
    <cellStyle name="PSInt 3" xfId="14927" xr:uid="{00000000-0005-0000-0000-00005B3A0000}"/>
    <cellStyle name="PSSpacer" xfId="14928" xr:uid="{00000000-0005-0000-0000-00005C3A0000}"/>
    <cellStyle name="PSSpacer 2" xfId="14929" xr:uid="{00000000-0005-0000-0000-00005D3A0000}"/>
    <cellStyle name="PSSpacer 3" xfId="14930" xr:uid="{00000000-0005-0000-0000-00005E3A0000}"/>
    <cellStyle name="Reset  - Style4" xfId="14931" xr:uid="{00000000-0005-0000-0000-00005F3A0000}"/>
    <cellStyle name="Reset  - Style4 2" xfId="14932" xr:uid="{00000000-0005-0000-0000-0000603A0000}"/>
    <cellStyle name="Reset  - Style7" xfId="14933" xr:uid="{00000000-0005-0000-0000-0000613A0000}"/>
    <cellStyle name="Reset  - Style7 2" xfId="14934" xr:uid="{00000000-0005-0000-0000-0000623A0000}"/>
    <cellStyle name="STYL0 - Style1" xfId="14935" xr:uid="{00000000-0005-0000-0000-0000633A0000}"/>
    <cellStyle name="STYL0 - Style1 2" xfId="14936" xr:uid="{00000000-0005-0000-0000-0000643A0000}"/>
    <cellStyle name="STYL0 - Style1 3" xfId="14937" xr:uid="{00000000-0005-0000-0000-0000653A0000}"/>
    <cellStyle name="STYL1 - Style2" xfId="14938" xr:uid="{00000000-0005-0000-0000-0000663A0000}"/>
    <cellStyle name="STYL1 - Style2 2" xfId="14939" xr:uid="{00000000-0005-0000-0000-0000673A0000}"/>
    <cellStyle name="STYL1 - Style2 3" xfId="14940" xr:uid="{00000000-0005-0000-0000-0000683A0000}"/>
    <cellStyle name="STYL2 - Style3" xfId="14941" xr:uid="{00000000-0005-0000-0000-0000693A0000}"/>
    <cellStyle name="STYL2 - Style3 2" xfId="14942" xr:uid="{00000000-0005-0000-0000-00006A3A0000}"/>
    <cellStyle name="STYL2 - Style3 3" xfId="14943" xr:uid="{00000000-0005-0000-0000-00006B3A0000}"/>
    <cellStyle name="STYL3 - Style4" xfId="14944" xr:uid="{00000000-0005-0000-0000-00006C3A0000}"/>
    <cellStyle name="STYL3 - Style4 2" xfId="14945" xr:uid="{00000000-0005-0000-0000-00006D3A0000}"/>
    <cellStyle name="STYL3 - Style4 3" xfId="14946" xr:uid="{00000000-0005-0000-0000-00006E3A0000}"/>
    <cellStyle name="STYL4 - Style5" xfId="14947" xr:uid="{00000000-0005-0000-0000-00006F3A0000}"/>
    <cellStyle name="STYL4 - Style5 2" xfId="14948" xr:uid="{00000000-0005-0000-0000-0000703A0000}"/>
    <cellStyle name="STYL4 - Style5 3" xfId="14949" xr:uid="{00000000-0005-0000-0000-0000713A0000}"/>
    <cellStyle name="STYL5 - Style6" xfId="14950" xr:uid="{00000000-0005-0000-0000-0000723A0000}"/>
    <cellStyle name="STYL5 - Style6 2" xfId="14951" xr:uid="{00000000-0005-0000-0000-0000733A0000}"/>
    <cellStyle name="STYL5 - Style6 3" xfId="14952" xr:uid="{00000000-0005-0000-0000-0000743A0000}"/>
    <cellStyle name="STYL6 - Style7" xfId="14953" xr:uid="{00000000-0005-0000-0000-0000753A0000}"/>
    <cellStyle name="STYL6 - Style7 2" xfId="14954" xr:uid="{00000000-0005-0000-0000-0000763A0000}"/>
    <cellStyle name="STYL6 - Style7 3" xfId="14955" xr:uid="{00000000-0005-0000-0000-0000773A0000}"/>
    <cellStyle name="STYL7 - Style8" xfId="14956" xr:uid="{00000000-0005-0000-0000-0000783A0000}"/>
    <cellStyle name="STYL7 - Style8 2" xfId="14957" xr:uid="{00000000-0005-0000-0000-0000793A0000}"/>
    <cellStyle name="STYL7 - Style8 3" xfId="14958" xr:uid="{00000000-0005-0000-0000-00007A3A0000}"/>
    <cellStyle name="Style 1" xfId="14959" xr:uid="{00000000-0005-0000-0000-00007B3A0000}"/>
    <cellStyle name="Style 1 2" xfId="14960" xr:uid="{00000000-0005-0000-0000-00007C3A0000}"/>
    <cellStyle name="Style 1 2 2" xfId="14961" xr:uid="{00000000-0005-0000-0000-00007D3A0000}"/>
    <cellStyle name="Style 1 2 2 2" xfId="14962" xr:uid="{00000000-0005-0000-0000-00007E3A0000}"/>
    <cellStyle name="Style 1 2 3" xfId="14963" xr:uid="{00000000-0005-0000-0000-00007F3A0000}"/>
    <cellStyle name="Style 1 2 4" xfId="14964" xr:uid="{00000000-0005-0000-0000-0000803A0000}"/>
    <cellStyle name="Style 1 3" xfId="14965" xr:uid="{00000000-0005-0000-0000-0000813A0000}"/>
    <cellStyle name="Style 1 3 2" xfId="14966" xr:uid="{00000000-0005-0000-0000-0000823A0000}"/>
    <cellStyle name="Style 1 4" xfId="14967" xr:uid="{00000000-0005-0000-0000-0000833A0000}"/>
    <cellStyle name="Style 1 4 2" xfId="14968" xr:uid="{00000000-0005-0000-0000-0000843A0000}"/>
    <cellStyle name="Style 1 5" xfId="14969" xr:uid="{00000000-0005-0000-0000-0000853A0000}"/>
    <cellStyle name="Style 1 6" xfId="14970" xr:uid="{00000000-0005-0000-0000-0000863A0000}"/>
    <cellStyle name="Style 1 7" xfId="14971" xr:uid="{00000000-0005-0000-0000-0000873A0000}"/>
    <cellStyle name="Style 1_Recycle Center Commodities MRF" xfId="14972" xr:uid="{00000000-0005-0000-0000-0000883A0000}"/>
    <cellStyle name="STYLE1" xfId="14973" xr:uid="{00000000-0005-0000-0000-0000893A0000}"/>
    <cellStyle name="STYLE1 2" xfId="14974" xr:uid="{00000000-0005-0000-0000-00008A3A0000}"/>
    <cellStyle name="STYLE1 2 2" xfId="14975" xr:uid="{00000000-0005-0000-0000-00008B3A0000}"/>
    <cellStyle name="STYLE1 2 3" xfId="14976" xr:uid="{00000000-0005-0000-0000-00008C3A0000}"/>
    <cellStyle name="STYLE1 2 4" xfId="14977" xr:uid="{00000000-0005-0000-0000-00008D3A0000}"/>
    <cellStyle name="STYLE1 3" xfId="14978" xr:uid="{00000000-0005-0000-0000-00008E3A0000}"/>
    <cellStyle name="STYLE1 4" xfId="14979" xr:uid="{00000000-0005-0000-0000-00008F3A0000}"/>
    <cellStyle name="STYLE1 5" xfId="14980" xr:uid="{00000000-0005-0000-0000-0000903A0000}"/>
    <cellStyle name="sub heading" xfId="14981" xr:uid="{00000000-0005-0000-0000-0000913A0000}"/>
    <cellStyle name="sub heading 2" xfId="14982" xr:uid="{00000000-0005-0000-0000-0000923A0000}"/>
    <cellStyle name="sub heading 3" xfId="14983" xr:uid="{00000000-0005-0000-0000-0000933A0000}"/>
    <cellStyle name="Table  - Style5" xfId="14984" xr:uid="{00000000-0005-0000-0000-0000943A0000}"/>
    <cellStyle name="Table  - Style5 2" xfId="14985" xr:uid="{00000000-0005-0000-0000-0000953A0000}"/>
    <cellStyle name="Table  - Style5 2 2" xfId="14986" xr:uid="{00000000-0005-0000-0000-0000963A0000}"/>
    <cellStyle name="Table  - Style5 3" xfId="14987" xr:uid="{00000000-0005-0000-0000-0000973A0000}"/>
    <cellStyle name="Table  - Style5 3 2" xfId="14988" xr:uid="{00000000-0005-0000-0000-0000983A0000}"/>
    <cellStyle name="Table  - Style5 4" xfId="14989" xr:uid="{00000000-0005-0000-0000-0000993A0000}"/>
    <cellStyle name="Table  - Style5 4 2" xfId="14990" xr:uid="{00000000-0005-0000-0000-00009A3A0000}"/>
    <cellStyle name="Table  - Style5 5" xfId="14991" xr:uid="{00000000-0005-0000-0000-00009B3A0000}"/>
    <cellStyle name="Table  - Style5 5 2" xfId="14992" xr:uid="{00000000-0005-0000-0000-00009C3A0000}"/>
    <cellStyle name="Table  - Style5 6" xfId="14993" xr:uid="{00000000-0005-0000-0000-00009D3A0000}"/>
    <cellStyle name="Table  - Style6" xfId="14994" xr:uid="{00000000-0005-0000-0000-00009E3A0000}"/>
    <cellStyle name="Table  - Style6 2" xfId="14995" xr:uid="{00000000-0005-0000-0000-00009F3A0000}"/>
    <cellStyle name="Table  - Style6 2 2" xfId="14996" xr:uid="{00000000-0005-0000-0000-0000A03A0000}"/>
    <cellStyle name="Table  - Style6 3" xfId="14997" xr:uid="{00000000-0005-0000-0000-0000A13A0000}"/>
    <cellStyle name="Table  - Style6 3 2" xfId="14998" xr:uid="{00000000-0005-0000-0000-0000A23A0000}"/>
    <cellStyle name="Table  - Style6 4" xfId="14999" xr:uid="{00000000-0005-0000-0000-0000A33A0000}"/>
    <cellStyle name="Table  - Style6 4 2" xfId="15000" xr:uid="{00000000-0005-0000-0000-0000A43A0000}"/>
    <cellStyle name="Table  - Style6 5" xfId="15001" xr:uid="{00000000-0005-0000-0000-0000A53A0000}"/>
    <cellStyle name="Table  - Style6 5 2" xfId="15002" xr:uid="{00000000-0005-0000-0000-0000A63A0000}"/>
    <cellStyle name="Table  - Style6 6" xfId="15003" xr:uid="{00000000-0005-0000-0000-0000A73A0000}"/>
    <cellStyle name="Tax_Rate" xfId="15004" xr:uid="{00000000-0005-0000-0000-0000A83A0000}"/>
    <cellStyle name="Title  - Style1" xfId="15005" xr:uid="{00000000-0005-0000-0000-0000A93A0000}"/>
    <cellStyle name="Title  - Style1 2" xfId="15006" xr:uid="{00000000-0005-0000-0000-0000AA3A0000}"/>
    <cellStyle name="Title  - Style6" xfId="15007" xr:uid="{00000000-0005-0000-0000-0000AB3A0000}"/>
    <cellStyle name="Title  - Style6 2" xfId="15008" xr:uid="{00000000-0005-0000-0000-0000AC3A0000}"/>
    <cellStyle name="Title 10" xfId="15009" xr:uid="{00000000-0005-0000-0000-0000AD3A0000}"/>
    <cellStyle name="Title 10 2" xfId="15010" xr:uid="{00000000-0005-0000-0000-0000AE3A0000}"/>
    <cellStyle name="Title 11" xfId="15011" xr:uid="{00000000-0005-0000-0000-0000AF3A0000}"/>
    <cellStyle name="Title 11 2" xfId="15012" xr:uid="{00000000-0005-0000-0000-0000B03A0000}"/>
    <cellStyle name="Title 12" xfId="15013" xr:uid="{00000000-0005-0000-0000-0000B13A0000}"/>
    <cellStyle name="Title 12 2" xfId="15014" xr:uid="{00000000-0005-0000-0000-0000B23A0000}"/>
    <cellStyle name="Title 13" xfId="15015" xr:uid="{00000000-0005-0000-0000-0000B33A0000}"/>
    <cellStyle name="Title 14" xfId="15016" xr:uid="{00000000-0005-0000-0000-0000B43A0000}"/>
    <cellStyle name="Title 2" xfId="15017" xr:uid="{00000000-0005-0000-0000-0000B53A0000}"/>
    <cellStyle name="Title 2 2" xfId="15018" xr:uid="{00000000-0005-0000-0000-0000B63A0000}"/>
    <cellStyle name="Title 2 2 2" xfId="15019" xr:uid="{00000000-0005-0000-0000-0000B73A0000}"/>
    <cellStyle name="Title 2 2 2 2" xfId="15020" xr:uid="{00000000-0005-0000-0000-0000B83A0000}"/>
    <cellStyle name="Title 2 2 3" xfId="15021" xr:uid="{00000000-0005-0000-0000-0000B93A0000}"/>
    <cellStyle name="Title 2 2 4" xfId="15022" xr:uid="{00000000-0005-0000-0000-0000BA3A0000}"/>
    <cellStyle name="Title 2 3" xfId="15023" xr:uid="{00000000-0005-0000-0000-0000BB3A0000}"/>
    <cellStyle name="Title 2 3 2" xfId="15024" xr:uid="{00000000-0005-0000-0000-0000BC3A0000}"/>
    <cellStyle name="Title 2 3 3" xfId="15025" xr:uid="{00000000-0005-0000-0000-0000BD3A0000}"/>
    <cellStyle name="Title 2 4" xfId="15026" xr:uid="{00000000-0005-0000-0000-0000BE3A0000}"/>
    <cellStyle name="Title 2 5" xfId="15027" xr:uid="{00000000-0005-0000-0000-0000BF3A0000}"/>
    <cellStyle name="Title 2 6" xfId="15028" xr:uid="{00000000-0005-0000-0000-0000C03A0000}"/>
    <cellStyle name="Title 3" xfId="15029" xr:uid="{00000000-0005-0000-0000-0000C13A0000}"/>
    <cellStyle name="Title 3 2" xfId="15030" xr:uid="{00000000-0005-0000-0000-0000C23A0000}"/>
    <cellStyle name="Title 3 2 2" xfId="15031" xr:uid="{00000000-0005-0000-0000-0000C33A0000}"/>
    <cellStyle name="Title 3 2 3" xfId="15032" xr:uid="{00000000-0005-0000-0000-0000C43A0000}"/>
    <cellStyle name="Title 3 3" xfId="15033" xr:uid="{00000000-0005-0000-0000-0000C53A0000}"/>
    <cellStyle name="Title 3 4" xfId="15034" xr:uid="{00000000-0005-0000-0000-0000C63A0000}"/>
    <cellStyle name="Title 3 5" xfId="15035" xr:uid="{00000000-0005-0000-0000-0000C73A0000}"/>
    <cellStyle name="Title 3 6" xfId="15036" xr:uid="{00000000-0005-0000-0000-0000C83A0000}"/>
    <cellStyle name="Title 4" xfId="15037" xr:uid="{00000000-0005-0000-0000-0000C93A0000}"/>
    <cellStyle name="Title 4 2" xfId="15038" xr:uid="{00000000-0005-0000-0000-0000CA3A0000}"/>
    <cellStyle name="Title 5" xfId="15039" xr:uid="{00000000-0005-0000-0000-0000CB3A0000}"/>
    <cellStyle name="Title 5 2" xfId="15040" xr:uid="{00000000-0005-0000-0000-0000CC3A0000}"/>
    <cellStyle name="Title 6" xfId="15041" xr:uid="{00000000-0005-0000-0000-0000CD3A0000}"/>
    <cellStyle name="Title 6 2" xfId="15042" xr:uid="{00000000-0005-0000-0000-0000CE3A0000}"/>
    <cellStyle name="Title 7" xfId="15043" xr:uid="{00000000-0005-0000-0000-0000CF3A0000}"/>
    <cellStyle name="Title 7 2" xfId="15044" xr:uid="{00000000-0005-0000-0000-0000D03A0000}"/>
    <cellStyle name="Title 8" xfId="15045" xr:uid="{00000000-0005-0000-0000-0000D13A0000}"/>
    <cellStyle name="Title 8 2" xfId="15046" xr:uid="{00000000-0005-0000-0000-0000D23A0000}"/>
    <cellStyle name="Title 9" xfId="15047" xr:uid="{00000000-0005-0000-0000-0000D33A0000}"/>
    <cellStyle name="Title 9 2" xfId="15048" xr:uid="{00000000-0005-0000-0000-0000D43A0000}"/>
    <cellStyle name="Total 2" xfId="15049" xr:uid="{00000000-0005-0000-0000-0000D53A0000}"/>
    <cellStyle name="Total 2 2" xfId="15050" xr:uid="{00000000-0005-0000-0000-0000D63A0000}"/>
    <cellStyle name="Total 2 2 2" xfId="15051" xr:uid="{00000000-0005-0000-0000-0000D73A0000}"/>
    <cellStyle name="Total 2 2 2 2" xfId="15052" xr:uid="{00000000-0005-0000-0000-0000D83A0000}"/>
    <cellStyle name="Total 2 2 2 2 2" xfId="15053" xr:uid="{00000000-0005-0000-0000-0000D93A0000}"/>
    <cellStyle name="Total 2 2 2 3" xfId="15054" xr:uid="{00000000-0005-0000-0000-0000DA3A0000}"/>
    <cellStyle name="Total 2 2 2 3 2" xfId="15055" xr:uid="{00000000-0005-0000-0000-0000DB3A0000}"/>
    <cellStyle name="Total 2 2 2 4" xfId="15056" xr:uid="{00000000-0005-0000-0000-0000DC3A0000}"/>
    <cellStyle name="Total 2 2 2 4 2" xfId="15057" xr:uid="{00000000-0005-0000-0000-0000DD3A0000}"/>
    <cellStyle name="Total 2 2 2 5" xfId="15058" xr:uid="{00000000-0005-0000-0000-0000DE3A0000}"/>
    <cellStyle name="Total 2 2 2 5 2" xfId="15059" xr:uid="{00000000-0005-0000-0000-0000DF3A0000}"/>
    <cellStyle name="Total 2 2 2 6" xfId="15060" xr:uid="{00000000-0005-0000-0000-0000E03A0000}"/>
    <cellStyle name="Total 2 2 3" xfId="15061" xr:uid="{00000000-0005-0000-0000-0000E13A0000}"/>
    <cellStyle name="Total 2 2 3 2" xfId="15062" xr:uid="{00000000-0005-0000-0000-0000E23A0000}"/>
    <cellStyle name="Total 2 2 3 2 2" xfId="15063" xr:uid="{00000000-0005-0000-0000-0000E33A0000}"/>
    <cellStyle name="Total 2 2 3 3" xfId="15064" xr:uid="{00000000-0005-0000-0000-0000E43A0000}"/>
    <cellStyle name="Total 2 2 3 3 2" xfId="15065" xr:uid="{00000000-0005-0000-0000-0000E53A0000}"/>
    <cellStyle name="Total 2 2 3 4" xfId="15066" xr:uid="{00000000-0005-0000-0000-0000E63A0000}"/>
    <cellStyle name="Total 2 2 3 4 2" xfId="15067" xr:uid="{00000000-0005-0000-0000-0000E73A0000}"/>
    <cellStyle name="Total 2 2 3 5" xfId="15068" xr:uid="{00000000-0005-0000-0000-0000E83A0000}"/>
    <cellStyle name="Total 2 2 3 5 2" xfId="15069" xr:uid="{00000000-0005-0000-0000-0000E93A0000}"/>
    <cellStyle name="Total 2 2 3 6" xfId="15070" xr:uid="{00000000-0005-0000-0000-0000EA3A0000}"/>
    <cellStyle name="Total 2 2 4" xfId="15071" xr:uid="{00000000-0005-0000-0000-0000EB3A0000}"/>
    <cellStyle name="Total 2 2 5" xfId="15072" xr:uid="{00000000-0005-0000-0000-0000EC3A0000}"/>
    <cellStyle name="Total 2 3" xfId="15073" xr:uid="{00000000-0005-0000-0000-0000ED3A0000}"/>
    <cellStyle name="Total 2 3 2" xfId="15074" xr:uid="{00000000-0005-0000-0000-0000EE3A0000}"/>
    <cellStyle name="Total 2 3 2 2" xfId="15075" xr:uid="{00000000-0005-0000-0000-0000EF3A0000}"/>
    <cellStyle name="Total 2 3 2 2 2" xfId="15076" xr:uid="{00000000-0005-0000-0000-0000F03A0000}"/>
    <cellStyle name="Total 2 3 2 3" xfId="15077" xr:uid="{00000000-0005-0000-0000-0000F13A0000}"/>
    <cellStyle name="Total 2 3 2 3 2" xfId="15078" xr:uid="{00000000-0005-0000-0000-0000F23A0000}"/>
    <cellStyle name="Total 2 3 2 4" xfId="15079" xr:uid="{00000000-0005-0000-0000-0000F33A0000}"/>
    <cellStyle name="Total 2 3 2 4 2" xfId="15080" xr:uid="{00000000-0005-0000-0000-0000F43A0000}"/>
    <cellStyle name="Total 2 3 2 5" xfId="15081" xr:uid="{00000000-0005-0000-0000-0000F53A0000}"/>
    <cellStyle name="Total 2 3 2 5 2" xfId="15082" xr:uid="{00000000-0005-0000-0000-0000F63A0000}"/>
    <cellStyle name="Total 2 3 2 6" xfId="15083" xr:uid="{00000000-0005-0000-0000-0000F73A0000}"/>
    <cellStyle name="Total 2 3 3" xfId="15084" xr:uid="{00000000-0005-0000-0000-0000F83A0000}"/>
    <cellStyle name="Total 2 3 3 2" xfId="15085" xr:uid="{00000000-0005-0000-0000-0000F93A0000}"/>
    <cellStyle name="Total 2 3 4" xfId="15086" xr:uid="{00000000-0005-0000-0000-0000FA3A0000}"/>
    <cellStyle name="Total 2 3 4 2" xfId="15087" xr:uid="{00000000-0005-0000-0000-0000FB3A0000}"/>
    <cellStyle name="Total 2 3 5" xfId="15088" xr:uid="{00000000-0005-0000-0000-0000FC3A0000}"/>
    <cellStyle name="Total 2 3 5 2" xfId="15089" xr:uid="{00000000-0005-0000-0000-0000FD3A0000}"/>
    <cellStyle name="Total 2 3 6" xfId="15090" xr:uid="{00000000-0005-0000-0000-0000FE3A0000}"/>
    <cellStyle name="Total 2 3 6 2" xfId="15091" xr:uid="{00000000-0005-0000-0000-0000FF3A0000}"/>
    <cellStyle name="Total 2 3 7" xfId="15092" xr:uid="{00000000-0005-0000-0000-0000003B0000}"/>
    <cellStyle name="Total 2 3 8" xfId="15093" xr:uid="{00000000-0005-0000-0000-0000013B0000}"/>
    <cellStyle name="Total 2 4" xfId="15094" xr:uid="{00000000-0005-0000-0000-0000023B0000}"/>
    <cellStyle name="Total 2 4 2" xfId="15095" xr:uid="{00000000-0005-0000-0000-0000033B0000}"/>
    <cellStyle name="Total 2 4 2 2" xfId="15096" xr:uid="{00000000-0005-0000-0000-0000043B0000}"/>
    <cellStyle name="Total 2 4 2 2 2" xfId="15097" xr:uid="{00000000-0005-0000-0000-0000053B0000}"/>
    <cellStyle name="Total 2 4 2 3" xfId="15098" xr:uid="{00000000-0005-0000-0000-0000063B0000}"/>
    <cellStyle name="Total 2 4 2 3 2" xfId="15099" xr:uid="{00000000-0005-0000-0000-0000073B0000}"/>
    <cellStyle name="Total 2 4 2 4" xfId="15100" xr:uid="{00000000-0005-0000-0000-0000083B0000}"/>
    <cellStyle name="Total 2 4 2 4 2" xfId="15101" xr:uid="{00000000-0005-0000-0000-0000093B0000}"/>
    <cellStyle name="Total 2 4 2 5" xfId="15102" xr:uid="{00000000-0005-0000-0000-00000A3B0000}"/>
    <cellStyle name="Total 2 4 2 5 2" xfId="15103" xr:uid="{00000000-0005-0000-0000-00000B3B0000}"/>
    <cellStyle name="Total 2 4 2 6" xfId="15104" xr:uid="{00000000-0005-0000-0000-00000C3B0000}"/>
    <cellStyle name="Total 2 4 3" xfId="15105" xr:uid="{00000000-0005-0000-0000-00000D3B0000}"/>
    <cellStyle name="Total 2 4 3 2" xfId="15106" xr:uid="{00000000-0005-0000-0000-00000E3B0000}"/>
    <cellStyle name="Total 2 4 4" xfId="15107" xr:uid="{00000000-0005-0000-0000-00000F3B0000}"/>
    <cellStyle name="Total 2 4 4 2" xfId="15108" xr:uid="{00000000-0005-0000-0000-0000103B0000}"/>
    <cellStyle name="Total 2 4 5" xfId="15109" xr:uid="{00000000-0005-0000-0000-0000113B0000}"/>
    <cellStyle name="Total 2 4 5 2" xfId="15110" xr:uid="{00000000-0005-0000-0000-0000123B0000}"/>
    <cellStyle name="Total 2 4 6" xfId="15111" xr:uid="{00000000-0005-0000-0000-0000133B0000}"/>
    <cellStyle name="Total 2 4 6 2" xfId="15112" xr:uid="{00000000-0005-0000-0000-0000143B0000}"/>
    <cellStyle name="Total 2 4 7" xfId="15113" xr:uid="{00000000-0005-0000-0000-0000153B0000}"/>
    <cellStyle name="Total 2 4 8" xfId="15114" xr:uid="{00000000-0005-0000-0000-0000163B0000}"/>
    <cellStyle name="Total 2 5" xfId="15115" xr:uid="{00000000-0005-0000-0000-0000173B0000}"/>
    <cellStyle name="Total 2 5 2" xfId="15116" xr:uid="{00000000-0005-0000-0000-0000183B0000}"/>
    <cellStyle name="Total 2 5 2 2" xfId="15117" xr:uid="{00000000-0005-0000-0000-0000193B0000}"/>
    <cellStyle name="Total 2 5 3" xfId="15118" xr:uid="{00000000-0005-0000-0000-00001A3B0000}"/>
    <cellStyle name="Total 2 5 3 2" xfId="15119" xr:uid="{00000000-0005-0000-0000-00001B3B0000}"/>
    <cellStyle name="Total 2 5 4" xfId="15120" xr:uid="{00000000-0005-0000-0000-00001C3B0000}"/>
    <cellStyle name="Total 2 5 4 2" xfId="15121" xr:uid="{00000000-0005-0000-0000-00001D3B0000}"/>
    <cellStyle name="Total 2 5 5" xfId="15122" xr:uid="{00000000-0005-0000-0000-00001E3B0000}"/>
    <cellStyle name="Total 2 5 5 2" xfId="15123" xr:uid="{00000000-0005-0000-0000-00001F3B0000}"/>
    <cellStyle name="Total 2 5 6" xfId="15124" xr:uid="{00000000-0005-0000-0000-0000203B0000}"/>
    <cellStyle name="Total 2 6" xfId="15125" xr:uid="{00000000-0005-0000-0000-0000213B0000}"/>
    <cellStyle name="Total 2 6 2" xfId="15126" xr:uid="{00000000-0005-0000-0000-0000223B0000}"/>
    <cellStyle name="Total 2 7" xfId="15127" xr:uid="{00000000-0005-0000-0000-0000233B0000}"/>
    <cellStyle name="Total 2 8" xfId="15128" xr:uid="{00000000-0005-0000-0000-0000243B0000}"/>
    <cellStyle name="Total 2 9" xfId="15129" xr:uid="{00000000-0005-0000-0000-0000253B0000}"/>
    <cellStyle name="Total 3" xfId="15130" xr:uid="{00000000-0005-0000-0000-0000263B0000}"/>
    <cellStyle name="Total 3 2" xfId="15131" xr:uid="{00000000-0005-0000-0000-0000273B0000}"/>
    <cellStyle name="Total 3 2 2" xfId="15132" xr:uid="{00000000-0005-0000-0000-0000283B0000}"/>
    <cellStyle name="Total 3 2 2 2" xfId="15133" xr:uid="{00000000-0005-0000-0000-0000293B0000}"/>
    <cellStyle name="Total 3 2 2 2 2" xfId="15134" xr:uid="{00000000-0005-0000-0000-00002A3B0000}"/>
    <cellStyle name="Total 3 2 2 3" xfId="15135" xr:uid="{00000000-0005-0000-0000-00002B3B0000}"/>
    <cellStyle name="Total 3 2 2 3 2" xfId="15136" xr:uid="{00000000-0005-0000-0000-00002C3B0000}"/>
    <cellStyle name="Total 3 2 2 4" xfId="15137" xr:uid="{00000000-0005-0000-0000-00002D3B0000}"/>
    <cellStyle name="Total 3 2 2 4 2" xfId="15138" xr:uid="{00000000-0005-0000-0000-00002E3B0000}"/>
    <cellStyle name="Total 3 2 2 5" xfId="15139" xr:uid="{00000000-0005-0000-0000-00002F3B0000}"/>
    <cellStyle name="Total 3 2 2 5 2" xfId="15140" xr:uid="{00000000-0005-0000-0000-0000303B0000}"/>
    <cellStyle name="Total 3 2 2 6" xfId="15141" xr:uid="{00000000-0005-0000-0000-0000313B0000}"/>
    <cellStyle name="Total 3 2 3" xfId="15142" xr:uid="{00000000-0005-0000-0000-0000323B0000}"/>
    <cellStyle name="Total 3 2 3 2" xfId="15143" xr:uid="{00000000-0005-0000-0000-0000333B0000}"/>
    <cellStyle name="Total 3 2 3 2 2" xfId="15144" xr:uid="{00000000-0005-0000-0000-0000343B0000}"/>
    <cellStyle name="Total 3 2 3 3" xfId="15145" xr:uid="{00000000-0005-0000-0000-0000353B0000}"/>
    <cellStyle name="Total 3 2 3 3 2" xfId="15146" xr:uid="{00000000-0005-0000-0000-0000363B0000}"/>
    <cellStyle name="Total 3 2 3 4" xfId="15147" xr:uid="{00000000-0005-0000-0000-0000373B0000}"/>
    <cellStyle name="Total 3 2 3 4 2" xfId="15148" xr:uid="{00000000-0005-0000-0000-0000383B0000}"/>
    <cellStyle name="Total 3 2 3 5" xfId="15149" xr:uid="{00000000-0005-0000-0000-0000393B0000}"/>
    <cellStyle name="Total 3 2 3 5 2" xfId="15150" xr:uid="{00000000-0005-0000-0000-00003A3B0000}"/>
    <cellStyle name="Total 3 2 3 6" xfId="15151" xr:uid="{00000000-0005-0000-0000-00003B3B0000}"/>
    <cellStyle name="Total 3 2 4" xfId="15152" xr:uid="{00000000-0005-0000-0000-00003C3B0000}"/>
    <cellStyle name="Total 3 2 5" xfId="15153" xr:uid="{00000000-0005-0000-0000-00003D3B0000}"/>
    <cellStyle name="Total 3 3" xfId="15154" xr:uid="{00000000-0005-0000-0000-00003E3B0000}"/>
    <cellStyle name="Total 3 3 2" xfId="15155" xr:uid="{00000000-0005-0000-0000-00003F3B0000}"/>
    <cellStyle name="Total 3 3 2 2" xfId="15156" xr:uid="{00000000-0005-0000-0000-0000403B0000}"/>
    <cellStyle name="Total 3 3 2 2 2" xfId="15157" xr:uid="{00000000-0005-0000-0000-0000413B0000}"/>
    <cellStyle name="Total 3 3 2 3" xfId="15158" xr:uid="{00000000-0005-0000-0000-0000423B0000}"/>
    <cellStyle name="Total 3 3 2 3 2" xfId="15159" xr:uid="{00000000-0005-0000-0000-0000433B0000}"/>
    <cellStyle name="Total 3 3 2 4" xfId="15160" xr:uid="{00000000-0005-0000-0000-0000443B0000}"/>
    <cellStyle name="Total 3 3 2 4 2" xfId="15161" xr:uid="{00000000-0005-0000-0000-0000453B0000}"/>
    <cellStyle name="Total 3 3 2 5" xfId="15162" xr:uid="{00000000-0005-0000-0000-0000463B0000}"/>
    <cellStyle name="Total 3 3 2 5 2" xfId="15163" xr:uid="{00000000-0005-0000-0000-0000473B0000}"/>
    <cellStyle name="Total 3 3 2 6" xfId="15164" xr:uid="{00000000-0005-0000-0000-0000483B0000}"/>
    <cellStyle name="Total 3 3 3" xfId="15165" xr:uid="{00000000-0005-0000-0000-0000493B0000}"/>
    <cellStyle name="Total 3 3 3 2" xfId="15166" xr:uid="{00000000-0005-0000-0000-00004A3B0000}"/>
    <cellStyle name="Total 3 3 4" xfId="15167" xr:uid="{00000000-0005-0000-0000-00004B3B0000}"/>
    <cellStyle name="Total 3 3 4 2" xfId="15168" xr:uid="{00000000-0005-0000-0000-00004C3B0000}"/>
    <cellStyle name="Total 3 3 5" xfId="15169" xr:uid="{00000000-0005-0000-0000-00004D3B0000}"/>
    <cellStyle name="Total 3 3 5 2" xfId="15170" xr:uid="{00000000-0005-0000-0000-00004E3B0000}"/>
    <cellStyle name="Total 3 3 6" xfId="15171" xr:uid="{00000000-0005-0000-0000-00004F3B0000}"/>
    <cellStyle name="Total 3 3 6 2" xfId="15172" xr:uid="{00000000-0005-0000-0000-0000503B0000}"/>
    <cellStyle name="Total 3 3 7" xfId="15173" xr:uid="{00000000-0005-0000-0000-0000513B0000}"/>
    <cellStyle name="Total 3 3 8" xfId="15174" xr:uid="{00000000-0005-0000-0000-0000523B0000}"/>
    <cellStyle name="Total 3 4" xfId="15175" xr:uid="{00000000-0005-0000-0000-0000533B0000}"/>
    <cellStyle name="Total 3 4 2" xfId="15176" xr:uid="{00000000-0005-0000-0000-0000543B0000}"/>
    <cellStyle name="Total 3 4 2 2" xfId="15177" xr:uid="{00000000-0005-0000-0000-0000553B0000}"/>
    <cellStyle name="Total 3 4 3" xfId="15178" xr:uid="{00000000-0005-0000-0000-0000563B0000}"/>
    <cellStyle name="Total 3 4 3 2" xfId="15179" xr:uid="{00000000-0005-0000-0000-0000573B0000}"/>
    <cellStyle name="Total 3 4 4" xfId="15180" xr:uid="{00000000-0005-0000-0000-0000583B0000}"/>
    <cellStyle name="Total 3 4 4 2" xfId="15181" xr:uid="{00000000-0005-0000-0000-0000593B0000}"/>
    <cellStyle name="Total 3 4 5" xfId="15182" xr:uid="{00000000-0005-0000-0000-00005A3B0000}"/>
    <cellStyle name="Total 3 4 5 2" xfId="15183" xr:uid="{00000000-0005-0000-0000-00005B3B0000}"/>
    <cellStyle name="Total 3 4 6" xfId="15184" xr:uid="{00000000-0005-0000-0000-00005C3B0000}"/>
    <cellStyle name="Total 3 4 7" xfId="15185" xr:uid="{00000000-0005-0000-0000-00005D3B0000}"/>
    <cellStyle name="Total 3 5" xfId="15186" xr:uid="{00000000-0005-0000-0000-00005E3B0000}"/>
    <cellStyle name="Total 3 5 2" xfId="15187" xr:uid="{00000000-0005-0000-0000-00005F3B0000}"/>
    <cellStyle name="Total 3 5 2 2" xfId="15188" xr:uid="{00000000-0005-0000-0000-0000603B0000}"/>
    <cellStyle name="Total 3 5 3" xfId="15189" xr:uid="{00000000-0005-0000-0000-0000613B0000}"/>
    <cellStyle name="Total 3 5 3 2" xfId="15190" xr:uid="{00000000-0005-0000-0000-0000623B0000}"/>
    <cellStyle name="Total 3 5 4" xfId="15191" xr:uid="{00000000-0005-0000-0000-0000633B0000}"/>
    <cellStyle name="Total 3 5 4 2" xfId="15192" xr:uid="{00000000-0005-0000-0000-0000643B0000}"/>
    <cellStyle name="Total 3 5 5" xfId="15193" xr:uid="{00000000-0005-0000-0000-0000653B0000}"/>
    <cellStyle name="Total 3 5 5 2" xfId="15194" xr:uid="{00000000-0005-0000-0000-0000663B0000}"/>
    <cellStyle name="Total 3 5 6" xfId="15195" xr:uid="{00000000-0005-0000-0000-0000673B0000}"/>
    <cellStyle name="Total 3 6" xfId="15196" xr:uid="{00000000-0005-0000-0000-0000683B0000}"/>
    <cellStyle name="Total 3 7" xfId="15197" xr:uid="{00000000-0005-0000-0000-0000693B0000}"/>
    <cellStyle name="Total 3 8" xfId="15198" xr:uid="{00000000-0005-0000-0000-00006A3B0000}"/>
    <cellStyle name="Total 4" xfId="15199" xr:uid="{00000000-0005-0000-0000-00006B3B0000}"/>
    <cellStyle name="Total 4 2" xfId="15200" xr:uid="{00000000-0005-0000-0000-00006C3B0000}"/>
    <cellStyle name="Total 4 2 2" xfId="15201" xr:uid="{00000000-0005-0000-0000-00006D3B0000}"/>
    <cellStyle name="Total 4 3" xfId="15202" xr:uid="{00000000-0005-0000-0000-00006E3B0000}"/>
    <cellStyle name="Total 4 3 2" xfId="15203" xr:uid="{00000000-0005-0000-0000-00006F3B0000}"/>
    <cellStyle name="Total 4 3 2 2" xfId="15204" xr:uid="{00000000-0005-0000-0000-0000703B0000}"/>
    <cellStyle name="Total 4 3 3" xfId="15205" xr:uid="{00000000-0005-0000-0000-0000713B0000}"/>
    <cellStyle name="Total 4 3 3 2" xfId="15206" xr:uid="{00000000-0005-0000-0000-0000723B0000}"/>
    <cellStyle name="Total 4 3 4" xfId="15207" xr:uid="{00000000-0005-0000-0000-0000733B0000}"/>
    <cellStyle name="Total 4 3 4 2" xfId="15208" xr:uid="{00000000-0005-0000-0000-0000743B0000}"/>
    <cellStyle name="Total 4 3 5" xfId="15209" xr:uid="{00000000-0005-0000-0000-0000753B0000}"/>
    <cellStyle name="Total 4 3 5 2" xfId="15210" xr:uid="{00000000-0005-0000-0000-0000763B0000}"/>
    <cellStyle name="Total 4 3 6" xfId="15211" xr:uid="{00000000-0005-0000-0000-0000773B0000}"/>
    <cellStyle name="Total 4 4" xfId="15212" xr:uid="{00000000-0005-0000-0000-0000783B0000}"/>
    <cellStyle name="Total 4 4 2" xfId="15213" xr:uid="{00000000-0005-0000-0000-0000793B0000}"/>
    <cellStyle name="Total 4 5" xfId="15214" xr:uid="{00000000-0005-0000-0000-00007A3B0000}"/>
    <cellStyle name="Total 4 5 2" xfId="15215" xr:uid="{00000000-0005-0000-0000-00007B3B0000}"/>
    <cellStyle name="Total 4 6" xfId="15216" xr:uid="{00000000-0005-0000-0000-00007C3B0000}"/>
    <cellStyle name="Total 4 6 2" xfId="15217" xr:uid="{00000000-0005-0000-0000-00007D3B0000}"/>
    <cellStyle name="Total 4 7" xfId="15218" xr:uid="{00000000-0005-0000-0000-00007E3B0000}"/>
    <cellStyle name="Total 4 7 2" xfId="15219" xr:uid="{00000000-0005-0000-0000-00007F3B0000}"/>
    <cellStyle name="Total 4 8" xfId="15220" xr:uid="{00000000-0005-0000-0000-0000803B0000}"/>
    <cellStyle name="Total 4 9" xfId="15221" xr:uid="{00000000-0005-0000-0000-0000813B0000}"/>
    <cellStyle name="Total 5" xfId="15222" xr:uid="{00000000-0005-0000-0000-0000823B0000}"/>
    <cellStyle name="Total 6" xfId="15223" xr:uid="{00000000-0005-0000-0000-0000833B0000}"/>
    <cellStyle name="TotCol - Style5" xfId="15224" xr:uid="{00000000-0005-0000-0000-0000843B0000}"/>
    <cellStyle name="TotCol - Style5 2" xfId="15225" xr:uid="{00000000-0005-0000-0000-0000853B0000}"/>
    <cellStyle name="TotCol - Style7" xfId="15226" xr:uid="{00000000-0005-0000-0000-0000863B0000}"/>
    <cellStyle name="TotCol - Style7 2" xfId="15227" xr:uid="{00000000-0005-0000-0000-0000873B0000}"/>
    <cellStyle name="TotRow - Style4" xfId="15228" xr:uid="{00000000-0005-0000-0000-0000883B0000}"/>
    <cellStyle name="TotRow - Style4 2" xfId="15229" xr:uid="{00000000-0005-0000-0000-0000893B0000}"/>
    <cellStyle name="TotRow - Style4 2 2" xfId="15230" xr:uid="{00000000-0005-0000-0000-00008A3B0000}"/>
    <cellStyle name="TotRow - Style4 3" xfId="15231" xr:uid="{00000000-0005-0000-0000-00008B3B0000}"/>
    <cellStyle name="TotRow - Style4 3 2" xfId="15232" xr:uid="{00000000-0005-0000-0000-00008C3B0000}"/>
    <cellStyle name="TotRow - Style4 4" xfId="15233" xr:uid="{00000000-0005-0000-0000-00008D3B0000}"/>
    <cellStyle name="TotRow - Style4 4 2" xfId="15234" xr:uid="{00000000-0005-0000-0000-00008E3B0000}"/>
    <cellStyle name="TotRow - Style4 5" xfId="15235" xr:uid="{00000000-0005-0000-0000-00008F3B0000}"/>
    <cellStyle name="TotRow - Style4 5 2" xfId="15236" xr:uid="{00000000-0005-0000-0000-0000903B0000}"/>
    <cellStyle name="TotRow - Style4 6" xfId="15237" xr:uid="{00000000-0005-0000-0000-0000913B0000}"/>
    <cellStyle name="TotRow - Style8" xfId="15238" xr:uid="{00000000-0005-0000-0000-0000923B0000}"/>
    <cellStyle name="TotRow - Style8 2" xfId="15239" xr:uid="{00000000-0005-0000-0000-0000933B0000}"/>
    <cellStyle name="TotRow - Style8 2 2" xfId="15240" xr:uid="{00000000-0005-0000-0000-0000943B0000}"/>
    <cellStyle name="TotRow - Style8 3" xfId="15241" xr:uid="{00000000-0005-0000-0000-0000953B0000}"/>
    <cellStyle name="TotRow - Style8 3 2" xfId="15242" xr:uid="{00000000-0005-0000-0000-0000963B0000}"/>
    <cellStyle name="TotRow - Style8 4" xfId="15243" xr:uid="{00000000-0005-0000-0000-0000973B0000}"/>
    <cellStyle name="TotRow - Style8 4 2" xfId="15244" xr:uid="{00000000-0005-0000-0000-0000983B0000}"/>
    <cellStyle name="TotRow - Style8 5" xfId="15245" xr:uid="{00000000-0005-0000-0000-0000993B0000}"/>
    <cellStyle name="TotRow - Style8 5 2" xfId="15246" xr:uid="{00000000-0005-0000-0000-00009A3B0000}"/>
    <cellStyle name="TotRow - Style8 6" xfId="15247" xr:uid="{00000000-0005-0000-0000-00009B3B0000}"/>
    <cellStyle name="Transcript_Date" xfId="15248" xr:uid="{00000000-0005-0000-0000-00009C3B0000}"/>
    <cellStyle name="Warning Text 2" xfId="15249" xr:uid="{00000000-0005-0000-0000-00009D3B0000}"/>
    <cellStyle name="Warning Text 2 2" xfId="15250" xr:uid="{00000000-0005-0000-0000-00009E3B0000}"/>
    <cellStyle name="Warning Text 2 3" xfId="15251" xr:uid="{00000000-0005-0000-0000-00009F3B0000}"/>
    <cellStyle name="Warning Text 2 4" xfId="15252" xr:uid="{00000000-0005-0000-0000-0000A03B0000}"/>
    <cellStyle name="Warning Text 3" xfId="15253" xr:uid="{00000000-0005-0000-0000-0000A13B0000}"/>
    <cellStyle name="Warning Text 3 2" xfId="15254" xr:uid="{00000000-0005-0000-0000-0000A23B0000}"/>
    <cellStyle name="Warning Text 3 3" xfId="15255" xr:uid="{00000000-0005-0000-0000-0000A33B0000}"/>
    <cellStyle name="Warning Text 3 4" xfId="15256" xr:uid="{00000000-0005-0000-0000-0000A43B0000}"/>
    <cellStyle name="Warning Text 4" xfId="15257" xr:uid="{00000000-0005-0000-0000-0000A53B0000}"/>
    <cellStyle name="Warning Text 4 2" xfId="15258" xr:uid="{00000000-0005-0000-0000-0000A63B0000}"/>
    <cellStyle name="Warning Text 5" xfId="15259" xr:uid="{00000000-0005-0000-0000-0000A73B0000}"/>
    <cellStyle name="Warning Text 6" xfId="15260" xr:uid="{00000000-0005-0000-0000-0000A83B0000}"/>
    <cellStyle name="WM_STANDARD" xfId="15261" xr:uid="{00000000-0005-0000-0000-0000A93B0000}"/>
  </cellStyles>
  <dxfs count="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_(* #,##0_);_(* \(#,##0\);_(* &quot;-&quot;??_);_(@_)"/>
    </dxf>
  </dxfs>
  <tableStyles count="0" defaultTableStyle="TableStyleMedium9" defaultPivotStyle="PivotStyleLight16"/>
  <colors>
    <mruColors>
      <color rgb="FFFFCCFF"/>
      <color rgb="FF00FFFF"/>
      <color rgb="FF0000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theme" Target="theme/theme1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pivotCacheDefinition" Target="pivotCache/pivotCacheDefinition1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Vashon/Rate%20Incr%201-1-2013/ProForma%20Pacific%20Disposal_Staff%20Final%20outcome%208-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son\Rate%20Increase%201-1-2013\1%20Filing%2011-14-2012\Revised%202-21-2013\staff%20Mason%20Proforma%209-30-2012-Linked%20Cust%20Count%20Fix%2012-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WCNX%20Stuff/Excel/Financials/Excel%20Financials/ExcelFinancial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04%20Planning%20Requirements\5-20%20Submission\6%20Report%20Requirements\Reports%20Master%20List%20and%20Mockups%20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LeMay%20Companies\2019\Budget%20Proformas\PCR%20Pro%20Forma%208.31.19\2180_Price%20Out%20by%20Bill%20Area_2016%20as%20of%207-31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ControllerDir\Brent_Blair_Kortney\PO%20Report%20by%20Division\PO%20Report_v3b%202013-08-26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shon\Rate%20Incr%201-1-2012\Vashon%20Pro%20Form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Vashon/Rate%20Incr%201-1-2012/Vashon%20Pro%20For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Assignments/Solid%20Waste/Waste%20Connections/Year%202008/American%20Disposal%20Company,%20Inc/Yr%202009/TG-090098%20(General%20Case)/Staff/TG-090097%20&amp;%20TG-090098%20Proforma%20(Staff%20-%20Route%20Hrs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2010%20Clark%20County-%202009%20Vancouver\Misc%20Analsysis%20Non-Filing\Pro%20froma%208.31.2013%20for%20Budgets\Consolidated%20Pro%20forma%20Year%20201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Documents%20and%20Settings/cmickels/Desktop/Example%20of%20WM%20of%20SnoKing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UTC-Murrey%20%202111\General%20Rate%20Filings\Rate%20Filing%201-1-2019\Fuel%20Stat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2010%20Clark%20County-%202009%20Vancouver\12.31.2010%20Test%20Year\Proforma%20Clark%20County%20101231%20Filing-Draft-FINAL%20VERSIO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estern%20Region\WUTC\WIP%20Files\LeMay%20Companies\2014\Annual%20Report\District%20Schedules\North%20LeMay\N%20LeMay%20Annual%20Report%202013%20-%20with%20Heather's%20Not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San%20Juan%20Sanitation/WUTC/SJS%20Income%20Statem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RC%20Reports\SRC%20Format\Bonus%20Schedule\PNWR%20SRC%20Bonus%20Schedule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TIL\Migrated-TRANS\Company%20Filings%20-%20Solid%20Waste\Pullman%20Disposal%20Service,%20Inc.%20%20(G-42)\Rate%20Case\TG-130759%20GRC\Staff%20workpapers\STAFF%20TG-130759%20PDS_rop_Dec_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nealjohnson\Downloads\SolidWaste-NonPublic%20LG%202018%20V5.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LeMay/Master%20Truck%20Schedule/South_LeMay%20Master%20Truck%20Schedule-Shar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Budget%20Capital%20Input%20v2.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111\share\frsx\D0536y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B63C24E\staff%20WCI%20Pro%20forma%2010-11-2013%20cos%20from%20meliss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San%20Juan%20Sanitation%20Co/Year%202010/Staff/W_COMP/Rosario/2007%20rate%20case/Worksheets/070944%20Loan%20Recalculati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udget.wm.com/plan07/F2_24_Month_Condensed_Ops_PnL_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ffler\AppData\Local\Interject\FileCache\FAR_v3d_v1.0.8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_Western%20Region%20Districts/2000%20Western%20Region%20Office/WUTC/WIP%20Files/LeMay%20Companies/2021/Annual%20Report/North%20LeMay/2180%20Asset%20Adds%20Transfers%20Deletes%20Forms%20202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LeMay%20Companies/Depreciation%20General/2021%20FARs/2180%20FAR%208.31.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ns-2674%20Ken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SRC%20Reports/SRC%20Format/Bonus%20Schedule/PNWR%20SRC%20Bonus%20Schedule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Waste%20Management%20-%20Filings/Ellensburg/Year%202009/TG-091472%20(GRC)/Staff/TG-091472%20WM%20of%20Ellensburg%20(Workpapers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ome.utc.wa.gov/UTIL/TRANS/Chris%20M/Solid%20Waste/Waste%20Management/Sno-King/Year%202009/TG-091933/Staff/TG-091933%20WM%20of%20SnoKing%20GRC%20(Workpapers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2183-1%20Pacific%20Disp,%20Butlers%20Cove\Filing%20Possibly%202012\Filing\Audit\Final%20Outcome%208-14-2012\Pro%20Forma%20Pacific%20Disposal_Staf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1">
          <cell r="A1" t="str">
            <v>Fixed Assets Reconciliations - Lodi - 0543</v>
          </cell>
        </row>
        <row r="2">
          <cell r="A2" t="str">
            <v>February</v>
          </cell>
        </row>
        <row r="3">
          <cell r="B3" t="str">
            <v>Trucks</v>
          </cell>
          <cell r="C3" t="str">
            <v>Landfill PE</v>
          </cell>
          <cell r="D3" t="str">
            <v>Support Trucks</v>
          </cell>
          <cell r="E3" t="str">
            <v xml:space="preserve">Containers </v>
          </cell>
          <cell r="F3" t="str">
            <v>M&amp;E</v>
          </cell>
          <cell r="G3" t="str">
            <v>OfficeEquip</v>
          </cell>
          <cell r="H3" t="str">
            <v>Building</v>
          </cell>
          <cell r="I3" t="str">
            <v>Leashold Improv</v>
          </cell>
          <cell r="J3" t="str">
            <v>Autos</v>
          </cell>
          <cell r="K3" t="str">
            <v>Land</v>
          </cell>
          <cell r="L3" t="str">
            <v>Total Assets</v>
          </cell>
        </row>
        <row r="4">
          <cell r="A4" t="str">
            <v>Description/A/C</v>
          </cell>
          <cell r="B4" t="str">
            <v>11110 &amp;120</v>
          </cell>
          <cell r="C4">
            <v>11210</v>
          </cell>
          <cell r="D4">
            <v>11310</v>
          </cell>
          <cell r="E4" t="str">
            <v>11410 &amp; 20</v>
          </cell>
          <cell r="F4" t="str">
            <v>11510 &amp; 20</v>
          </cell>
          <cell r="G4" t="str">
            <v>11610 &amp; 20</v>
          </cell>
          <cell r="H4" t="str">
            <v>11710 &amp; 20</v>
          </cell>
          <cell r="I4">
            <v>11810</v>
          </cell>
          <cell r="J4">
            <v>11910</v>
          </cell>
          <cell r="K4">
            <v>13110</v>
          </cell>
        </row>
        <row r="6">
          <cell r="A6" t="str">
            <v>GL Beginning Bal</v>
          </cell>
          <cell r="B6">
            <v>6370279.0000000009</v>
          </cell>
          <cell r="C6">
            <v>1152675.96</v>
          </cell>
          <cell r="D6">
            <v>230167.72999999998</v>
          </cell>
          <cell r="E6">
            <v>9808085.1799999997</v>
          </cell>
          <cell r="F6">
            <v>3002548.89</v>
          </cell>
          <cell r="G6">
            <v>1058753.53</v>
          </cell>
          <cell r="H6">
            <v>5945538.0099999998</v>
          </cell>
          <cell r="I6">
            <v>2233939.7999999998</v>
          </cell>
          <cell r="J6">
            <v>47342.04</v>
          </cell>
          <cell r="K6">
            <v>987725.13</v>
          </cell>
          <cell r="L6">
            <v>30837055.270000003</v>
          </cell>
        </row>
        <row r="8">
          <cell r="A8" t="str">
            <v>Additions:</v>
          </cell>
          <cell r="B8">
            <v>0</v>
          </cell>
          <cell r="E8">
            <v>0</v>
          </cell>
          <cell r="F8">
            <v>0</v>
          </cell>
          <cell r="G8">
            <v>0</v>
          </cell>
        </row>
        <row r="11">
          <cell r="A11" t="str">
            <v>Accruals:</v>
          </cell>
        </row>
        <row r="13">
          <cell r="A13" t="str">
            <v>Deletions:</v>
          </cell>
        </row>
        <row r="15">
          <cell r="A15" t="str">
            <v>Adjusted GL Bal:</v>
          </cell>
          <cell r="B15">
            <v>6370279.0000000009</v>
          </cell>
          <cell r="C15">
            <v>1152675.96</v>
          </cell>
          <cell r="D15">
            <v>230167.72999999998</v>
          </cell>
          <cell r="E15">
            <v>9808085.1799999997</v>
          </cell>
          <cell r="F15">
            <v>3002548.89</v>
          </cell>
          <cell r="G15">
            <v>1058753.53</v>
          </cell>
          <cell r="H15">
            <v>5945538.0099999998</v>
          </cell>
          <cell r="I15">
            <v>2233939.7999999998</v>
          </cell>
          <cell r="J15">
            <v>47342.04</v>
          </cell>
          <cell r="K15">
            <v>987725.13</v>
          </cell>
          <cell r="L15">
            <v>30837055.270000003</v>
          </cell>
        </row>
        <row r="17">
          <cell r="A17" t="str">
            <v>GBA Balances</v>
          </cell>
          <cell r="B17">
            <v>6486957.9000000004</v>
          </cell>
          <cell r="C17">
            <v>1191195.51</v>
          </cell>
          <cell r="D17">
            <v>230167.73</v>
          </cell>
          <cell r="E17">
            <v>9808085.1799999997</v>
          </cell>
          <cell r="F17">
            <v>2783580.08</v>
          </cell>
          <cell r="G17">
            <v>1058752.1299999999</v>
          </cell>
          <cell r="H17">
            <v>5945538.0099999998</v>
          </cell>
          <cell r="I17">
            <v>2233939.7999999998</v>
          </cell>
          <cell r="J17">
            <v>47342.04</v>
          </cell>
          <cell r="K17">
            <v>988191.66</v>
          </cell>
          <cell r="L17">
            <v>30773750.039999999</v>
          </cell>
        </row>
        <row r="19">
          <cell r="A19" t="str">
            <v>Variance</v>
          </cell>
          <cell r="B19">
            <v>-116678.89999999944</v>
          </cell>
          <cell r="C19">
            <v>-38519.550000000047</v>
          </cell>
          <cell r="D19">
            <v>0</v>
          </cell>
          <cell r="E19">
            <v>0</v>
          </cell>
          <cell r="F19">
            <v>218968.81000000006</v>
          </cell>
          <cell r="G19">
            <v>1.4000000001396984</v>
          </cell>
          <cell r="H19">
            <v>0</v>
          </cell>
          <cell r="I19">
            <v>0</v>
          </cell>
          <cell r="J19">
            <v>0</v>
          </cell>
          <cell r="K19">
            <v>-466.53000000002794</v>
          </cell>
          <cell r="L19">
            <v>63305.230000004172</v>
          </cell>
        </row>
      </sheetData>
      <sheetData sheetId="30" refreshError="1">
        <row r="4">
          <cell r="A4" t="str">
            <v>Accumulated Depreciation:</v>
          </cell>
          <cell r="D4">
            <v>65920</v>
          </cell>
          <cell r="F4">
            <v>60925</v>
          </cell>
          <cell r="G4">
            <v>70905</v>
          </cell>
          <cell r="H4">
            <v>90910</v>
          </cell>
        </row>
        <row r="5">
          <cell r="A5" t="str">
            <v>February</v>
          </cell>
          <cell r="B5">
            <v>52930</v>
          </cell>
          <cell r="C5">
            <v>52935</v>
          </cell>
          <cell r="D5">
            <v>60920</v>
          </cell>
          <cell r="E5">
            <v>54935</v>
          </cell>
          <cell r="F5">
            <v>54925</v>
          </cell>
          <cell r="G5">
            <v>60905</v>
          </cell>
          <cell r="H5">
            <v>65910</v>
          </cell>
          <cell r="I5">
            <v>90915</v>
          </cell>
          <cell r="J5">
            <v>90900</v>
          </cell>
        </row>
        <row r="6">
          <cell r="B6" t="str">
            <v>Trucks</v>
          </cell>
          <cell r="C6" t="str">
            <v>Landfill PE</v>
          </cell>
          <cell r="D6" t="str">
            <v>Support Trucks</v>
          </cell>
          <cell r="E6" t="str">
            <v xml:space="preserve">Containers </v>
          </cell>
          <cell r="F6" t="str">
            <v>M&amp;E</v>
          </cell>
          <cell r="G6" t="str">
            <v>OfficeEquip</v>
          </cell>
          <cell r="H6" t="str">
            <v>Building</v>
          </cell>
          <cell r="I6" t="str">
            <v>Leashold Improv</v>
          </cell>
          <cell r="J6" t="str">
            <v>Autos</v>
          </cell>
          <cell r="K6" t="str">
            <v>Land</v>
          </cell>
          <cell r="L6" t="str">
            <v>Total Accumulated</v>
          </cell>
        </row>
        <row r="7">
          <cell r="A7" t="str">
            <v>Description/A/C</v>
          </cell>
          <cell r="B7" t="str">
            <v>121XX</v>
          </cell>
          <cell r="C7" t="str">
            <v>122XX</v>
          </cell>
          <cell r="D7" t="str">
            <v>123XX</v>
          </cell>
          <cell r="E7" t="str">
            <v>124XX</v>
          </cell>
          <cell r="F7" t="str">
            <v>125XX</v>
          </cell>
          <cell r="G7" t="str">
            <v>126XX</v>
          </cell>
          <cell r="H7" t="str">
            <v>127XX</v>
          </cell>
          <cell r="I7" t="str">
            <v>128XX</v>
          </cell>
          <cell r="J7" t="str">
            <v>129XX</v>
          </cell>
          <cell r="K7">
            <v>13250</v>
          </cell>
          <cell r="L7" t="str">
            <v>Depreciation</v>
          </cell>
        </row>
        <row r="9">
          <cell r="A9" t="str">
            <v>GL Beginning Bal</v>
          </cell>
          <cell r="B9">
            <v>-4345139.9400000004</v>
          </cell>
          <cell r="C9">
            <v>-631095.49999999988</v>
          </cell>
          <cell r="D9">
            <v>-197525.75999999998</v>
          </cell>
          <cell r="E9">
            <v>-6570378.0800000001</v>
          </cell>
          <cell r="F9">
            <v>-2358947.5299999998</v>
          </cell>
          <cell r="G9">
            <v>-645903.84000000008</v>
          </cell>
          <cell r="H9">
            <v>-2171023.04</v>
          </cell>
          <cell r="I9">
            <v>-726384.56</v>
          </cell>
          <cell r="J9">
            <v>-36395.379999999997</v>
          </cell>
          <cell r="K9">
            <v>-466.76</v>
          </cell>
          <cell r="L9">
            <v>-17683260.390000001</v>
          </cell>
        </row>
        <row r="11">
          <cell r="A11" t="str">
            <v>Additions:</v>
          </cell>
          <cell r="B11">
            <v>-65915.709999999992</v>
          </cell>
          <cell r="C11">
            <v>-22490.11</v>
          </cell>
          <cell r="D11">
            <v>-2297.98</v>
          </cell>
          <cell r="E11">
            <v>-89579.91</v>
          </cell>
          <cell r="F11">
            <v>-55942.879999999997</v>
          </cell>
          <cell r="G11">
            <v>-29722.478000000003</v>
          </cell>
          <cell r="H11">
            <v>-41958.92</v>
          </cell>
          <cell r="I11">
            <v>-20345.439999999999</v>
          </cell>
          <cell r="J11">
            <v>-729.78</v>
          </cell>
          <cell r="L11">
            <v>-328983.20799999998</v>
          </cell>
        </row>
        <row r="13">
          <cell r="B13">
            <v>5502.79</v>
          </cell>
          <cell r="C13">
            <v>-5502.79</v>
          </cell>
        </row>
        <row r="14">
          <cell r="A14" t="str">
            <v>Accruals:</v>
          </cell>
        </row>
        <row r="16">
          <cell r="A16" t="str">
            <v>Deletions:</v>
          </cell>
        </row>
        <row r="18">
          <cell r="A18" t="str">
            <v>Adjusted GL Bal:</v>
          </cell>
          <cell r="B18">
            <v>-4405552.8600000003</v>
          </cell>
          <cell r="C18">
            <v>-659088.39999999991</v>
          </cell>
          <cell r="D18">
            <v>-199823.74</v>
          </cell>
          <cell r="E18">
            <v>-6659957.9900000002</v>
          </cell>
          <cell r="F18">
            <v>-2414890.4099999997</v>
          </cell>
          <cell r="G18">
            <v>-675626.31800000009</v>
          </cell>
          <cell r="H18">
            <v>-2212981.96</v>
          </cell>
          <cell r="I18">
            <v>-746730</v>
          </cell>
          <cell r="J18">
            <v>-37125.159999999996</v>
          </cell>
          <cell r="K18">
            <v>0</v>
          </cell>
          <cell r="L18">
            <v>-18011776.838</v>
          </cell>
        </row>
        <row r="20">
          <cell r="A20" t="str">
            <v>GBA Balances</v>
          </cell>
          <cell r="B20">
            <v>-4438805.79</v>
          </cell>
          <cell r="C20">
            <v>-659088.4</v>
          </cell>
          <cell r="D20">
            <v>-199823.74</v>
          </cell>
          <cell r="E20">
            <v>-6659957.9900000002</v>
          </cell>
          <cell r="F20">
            <v>-2243545.98</v>
          </cell>
          <cell r="G20">
            <v>-675626.34</v>
          </cell>
          <cell r="H20">
            <v>-2212981.96</v>
          </cell>
          <cell r="I20">
            <v>-746730</v>
          </cell>
          <cell r="J20">
            <v>-37125.160000000003</v>
          </cell>
          <cell r="K20">
            <v>-466.76</v>
          </cell>
          <cell r="L20">
            <v>-17874152.120000005</v>
          </cell>
        </row>
        <row r="22">
          <cell r="A22" t="str">
            <v>Variance</v>
          </cell>
          <cell r="B22">
            <v>33252.929999999702</v>
          </cell>
          <cell r="C22">
            <v>0</v>
          </cell>
          <cell r="D22">
            <v>0</v>
          </cell>
          <cell r="E22">
            <v>0</v>
          </cell>
          <cell r="F22">
            <v>-171344.4299999997</v>
          </cell>
          <cell r="G22">
            <v>2.199999988079071E-2</v>
          </cell>
          <cell r="H22">
            <v>0</v>
          </cell>
          <cell r="I22">
            <v>0</v>
          </cell>
          <cell r="J22">
            <v>0</v>
          </cell>
          <cell r="K22">
            <v>466.76</v>
          </cell>
          <cell r="L22">
            <v>-137624.71799999475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CWRS</v>
          </cell>
        </row>
        <row r="2">
          <cell r="A2" t="str">
            <v>COPMPST AND OTHER SALES</v>
          </cell>
        </row>
        <row r="3">
          <cell r="A3" t="str">
            <v>SALES &amp; USE TAX</v>
          </cell>
        </row>
        <row r="5">
          <cell r="C5" t="str">
            <v>TAXABLE</v>
          </cell>
          <cell r="D5" t="str">
            <v>NONTAXABLE</v>
          </cell>
          <cell r="E5" t="str">
            <v>TOTAL</v>
          </cell>
        </row>
        <row r="7">
          <cell r="A7" t="str">
            <v>OCT 1999:</v>
          </cell>
        </row>
        <row r="8">
          <cell r="A8" t="str">
            <v>T/S SALES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CASH SALES</v>
          </cell>
          <cell r="E9">
            <v>0</v>
          </cell>
        </row>
        <row r="10">
          <cell r="A10" t="str">
            <v>CHARGE SALES</v>
          </cell>
          <cell r="E10">
            <v>0</v>
          </cell>
        </row>
        <row r="11">
          <cell r="A11" t="str">
            <v>RECYCLING SALES</v>
          </cell>
          <cell r="E11">
            <v>0</v>
          </cell>
        </row>
        <row r="12">
          <cell r="A12" t="str">
            <v>OTHER SALES:</v>
          </cell>
        </row>
        <row r="13">
          <cell r="A13" t="str">
            <v xml:space="preserve"> WASTE CARTS</v>
          </cell>
          <cell r="C13">
            <v>645</v>
          </cell>
          <cell r="E13">
            <v>645</v>
          </cell>
        </row>
        <row r="14">
          <cell r="A14" t="str">
            <v xml:space="preserve"> MISC T/S</v>
          </cell>
          <cell r="C14">
            <v>0</v>
          </cell>
          <cell r="E14">
            <v>0</v>
          </cell>
        </row>
        <row r="16">
          <cell r="B16" t="str">
            <v>TOTAL</v>
          </cell>
          <cell r="C16">
            <v>645</v>
          </cell>
          <cell r="D16">
            <v>0</v>
          </cell>
          <cell r="E16">
            <v>645</v>
          </cell>
        </row>
        <row r="18">
          <cell r="A18" t="str">
            <v>NOV 1999:</v>
          </cell>
        </row>
        <row r="19">
          <cell r="A19" t="str">
            <v>T/S SALES</v>
          </cell>
          <cell r="E19">
            <v>0</v>
          </cell>
        </row>
        <row r="20">
          <cell r="A20" t="str">
            <v>CASH SALES</v>
          </cell>
          <cell r="E20">
            <v>0</v>
          </cell>
        </row>
        <row r="21">
          <cell r="A21" t="str">
            <v>CHARGE SALES</v>
          </cell>
          <cell r="E21">
            <v>0</v>
          </cell>
        </row>
        <row r="22">
          <cell r="A22" t="str">
            <v>RECYCLING SALES</v>
          </cell>
          <cell r="E22">
            <v>0</v>
          </cell>
        </row>
        <row r="23">
          <cell r="A23" t="str">
            <v>OTHER SALES:</v>
          </cell>
        </row>
        <row r="24">
          <cell r="A24" t="str">
            <v xml:space="preserve"> WASTE CARTS</v>
          </cell>
          <cell r="C24">
            <v>0</v>
          </cell>
          <cell r="E24">
            <v>0</v>
          </cell>
        </row>
        <row r="25">
          <cell r="A25" t="str">
            <v xml:space="preserve"> MISC T/S</v>
          </cell>
          <cell r="C25">
            <v>0</v>
          </cell>
          <cell r="E25">
            <v>0</v>
          </cell>
        </row>
        <row r="27">
          <cell r="B27" t="str">
            <v>TOTAL</v>
          </cell>
          <cell r="C27">
            <v>0</v>
          </cell>
          <cell r="D27">
            <v>0</v>
          </cell>
          <cell r="E27">
            <v>0</v>
          </cell>
        </row>
        <row r="29">
          <cell r="A29" t="str">
            <v>DEC 1999:</v>
          </cell>
        </row>
        <row r="30">
          <cell r="A30" t="str">
            <v>T/S SALES</v>
          </cell>
          <cell r="E30">
            <v>0</v>
          </cell>
        </row>
        <row r="31">
          <cell r="A31" t="str">
            <v>CASH SALES</v>
          </cell>
          <cell r="E31">
            <v>0</v>
          </cell>
        </row>
        <row r="32">
          <cell r="A32" t="str">
            <v>CHARGE SALES</v>
          </cell>
          <cell r="E32">
            <v>0</v>
          </cell>
        </row>
        <row r="33">
          <cell r="A33" t="str">
            <v>RECYCLING SALES</v>
          </cell>
          <cell r="E33">
            <v>0</v>
          </cell>
        </row>
        <row r="34">
          <cell r="A34" t="str">
            <v>OTHER SALES:</v>
          </cell>
        </row>
        <row r="35">
          <cell r="A35" t="str">
            <v xml:space="preserve"> WASTE CARTS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MISC T/S</v>
          </cell>
          <cell r="C36">
            <v>0</v>
          </cell>
          <cell r="D36">
            <v>0</v>
          </cell>
          <cell r="E36">
            <v>0</v>
          </cell>
        </row>
        <row r="38">
          <cell r="B38" t="str">
            <v>TOTAL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QUARTER TOTAL - 12/31/99:</v>
          </cell>
        </row>
        <row r="41">
          <cell r="A41" t="str">
            <v>T/S SALES</v>
          </cell>
          <cell r="C41">
            <v>0</v>
          </cell>
          <cell r="D41">
            <v>0</v>
          </cell>
          <cell r="E41">
            <v>0</v>
          </cell>
        </row>
        <row r="42">
          <cell r="A42" t="str">
            <v>CASH SALES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CHARGE SALES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RECYCLING SALES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OTHER SALES:</v>
          </cell>
          <cell r="C45">
            <v>0</v>
          </cell>
          <cell r="D45">
            <v>0</v>
          </cell>
        </row>
        <row r="46">
          <cell r="A46" t="str">
            <v xml:space="preserve"> WASTE CARTS</v>
          </cell>
          <cell r="C46">
            <v>645</v>
          </cell>
          <cell r="D46">
            <v>0</v>
          </cell>
          <cell r="E46">
            <v>645</v>
          </cell>
        </row>
        <row r="47">
          <cell r="A47" t="str">
            <v xml:space="preserve"> MISC T/S</v>
          </cell>
          <cell r="C47">
            <v>0</v>
          </cell>
          <cell r="D47">
            <v>0</v>
          </cell>
          <cell r="E47">
            <v>0</v>
          </cell>
        </row>
        <row r="49">
          <cell r="B49" t="str">
            <v>TOTAL</v>
          </cell>
          <cell r="C49">
            <v>645</v>
          </cell>
          <cell r="D49">
            <v>0</v>
          </cell>
          <cell r="E49">
            <v>645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3">
          <cell r="L23">
            <v>2329.3388396454475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F-1"/>
      <sheetName val="F-2"/>
      <sheetName val="F-3"/>
      <sheetName val="F-4"/>
      <sheetName val="F-5"/>
      <sheetName val="F-6"/>
      <sheetName val="F-7"/>
      <sheetName val="F-8"/>
      <sheetName val="F-9"/>
      <sheetName val="F-10"/>
      <sheetName val="F-11"/>
      <sheetName val="F-12"/>
      <sheetName val="F-13"/>
      <sheetName val="F-14"/>
      <sheetName val="F-15"/>
      <sheetName val="F-16"/>
      <sheetName val="F-17"/>
      <sheetName val="F-18"/>
      <sheetName val="F-19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O-10"/>
      <sheetName val="O-12"/>
      <sheetName val="O-13"/>
      <sheetName val="O-14"/>
      <sheetName val="O-15"/>
      <sheetName val="O-16"/>
      <sheetName val="O-17"/>
      <sheetName val="O-18"/>
      <sheetName val="O-19"/>
      <sheetName val="O-20"/>
      <sheetName val="O-21"/>
      <sheetName val="O-22"/>
      <sheetName val="O-23"/>
      <sheetName val="O-24"/>
      <sheetName val="O-25"/>
      <sheetName val="O-26"/>
      <sheetName val="R-1"/>
      <sheetName val="R-2"/>
      <sheetName val="R-3"/>
      <sheetName val="R-4"/>
      <sheetName val="R-5"/>
      <sheetName val="R-6"/>
      <sheetName val="R-7"/>
      <sheetName val="R-8"/>
      <sheetName val="R-9"/>
      <sheetName val="I-1"/>
      <sheetName val="I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Summary"/>
      <sheetName val="2180 (Reg.) - Price Out "/>
      <sheetName val="2180 (Roy) - Price Out"/>
      <sheetName val="2180 (EQR) - Price Out"/>
      <sheetName val="2180 (FtL) - Price Out"/>
      <sheetName val="2180 (Lkwd) - Price Out"/>
      <sheetName val="2180 (Dpt) - Price Out"/>
      <sheetName val="2180 (Etv) - Price Out"/>
      <sheetName val="2180 (Stcm) - Price Out"/>
      <sheetName val="2180 (UP) - Price Out"/>
      <sheetName val="RM Pivot"/>
      <sheetName val="RM Data"/>
      <sheetName val="P&amp;L"/>
      <sheetName val="Schnitzer"/>
      <sheetName val="Finance Charges"/>
      <sheetName val="N Lemay Rolloff 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>
            <v>10000</v>
          </cell>
        </row>
        <row r="8">
          <cell r="H8" t="str">
            <v>2016-08</v>
          </cell>
        </row>
        <row r="12">
          <cell r="G12" t="str">
            <v>2016-01</v>
          </cell>
        </row>
        <row r="13">
          <cell r="G13" t="str">
            <v>2016-12</v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o (Type of Service)"/>
      <sheetName val="Proforma (Total Co)"/>
      <sheetName val="Restating Adj"/>
      <sheetName val="Restating Adj Details"/>
      <sheetName val="Proforma Adj"/>
      <sheetName val="Proforma Adj Details"/>
      <sheetName val=" Lurito (Total Co)"/>
      <sheetName val=" Lurito (Total Garbage w DB)"/>
      <sheetName val=" Lurito (Total Garbage wo DB)"/>
      <sheetName val="Proforma (DropBox)"/>
      <sheetName val="Lurito (DropBox)"/>
      <sheetName val="Exp Matrix (DropBox)"/>
      <sheetName val="COS DB"/>
      <sheetName val="Proforma (Yard Waste)"/>
      <sheetName val="Lurito (Yard Waste)"/>
      <sheetName val="Exp-Matrix (Yard Waste)"/>
      <sheetName val="COS-YW, Recycl"/>
      <sheetName val="Proforma (Curbs Recycling)"/>
      <sheetName val="Lurito (Curbs Recycling)"/>
      <sheetName val="Exp-Matrix (Curbs Recycling)"/>
      <sheetName val="Proforma (Recycle Stations)"/>
      <sheetName val="Lurito (Recycle Stations)"/>
      <sheetName val=" Lurito (MF)"/>
      <sheetName val=" Lurito (MF &amp; R Station)"/>
      <sheetName val="Rate Calculation"/>
      <sheetName val="Rate (Dump Fee)"/>
      <sheetName val="Calculation (Dump Fee)"/>
      <sheetName val="Priceout (Dump Fee)"/>
      <sheetName val="Total Fuel"/>
      <sheetName val="Murrey's Fuel"/>
      <sheetName val="American Fuel"/>
      <sheetName val="Depn-Summary"/>
      <sheetName val="Summary (American)"/>
      <sheetName val="Summary (Murrey's)"/>
      <sheetName val="Trucks (American)"/>
      <sheetName val="Trucks (Murrey's)"/>
      <sheetName val="Containers &amp; DropBox (American)"/>
      <sheetName val="Containers, DropBox (Murrey's)"/>
      <sheetName val="Yard Waste Toters (American)"/>
      <sheetName val="Yard Waste Toters (Murrey's)"/>
      <sheetName val="Other Equipment (American)"/>
      <sheetName val="Other Equipment (Murrey's)"/>
      <sheetName val="WRRA"/>
      <sheetName val="Summary (Supervisors)"/>
      <sheetName val="Summary (Driver Wages)"/>
      <sheetName val="Summary (IS Report)"/>
      <sheetName val="IS-Murrey's"/>
      <sheetName val="IS-Americ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BS"/>
      <sheetName val="2010 BS"/>
      <sheetName val="2009 IS"/>
      <sheetName val="2010 IS"/>
      <sheetName val="Consolidated IS"/>
      <sheetName val="Alloc %"/>
      <sheetName val="Rest Expl"/>
      <sheetName val="Prof Expl"/>
      <sheetName val="2009 Price Out (REG)"/>
      <sheetName val="LG-Total Reg"/>
      <sheetName val="LG-Pckr"/>
      <sheetName val="LG-RO"/>
      <sheetName val="2009-2010"/>
      <sheetName val="2009 Depr Summary"/>
      <sheetName val="2009 Trks"/>
      <sheetName val="2009 Cont, DB"/>
      <sheetName val="2009 Serv, Shop"/>
      <sheetName val="2009 Office"/>
      <sheetName val="2009 Leasehold"/>
      <sheetName val="2010 Deprec Summary"/>
      <sheetName val="2010 Trks"/>
      <sheetName val="2010 Cont, DB"/>
      <sheetName val="2010 Serv, Shop"/>
      <sheetName val="2010 Office"/>
      <sheetName val="2010 Leaseh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 (Staff Method)"/>
      <sheetName val="Priceout (Company Method)"/>
      <sheetName val="Monthly IS"/>
      <sheetName val="Lurito - Garbage"/>
      <sheetName val="Lurito - Recycling (MF)"/>
      <sheetName val="Lurito - Recycling"/>
      <sheetName val="Lurito - YW"/>
      <sheetName val="Total Lurito"/>
      <sheetName val="Lurito-Garbage"/>
      <sheetName val="Lurito-Recycling"/>
      <sheetName val="Lurito-YW"/>
      <sheetName val="Priceout (Proposed)"/>
      <sheetName val="PC 160 - Confidential"/>
      <sheetName val="PC 220"/>
      <sheetName val="PC 230"/>
      <sheetName val="Processing Fees"/>
      <sheetName val="PC 260-Confidential"/>
      <sheetName val="YW Processing Fees"/>
      <sheetName val="WUTC Customer Counts"/>
      <sheetName val="PR Register-Confidential"/>
      <sheetName val="Wage Scale-Confidential"/>
      <sheetName val="PR Detail - Confidential"/>
      <sheetName val="Earn Codes"/>
      <sheetName val="Fuel"/>
      <sheetName val="Legal Fees"/>
      <sheetName val="Facility Costs"/>
      <sheetName val="Sno-King Com'l Recycling"/>
      <sheetName val="City Contract MF Recycling"/>
      <sheetName val="UTC MF Recycling"/>
      <sheetName val="DEPN Summary"/>
      <sheetName val="DEPN"/>
      <sheetName val="Fixed Asset Summary"/>
      <sheetName val="Fixed Asset Detail"/>
      <sheetName val="Balance Sheet"/>
      <sheetName val="Summary (Cart &amp; Containers)"/>
      <sheetName val="OH Analysis"/>
      <sheetName val="Corp. Office OH"/>
      <sheetName val="2008 Group Office TB"/>
      <sheetName val="MA Office OH"/>
      <sheetName val="MA Stats"/>
      <sheetName val="Bothell"/>
      <sheetName val="Woodinville"/>
      <sheetName val="Seattle"/>
      <sheetName val="South Sound"/>
      <sheetName val="Skagit"/>
      <sheetName val="Brem-Air"/>
      <sheetName val="Hours &amp; Services"/>
      <sheetName val="Operating Cost"/>
      <sheetName val="Head Count"/>
      <sheetName val="Summary MA Headcount"/>
      <sheetName val="MA Headcount"/>
      <sheetName val="Headcount"/>
      <sheetName val="WM Sandpoint"/>
      <sheetName val="WM Brem-Air"/>
      <sheetName val="WM Wenatchee"/>
      <sheetName val="WM Ellensburg"/>
      <sheetName val="WM Klamath Falls"/>
      <sheetName val="WM Coeur d'Alene"/>
      <sheetName val="WM Kennewick"/>
      <sheetName val="WM Skagit"/>
      <sheetName val="WM Spokane"/>
      <sheetName val="WM Oregon"/>
      <sheetName val="WM South Sound"/>
      <sheetName val="WM Northwest"/>
      <sheetName val="WM Sno-King"/>
      <sheetName val="WM Seattle"/>
      <sheetName val="2008 West Group IS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Tonnage)"/>
      <sheetName val="DEPN (CRC)"/>
      <sheetName val="Fixed Assets - Update"/>
      <sheetName val="Fixed Assets"/>
      <sheetName val="Lurito - CRC"/>
      <sheetName val="Lurito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 (Disposal)"/>
      <sheetName val="Com'l FL"/>
      <sheetName val="Res'l RL"/>
      <sheetName val="Roll Off"/>
      <sheetName val="Res'l YW"/>
      <sheetName val="Res'l Rec."/>
      <sheetName val="Com'l Rec."/>
      <sheetName val="Summary (Route)"/>
      <sheetName val="Haul Summary"/>
      <sheetName val="Customer Counts"/>
      <sheetName val="Com'l FL-2009"/>
      <sheetName val="Res'l RL (Route)"/>
      <sheetName val="Res'l YW (Route)"/>
      <sheetName val="Res'l Rec. (Route)"/>
      <sheetName val="Roll Off (Route)"/>
      <sheetName val="Com'l Rec. (Route)"/>
      <sheetName val="Hauls Only"/>
      <sheetName val="Container Shop (Arrows)"/>
      <sheetName val="Summary (Bad Debt)"/>
      <sheetName val="115000-115030 2008"/>
      <sheetName val="115000-115030 2007"/>
      <sheetName val="115000-115030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DownRanges"/>
      <sheetName val="StatEntry_Trend"/>
      <sheetName val="StatEntry_Detail"/>
      <sheetName val="StatEntry_Reclass_LOB_Sbst"/>
      <sheetName val="ChangeHistory"/>
      <sheetName val="Stat Lookup"/>
    </sheetNames>
    <sheetDataSet>
      <sheetData sheetId="0">
        <row r="5">
          <cell r="B5" t="str">
            <v>Can_Commercial</v>
          </cell>
          <cell r="D5" t="str">
            <v>Act</v>
          </cell>
        </row>
        <row r="6">
          <cell r="B6" t="str">
            <v>Can_Commercial Recycling</v>
          </cell>
          <cell r="D6" t="str">
            <v>Bud</v>
          </cell>
        </row>
        <row r="7">
          <cell r="B7" t="str">
            <v>Can_Landfill</v>
          </cell>
          <cell r="D7" t="str">
            <v>Proj</v>
          </cell>
        </row>
        <row r="8">
          <cell r="B8" t="str">
            <v>Can_Landfill Gas</v>
          </cell>
        </row>
        <row r="9">
          <cell r="B9" t="str">
            <v>Can_MRF</v>
          </cell>
        </row>
        <row r="10">
          <cell r="B10" t="str">
            <v>Can_Other</v>
          </cell>
        </row>
        <row r="11">
          <cell r="B11" t="str">
            <v>Can_Residential</v>
          </cell>
        </row>
        <row r="12">
          <cell r="B12" t="str">
            <v>Can_Residential Recycling</v>
          </cell>
        </row>
        <row r="13">
          <cell r="B13" t="str">
            <v>Can_Roll Off</v>
          </cell>
        </row>
        <row r="14">
          <cell r="B14" t="str">
            <v>Can_Transfer Station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 refreshError="1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 refreshError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, pg 1-2"/>
      <sheetName val="OrgControl, pg 3"/>
      <sheetName val="BS-Assets, pg 4"/>
      <sheetName val="BS-Liab, pg 5"/>
      <sheetName val="FixedAssets, pg 6"/>
      <sheetName val="Income Statement, pg 7"/>
      <sheetName val="RevenuesCust, pg 8"/>
      <sheetName val="Recyc-YW, pg 9"/>
      <sheetName val="contracts, pg 10"/>
      <sheetName val="GarbageDisp, pg 11"/>
      <sheetName val="RecycleProcessing, pg 12"/>
      <sheetName val="RetainEarn, pg 13"/>
      <sheetName val="Payroll, pg 14"/>
      <sheetName val="Fuel, pg 15"/>
      <sheetName val="FeeCalc, pg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Schedule 2"/>
      <sheetName val="Schedule 3A"/>
      <sheetName val="Schedule 3B"/>
      <sheetName val="Schedule 3C"/>
      <sheetName val="Schedule 4"/>
      <sheetName val="Schedule 5"/>
      <sheetName val="Schedule 6"/>
      <sheetName val="Schedule 7"/>
      <sheetName val="Schedule 8"/>
      <sheetName val="Schedule 9A"/>
      <sheetName val="Schedule 9B"/>
      <sheetName val="Schedule 10"/>
      <sheetName val="Reg Fee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f"/>
      <sheetName val="pr"/>
      <sheetName val="rev"/>
      <sheetName val="Fuelcosts"/>
      <sheetName val="fuel"/>
      <sheetName val="oth"/>
      <sheetName val="RteHrs"/>
      <sheetName val="debt"/>
      <sheetName val="taxes"/>
      <sheetName val="recy "/>
      <sheetName val="Advertising"/>
      <sheetName val="Parties"/>
      <sheetName val="Donations"/>
      <sheetName val="Dues "/>
      <sheetName val="Hlth Ins"/>
      <sheetName val="Other Ins"/>
      <sheetName val="Postage"/>
      <sheetName val="Pullman EEs"/>
      <sheetName val="Penalties"/>
      <sheetName val="Pensions"/>
      <sheetName val="Payroll"/>
      <sheetName val="LOC"/>
      <sheetName val="Rent "/>
      <sheetName val="2007 COS"/>
      <sheetName val="ProfFees"/>
      <sheetName val="ReplParts"/>
      <sheetName val="RepairMaint"/>
      <sheetName val="LicensesUsedUseful"/>
      <sheetName val="Recycle truck"/>
      <sheetName val="RecycleCarts"/>
      <sheetName val="Depr"/>
      <sheetName val="StaffAdjSummary"/>
      <sheetName val="ProF"/>
      <sheetName val="Balance Sheet"/>
      <sheetName val="nonrg"/>
      <sheetName val="prcout"/>
      <sheetName val="Staff prcout"/>
      <sheetName val="StaffLGAllRegulated"/>
      <sheetName val="LGGarb"/>
      <sheetName val="LGMFam"/>
      <sheetName val="LGCurbRecy"/>
      <sheetName val="LGYdWaste"/>
      <sheetName val="Staff LGCombined"/>
      <sheetName val="LGMedWaste"/>
      <sheetName val="LGCmlEW"/>
      <sheetName val="Sheet1"/>
      <sheetName val="LNI"/>
      <sheetName val="RateCase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G Nonpublic 2018 V5.0"/>
    </sheetNames>
    <sheetDataSet>
      <sheetData sheetId="0">
        <row r="55">
          <cell r="W55">
            <v>5.7225999999999999</v>
          </cell>
          <cell r="Y55">
            <v>5.6985000000000001</v>
          </cell>
        </row>
        <row r="56">
          <cell r="W56">
            <v>5.7082699999999997</v>
          </cell>
          <cell r="Y56">
            <v>5.6921999999999997</v>
          </cell>
        </row>
        <row r="58">
          <cell r="X58">
            <v>0.68367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ud Capital Input"/>
      <sheetName val="Capital Summary By PO Type"/>
      <sheetName val="PO vs Truck Center Recon"/>
      <sheetName val="Truck Center Summary"/>
      <sheetName val="Bud Closure Input"/>
      <sheetName val="Closure Summary By PO Type"/>
      <sheetName val="TruckCenterReference"/>
      <sheetName val="AssetTypeList"/>
      <sheetName val="Reference"/>
      <sheetName val="ClosureRefer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F15" t="str">
            <v>OK!: ReportRange Formula OK [jAction{}]</v>
          </cell>
        </row>
        <row r="36">
          <cell r="C36" t="str">
            <v>Sideloader</v>
          </cell>
          <cell r="D36" t="str">
            <v>Sideloader</v>
          </cell>
        </row>
        <row r="37">
          <cell r="C37" t="str">
            <v>Other Truck</v>
          </cell>
          <cell r="D37" t="str">
            <v>Other</v>
          </cell>
        </row>
        <row r="38">
          <cell r="C38" t="str">
            <v>Passenger Car</v>
          </cell>
          <cell r="D38" t="str">
            <v>Other</v>
          </cell>
        </row>
        <row r="39">
          <cell r="C39" t="str">
            <v>Pickup</v>
          </cell>
          <cell r="D39" t="str">
            <v>Pickup</v>
          </cell>
        </row>
        <row r="40">
          <cell r="C40" t="str">
            <v>Pumper Truck</v>
          </cell>
          <cell r="D40" t="str">
            <v>Pumper Truck</v>
          </cell>
        </row>
        <row r="41">
          <cell r="C41" t="str">
            <v>Rear Load</v>
          </cell>
          <cell r="D41" t="str">
            <v>Rear Loader</v>
          </cell>
        </row>
        <row r="42">
          <cell r="C42" t="str">
            <v>Recycle Truck</v>
          </cell>
          <cell r="D42" t="str">
            <v>Recycle</v>
          </cell>
        </row>
        <row r="43">
          <cell r="C43" t="str">
            <v>Retriever</v>
          </cell>
          <cell r="D43" t="str">
            <v>Retriever</v>
          </cell>
        </row>
        <row r="44">
          <cell r="C44" t="str">
            <v>Roll Off</v>
          </cell>
          <cell r="D44" t="str">
            <v>Roll Off</v>
          </cell>
        </row>
        <row r="45">
          <cell r="C45" t="str">
            <v>Service Truck</v>
          </cell>
          <cell r="D45" t="str">
            <v>Service Truck</v>
          </cell>
        </row>
        <row r="46">
          <cell r="C46" t="str">
            <v>Service Truck</v>
          </cell>
          <cell r="D46" t="str">
            <v>Service Truck</v>
          </cell>
        </row>
        <row r="47">
          <cell r="C47" t="str">
            <v>Tipper Trailer</v>
          </cell>
          <cell r="D47" t="str">
            <v>Trailer</v>
          </cell>
        </row>
        <row r="48">
          <cell r="C48" t="str">
            <v>Walking Floor Trailer</v>
          </cell>
          <cell r="D48" t="str">
            <v>Trailer</v>
          </cell>
        </row>
        <row r="49">
          <cell r="C49" t="str">
            <v>Roll Off Pup Trailer</v>
          </cell>
          <cell r="D49" t="str">
            <v>Trailer</v>
          </cell>
        </row>
        <row r="50">
          <cell r="C50" t="str">
            <v>Other Trailer</v>
          </cell>
          <cell r="D50" t="str">
            <v>Trailer</v>
          </cell>
        </row>
        <row r="51">
          <cell r="C51" t="str">
            <v>Container Delivery Trailer</v>
          </cell>
          <cell r="D51" t="str">
            <v>Trailer</v>
          </cell>
        </row>
        <row r="52">
          <cell r="C52" t="str">
            <v>Railroad Cars</v>
          </cell>
          <cell r="D52" t="str">
            <v>Trailer</v>
          </cell>
        </row>
        <row r="53">
          <cell r="C53" t="str">
            <v>Barge</v>
          </cell>
          <cell r="D53" t="str">
            <v>Trailer</v>
          </cell>
        </row>
        <row r="54">
          <cell r="C54" t="str">
            <v>Transfer Tractor</v>
          </cell>
          <cell r="D54" t="str">
            <v>Transfer Tractor</v>
          </cell>
        </row>
        <row r="55">
          <cell r="C55" t="str">
            <v>ATV/Gator</v>
          </cell>
          <cell r="D55" t="str">
            <v>Yard Mule</v>
          </cell>
        </row>
        <row r="56">
          <cell r="C56" t="str">
            <v>Yard Mule</v>
          </cell>
          <cell r="D56" t="str">
            <v>Yard Mule</v>
          </cell>
        </row>
        <row r="57">
          <cell r="C57" t="str">
            <v>Automated</v>
          </cell>
          <cell r="D57" t="str">
            <v>Automated Sideloader</v>
          </cell>
        </row>
        <row r="58">
          <cell r="C58" t="str">
            <v>Container Delivery Truck</v>
          </cell>
          <cell r="D58" t="str">
            <v>Container Delivery</v>
          </cell>
        </row>
        <row r="59">
          <cell r="C59" t="str">
            <v>Front Load</v>
          </cell>
          <cell r="D59" t="str">
            <v>Front Loader</v>
          </cell>
        </row>
        <row r="60">
          <cell r="C60" t="str">
            <v>Grapple Brush Truck</v>
          </cell>
          <cell r="D60" t="str">
            <v>Grapple Truck</v>
          </cell>
        </row>
        <row r="61">
          <cell r="C61" t="str">
            <v>Hook Lift</v>
          </cell>
          <cell r="D61" t="str">
            <v>Hook Lift</v>
          </cell>
        </row>
        <row r="62">
          <cell r="C62" t="str">
            <v>Sideloader</v>
          </cell>
          <cell r="D62" t="str">
            <v>Manual Sideloader</v>
          </cell>
        </row>
        <row r="63">
          <cell r="C63" t="str">
            <v>Other Truck</v>
          </cell>
          <cell r="D63" t="str">
            <v>Other</v>
          </cell>
        </row>
        <row r="64">
          <cell r="C64" t="str">
            <v>Pickup</v>
          </cell>
          <cell r="D64" t="str">
            <v>Pickup</v>
          </cell>
        </row>
        <row r="65">
          <cell r="C65" t="str">
            <v>Pumper Truck</v>
          </cell>
          <cell r="D65" t="str">
            <v>Pumper Truck</v>
          </cell>
        </row>
        <row r="66">
          <cell r="C66" t="str">
            <v>Rear Load</v>
          </cell>
          <cell r="D66" t="str">
            <v>Rear Loader</v>
          </cell>
        </row>
        <row r="67">
          <cell r="C67" t="str">
            <v>Recycle Truck</v>
          </cell>
          <cell r="D67" t="str">
            <v>Recycle</v>
          </cell>
        </row>
        <row r="68">
          <cell r="C68" t="str">
            <v>Retriever</v>
          </cell>
          <cell r="D68" t="str">
            <v>Retriever</v>
          </cell>
        </row>
        <row r="69">
          <cell r="C69" t="str">
            <v>Roll Off</v>
          </cell>
          <cell r="D69" t="str">
            <v>Roll Off</v>
          </cell>
        </row>
        <row r="70">
          <cell r="C70" t="str">
            <v>Service Truck</v>
          </cell>
          <cell r="D70" t="str">
            <v>Serv Trk-Complete</v>
          </cell>
        </row>
        <row r="71">
          <cell r="C71" t="str">
            <v>Tipper Trailer</v>
          </cell>
          <cell r="D71" t="str">
            <v>Trailer</v>
          </cell>
        </row>
        <row r="72">
          <cell r="C72" t="str">
            <v>Walking Floor Trailer</v>
          </cell>
          <cell r="D72" t="str">
            <v>Trailer</v>
          </cell>
        </row>
        <row r="73">
          <cell r="C73" t="str">
            <v>Roll Off Pup Trailer</v>
          </cell>
          <cell r="D73" t="str">
            <v>Trailer</v>
          </cell>
        </row>
        <row r="74">
          <cell r="C74" t="str">
            <v>Barge</v>
          </cell>
          <cell r="D74" t="str">
            <v>Trailer</v>
          </cell>
        </row>
        <row r="75">
          <cell r="C75" t="str">
            <v>Railroad Cars</v>
          </cell>
          <cell r="D75" t="str">
            <v>Trailer</v>
          </cell>
        </row>
        <row r="76">
          <cell r="C76" t="str">
            <v>Container Delivery Trailer</v>
          </cell>
          <cell r="D76" t="str">
            <v>Trailer</v>
          </cell>
        </row>
        <row r="77">
          <cell r="C77" t="str">
            <v>Other Trailer</v>
          </cell>
          <cell r="D77" t="str">
            <v>Trailer</v>
          </cell>
        </row>
        <row r="78">
          <cell r="C78" t="str">
            <v>Transfer Tractor</v>
          </cell>
          <cell r="D78" t="str">
            <v>Transfer Tractor</v>
          </cell>
        </row>
        <row r="79">
          <cell r="C79" t="str">
            <v>Yard Mule</v>
          </cell>
          <cell r="D79" t="str">
            <v>Yard Mule</v>
          </cell>
        </row>
        <row r="80">
          <cell r="C80" t="str">
            <v>ATV/Gator</v>
          </cell>
          <cell r="D80" t="str">
            <v>Yard Mule</v>
          </cell>
        </row>
      </sheetData>
      <sheetData sheetId="8">
        <row r="7">
          <cell r="C7" t="str">
            <v>OK!: ReportRange Formula OK [jAction{}]</v>
          </cell>
        </row>
      </sheetData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RS"/>
      <sheetName val="Budget"/>
      <sheetName val="Forecast"/>
      <sheetName val="Internal Rev Growth"/>
      <sheetName val="Rev Roll"/>
      <sheetName val="Intern of Wste"/>
      <sheetName val="Tonnage"/>
      <sheetName val="AR Analysis"/>
      <sheetName val="Cap X"/>
      <sheetName val="Goodwill"/>
      <sheetName val="Other Intangibles"/>
      <sheetName val="Debt Roll"/>
      <sheetName val="Env Liability"/>
      <sheetName val="Census"/>
      <sheetName val="Census Budge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5">
          <cell r="B5">
            <v>536</v>
          </cell>
        </row>
        <row r="7">
          <cell r="B7" t="str">
            <v>WM Grass Valley/Nevada City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ROE"/>
      <sheetName val="CostStudy"/>
      <sheetName val="Pro Forma"/>
      <sheetName val="LURITXPF AVG"/>
      <sheetName val="Price Out"/>
      <sheetName val="Summary Price Out"/>
      <sheetName val="Fly Sheet"/>
      <sheetName val="Comp Report"/>
      <sheetName val="Operations"/>
      <sheetName val="Assumptions"/>
      <sheetName val="Sch 1 - Restate Exp"/>
      <sheetName val="Sch 1, pg 2 - Restated"/>
      <sheetName val="Sch 2 - Forecast Exp"/>
      <sheetName val="Sch 2, pg 2 - Forecast"/>
      <sheetName val="Sch 3 - Reclass Exp"/>
      <sheetName val="Sch 3, pg 2 - Reclass"/>
      <sheetName val="Sch 4 - 12months"/>
      <sheetName val="WorkPapers"/>
      <sheetName val="WP-1 Exp Summary"/>
      <sheetName val="WP-1, pg 2 -  Expense Mat"/>
      <sheetName val="COS"/>
      <sheetName val="Annual Test Year Revenue"/>
      <sheetName val="WP-2 - Summary Depn"/>
      <sheetName val="WP-2. pg 2 -  Depn"/>
      <sheetName val="WP-3 - Labor Analysis"/>
      <sheetName val="WP-3, pg 2 -  Labor Increase"/>
      <sheetName val="WP-3, pg 3 -  Benefits Analysis"/>
      <sheetName val="WP-4 - Vehicle License"/>
      <sheetName val="WP-5 - Dues &amp; Sub"/>
      <sheetName val="WP-6 - CapitalStructure"/>
      <sheetName val="WP-7 - Affiliated "/>
      <sheetName val="WP-8 - Cust Counts (x per wk)"/>
      <sheetName val="WP-9 - Fuel"/>
      <sheetName val="IS-PBC"/>
      <sheetName val="Stud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 t="str">
            <v>July</v>
          </cell>
          <cell r="D10" t="str">
            <v>August</v>
          </cell>
          <cell r="E10" t="str">
            <v>September</v>
          </cell>
          <cell r="F10" t="str">
            <v>October</v>
          </cell>
          <cell r="G10" t="str">
            <v>November</v>
          </cell>
          <cell r="H10" t="str">
            <v>December</v>
          </cell>
          <cell r="I10" t="str">
            <v>January</v>
          </cell>
          <cell r="J10" t="str">
            <v>February</v>
          </cell>
          <cell r="K10" t="str">
            <v>March</v>
          </cell>
          <cell r="L10" t="str">
            <v>April</v>
          </cell>
          <cell r="M10" t="str">
            <v>May</v>
          </cell>
          <cell r="N10" t="str">
            <v>June</v>
          </cell>
          <cell r="O10" t="str">
            <v>BOOKS</v>
          </cell>
        </row>
        <row r="11">
          <cell r="B11" t="str">
            <v>REVENUES</v>
          </cell>
        </row>
        <row r="12">
          <cell r="B12" t="str">
            <v>Residential</v>
          </cell>
          <cell r="C12">
            <v>174180.93</v>
          </cell>
          <cell r="D12">
            <v>173280.81</v>
          </cell>
          <cell r="E12">
            <v>173720.66</v>
          </cell>
          <cell r="F12">
            <v>174251.51999999999</v>
          </cell>
          <cell r="G12">
            <v>172742.2</v>
          </cell>
          <cell r="H12">
            <v>178132.76</v>
          </cell>
          <cell r="I12">
            <v>171317.32</v>
          </cell>
          <cell r="J12">
            <v>170743.6</v>
          </cell>
          <cell r="K12">
            <v>175193.55</v>
          </cell>
          <cell r="L12">
            <v>169715.71000000002</v>
          </cell>
          <cell r="M12">
            <v>171741.57</v>
          </cell>
          <cell r="N12">
            <v>172744.06</v>
          </cell>
          <cell r="O12">
            <v>2077764.6900000004</v>
          </cell>
        </row>
        <row r="13">
          <cell r="B13" t="str">
            <v>Commercial</v>
          </cell>
          <cell r="C13">
            <v>47309.79</v>
          </cell>
          <cell r="D13">
            <v>49650.83</v>
          </cell>
          <cell r="E13">
            <v>49046.720000000001</v>
          </cell>
          <cell r="F13">
            <v>51952.58</v>
          </cell>
          <cell r="G13">
            <v>50878.630000000005</v>
          </cell>
          <cell r="H13">
            <v>51199.67</v>
          </cell>
          <cell r="I13">
            <v>50673.659999999996</v>
          </cell>
          <cell r="J13">
            <v>50446.21</v>
          </cell>
          <cell r="K13">
            <v>50125.05</v>
          </cell>
          <cell r="L13">
            <v>50311.41</v>
          </cell>
          <cell r="M13">
            <v>49825.22</v>
          </cell>
          <cell r="N13">
            <v>48109.53</v>
          </cell>
          <cell r="O13">
            <v>599529.29999999993</v>
          </cell>
        </row>
        <row r="14">
          <cell r="B14" t="str">
            <v>Drop Box</v>
          </cell>
          <cell r="C14">
            <v>94770.37</v>
          </cell>
          <cell r="D14">
            <v>83414.399999999994</v>
          </cell>
          <cell r="E14">
            <v>70757</v>
          </cell>
          <cell r="F14">
            <v>93470.47</v>
          </cell>
          <cell r="G14">
            <v>77609.36</v>
          </cell>
          <cell r="H14">
            <v>78412.759999999995</v>
          </cell>
          <cell r="I14">
            <v>84127.209999999992</v>
          </cell>
          <cell r="J14">
            <v>73158.41</v>
          </cell>
          <cell r="K14">
            <v>67670.3</v>
          </cell>
          <cell r="L14">
            <v>146420.00999999998</v>
          </cell>
          <cell r="M14">
            <v>110569.68000000001</v>
          </cell>
          <cell r="N14">
            <v>117378.07</v>
          </cell>
          <cell r="O14">
            <v>1097758.04</v>
          </cell>
        </row>
        <row r="15">
          <cell r="B15" t="str">
            <v>Fuel Surcharge</v>
          </cell>
          <cell r="C15">
            <v>7080.29</v>
          </cell>
          <cell r="D15">
            <v>5415.91</v>
          </cell>
          <cell r="E15">
            <v>3962.36</v>
          </cell>
          <cell r="F15">
            <v>3711.91</v>
          </cell>
          <cell r="G15">
            <v>5004.82</v>
          </cell>
          <cell r="H15">
            <v>6228</v>
          </cell>
          <cell r="I15">
            <v>6504.57</v>
          </cell>
          <cell r="J15">
            <v>5362.94</v>
          </cell>
          <cell r="K15">
            <v>2299.0500000000002</v>
          </cell>
          <cell r="L15">
            <v>0</v>
          </cell>
          <cell r="M15">
            <v>0</v>
          </cell>
          <cell r="N15">
            <v>0</v>
          </cell>
          <cell r="O15">
            <v>45569.850000000006</v>
          </cell>
        </row>
        <row r="16">
          <cell r="B16" t="str">
            <v>Contract Hauling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Pass Thru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Kalama</v>
          </cell>
          <cell r="C18">
            <v>11685.96</v>
          </cell>
          <cell r="D18">
            <v>27113.64</v>
          </cell>
          <cell r="E18">
            <v>10043.36</v>
          </cell>
          <cell r="F18">
            <v>26012.52</v>
          </cell>
          <cell r="G18">
            <v>10203.26</v>
          </cell>
          <cell r="H18">
            <v>26231.71</v>
          </cell>
          <cell r="I18">
            <v>11775.31</v>
          </cell>
          <cell r="J18">
            <v>25567.59</v>
          </cell>
          <cell r="K18">
            <v>11624</v>
          </cell>
          <cell r="L18">
            <v>24865.22</v>
          </cell>
          <cell r="M18">
            <v>10928.64</v>
          </cell>
          <cell r="N18">
            <v>26085.200000000001</v>
          </cell>
          <cell r="O18">
            <v>222136.40999999997</v>
          </cell>
        </row>
        <row r="19">
          <cell r="B19" t="str">
            <v>Refunds</v>
          </cell>
          <cell r="C19">
            <v>0</v>
          </cell>
          <cell r="D19">
            <v>-293.45</v>
          </cell>
          <cell r="E19">
            <v>-1045.5</v>
          </cell>
          <cell r="F19">
            <v>-1708.6799999999998</v>
          </cell>
          <cell r="G19">
            <v>-1493.08</v>
          </cell>
          <cell r="H19">
            <v>-666.96</v>
          </cell>
          <cell r="I19">
            <v>-645.04</v>
          </cell>
          <cell r="J19">
            <v>0</v>
          </cell>
          <cell r="K19">
            <v>-1047.19</v>
          </cell>
          <cell r="L19">
            <v>-1848.9</v>
          </cell>
          <cell r="M19">
            <v>-900.50000000000011</v>
          </cell>
          <cell r="N19">
            <v>-93.44</v>
          </cell>
          <cell r="O19">
            <v>-9742.74</v>
          </cell>
        </row>
        <row r="20">
          <cell r="C20">
            <v>335027.33999999997</v>
          </cell>
          <cell r="D20">
            <v>338582.14</v>
          </cell>
          <cell r="E20">
            <v>306484.59999999998</v>
          </cell>
          <cell r="F20">
            <v>347690.31999999995</v>
          </cell>
          <cell r="G20">
            <v>314945.19</v>
          </cell>
          <cell r="H20">
            <v>339537.94</v>
          </cell>
          <cell r="I20">
            <v>323753.03000000003</v>
          </cell>
          <cell r="J20">
            <v>325278.75</v>
          </cell>
          <cell r="K20">
            <v>305864.75999999995</v>
          </cell>
          <cell r="L20">
            <v>389463.44999999995</v>
          </cell>
          <cell r="M20">
            <v>342164.61000000004</v>
          </cell>
          <cell r="N20">
            <v>364223.42000000004</v>
          </cell>
          <cell r="O20">
            <v>4033015.5500000003</v>
          </cell>
        </row>
        <row r="22">
          <cell r="B22" t="str">
            <v>OPERATING EXPENSES</v>
          </cell>
        </row>
        <row r="23">
          <cell r="B23" t="str">
            <v>Wages Drivers</v>
          </cell>
          <cell r="C23">
            <v>25914.53</v>
          </cell>
          <cell r="D23">
            <v>25612.28</v>
          </cell>
          <cell r="E23">
            <v>26860.720000000001</v>
          </cell>
          <cell r="F23">
            <v>22905.47</v>
          </cell>
          <cell r="G23">
            <v>24624.27</v>
          </cell>
          <cell r="H23">
            <v>34114.94</v>
          </cell>
          <cell r="I23">
            <v>27945.73</v>
          </cell>
          <cell r="J23">
            <v>27919.93</v>
          </cell>
          <cell r="K23">
            <v>31246.15</v>
          </cell>
          <cell r="L23">
            <v>28708.51</v>
          </cell>
          <cell r="M23">
            <v>30610.31</v>
          </cell>
          <cell r="N23">
            <v>32955.53</v>
          </cell>
          <cell r="O23">
            <v>339418.37</v>
          </cell>
        </row>
        <row r="24">
          <cell r="B24" t="str">
            <v>Wages Drop Box Drivers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Wages Mechanics</v>
          </cell>
          <cell r="C25">
            <v>12823.84</v>
          </cell>
          <cell r="D25">
            <v>16758.509999999998</v>
          </cell>
          <cell r="E25">
            <v>16738.03</v>
          </cell>
          <cell r="F25">
            <v>15679.32</v>
          </cell>
          <cell r="G25">
            <v>19706.93</v>
          </cell>
          <cell r="H25">
            <v>19005.95</v>
          </cell>
          <cell r="I25">
            <v>19410.27</v>
          </cell>
          <cell r="J25">
            <v>17054.080000000002</v>
          </cell>
          <cell r="K25">
            <v>20579.61</v>
          </cell>
          <cell r="L25">
            <v>21031.96</v>
          </cell>
          <cell r="M25">
            <v>23542.17</v>
          </cell>
          <cell r="N25">
            <v>21356.76</v>
          </cell>
          <cell r="O25">
            <v>223687.43</v>
          </cell>
        </row>
        <row r="26">
          <cell r="B26" t="str">
            <v>Wages Supervisor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Wages Extra Labor</v>
          </cell>
          <cell r="C27">
            <v>6623.09</v>
          </cell>
          <cell r="D27">
            <v>6114.4</v>
          </cell>
          <cell r="E27">
            <v>4761.58</v>
          </cell>
          <cell r="F27">
            <v>1667.53</v>
          </cell>
          <cell r="G27">
            <v>2320.4</v>
          </cell>
          <cell r="H27">
            <v>2540.62</v>
          </cell>
          <cell r="I27">
            <v>218.14</v>
          </cell>
          <cell r="J27">
            <v>248.16</v>
          </cell>
          <cell r="K27">
            <v>326.97000000000003</v>
          </cell>
          <cell r="L27">
            <v>-326.97000000000003</v>
          </cell>
          <cell r="M27">
            <v>0</v>
          </cell>
          <cell r="N27">
            <v>3574.45</v>
          </cell>
          <cell r="O27">
            <v>28068.37</v>
          </cell>
        </row>
        <row r="28">
          <cell r="B28" t="str">
            <v>Fringe Benefits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Contract Labor</v>
          </cell>
          <cell r="C29">
            <v>312.95999999999998</v>
          </cell>
          <cell r="D29">
            <v>309</v>
          </cell>
          <cell r="E29">
            <v>0</v>
          </cell>
          <cell r="F29">
            <v>550.20000000000005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1172.1600000000001</v>
          </cell>
        </row>
        <row r="30">
          <cell r="B30" t="str">
            <v>Maintenance</v>
          </cell>
          <cell r="C30">
            <v>7239.82</v>
          </cell>
          <cell r="D30">
            <v>10680.2</v>
          </cell>
          <cell r="E30">
            <v>7082.9800000000005</v>
          </cell>
          <cell r="F30">
            <v>17263.809999999998</v>
          </cell>
          <cell r="G30">
            <v>6765.65</v>
          </cell>
          <cell r="H30">
            <v>12578.570000000002</v>
          </cell>
          <cell r="I30">
            <v>8705</v>
          </cell>
          <cell r="J30">
            <v>8629.4699999999993</v>
          </cell>
          <cell r="K30">
            <v>12846.37</v>
          </cell>
          <cell r="L30">
            <v>9522.98</v>
          </cell>
          <cell r="M30">
            <v>6152.06</v>
          </cell>
          <cell r="N30">
            <v>12420.72</v>
          </cell>
          <cell r="O30">
            <v>119887.62999999999</v>
          </cell>
        </row>
        <row r="31">
          <cell r="B31" t="str">
            <v>Maintenance/ Cont./Dr Bx</v>
          </cell>
          <cell r="C31">
            <v>0</v>
          </cell>
          <cell r="D31">
            <v>0</v>
          </cell>
          <cell r="E31">
            <v>0</v>
          </cell>
          <cell r="F31">
            <v>410.72</v>
          </cell>
          <cell r="G31">
            <v>1250</v>
          </cell>
          <cell r="H31">
            <v>491.77</v>
          </cell>
          <cell r="I31">
            <v>341.34</v>
          </cell>
          <cell r="J31">
            <v>118.86</v>
          </cell>
          <cell r="K31">
            <v>0</v>
          </cell>
          <cell r="L31">
            <v>1620</v>
          </cell>
          <cell r="M31">
            <v>4860</v>
          </cell>
          <cell r="N31">
            <v>0</v>
          </cell>
          <cell r="O31">
            <v>9092.69</v>
          </cell>
        </row>
        <row r="32">
          <cell r="B32" t="str">
            <v>Truck Rental</v>
          </cell>
          <cell r="C32">
            <v>3000</v>
          </cell>
          <cell r="D32">
            <v>3000</v>
          </cell>
          <cell r="E32">
            <v>3000</v>
          </cell>
          <cell r="F32">
            <v>3000</v>
          </cell>
          <cell r="G32">
            <v>3000</v>
          </cell>
          <cell r="H32">
            <v>3000</v>
          </cell>
          <cell r="I32">
            <v>3000</v>
          </cell>
          <cell r="J32">
            <v>3000</v>
          </cell>
          <cell r="K32">
            <v>3000</v>
          </cell>
          <cell r="L32">
            <v>3000</v>
          </cell>
          <cell r="M32">
            <v>3000</v>
          </cell>
          <cell r="N32">
            <v>3000</v>
          </cell>
          <cell r="O32">
            <v>36000</v>
          </cell>
        </row>
        <row r="33">
          <cell r="B33" t="str">
            <v>Equipment Rent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Tires</v>
          </cell>
          <cell r="C34">
            <v>6067.27</v>
          </cell>
          <cell r="D34">
            <v>7800.67</v>
          </cell>
          <cell r="E34">
            <v>6023.77</v>
          </cell>
          <cell r="F34">
            <v>7511.52</v>
          </cell>
          <cell r="G34">
            <v>6007.28</v>
          </cell>
          <cell r="H34">
            <v>10259.75</v>
          </cell>
          <cell r="I34">
            <v>6118.4</v>
          </cell>
          <cell r="J34">
            <v>7359.39</v>
          </cell>
          <cell r="K34">
            <v>10000.81</v>
          </cell>
          <cell r="L34">
            <v>8372.99</v>
          </cell>
          <cell r="M34">
            <v>8042.56</v>
          </cell>
          <cell r="N34">
            <v>7165.97</v>
          </cell>
          <cell r="O34">
            <v>90730.38</v>
          </cell>
        </row>
        <row r="35">
          <cell r="B35" t="str">
            <v>Fuel</v>
          </cell>
          <cell r="C35">
            <v>26792.65</v>
          </cell>
          <cell r="D35">
            <v>28921.18</v>
          </cell>
          <cell r="E35">
            <v>24422.75</v>
          </cell>
          <cell r="F35">
            <v>28974.639999999999</v>
          </cell>
          <cell r="G35">
            <v>29501.34</v>
          </cell>
          <cell r="H35">
            <v>23414.98</v>
          </cell>
          <cell r="I35">
            <v>26385.67</v>
          </cell>
          <cell r="J35">
            <v>25155.59</v>
          </cell>
          <cell r="K35">
            <v>23578.45</v>
          </cell>
          <cell r="L35">
            <v>22344.26</v>
          </cell>
          <cell r="M35">
            <v>27773.759999999998</v>
          </cell>
          <cell r="N35">
            <v>24252.16</v>
          </cell>
          <cell r="O35">
            <v>311517.43</v>
          </cell>
        </row>
        <row r="36">
          <cell r="B36" t="str">
            <v>Contract Hauling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50197.35</v>
          </cell>
          <cell r="I36">
            <v>0</v>
          </cell>
          <cell r="J36">
            <v>0</v>
          </cell>
          <cell r="K36">
            <v>0</v>
          </cell>
          <cell r="L36">
            <v>59542.7</v>
          </cell>
          <cell r="M36">
            <v>0</v>
          </cell>
          <cell r="N36">
            <v>44344.66</v>
          </cell>
          <cell r="O36">
            <v>154084.71</v>
          </cell>
        </row>
        <row r="37">
          <cell r="B37" t="str">
            <v>Disposal Fees - Cowlitz County</v>
          </cell>
          <cell r="C37">
            <v>44780.83</v>
          </cell>
          <cell r="D37">
            <v>44188.160000000003</v>
          </cell>
          <cell r="E37">
            <v>39947.22</v>
          </cell>
          <cell r="F37">
            <v>46320.47</v>
          </cell>
          <cell r="G37">
            <v>45874.43</v>
          </cell>
          <cell r="H37">
            <v>41319.96</v>
          </cell>
          <cell r="I37">
            <v>42529.11</v>
          </cell>
          <cell r="J37">
            <v>36778.39</v>
          </cell>
          <cell r="K37">
            <v>39433.089999999997</v>
          </cell>
          <cell r="L37">
            <v>44657.21</v>
          </cell>
          <cell r="M37">
            <v>47362.61</v>
          </cell>
          <cell r="N37">
            <v>43503.02</v>
          </cell>
          <cell r="O37">
            <v>516694.50000000006</v>
          </cell>
        </row>
        <row r="38">
          <cell r="B38" t="str">
            <v>Disposal Fees - G-49 Packers</v>
          </cell>
          <cell r="C38">
            <v>5714.76</v>
          </cell>
          <cell r="D38">
            <v>6421.61</v>
          </cell>
          <cell r="E38">
            <v>4966.8900000000003</v>
          </cell>
          <cell r="F38">
            <v>4960.78</v>
          </cell>
          <cell r="G38">
            <v>5678.92</v>
          </cell>
          <cell r="H38">
            <v>4505.8500000000004</v>
          </cell>
          <cell r="I38">
            <v>4919.96</v>
          </cell>
          <cell r="J38">
            <v>1591.94</v>
          </cell>
          <cell r="K38">
            <v>4801.6400000000003</v>
          </cell>
          <cell r="L38">
            <v>4888.91</v>
          </cell>
          <cell r="M38">
            <v>5858.33</v>
          </cell>
          <cell r="N38">
            <v>5663.28</v>
          </cell>
          <cell r="O38">
            <v>59972.869999999995</v>
          </cell>
        </row>
        <row r="39">
          <cell r="B39" t="str">
            <v xml:space="preserve">Disposal Fees - G-49 </v>
          </cell>
          <cell r="C39">
            <v>2077.61</v>
          </cell>
          <cell r="D39">
            <v>1437.55</v>
          </cell>
          <cell r="E39">
            <v>1615.08</v>
          </cell>
          <cell r="F39">
            <v>2195.63</v>
          </cell>
          <cell r="G39">
            <v>2273.08</v>
          </cell>
          <cell r="H39">
            <v>665.8</v>
          </cell>
          <cell r="I39">
            <v>1985.48</v>
          </cell>
          <cell r="J39">
            <v>4490.55</v>
          </cell>
          <cell r="K39">
            <v>1440.9</v>
          </cell>
          <cell r="L39">
            <v>1575.56</v>
          </cell>
          <cell r="M39">
            <v>2304.38</v>
          </cell>
          <cell r="N39">
            <v>2752.72</v>
          </cell>
          <cell r="O39">
            <v>24814.340000000004</v>
          </cell>
        </row>
        <row r="40">
          <cell r="B40" t="str">
            <v>Disposal Fees Pass Thru</v>
          </cell>
          <cell r="C40">
            <v>42374.07</v>
          </cell>
          <cell r="D40">
            <v>34971.360000000001</v>
          </cell>
          <cell r="E40">
            <v>27081.54</v>
          </cell>
          <cell r="F40">
            <v>38805.300000000003</v>
          </cell>
          <cell r="G40">
            <v>31798.17</v>
          </cell>
          <cell r="H40">
            <v>34705.86</v>
          </cell>
          <cell r="I40">
            <v>35911.43</v>
          </cell>
          <cell r="J40">
            <v>31325.59</v>
          </cell>
          <cell r="K40">
            <v>32623.84</v>
          </cell>
          <cell r="L40">
            <v>35705.51</v>
          </cell>
          <cell r="M40">
            <v>35867.86</v>
          </cell>
          <cell r="N40">
            <v>35870.61</v>
          </cell>
          <cell r="O40">
            <v>417041.14</v>
          </cell>
        </row>
        <row r="41">
          <cell r="B41" t="str">
            <v>Stormwater management</v>
          </cell>
          <cell r="C41">
            <v>1000</v>
          </cell>
          <cell r="D41">
            <v>1000</v>
          </cell>
          <cell r="E41">
            <v>1000</v>
          </cell>
          <cell r="F41">
            <v>1000</v>
          </cell>
          <cell r="G41">
            <v>1000</v>
          </cell>
          <cell r="H41">
            <v>1000</v>
          </cell>
          <cell r="I41">
            <v>1000</v>
          </cell>
          <cell r="J41">
            <v>1000</v>
          </cell>
          <cell r="K41">
            <v>1000</v>
          </cell>
          <cell r="L41">
            <v>1000</v>
          </cell>
          <cell r="M41">
            <v>1000</v>
          </cell>
          <cell r="N41">
            <v>1000</v>
          </cell>
          <cell r="O41">
            <v>12000</v>
          </cell>
        </row>
        <row r="42">
          <cell r="B42" t="str">
            <v>Liability Insurance</v>
          </cell>
          <cell r="C42">
            <v>2451.96</v>
          </cell>
          <cell r="D42">
            <v>2451.96</v>
          </cell>
          <cell r="E42">
            <v>2451.96</v>
          </cell>
          <cell r="F42">
            <v>2337.96</v>
          </cell>
          <cell r="G42">
            <v>2451.96</v>
          </cell>
          <cell r="H42">
            <v>2451.96</v>
          </cell>
          <cell r="I42">
            <v>2261.9499999999998</v>
          </cell>
          <cell r="J42">
            <v>2261.9499999999998</v>
          </cell>
          <cell r="K42">
            <v>2261.9499999999998</v>
          </cell>
          <cell r="L42">
            <v>2261.9499999999998</v>
          </cell>
          <cell r="M42">
            <v>2261.9499999999998</v>
          </cell>
          <cell r="N42">
            <v>2261.96</v>
          </cell>
          <cell r="O42">
            <v>28169.47</v>
          </cell>
        </row>
        <row r="43">
          <cell r="B43" t="str">
            <v>Officer Salaries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Office Salaries</v>
          </cell>
          <cell r="C44">
            <v>14703.57</v>
          </cell>
          <cell r="D44">
            <v>16008.8</v>
          </cell>
          <cell r="E44">
            <v>18022.36</v>
          </cell>
          <cell r="F44">
            <v>16033.94</v>
          </cell>
          <cell r="G44">
            <v>16714.990000000002</v>
          </cell>
          <cell r="H44">
            <v>18842.7</v>
          </cell>
          <cell r="I44">
            <v>16418.29</v>
          </cell>
          <cell r="J44">
            <v>15327.01</v>
          </cell>
          <cell r="K44">
            <v>17203.59</v>
          </cell>
          <cell r="L44">
            <v>15963.53</v>
          </cell>
          <cell r="M44">
            <v>17123.25</v>
          </cell>
          <cell r="N44">
            <v>18468.03</v>
          </cell>
          <cell r="O44">
            <v>200830.06</v>
          </cell>
        </row>
        <row r="45">
          <cell r="B45" t="str">
            <v>Management Fees</v>
          </cell>
          <cell r="C45">
            <v>15000</v>
          </cell>
          <cell r="D45">
            <v>15000</v>
          </cell>
          <cell r="E45">
            <v>15000</v>
          </cell>
          <cell r="F45">
            <v>15000</v>
          </cell>
          <cell r="G45">
            <v>15000</v>
          </cell>
          <cell r="H45">
            <v>15000</v>
          </cell>
          <cell r="I45">
            <v>15000</v>
          </cell>
          <cell r="J45">
            <v>15000</v>
          </cell>
          <cell r="K45">
            <v>15000</v>
          </cell>
          <cell r="L45">
            <v>15000</v>
          </cell>
          <cell r="M45">
            <v>15000</v>
          </cell>
          <cell r="N45">
            <v>15000</v>
          </cell>
          <cell r="O45">
            <v>180000</v>
          </cell>
        </row>
        <row r="46">
          <cell r="B46" t="str">
            <v>Bad Debt Expense</v>
          </cell>
          <cell r="C46">
            <v>1492.98</v>
          </cell>
          <cell r="D46">
            <v>3927.6699999999992</v>
          </cell>
          <cell r="E46">
            <v>2901.04</v>
          </cell>
          <cell r="F46">
            <v>1615.34</v>
          </cell>
          <cell r="G46">
            <v>3780.5699999999997</v>
          </cell>
          <cell r="H46">
            <v>15379.85</v>
          </cell>
          <cell r="I46">
            <v>8831.99</v>
          </cell>
          <cell r="J46">
            <v>4601.5</v>
          </cell>
          <cell r="K46">
            <v>3034.8</v>
          </cell>
          <cell r="L46">
            <v>-939.91</v>
          </cell>
          <cell r="M46">
            <v>1362.4299999999998</v>
          </cell>
          <cell r="N46">
            <v>4179.01</v>
          </cell>
          <cell r="O46">
            <v>50167.27</v>
          </cell>
        </row>
        <row r="47">
          <cell r="B47" t="str">
            <v>Office Supply</v>
          </cell>
          <cell r="C47">
            <v>4318.51</v>
          </cell>
          <cell r="D47">
            <v>4748.49</v>
          </cell>
          <cell r="E47">
            <v>5046.9399999999996</v>
          </cell>
          <cell r="F47">
            <v>4715.07</v>
          </cell>
          <cell r="G47">
            <v>5303.17</v>
          </cell>
          <cell r="H47">
            <v>6065.01</v>
          </cell>
          <cell r="I47">
            <v>3913.67</v>
          </cell>
          <cell r="J47">
            <v>3599.26</v>
          </cell>
          <cell r="K47">
            <v>3683.92</v>
          </cell>
          <cell r="L47">
            <v>4149.17</v>
          </cell>
          <cell r="M47">
            <v>3015.0299999999997</v>
          </cell>
          <cell r="N47">
            <v>4175.4799999999996</v>
          </cell>
          <cell r="O47">
            <v>52733.72</v>
          </cell>
        </row>
        <row r="48">
          <cell r="B48" t="str">
            <v>Postage</v>
          </cell>
          <cell r="C48">
            <v>350</v>
          </cell>
          <cell r="D48">
            <v>0</v>
          </cell>
          <cell r="E48">
            <v>0</v>
          </cell>
          <cell r="F48">
            <v>350</v>
          </cell>
          <cell r="G48">
            <v>0</v>
          </cell>
          <cell r="H48">
            <v>200</v>
          </cell>
          <cell r="I48">
            <v>0</v>
          </cell>
          <cell r="J48">
            <v>90.47</v>
          </cell>
          <cell r="K48">
            <v>0</v>
          </cell>
          <cell r="L48">
            <v>300</v>
          </cell>
          <cell r="M48">
            <v>94.19</v>
          </cell>
          <cell r="N48">
            <v>300</v>
          </cell>
          <cell r="O48">
            <v>1684.66</v>
          </cell>
        </row>
        <row r="49">
          <cell r="B49" t="str">
            <v>Bank Charges</v>
          </cell>
          <cell r="C49">
            <v>447.54</v>
          </cell>
          <cell r="D49">
            <v>262.07</v>
          </cell>
          <cell r="E49">
            <v>362.1</v>
          </cell>
          <cell r="F49">
            <v>376.24</v>
          </cell>
          <cell r="G49">
            <v>460.67</v>
          </cell>
          <cell r="H49">
            <v>317.61</v>
          </cell>
          <cell r="I49">
            <v>395.2</v>
          </cell>
          <cell r="J49">
            <v>347.85</v>
          </cell>
          <cell r="K49">
            <v>523.35</v>
          </cell>
          <cell r="L49">
            <v>385.77</v>
          </cell>
          <cell r="M49">
            <v>436.54</v>
          </cell>
          <cell r="N49">
            <v>314.5</v>
          </cell>
          <cell r="O49">
            <v>4629.4399999999996</v>
          </cell>
        </row>
        <row r="50">
          <cell r="B50" t="str">
            <v>Maintenance</v>
          </cell>
          <cell r="C50">
            <v>141.12</v>
          </cell>
          <cell r="D50">
            <v>825.32999999999993</v>
          </cell>
          <cell r="E50">
            <v>634.54</v>
          </cell>
          <cell r="F50">
            <v>1633.31</v>
          </cell>
          <cell r="G50">
            <v>499.07</v>
          </cell>
          <cell r="H50">
            <v>221.97</v>
          </cell>
          <cell r="I50">
            <v>857.36</v>
          </cell>
          <cell r="J50">
            <v>0</v>
          </cell>
          <cell r="K50">
            <v>15.95</v>
          </cell>
          <cell r="L50">
            <v>361.08</v>
          </cell>
          <cell r="M50">
            <v>1058.49</v>
          </cell>
          <cell r="N50">
            <v>2850.03</v>
          </cell>
          <cell r="O50">
            <v>9098.25</v>
          </cell>
        </row>
        <row r="51">
          <cell r="B51" t="str">
            <v>Rate Case Expense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Accounting</v>
          </cell>
          <cell r="C52">
            <v>377.3</v>
          </cell>
          <cell r="D52">
            <v>2382.6</v>
          </cell>
          <cell r="E52">
            <v>0</v>
          </cell>
          <cell r="F52">
            <v>1852.4</v>
          </cell>
          <cell r="G52">
            <v>271.60000000000002</v>
          </cell>
          <cell r="H52">
            <v>889.4</v>
          </cell>
          <cell r="I52">
            <v>264</v>
          </cell>
          <cell r="J52">
            <v>253</v>
          </cell>
          <cell r="K52">
            <v>0</v>
          </cell>
          <cell r="L52">
            <v>3905.8</v>
          </cell>
          <cell r="M52">
            <v>6436.05</v>
          </cell>
          <cell r="N52">
            <v>1026</v>
          </cell>
          <cell r="O52">
            <v>17658.150000000001</v>
          </cell>
        </row>
        <row r="53">
          <cell r="B53" t="str">
            <v>Legal</v>
          </cell>
          <cell r="C53">
            <v>0</v>
          </cell>
          <cell r="D53">
            <v>277.39999999999998</v>
          </cell>
          <cell r="E53">
            <v>79.2</v>
          </cell>
          <cell r="F53">
            <v>0</v>
          </cell>
          <cell r="G53">
            <v>2725</v>
          </cell>
          <cell r="H53">
            <v>0</v>
          </cell>
          <cell r="I53">
            <v>1100</v>
          </cell>
          <cell r="J53">
            <v>0</v>
          </cell>
          <cell r="K53">
            <v>1125</v>
          </cell>
          <cell r="L53">
            <v>0</v>
          </cell>
          <cell r="M53">
            <v>0</v>
          </cell>
          <cell r="N53">
            <v>1458.33</v>
          </cell>
          <cell r="O53">
            <v>6764.93</v>
          </cell>
        </row>
        <row r="54">
          <cell r="B54" t="str">
            <v>WUTC Fee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16778.560000000001</v>
          </cell>
          <cell r="M54">
            <v>30.65</v>
          </cell>
          <cell r="N54">
            <v>0</v>
          </cell>
          <cell r="O54">
            <v>16809.210000000003</v>
          </cell>
        </row>
        <row r="55">
          <cell r="B55" t="str">
            <v>Franchise</v>
          </cell>
          <cell r="C55">
            <v>761.15</v>
          </cell>
          <cell r="D55">
            <v>588.66</v>
          </cell>
          <cell r="E55">
            <v>485.63</v>
          </cell>
          <cell r="F55">
            <v>716.57</v>
          </cell>
          <cell r="G55">
            <v>665.06</v>
          </cell>
          <cell r="H55">
            <v>624.52</v>
          </cell>
          <cell r="I55">
            <v>668.46</v>
          </cell>
          <cell r="J55">
            <v>736.87</v>
          </cell>
          <cell r="K55">
            <v>640.67999999999995</v>
          </cell>
          <cell r="L55">
            <v>572.41</v>
          </cell>
          <cell r="M55">
            <v>686.89</v>
          </cell>
          <cell r="N55">
            <v>564</v>
          </cell>
          <cell r="O55">
            <v>7710.9000000000005</v>
          </cell>
        </row>
        <row r="56">
          <cell r="B56" t="str">
            <v>Communications</v>
          </cell>
          <cell r="C56">
            <v>1485.08</v>
          </cell>
          <cell r="D56">
            <v>1681.71</v>
          </cell>
          <cell r="E56">
            <v>1611.77</v>
          </cell>
          <cell r="F56">
            <v>1923.83</v>
          </cell>
          <cell r="G56">
            <v>1462.07</v>
          </cell>
          <cell r="H56">
            <v>3733.84</v>
          </cell>
          <cell r="I56">
            <v>1723.96</v>
          </cell>
          <cell r="J56">
            <v>442.29</v>
          </cell>
          <cell r="K56">
            <v>1595.51</v>
          </cell>
          <cell r="L56">
            <v>1087.24</v>
          </cell>
          <cell r="M56">
            <v>1114.52</v>
          </cell>
          <cell r="N56">
            <v>1295.8</v>
          </cell>
          <cell r="O56">
            <v>19157.62</v>
          </cell>
        </row>
        <row r="57">
          <cell r="B57" t="str">
            <v>Utilities</v>
          </cell>
          <cell r="C57">
            <v>3540.79</v>
          </cell>
          <cell r="D57">
            <v>4687.87</v>
          </cell>
          <cell r="E57">
            <v>5805.68</v>
          </cell>
          <cell r="F57">
            <v>6407.79</v>
          </cell>
          <cell r="G57">
            <v>6200.55</v>
          </cell>
          <cell r="H57">
            <v>3914.38</v>
          </cell>
          <cell r="I57">
            <v>5517.2</v>
          </cell>
          <cell r="J57">
            <v>5876.54</v>
          </cell>
          <cell r="K57">
            <v>2912.57</v>
          </cell>
          <cell r="L57">
            <v>4981.25</v>
          </cell>
          <cell r="M57">
            <v>5160.37</v>
          </cell>
          <cell r="N57">
            <v>4818.08</v>
          </cell>
          <cell r="O57">
            <v>59823.070000000007</v>
          </cell>
        </row>
        <row r="58">
          <cell r="B58" t="str">
            <v>Laundry/Uniforms</v>
          </cell>
          <cell r="C58">
            <v>1759.71</v>
          </cell>
          <cell r="D58">
            <v>2344.33</v>
          </cell>
          <cell r="E58">
            <v>2202.5700000000002</v>
          </cell>
          <cell r="F58">
            <v>2348.59</v>
          </cell>
          <cell r="G58">
            <v>2092.77</v>
          </cell>
          <cell r="H58">
            <v>2451.9899999999998</v>
          </cell>
          <cell r="I58">
            <v>2760.65</v>
          </cell>
          <cell r="J58">
            <v>1809.44</v>
          </cell>
          <cell r="K58">
            <v>0</v>
          </cell>
          <cell r="L58">
            <v>872.81</v>
          </cell>
          <cell r="M58">
            <v>540.57000000000005</v>
          </cell>
          <cell r="N58">
            <v>0</v>
          </cell>
          <cell r="O58">
            <v>19183.43</v>
          </cell>
        </row>
        <row r="59">
          <cell r="B59" t="str">
            <v>Miscellaneous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Dues and Subscriptions</v>
          </cell>
          <cell r="C60">
            <v>1300</v>
          </cell>
          <cell r="D60">
            <v>1300</v>
          </cell>
          <cell r="E60">
            <v>1300</v>
          </cell>
          <cell r="F60">
            <v>1727.23</v>
          </cell>
          <cell r="G60">
            <v>1726.48</v>
          </cell>
          <cell r="H60">
            <v>1446.29</v>
          </cell>
          <cell r="I60">
            <v>1300</v>
          </cell>
          <cell r="J60">
            <v>1300</v>
          </cell>
          <cell r="K60">
            <v>1300</v>
          </cell>
          <cell r="L60">
            <v>1300</v>
          </cell>
          <cell r="M60">
            <v>1300</v>
          </cell>
          <cell r="N60">
            <v>1300</v>
          </cell>
          <cell r="O60">
            <v>16600</v>
          </cell>
        </row>
        <row r="61">
          <cell r="B61" t="str">
            <v>Dues Non-deductible</v>
          </cell>
          <cell r="C61">
            <v>0</v>
          </cell>
          <cell r="D61">
            <v>0</v>
          </cell>
          <cell r="E61">
            <v>1100</v>
          </cell>
          <cell r="F61">
            <v>0</v>
          </cell>
          <cell r="G61">
            <v>600</v>
          </cell>
          <cell r="H61">
            <v>172.16</v>
          </cell>
          <cell r="I61">
            <v>441.62</v>
          </cell>
          <cell r="J61">
            <v>0</v>
          </cell>
          <cell r="K61">
            <v>0</v>
          </cell>
          <cell r="L61">
            <v>428.63</v>
          </cell>
          <cell r="M61">
            <v>441.38</v>
          </cell>
          <cell r="N61">
            <v>498.28</v>
          </cell>
          <cell r="O61">
            <v>3682.0700000000006</v>
          </cell>
        </row>
        <row r="62">
          <cell r="B62" t="str">
            <v>Travel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717.44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717.44</v>
          </cell>
        </row>
        <row r="63">
          <cell r="B63" t="str">
            <v>Seminars</v>
          </cell>
          <cell r="C63">
            <v>0</v>
          </cell>
          <cell r="D63">
            <v>0</v>
          </cell>
          <cell r="E63">
            <v>0</v>
          </cell>
          <cell r="F63">
            <v>1315</v>
          </cell>
          <cell r="G63">
            <v>1325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750</v>
          </cell>
          <cell r="N63">
            <v>2580</v>
          </cell>
          <cell r="O63">
            <v>5970</v>
          </cell>
        </row>
        <row r="64">
          <cell r="B64" t="str">
            <v>Meals and Entertainment</v>
          </cell>
          <cell r="C64">
            <v>0</v>
          </cell>
          <cell r="D64">
            <v>0</v>
          </cell>
          <cell r="E64">
            <v>28.48</v>
          </cell>
          <cell r="F64">
            <v>0</v>
          </cell>
          <cell r="G64">
            <v>0</v>
          </cell>
          <cell r="H64">
            <v>0</v>
          </cell>
          <cell r="I64">
            <v>120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148.47999999999999</v>
          </cell>
        </row>
        <row r="65">
          <cell r="B65" t="str">
            <v>Advertising</v>
          </cell>
          <cell r="C65">
            <v>118.55</v>
          </cell>
          <cell r="D65">
            <v>212.95</v>
          </cell>
          <cell r="E65">
            <v>118.55</v>
          </cell>
          <cell r="F65">
            <v>118.55</v>
          </cell>
          <cell r="G65">
            <v>118.55</v>
          </cell>
          <cell r="H65">
            <v>158.43</v>
          </cell>
          <cell r="I65">
            <v>245.39</v>
          </cell>
          <cell r="J65">
            <v>118.55</v>
          </cell>
          <cell r="K65">
            <v>118.55</v>
          </cell>
          <cell r="L65">
            <v>118.55</v>
          </cell>
          <cell r="M65">
            <v>410.83</v>
          </cell>
          <cell r="N65">
            <v>124.7</v>
          </cell>
          <cell r="O65">
            <v>1982.1499999999996</v>
          </cell>
        </row>
        <row r="66">
          <cell r="B66" t="str">
            <v>Truck License</v>
          </cell>
          <cell r="C66">
            <v>92.75</v>
          </cell>
          <cell r="D66">
            <v>0</v>
          </cell>
          <cell r="E66">
            <v>1548</v>
          </cell>
          <cell r="F66">
            <v>735</v>
          </cell>
          <cell r="G66">
            <v>1599</v>
          </cell>
          <cell r="H66">
            <v>0</v>
          </cell>
          <cell r="I66">
            <v>798</v>
          </cell>
          <cell r="J66">
            <v>126</v>
          </cell>
          <cell r="K66">
            <v>1416</v>
          </cell>
          <cell r="L66">
            <v>718</v>
          </cell>
          <cell r="M66">
            <v>0</v>
          </cell>
          <cell r="N66">
            <v>80.75</v>
          </cell>
          <cell r="O66">
            <v>7113.5</v>
          </cell>
        </row>
        <row r="67">
          <cell r="B67" t="str">
            <v>Taxes and licensing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Permits</v>
          </cell>
          <cell r="C68">
            <v>45</v>
          </cell>
          <cell r="D68">
            <v>69</v>
          </cell>
          <cell r="E68">
            <v>0</v>
          </cell>
          <cell r="F68">
            <v>0</v>
          </cell>
          <cell r="G68">
            <v>0</v>
          </cell>
          <cell r="H68">
            <v>113.92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48</v>
          </cell>
          <cell r="N68">
            <v>0</v>
          </cell>
          <cell r="O68">
            <v>275.92</v>
          </cell>
        </row>
        <row r="69">
          <cell r="B69" t="str">
            <v>Contributions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100</v>
          </cell>
          <cell r="K69">
            <v>0</v>
          </cell>
          <cell r="L69">
            <v>750</v>
          </cell>
          <cell r="M69">
            <v>0</v>
          </cell>
          <cell r="N69">
            <v>300</v>
          </cell>
          <cell r="O69">
            <v>1150</v>
          </cell>
        </row>
        <row r="70">
          <cell r="B70" t="str">
            <v>B &amp; O Tax</v>
          </cell>
          <cell r="C70">
            <v>4485.3100000000004</v>
          </cell>
          <cell r="D70">
            <v>4316.3200000000006</v>
          </cell>
          <cell r="E70">
            <v>4219.34</v>
          </cell>
          <cell r="F70">
            <v>4511.91</v>
          </cell>
          <cell r="G70">
            <v>4344.54</v>
          </cell>
          <cell r="H70">
            <v>9459.91</v>
          </cell>
          <cell r="I70">
            <v>4372.21</v>
          </cell>
          <cell r="J70">
            <v>5016.0600000000004</v>
          </cell>
          <cell r="K70">
            <v>4073.7200000000003</v>
          </cell>
          <cell r="L70">
            <v>7179.7800000000007</v>
          </cell>
          <cell r="M70">
            <v>12349.94</v>
          </cell>
          <cell r="N70">
            <v>6934.43</v>
          </cell>
          <cell r="O70">
            <v>71263.47</v>
          </cell>
        </row>
        <row r="71">
          <cell r="B71" t="str">
            <v>Land Rent</v>
          </cell>
          <cell r="C71">
            <v>11500</v>
          </cell>
          <cell r="D71">
            <v>11500</v>
          </cell>
          <cell r="E71">
            <v>11500</v>
          </cell>
          <cell r="F71">
            <v>11500</v>
          </cell>
          <cell r="G71">
            <v>11500</v>
          </cell>
          <cell r="H71">
            <v>11500</v>
          </cell>
          <cell r="I71">
            <v>11500</v>
          </cell>
          <cell r="J71">
            <v>11500</v>
          </cell>
          <cell r="K71">
            <v>11500</v>
          </cell>
          <cell r="L71">
            <v>11500</v>
          </cell>
          <cell r="M71">
            <v>11500</v>
          </cell>
          <cell r="N71">
            <v>11500</v>
          </cell>
          <cell r="O71">
            <v>138000</v>
          </cell>
        </row>
        <row r="72">
          <cell r="B72" t="str">
            <v>Computer Expense</v>
          </cell>
          <cell r="C72">
            <v>0</v>
          </cell>
          <cell r="D72">
            <v>698.39</v>
          </cell>
          <cell r="E72">
            <v>0</v>
          </cell>
          <cell r="F72">
            <v>1298.3900000000001</v>
          </cell>
          <cell r="G72">
            <v>0</v>
          </cell>
          <cell r="H72">
            <v>1198.3900000000001</v>
          </cell>
          <cell r="I72">
            <v>232.8</v>
          </cell>
          <cell r="J72">
            <v>0</v>
          </cell>
          <cell r="K72">
            <v>698.39</v>
          </cell>
          <cell r="L72">
            <v>590</v>
          </cell>
          <cell r="M72">
            <v>232.8</v>
          </cell>
          <cell r="N72">
            <v>232.95</v>
          </cell>
          <cell r="O72">
            <v>5182.1100000000006</v>
          </cell>
        </row>
        <row r="73">
          <cell r="B73" t="str">
            <v>Workmen’s Comp</v>
          </cell>
          <cell r="C73">
            <v>0</v>
          </cell>
          <cell r="D73">
            <v>566.74</v>
          </cell>
          <cell r="E73">
            <v>10778.8</v>
          </cell>
          <cell r="F73">
            <v>0</v>
          </cell>
          <cell r="G73">
            <v>592.83000000000004</v>
          </cell>
          <cell r="H73">
            <v>9930.74</v>
          </cell>
          <cell r="I73">
            <v>0</v>
          </cell>
          <cell r="J73">
            <v>546.19000000000005</v>
          </cell>
          <cell r="K73">
            <v>10546.72</v>
          </cell>
          <cell r="L73">
            <v>580.07000000000005</v>
          </cell>
          <cell r="M73">
            <v>0</v>
          </cell>
          <cell r="N73">
            <v>2439.7600000000002</v>
          </cell>
          <cell r="O73">
            <v>35981.85</v>
          </cell>
        </row>
        <row r="74">
          <cell r="B74" t="str">
            <v>Payroll Taxes</v>
          </cell>
          <cell r="C74">
            <v>4840.6099999999997</v>
          </cell>
          <cell r="D74">
            <v>4829.1499999999996</v>
          </cell>
          <cell r="E74">
            <v>6169.2699999999995</v>
          </cell>
          <cell r="F74">
            <v>4390.2299999999996</v>
          </cell>
          <cell r="G74">
            <v>4742.8900000000003</v>
          </cell>
          <cell r="H74">
            <v>6197.079999999999</v>
          </cell>
          <cell r="I74">
            <v>5185.53</v>
          </cell>
          <cell r="J74">
            <v>4505.6099999999997</v>
          </cell>
          <cell r="K74">
            <v>8214.2199999999993</v>
          </cell>
          <cell r="L74">
            <v>5069.12</v>
          </cell>
          <cell r="M74">
            <v>5299.01</v>
          </cell>
          <cell r="N74">
            <v>7884.2300000000005</v>
          </cell>
          <cell r="O74">
            <v>67326.95</v>
          </cell>
        </row>
        <row r="75">
          <cell r="B75" t="str">
            <v>Employee Relations</v>
          </cell>
          <cell r="C75">
            <v>1255.4100000000001</v>
          </cell>
          <cell r="D75">
            <v>1846.92</v>
          </cell>
          <cell r="E75">
            <v>1509.96</v>
          </cell>
          <cell r="F75">
            <v>3349.65</v>
          </cell>
          <cell r="G75">
            <v>3552.83</v>
          </cell>
          <cell r="H75">
            <v>4626.29</v>
          </cell>
          <cell r="I75">
            <v>1299.8</v>
          </cell>
          <cell r="J75">
            <v>1088</v>
          </cell>
          <cell r="K75">
            <v>1381.25</v>
          </cell>
          <cell r="L75">
            <v>1075</v>
          </cell>
          <cell r="M75">
            <v>1562.01</v>
          </cell>
          <cell r="N75">
            <v>1392.5</v>
          </cell>
          <cell r="O75">
            <v>23939.62</v>
          </cell>
        </row>
        <row r="76">
          <cell r="B76" t="str">
            <v>Life Insurance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73.099999999999994</v>
          </cell>
          <cell r="J76">
            <v>73.099999999999994</v>
          </cell>
          <cell r="K76">
            <v>0</v>
          </cell>
          <cell r="L76">
            <v>167.7</v>
          </cell>
          <cell r="M76">
            <v>55.9</v>
          </cell>
          <cell r="N76">
            <v>77.400000000000006</v>
          </cell>
          <cell r="O76">
            <v>447.19999999999993</v>
          </cell>
        </row>
        <row r="77">
          <cell r="B77" t="str">
            <v>Counseling Services</v>
          </cell>
          <cell r="C77">
            <v>154.38</v>
          </cell>
          <cell r="D77">
            <v>154.38</v>
          </cell>
          <cell r="E77">
            <v>154.38</v>
          </cell>
          <cell r="F77">
            <v>154.38</v>
          </cell>
          <cell r="G77">
            <v>154.38</v>
          </cell>
          <cell r="H77">
            <v>154.38</v>
          </cell>
          <cell r="I77">
            <v>154.38</v>
          </cell>
          <cell r="J77">
            <v>154.38</v>
          </cell>
          <cell r="K77">
            <v>154.38</v>
          </cell>
          <cell r="L77">
            <v>154.38</v>
          </cell>
          <cell r="M77">
            <v>154.38</v>
          </cell>
          <cell r="N77">
            <v>154.38</v>
          </cell>
          <cell r="O77">
            <v>1852.5600000000004</v>
          </cell>
        </row>
        <row r="78">
          <cell r="B78" t="str">
            <v>Employee Medical Insurance</v>
          </cell>
          <cell r="C78">
            <v>8800.4399999999987</v>
          </cell>
          <cell r="D78">
            <v>7888.28</v>
          </cell>
          <cell r="E78">
            <v>7891.97</v>
          </cell>
          <cell r="F78">
            <v>8035.21</v>
          </cell>
          <cell r="G78">
            <v>8035.21</v>
          </cell>
          <cell r="H78">
            <v>318</v>
          </cell>
          <cell r="I78">
            <v>16953.82</v>
          </cell>
          <cell r="J78">
            <v>9964.0600000000013</v>
          </cell>
          <cell r="K78">
            <v>10237.189999999999</v>
          </cell>
          <cell r="L78">
            <v>8322.56</v>
          </cell>
          <cell r="M78">
            <v>13934.380000000001</v>
          </cell>
          <cell r="N78">
            <v>8637.33</v>
          </cell>
          <cell r="O78">
            <v>109018.45000000001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6400.86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5728.36</v>
          </cell>
          <cell r="M79">
            <v>0</v>
          </cell>
          <cell r="N79">
            <v>0</v>
          </cell>
          <cell r="O79">
            <v>12129.22</v>
          </cell>
        </row>
        <row r="80">
          <cell r="B80" t="str">
            <v>Drug Testing</v>
          </cell>
          <cell r="C80">
            <v>165.5</v>
          </cell>
          <cell r="D80">
            <v>38.5</v>
          </cell>
          <cell r="E80">
            <v>55</v>
          </cell>
          <cell r="F80">
            <v>341</v>
          </cell>
          <cell r="G80">
            <v>20</v>
          </cell>
          <cell r="H80">
            <v>180</v>
          </cell>
          <cell r="I80">
            <v>106.5</v>
          </cell>
          <cell r="J80">
            <v>20</v>
          </cell>
          <cell r="K80">
            <v>0</v>
          </cell>
          <cell r="L80">
            <v>64</v>
          </cell>
          <cell r="M80">
            <v>93.5</v>
          </cell>
          <cell r="N80">
            <v>231.5</v>
          </cell>
          <cell r="O80">
            <v>1315.5</v>
          </cell>
        </row>
        <row r="81">
          <cell r="B81" t="str">
            <v>SEP Benefits</v>
          </cell>
          <cell r="C81">
            <v>3529.52</v>
          </cell>
          <cell r="D81">
            <v>3668.15</v>
          </cell>
          <cell r="E81">
            <v>3758.64</v>
          </cell>
          <cell r="F81">
            <v>3570.71</v>
          </cell>
          <cell r="G81">
            <v>3779.68</v>
          </cell>
          <cell r="H81">
            <v>4339.07</v>
          </cell>
          <cell r="I81">
            <v>4392.53</v>
          </cell>
          <cell r="J81">
            <v>3404.41</v>
          </cell>
          <cell r="K81">
            <v>3760.32</v>
          </cell>
          <cell r="L81">
            <v>3785.55</v>
          </cell>
          <cell r="M81">
            <v>3928.97</v>
          </cell>
          <cell r="N81">
            <v>3469.85</v>
          </cell>
          <cell r="O81">
            <v>45387.4</v>
          </cell>
        </row>
        <row r="82">
          <cell r="B82" t="str">
            <v>Interest</v>
          </cell>
          <cell r="C82">
            <v>3616.12</v>
          </cell>
          <cell r="D82">
            <v>3552.65</v>
          </cell>
          <cell r="E82">
            <v>3488.85</v>
          </cell>
          <cell r="F82">
            <v>3424.74</v>
          </cell>
          <cell r="G82">
            <v>3600.3</v>
          </cell>
          <cell r="H82">
            <v>14536.76</v>
          </cell>
          <cell r="I82">
            <v>3230.46</v>
          </cell>
          <cell r="J82">
            <v>3165.05</v>
          </cell>
          <cell r="K82">
            <v>3099.31</v>
          </cell>
          <cell r="L82">
            <v>3033.25</v>
          </cell>
          <cell r="M82">
            <v>2966.85</v>
          </cell>
          <cell r="N82">
            <v>2900.14</v>
          </cell>
          <cell r="O82">
            <v>50614.479999999996</v>
          </cell>
        </row>
        <row r="83">
          <cell r="B83" t="str">
            <v>Freight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288.3</v>
          </cell>
          <cell r="H83">
            <v>176.07</v>
          </cell>
          <cell r="I83">
            <v>0</v>
          </cell>
          <cell r="J83">
            <v>41.14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505.51</v>
          </cell>
        </row>
        <row r="84">
          <cell r="B84" t="str">
            <v>Consulting</v>
          </cell>
          <cell r="C84">
            <v>0</v>
          </cell>
          <cell r="D84">
            <v>4164</v>
          </cell>
          <cell r="E84">
            <v>0</v>
          </cell>
          <cell r="F84">
            <v>2138.5</v>
          </cell>
          <cell r="G84">
            <v>2401</v>
          </cell>
          <cell r="H84">
            <v>3838.5</v>
          </cell>
          <cell r="I84">
            <v>1076</v>
          </cell>
          <cell r="J84">
            <v>2463.5</v>
          </cell>
          <cell r="K84">
            <v>2163.5</v>
          </cell>
          <cell r="L84">
            <v>2176</v>
          </cell>
          <cell r="M84">
            <v>1819.75</v>
          </cell>
          <cell r="N84">
            <v>1732.25</v>
          </cell>
          <cell r="O84">
            <v>23973</v>
          </cell>
        </row>
        <row r="85">
          <cell r="B85" t="str">
            <v>Safety Equipment Expense</v>
          </cell>
          <cell r="C85">
            <v>728.2</v>
          </cell>
          <cell r="D85">
            <v>1079.05</v>
          </cell>
          <cell r="E85">
            <v>83.08</v>
          </cell>
          <cell r="F85">
            <v>2228.91</v>
          </cell>
          <cell r="G85">
            <v>304.52999999999997</v>
          </cell>
          <cell r="H85">
            <v>1061</v>
          </cell>
          <cell r="I85">
            <v>264.56</v>
          </cell>
          <cell r="J85">
            <v>-241.69</v>
          </cell>
          <cell r="K85">
            <v>716.53</v>
          </cell>
          <cell r="L85">
            <v>105.85</v>
          </cell>
          <cell r="M85">
            <v>1225.6300000000001</v>
          </cell>
          <cell r="N85">
            <v>386.26</v>
          </cell>
          <cell r="O85">
            <v>7941.9100000000008</v>
          </cell>
        </row>
        <row r="86">
          <cell r="B86" t="str">
            <v>Depreciation</v>
          </cell>
          <cell r="C86">
            <v>19219.580000000002</v>
          </cell>
          <cell r="D86">
            <v>19219.580000000002</v>
          </cell>
          <cell r="E86">
            <v>19219.580000000002</v>
          </cell>
          <cell r="F86">
            <v>19219.670000000002</v>
          </cell>
          <cell r="G86">
            <v>19219.580000000002</v>
          </cell>
          <cell r="H86">
            <v>19558.099999999999</v>
          </cell>
          <cell r="I86">
            <v>19247.79</v>
          </cell>
          <cell r="J86">
            <v>19247.79</v>
          </cell>
          <cell r="K86">
            <v>19247.79</v>
          </cell>
          <cell r="L86">
            <v>22142.720000000001</v>
          </cell>
          <cell r="M86">
            <v>22142.720000000001</v>
          </cell>
          <cell r="N86">
            <v>30827.510000000002</v>
          </cell>
          <cell r="O86">
            <v>248512.41000000003</v>
          </cell>
        </row>
      </sheetData>
      <sheetData sheetId="18"/>
      <sheetData sheetId="19"/>
      <sheetData sheetId="20"/>
      <sheetData sheetId="21"/>
      <sheetData sheetId="22">
        <row r="30">
          <cell r="J30">
            <v>2646.7177352709273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0.96812272987956427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24 Month Condensed Ops P&amp;L"/>
      <sheetName val="Report Template"/>
    </sheetNames>
    <sheetDataSet>
      <sheetData sheetId="0"/>
      <sheetData sheetId="1"/>
      <sheetData sheetId="2">
        <row r="2002">
          <cell r="B2002">
            <v>2006</v>
          </cell>
        </row>
        <row r="2003">
          <cell r="B2003">
            <v>2007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ject_LastPulledValues"/>
      <sheetName val="Assets"/>
      <sheetName val="ProjDepr"/>
      <sheetName val="District Summary"/>
      <sheetName val="Invoice"/>
      <sheetName val="2021.12 FAR"/>
    </sheetNames>
    <sheetDataSet>
      <sheetData sheetId="0"/>
      <sheetData sheetId="1"/>
      <sheetData sheetId="2">
        <row r="3">
          <cell r="D3" t="str">
            <v>OK!: ReportRange Formula OK [jAction{}]</v>
          </cell>
        </row>
        <row r="19">
          <cell r="D19" t="str">
            <v>2021-08</v>
          </cell>
        </row>
        <row r="20">
          <cell r="D20"/>
        </row>
        <row r="21">
          <cell r="D21"/>
        </row>
        <row r="22">
          <cell r="D22"/>
        </row>
      </sheetData>
      <sheetData sheetId="3"/>
      <sheetData sheetId="4">
        <row r="2">
          <cell r="C2" t="str">
            <v>OK!: ReportRange Formula OK [jAction{}]</v>
          </cell>
        </row>
        <row r="7">
          <cell r="E7"/>
        </row>
        <row r="8">
          <cell r="E8" t="str">
            <v/>
          </cell>
        </row>
        <row r="9">
          <cell r="E9" t="str">
            <v/>
          </cell>
        </row>
      </sheetData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 Addition Form"/>
      <sheetName val="Asset Transfer"/>
      <sheetName val="Asset Disposal"/>
      <sheetName val="Sheet3"/>
    </sheetNames>
    <sheetDataSet>
      <sheetData sheetId="0">
        <row r="8">
          <cell r="B8">
            <v>245702</v>
          </cell>
          <cell r="C8">
            <v>240180</v>
          </cell>
          <cell r="D8">
            <v>1091</v>
          </cell>
          <cell r="E8"/>
          <cell r="F8">
            <v>388.15</v>
          </cell>
          <cell r="G8" t="str">
            <v>Decals for New REL</v>
          </cell>
          <cell r="H8" t="str">
            <v>New</v>
          </cell>
          <cell r="I8" t="str">
            <v>REL</v>
          </cell>
          <cell r="J8" t="str">
            <v>Commercial Garbage</v>
          </cell>
        </row>
        <row r="9">
          <cell r="B9">
            <v>246434</v>
          </cell>
          <cell r="C9">
            <v>240180</v>
          </cell>
          <cell r="D9">
            <v>1091</v>
          </cell>
          <cell r="E9"/>
          <cell r="F9">
            <v>857.37</v>
          </cell>
          <cell r="G9" t="str">
            <v>Licensing for Truck #1091</v>
          </cell>
          <cell r="H9" t="str">
            <v>New</v>
          </cell>
          <cell r="I9" t="str">
            <v>REL</v>
          </cell>
          <cell r="J9" t="str">
            <v>Commercial Garbage</v>
          </cell>
        </row>
        <row r="10">
          <cell r="B10">
            <v>245703</v>
          </cell>
          <cell r="C10">
            <v>240182</v>
          </cell>
          <cell r="D10">
            <v>4094</v>
          </cell>
          <cell r="E10"/>
          <cell r="F10">
            <v>191.75</v>
          </cell>
          <cell r="G10" t="str">
            <v>Decals for New Roll Off Truck</v>
          </cell>
          <cell r="H10" t="str">
            <v>New</v>
          </cell>
          <cell r="I10" t="str">
            <v>RO</v>
          </cell>
          <cell r="J10" t="str">
            <v>Rolloff</v>
          </cell>
        </row>
        <row r="11">
          <cell r="B11">
            <v>246436</v>
          </cell>
          <cell r="C11">
            <v>241233</v>
          </cell>
          <cell r="D11">
            <v>4095</v>
          </cell>
          <cell r="E11"/>
          <cell r="F11">
            <v>1065.8599999999999</v>
          </cell>
          <cell r="G11" t="str">
            <v>Licensing for Truck #4095</v>
          </cell>
          <cell r="H11" t="str">
            <v>New</v>
          </cell>
          <cell r="I11" t="str">
            <v>RO</v>
          </cell>
          <cell r="J11" t="str">
            <v>Rolloff</v>
          </cell>
        </row>
        <row r="12">
          <cell r="B12">
            <v>245706</v>
          </cell>
          <cell r="C12">
            <v>242812</v>
          </cell>
          <cell r="D12">
            <v>3713</v>
          </cell>
          <cell r="E12"/>
          <cell r="F12">
            <v>480.92</v>
          </cell>
          <cell r="G12" t="str">
            <v>Decals for New ASL</v>
          </cell>
          <cell r="H12" t="str">
            <v>New</v>
          </cell>
          <cell r="I12" t="str">
            <v>ASL</v>
          </cell>
          <cell r="J12" t="str">
            <v>Residential Garbage</v>
          </cell>
        </row>
        <row r="13">
          <cell r="B13">
            <v>246435</v>
          </cell>
          <cell r="C13">
            <v>242812</v>
          </cell>
          <cell r="D13">
            <v>3713</v>
          </cell>
          <cell r="E13"/>
          <cell r="F13">
            <v>895.37</v>
          </cell>
          <cell r="G13" t="str">
            <v>Licensing for Truck #3713</v>
          </cell>
          <cell r="H13" t="str">
            <v>New</v>
          </cell>
          <cell r="I13" t="str">
            <v>ASL</v>
          </cell>
          <cell r="J13" t="str">
            <v>Residential Garbage</v>
          </cell>
        </row>
        <row r="14">
          <cell r="B14">
            <v>245707</v>
          </cell>
          <cell r="C14">
            <v>242813</v>
          </cell>
          <cell r="D14">
            <v>3715</v>
          </cell>
          <cell r="E14"/>
          <cell r="F14">
            <v>480.92</v>
          </cell>
          <cell r="G14" t="str">
            <v>Decals for New ASL</v>
          </cell>
          <cell r="H14" t="str">
            <v>New</v>
          </cell>
          <cell r="I14" t="str">
            <v>ASL</v>
          </cell>
          <cell r="J14" t="str">
            <v>Residential Garbage</v>
          </cell>
        </row>
        <row r="15">
          <cell r="B15">
            <v>246130</v>
          </cell>
          <cell r="C15" t="str">
            <v>P</v>
          </cell>
          <cell r="D15"/>
          <cell r="E15">
            <v>936</v>
          </cell>
          <cell r="F15">
            <v>38405.24</v>
          </cell>
          <cell r="G15" t="str">
            <v>65 Gallon Green MSW Carts</v>
          </cell>
          <cell r="H15" t="str">
            <v>New</v>
          </cell>
          <cell r="I15" t="str">
            <v>ASL</v>
          </cell>
          <cell r="J15" t="str">
            <v>Residential</v>
          </cell>
        </row>
        <row r="16">
          <cell r="B16">
            <v>246131</v>
          </cell>
          <cell r="C16" t="str">
            <v>P</v>
          </cell>
          <cell r="D16"/>
          <cell r="E16">
            <v>702</v>
          </cell>
          <cell r="F16">
            <v>32640.34</v>
          </cell>
          <cell r="G16" t="str">
            <v>95 Gallon Green MSW Carts</v>
          </cell>
          <cell r="H16" t="str">
            <v>New</v>
          </cell>
          <cell r="I16" t="str">
            <v>ASL</v>
          </cell>
          <cell r="J16" t="str">
            <v>Residential</v>
          </cell>
        </row>
        <row r="17">
          <cell r="B17">
            <v>246132</v>
          </cell>
          <cell r="C17" t="str">
            <v>P</v>
          </cell>
          <cell r="D17"/>
          <cell r="E17">
            <v>702</v>
          </cell>
          <cell r="F17">
            <v>32640.34</v>
          </cell>
          <cell r="G17" t="str">
            <v>95 Gallon Grey Recycle Carts</v>
          </cell>
          <cell r="H17" t="str">
            <v>New</v>
          </cell>
          <cell r="I17" t="str">
            <v>ASL</v>
          </cell>
          <cell r="J17" t="str">
            <v>Residential</v>
          </cell>
        </row>
        <row r="18">
          <cell r="B18">
            <v>246133</v>
          </cell>
          <cell r="C18" t="str">
            <v>P</v>
          </cell>
          <cell r="D18"/>
          <cell r="E18">
            <v>702</v>
          </cell>
          <cell r="F18">
            <v>32640.34</v>
          </cell>
          <cell r="G18" t="str">
            <v>95 Gallon Blue Yard Waste Carts</v>
          </cell>
          <cell r="H18" t="str">
            <v>New</v>
          </cell>
          <cell r="I18" t="str">
            <v>ASL</v>
          </cell>
          <cell r="J18" t="str">
            <v>Residential</v>
          </cell>
        </row>
        <row r="19">
          <cell r="B19">
            <v>246795</v>
          </cell>
          <cell r="C19" t="str">
            <v>P</v>
          </cell>
          <cell r="D19"/>
          <cell r="E19">
            <v>936</v>
          </cell>
          <cell r="F19">
            <v>38405.230000000003</v>
          </cell>
          <cell r="G19" t="str">
            <v>65 Gallon Green MSW Carts</v>
          </cell>
          <cell r="H19" t="str">
            <v>New</v>
          </cell>
          <cell r="I19" t="str">
            <v>ASL</v>
          </cell>
          <cell r="J19" t="str">
            <v>Residential</v>
          </cell>
        </row>
        <row r="20">
          <cell r="B20">
            <v>246796</v>
          </cell>
          <cell r="C20" t="str">
            <v>P</v>
          </cell>
          <cell r="D20"/>
          <cell r="E20">
            <v>702</v>
          </cell>
          <cell r="F20">
            <v>32640.35</v>
          </cell>
          <cell r="G20" t="str">
            <v>95 Gallon Grey Recycle Carts</v>
          </cell>
          <cell r="H20" t="str">
            <v>New</v>
          </cell>
          <cell r="I20" t="str">
            <v>ASL</v>
          </cell>
          <cell r="J20" t="str">
            <v>Residential</v>
          </cell>
        </row>
        <row r="21">
          <cell r="B21">
            <v>246797</v>
          </cell>
          <cell r="C21" t="str">
            <v>P</v>
          </cell>
          <cell r="D21"/>
          <cell r="E21">
            <v>702</v>
          </cell>
          <cell r="F21">
            <v>32640.34</v>
          </cell>
          <cell r="G21" t="str">
            <v>95 Gallon Dark Aqua Yard Waste Carts</v>
          </cell>
          <cell r="H21" t="str">
            <v>New</v>
          </cell>
          <cell r="I21" t="str">
            <v>ASL</v>
          </cell>
          <cell r="J21" t="str">
            <v>Residential</v>
          </cell>
        </row>
        <row r="22">
          <cell r="B22">
            <v>247907</v>
          </cell>
          <cell r="C22" t="str">
            <v>P</v>
          </cell>
          <cell r="D22"/>
          <cell r="E22">
            <v>24</v>
          </cell>
          <cell r="F22">
            <v>13026</v>
          </cell>
          <cell r="G22" t="str">
            <v>1yd REL Containers</v>
          </cell>
          <cell r="H22" t="str">
            <v>New</v>
          </cell>
          <cell r="I22" t="str">
            <v>REL</v>
          </cell>
          <cell r="J22" t="str">
            <v>Commercial</v>
          </cell>
        </row>
        <row r="23">
          <cell r="B23">
            <v>247908</v>
          </cell>
          <cell r="C23" t="str">
            <v>P</v>
          </cell>
          <cell r="D23"/>
          <cell r="E23">
            <v>60</v>
          </cell>
          <cell r="F23">
            <v>37615</v>
          </cell>
          <cell r="G23" t="str">
            <v>2yd REL Containers</v>
          </cell>
          <cell r="H23" t="str">
            <v>New</v>
          </cell>
          <cell r="I23" t="str">
            <v>REL</v>
          </cell>
          <cell r="J23" t="str">
            <v>Commercial</v>
          </cell>
        </row>
        <row r="24">
          <cell r="B24">
            <v>247909</v>
          </cell>
          <cell r="C24" t="str">
            <v>P</v>
          </cell>
          <cell r="D24"/>
          <cell r="E24">
            <v>36</v>
          </cell>
          <cell r="F24">
            <v>25205</v>
          </cell>
          <cell r="G24" t="str">
            <v>3yd FEL Containers</v>
          </cell>
          <cell r="H24" t="str">
            <v>New</v>
          </cell>
          <cell r="I24" t="str">
            <v>REL</v>
          </cell>
          <cell r="J24" t="str">
            <v>Commercial</v>
          </cell>
        </row>
        <row r="25">
          <cell r="B25">
            <v>247910</v>
          </cell>
          <cell r="C25" t="str">
            <v>P</v>
          </cell>
          <cell r="D25"/>
          <cell r="E25">
            <v>36</v>
          </cell>
          <cell r="F25">
            <v>27960</v>
          </cell>
          <cell r="G25" t="str">
            <v>4yd FEL Containers</v>
          </cell>
          <cell r="H25" t="str">
            <v>New</v>
          </cell>
          <cell r="I25" t="str">
            <v>REL</v>
          </cell>
          <cell r="J25" t="str">
            <v>Commercial</v>
          </cell>
        </row>
        <row r="26">
          <cell r="B26">
            <v>247911</v>
          </cell>
          <cell r="C26" t="str">
            <v>P</v>
          </cell>
          <cell r="D26"/>
          <cell r="E26">
            <v>36</v>
          </cell>
          <cell r="F26">
            <v>34292.36</v>
          </cell>
          <cell r="G26" t="str">
            <v>6yd FEL Containers</v>
          </cell>
          <cell r="H26" t="str">
            <v>New</v>
          </cell>
          <cell r="I26" t="str">
            <v>REL</v>
          </cell>
          <cell r="J26" t="str">
            <v>Commercial</v>
          </cell>
        </row>
        <row r="27">
          <cell r="B27">
            <v>252759</v>
          </cell>
          <cell r="C27" t="str">
            <v>P</v>
          </cell>
          <cell r="D27"/>
          <cell r="E27">
            <v>1</v>
          </cell>
          <cell r="F27">
            <v>153.35</v>
          </cell>
          <cell r="G27" t="str">
            <v>Kensington SD4820P USB-C Docking Station</v>
          </cell>
          <cell r="H27" t="str">
            <v>New</v>
          </cell>
          <cell r="I27"/>
          <cell r="J27" t="str">
            <v>Supervisor</v>
          </cell>
        </row>
        <row r="28">
          <cell r="B28">
            <v>253025</v>
          </cell>
          <cell r="C28" t="str">
            <v>P</v>
          </cell>
          <cell r="D28"/>
          <cell r="E28">
            <v>1</v>
          </cell>
          <cell r="F28">
            <v>1079.8599999999999</v>
          </cell>
          <cell r="G28" t="str">
            <v>HP ProBook 430 GB - 13.3" - 5CD115JTHG</v>
          </cell>
          <cell r="H28" t="str">
            <v>New</v>
          </cell>
          <cell r="I28"/>
          <cell r="J28" t="str">
            <v>Supervisor</v>
          </cell>
        </row>
        <row r="29">
          <cell r="B29">
            <v>253026</v>
          </cell>
          <cell r="C29" t="str">
            <v>P</v>
          </cell>
          <cell r="D29"/>
          <cell r="E29">
            <v>1</v>
          </cell>
          <cell r="F29">
            <v>1079.8599999999999</v>
          </cell>
          <cell r="G29" t="str">
            <v>HP ProBook 430 GB - 13.3" - 5CD115JTX2</v>
          </cell>
          <cell r="H29" t="str">
            <v>New</v>
          </cell>
          <cell r="I29"/>
          <cell r="J29" t="str">
            <v>G&amp;A</v>
          </cell>
        </row>
        <row r="30">
          <cell r="B30">
            <v>253027</v>
          </cell>
          <cell r="C30" t="str">
            <v>P</v>
          </cell>
          <cell r="D30"/>
          <cell r="E30">
            <v>1</v>
          </cell>
          <cell r="F30">
            <v>415.32</v>
          </cell>
          <cell r="G30" t="str">
            <v>Docking Station - Kensington triple Display</v>
          </cell>
          <cell r="H30" t="str">
            <v>New</v>
          </cell>
          <cell r="I30"/>
          <cell r="J30" t="str">
            <v>G&amp;A</v>
          </cell>
        </row>
        <row r="31">
          <cell r="B31">
            <v>254454</v>
          </cell>
          <cell r="C31" t="str">
            <v>P</v>
          </cell>
          <cell r="D31"/>
          <cell r="E31">
            <v>1</v>
          </cell>
          <cell r="F31">
            <v>4004.92</v>
          </cell>
          <cell r="G31" t="str">
            <v>20yd RO Container</v>
          </cell>
          <cell r="H31" t="str">
            <v>New</v>
          </cell>
          <cell r="I31" t="str">
            <v>RO</v>
          </cell>
          <cell r="J31" t="str">
            <v>Rolloff</v>
          </cell>
        </row>
        <row r="32">
          <cell r="B32">
            <v>254935</v>
          </cell>
          <cell r="C32" t="str">
            <v>P</v>
          </cell>
          <cell r="D32"/>
          <cell r="E32">
            <v>1</v>
          </cell>
          <cell r="F32">
            <v>1044.8399999999999</v>
          </cell>
          <cell r="G32" t="str">
            <v>HP Workstation Z2 G5 - MXL1164KL6</v>
          </cell>
          <cell r="H32" t="str">
            <v>New</v>
          </cell>
          <cell r="I32"/>
          <cell r="J32" t="str">
            <v>Truck Variable - MM</v>
          </cell>
        </row>
        <row r="33">
          <cell r="B33">
            <v>255409</v>
          </cell>
          <cell r="C33" t="str">
            <v>P</v>
          </cell>
          <cell r="D33"/>
          <cell r="E33"/>
          <cell r="F33">
            <v>25411.4</v>
          </cell>
          <cell r="G33" t="str">
            <v>2021 Ford Pickup Truck</v>
          </cell>
          <cell r="H33" t="str">
            <v>New</v>
          </cell>
          <cell r="I33"/>
          <cell r="J33" t="str">
            <v>Supervisor</v>
          </cell>
        </row>
        <row r="34">
          <cell r="B34">
            <v>256221</v>
          </cell>
          <cell r="C34" t="str">
            <v>P</v>
          </cell>
          <cell r="D34"/>
          <cell r="E34">
            <v>702</v>
          </cell>
          <cell r="F34">
            <v>42661.74</v>
          </cell>
          <cell r="G34" t="str">
            <v>95 Gallon Blue Yard Waste Carts</v>
          </cell>
          <cell r="H34" t="str">
            <v>New</v>
          </cell>
          <cell r="I34" t="str">
            <v>ASL</v>
          </cell>
          <cell r="J34" t="str">
            <v>Residential</v>
          </cell>
        </row>
        <row r="35">
          <cell r="B35">
            <v>256222</v>
          </cell>
          <cell r="C35" t="str">
            <v>P</v>
          </cell>
          <cell r="D35"/>
          <cell r="E35">
            <v>702</v>
          </cell>
          <cell r="F35">
            <v>42661.73</v>
          </cell>
          <cell r="G35" t="str">
            <v>95 Gallon Blue Yard Waste Carts</v>
          </cell>
          <cell r="H35" t="str">
            <v>New</v>
          </cell>
          <cell r="I35" t="str">
            <v>ASL</v>
          </cell>
          <cell r="J35" t="str">
            <v>Residential</v>
          </cell>
        </row>
        <row r="36">
          <cell r="B36">
            <v>256223</v>
          </cell>
          <cell r="C36" t="str">
            <v>P</v>
          </cell>
          <cell r="D36"/>
          <cell r="E36">
            <v>702</v>
          </cell>
          <cell r="F36">
            <v>42661.74</v>
          </cell>
          <cell r="G36" t="str">
            <v>95 Gallon Green MSW Carts</v>
          </cell>
          <cell r="H36" t="str">
            <v>New</v>
          </cell>
          <cell r="I36" t="str">
            <v>ASL</v>
          </cell>
          <cell r="J36" t="str">
            <v>Residential</v>
          </cell>
        </row>
        <row r="37">
          <cell r="B37">
            <v>256224</v>
          </cell>
          <cell r="C37" t="str">
            <v>P</v>
          </cell>
          <cell r="D37"/>
          <cell r="E37">
            <v>702</v>
          </cell>
          <cell r="F37">
            <v>42661.73</v>
          </cell>
          <cell r="G37" t="str">
            <v>95 Gallon Green MSW Carts</v>
          </cell>
          <cell r="H37" t="str">
            <v>New</v>
          </cell>
          <cell r="I37" t="str">
            <v>ASL</v>
          </cell>
          <cell r="J37" t="str">
            <v>Residential</v>
          </cell>
        </row>
        <row r="38">
          <cell r="B38">
            <v>256225</v>
          </cell>
          <cell r="C38" t="str">
            <v>P</v>
          </cell>
          <cell r="D38"/>
          <cell r="E38">
            <v>702</v>
          </cell>
          <cell r="F38">
            <v>42661.73</v>
          </cell>
          <cell r="G38" t="str">
            <v>95 Gallon Grey Recycle Carts</v>
          </cell>
          <cell r="H38" t="str">
            <v>New</v>
          </cell>
          <cell r="I38" t="str">
            <v>ASL</v>
          </cell>
          <cell r="J38" t="str">
            <v>Residential</v>
          </cell>
        </row>
        <row r="39">
          <cell r="B39">
            <v>258991</v>
          </cell>
          <cell r="C39" t="str">
            <v>P</v>
          </cell>
          <cell r="D39"/>
          <cell r="E39">
            <v>10</v>
          </cell>
          <cell r="F39">
            <v>63900</v>
          </cell>
          <cell r="G39" t="str">
            <v>20yd Roll Off Boxes</v>
          </cell>
          <cell r="H39" t="str">
            <v>New</v>
          </cell>
          <cell r="I39" t="str">
            <v>RO</v>
          </cell>
          <cell r="J39" t="str">
            <v>Rolloff</v>
          </cell>
        </row>
        <row r="40">
          <cell r="B40">
            <v>259125</v>
          </cell>
          <cell r="C40" t="str">
            <v>P</v>
          </cell>
          <cell r="D40"/>
          <cell r="E40">
            <v>2</v>
          </cell>
          <cell r="F40">
            <v>15900</v>
          </cell>
          <cell r="G40" t="str">
            <v>40yd Roll Off Boxes</v>
          </cell>
          <cell r="H40" t="str">
            <v>New</v>
          </cell>
          <cell r="I40" t="str">
            <v>RO</v>
          </cell>
          <cell r="J40" t="str">
            <v>Rolloff</v>
          </cell>
        </row>
        <row r="41">
          <cell r="B41">
            <v>259126</v>
          </cell>
          <cell r="C41" t="str">
            <v>P</v>
          </cell>
          <cell r="D41"/>
          <cell r="E41">
            <v>2</v>
          </cell>
          <cell r="F41">
            <v>3052.26</v>
          </cell>
          <cell r="G41" t="str">
            <v>6yd FEL Commercial Containers</v>
          </cell>
          <cell r="H41" t="str">
            <v>New</v>
          </cell>
          <cell r="I41" t="str">
            <v>FEL</v>
          </cell>
          <cell r="J41" t="str">
            <v>Commercial</v>
          </cell>
        </row>
        <row r="42">
          <cell r="B42">
            <v>259127</v>
          </cell>
          <cell r="C42" t="str">
            <v>P</v>
          </cell>
          <cell r="D42"/>
          <cell r="E42">
            <v>4</v>
          </cell>
          <cell r="F42">
            <v>6151.95</v>
          </cell>
          <cell r="G42" t="str">
            <v>6yd FEL Commercial Containers</v>
          </cell>
          <cell r="H42" t="str">
            <v>New</v>
          </cell>
          <cell r="I42" t="str">
            <v>FEL</v>
          </cell>
          <cell r="J42" t="str">
            <v>Commercial</v>
          </cell>
        </row>
        <row r="43">
          <cell r="B43">
            <v>259128</v>
          </cell>
          <cell r="C43" t="str">
            <v>P</v>
          </cell>
          <cell r="D43"/>
          <cell r="E43">
            <v>4</v>
          </cell>
          <cell r="F43">
            <v>6151.95</v>
          </cell>
          <cell r="G43" t="str">
            <v>6yd FEL Commercial Containers</v>
          </cell>
          <cell r="H43" t="str">
            <v>New</v>
          </cell>
          <cell r="I43" t="str">
            <v>FEL</v>
          </cell>
          <cell r="J43" t="str">
            <v>Commercial</v>
          </cell>
        </row>
        <row r="44">
          <cell r="B44">
            <v>259129</v>
          </cell>
          <cell r="C44" t="str">
            <v>P</v>
          </cell>
          <cell r="D44"/>
          <cell r="E44">
            <v>4</v>
          </cell>
          <cell r="F44">
            <v>6151.95</v>
          </cell>
          <cell r="G44" t="str">
            <v>6yd FEL Commercial Containers</v>
          </cell>
          <cell r="H44" t="str">
            <v>New</v>
          </cell>
          <cell r="I44" t="str">
            <v>FEL</v>
          </cell>
          <cell r="J44" t="str">
            <v>Commercial</v>
          </cell>
        </row>
        <row r="45">
          <cell r="B45">
            <v>259130</v>
          </cell>
          <cell r="C45" t="str">
            <v>P</v>
          </cell>
          <cell r="D45"/>
          <cell r="E45">
            <v>4</v>
          </cell>
          <cell r="F45">
            <v>6151.95</v>
          </cell>
          <cell r="G45" t="str">
            <v>6yd FEL Commercial Containers</v>
          </cell>
          <cell r="H45" t="str">
            <v>New</v>
          </cell>
          <cell r="I45" t="str">
            <v>FEL</v>
          </cell>
          <cell r="J45" t="str">
            <v>Commercial</v>
          </cell>
        </row>
        <row r="46">
          <cell r="B46">
            <v>259131</v>
          </cell>
          <cell r="C46" t="str">
            <v>P</v>
          </cell>
          <cell r="D46"/>
          <cell r="E46">
            <v>4</v>
          </cell>
          <cell r="F46">
            <v>6151.95</v>
          </cell>
          <cell r="G46" t="str">
            <v>6y FEL Commercial Containers</v>
          </cell>
          <cell r="H46" t="str">
            <v>New</v>
          </cell>
          <cell r="I46" t="str">
            <v>FEL</v>
          </cell>
          <cell r="J46" t="str">
            <v>Commercial</v>
          </cell>
        </row>
        <row r="47">
          <cell r="B47">
            <v>259368</v>
          </cell>
          <cell r="C47" t="str">
            <v>P</v>
          </cell>
          <cell r="D47"/>
          <cell r="E47">
            <v>9</v>
          </cell>
          <cell r="F47">
            <v>34104.28</v>
          </cell>
          <cell r="G47" t="str">
            <v>20yd Roll Off Lid System w/Steel Frame</v>
          </cell>
          <cell r="H47" t="str">
            <v>New</v>
          </cell>
          <cell r="I47" t="str">
            <v>RO</v>
          </cell>
          <cell r="J47" t="str">
            <v>Rolloff</v>
          </cell>
        </row>
        <row r="48">
          <cell r="B48">
            <v>259374</v>
          </cell>
          <cell r="C48" t="str">
            <v>P</v>
          </cell>
          <cell r="D48"/>
          <cell r="E48">
            <v>4</v>
          </cell>
          <cell r="F48">
            <v>15157.46</v>
          </cell>
          <cell r="G48" t="str">
            <v>30yd Roll Off Lid System w/Steel Frame</v>
          </cell>
          <cell r="H48" t="str">
            <v>New</v>
          </cell>
          <cell r="I48" t="str">
            <v>RO</v>
          </cell>
          <cell r="J48" t="str">
            <v>Rolloff</v>
          </cell>
        </row>
        <row r="49">
          <cell r="B49">
            <v>259382</v>
          </cell>
          <cell r="C49" t="str">
            <v>P</v>
          </cell>
          <cell r="D49"/>
          <cell r="E49">
            <v>2</v>
          </cell>
          <cell r="F49">
            <v>7578.72</v>
          </cell>
          <cell r="G49" t="str">
            <v>40yd Roll Off Lid System w Steel Frame</v>
          </cell>
          <cell r="H49" t="str">
            <v>New</v>
          </cell>
          <cell r="I49" t="str">
            <v>RO</v>
          </cell>
          <cell r="J49" t="str">
            <v>Rolloff</v>
          </cell>
        </row>
        <row r="50">
          <cell r="B50">
            <v>260004</v>
          </cell>
          <cell r="C50" t="str">
            <v>P</v>
          </cell>
          <cell r="D50"/>
          <cell r="E50">
            <v>36</v>
          </cell>
          <cell r="F50">
            <v>28553.4</v>
          </cell>
          <cell r="G50" t="str">
            <v>2yd REL Commercial Containers</v>
          </cell>
          <cell r="H50" t="str">
            <v>New</v>
          </cell>
          <cell r="I50" t="str">
            <v>REL</v>
          </cell>
          <cell r="J50" t="str">
            <v>Commercial</v>
          </cell>
        </row>
        <row r="51">
          <cell r="B51">
            <v>260005</v>
          </cell>
          <cell r="C51" t="str">
            <v>P</v>
          </cell>
          <cell r="D51"/>
          <cell r="E51">
            <v>14</v>
          </cell>
          <cell r="F51">
            <v>11563.58</v>
          </cell>
          <cell r="G51" t="str">
            <v>2yd FEL Commerial Container</v>
          </cell>
          <cell r="H51" t="str">
            <v>New</v>
          </cell>
          <cell r="I51" t="str">
            <v>FEL</v>
          </cell>
          <cell r="J51" t="str">
            <v>Commercial</v>
          </cell>
        </row>
        <row r="52">
          <cell r="B52">
            <v>260006</v>
          </cell>
          <cell r="C52" t="str">
            <v>P</v>
          </cell>
          <cell r="D52"/>
          <cell r="E52">
            <v>10</v>
          </cell>
          <cell r="F52">
            <v>8259.7000000000007</v>
          </cell>
          <cell r="G52" t="str">
            <v>2yd FEL Commerial Container</v>
          </cell>
          <cell r="H52" t="str">
            <v>New</v>
          </cell>
          <cell r="I52" t="str">
            <v>FEL</v>
          </cell>
          <cell r="J52" t="str">
            <v>Commercial</v>
          </cell>
        </row>
        <row r="53">
          <cell r="B53">
            <v>260007</v>
          </cell>
          <cell r="C53" t="str">
            <v>P</v>
          </cell>
          <cell r="D53"/>
          <cell r="E53">
            <v>9</v>
          </cell>
          <cell r="F53">
            <v>9206.01</v>
          </cell>
          <cell r="G53" t="str">
            <v>4 yd FEL Commerial Container</v>
          </cell>
          <cell r="H53" t="str">
            <v>New</v>
          </cell>
          <cell r="I53" t="str">
            <v>FEL</v>
          </cell>
          <cell r="J53" t="str">
            <v>Commercial</v>
          </cell>
        </row>
        <row r="54">
          <cell r="B54">
            <v>260008</v>
          </cell>
          <cell r="C54" t="str">
            <v>P</v>
          </cell>
          <cell r="D54"/>
          <cell r="E54">
            <v>10</v>
          </cell>
          <cell r="F54">
            <v>10228.9</v>
          </cell>
          <cell r="G54" t="str">
            <v>4yd FEL Commerial Container</v>
          </cell>
          <cell r="H54" t="str">
            <v>New</v>
          </cell>
          <cell r="I54" t="str">
            <v>FEL</v>
          </cell>
          <cell r="J54" t="str">
            <v>Commercial</v>
          </cell>
        </row>
        <row r="55">
          <cell r="B55">
            <v>260009</v>
          </cell>
          <cell r="C55" t="str">
            <v>P</v>
          </cell>
          <cell r="D55"/>
          <cell r="E55">
            <v>7</v>
          </cell>
          <cell r="F55">
            <v>7160.23</v>
          </cell>
          <cell r="G55" t="str">
            <v>4yd FEL Commerial Container</v>
          </cell>
          <cell r="H55" t="str">
            <v>New</v>
          </cell>
          <cell r="I55" t="str">
            <v>FEL</v>
          </cell>
          <cell r="J55" t="str">
            <v>Commercial</v>
          </cell>
        </row>
        <row r="56">
          <cell r="B56">
            <v>260010</v>
          </cell>
          <cell r="C56" t="str">
            <v>P</v>
          </cell>
          <cell r="D56"/>
          <cell r="E56">
            <v>10</v>
          </cell>
          <cell r="F56">
            <v>10228.9</v>
          </cell>
          <cell r="G56" t="str">
            <v>4yd FEL Commerial Container</v>
          </cell>
          <cell r="H56" t="str">
            <v>New</v>
          </cell>
          <cell r="I56" t="str">
            <v>FEL</v>
          </cell>
          <cell r="J56" t="str">
            <v>Commercial</v>
          </cell>
        </row>
        <row r="57">
          <cell r="B57">
            <v>260011</v>
          </cell>
          <cell r="C57" t="str">
            <v>P</v>
          </cell>
          <cell r="D57"/>
          <cell r="E57">
            <v>7</v>
          </cell>
          <cell r="F57">
            <v>10682.91</v>
          </cell>
          <cell r="G57" t="str">
            <v>6yd FEL Commercial Container</v>
          </cell>
          <cell r="H57" t="str">
            <v>New</v>
          </cell>
          <cell r="I57" t="str">
            <v>FEL</v>
          </cell>
          <cell r="J57" t="str">
            <v>Commercial</v>
          </cell>
        </row>
        <row r="58">
          <cell r="B58">
            <v>260012</v>
          </cell>
          <cell r="C58" t="str">
            <v>P</v>
          </cell>
          <cell r="D58"/>
          <cell r="E58">
            <v>7</v>
          </cell>
          <cell r="F58">
            <v>10682.91</v>
          </cell>
          <cell r="G58" t="str">
            <v>6yd FEL Commerial Container</v>
          </cell>
          <cell r="H58" t="str">
            <v>New</v>
          </cell>
          <cell r="I58" t="str">
            <v>FEL</v>
          </cell>
          <cell r="J58" t="str">
            <v>Commercial</v>
          </cell>
        </row>
        <row r="59">
          <cell r="B59">
            <v>263830</v>
          </cell>
          <cell r="C59" t="str">
            <v>P</v>
          </cell>
          <cell r="D59"/>
          <cell r="E59">
            <v>1</v>
          </cell>
          <cell r="F59">
            <v>1173.05</v>
          </cell>
          <cell r="G59" t="str">
            <v>HP Probook S/N #5CD1321QPW</v>
          </cell>
          <cell r="H59" t="str">
            <v>New</v>
          </cell>
          <cell r="I59"/>
          <cell r="J59" t="str">
            <v>G&amp;A</v>
          </cell>
        </row>
        <row r="60">
          <cell r="B60">
            <v>263831</v>
          </cell>
          <cell r="C60">
            <v>263830</v>
          </cell>
          <cell r="D60"/>
          <cell r="E60">
            <v>1</v>
          </cell>
          <cell r="F60">
            <v>262.73</v>
          </cell>
          <cell r="G60" t="str">
            <v>Docking station for new laptop Serial #AH5KHKDB35401235</v>
          </cell>
          <cell r="H60" t="str">
            <v>New</v>
          </cell>
          <cell r="I60"/>
          <cell r="J60" t="str">
            <v>G&amp;A</v>
          </cell>
        </row>
        <row r="61">
          <cell r="B61">
            <v>264292</v>
          </cell>
          <cell r="C61" t="str">
            <v>P</v>
          </cell>
          <cell r="D61"/>
          <cell r="E61">
            <v>2</v>
          </cell>
          <cell r="F61">
            <v>14200</v>
          </cell>
          <cell r="G61" t="str">
            <v>30 yd Roll Off Boxes</v>
          </cell>
          <cell r="H61" t="str">
            <v>New</v>
          </cell>
          <cell r="I61" t="str">
            <v>RO</v>
          </cell>
          <cell r="J61" t="str">
            <v>Rolloff</v>
          </cell>
        </row>
        <row r="62">
          <cell r="B62">
            <v>264760</v>
          </cell>
          <cell r="C62" t="str">
            <v>P</v>
          </cell>
          <cell r="D62"/>
          <cell r="E62">
            <v>2</v>
          </cell>
          <cell r="F62">
            <v>11960</v>
          </cell>
          <cell r="G62" t="str">
            <v>30 yd Roll Off Boxes</v>
          </cell>
          <cell r="H62" t="str">
            <v>New</v>
          </cell>
          <cell r="I62" t="str">
            <v>RO</v>
          </cell>
          <cell r="J62" t="str">
            <v>Rolloff</v>
          </cell>
        </row>
        <row r="63">
          <cell r="B63">
            <v>265456</v>
          </cell>
          <cell r="C63" t="str">
            <v>P</v>
          </cell>
          <cell r="D63"/>
          <cell r="E63">
            <v>1</v>
          </cell>
          <cell r="F63">
            <v>539.04999999999995</v>
          </cell>
          <cell r="G63" t="str">
            <v>Drive Cam Units</v>
          </cell>
          <cell r="H63" t="str">
            <v>New</v>
          </cell>
          <cell r="I63" t="str">
            <v>FEL</v>
          </cell>
          <cell r="J63" t="str">
            <v>Commercial</v>
          </cell>
        </row>
        <row r="64">
          <cell r="B64">
            <v>266035</v>
          </cell>
          <cell r="C64" t="str">
            <v>P</v>
          </cell>
          <cell r="D64"/>
          <cell r="E64">
            <v>1</v>
          </cell>
          <cell r="F64">
            <v>1407.06</v>
          </cell>
          <cell r="G64" t="str">
            <v>HP 250 G8 Serial # : CND137662V</v>
          </cell>
          <cell r="H64" t="str">
            <v>New</v>
          </cell>
          <cell r="I64"/>
          <cell r="J64" t="str">
            <v>G&amp;A</v>
          </cell>
        </row>
        <row r="65">
          <cell r="B65">
            <v>270114</v>
          </cell>
          <cell r="C65" t="str">
            <v>P</v>
          </cell>
          <cell r="D65"/>
          <cell r="E65">
            <v>8</v>
          </cell>
          <cell r="F65">
            <v>7351.68</v>
          </cell>
          <cell r="G65" t="str">
            <v>1.5y REL Metal Containers</v>
          </cell>
          <cell r="H65" t="str">
            <v>New</v>
          </cell>
          <cell r="I65" t="str">
            <v>REL</v>
          </cell>
          <cell r="J65" t="str">
            <v>Commercial</v>
          </cell>
        </row>
        <row r="66">
          <cell r="B66">
            <v>270117</v>
          </cell>
          <cell r="C66" t="str">
            <v>P</v>
          </cell>
          <cell r="D66"/>
          <cell r="E66">
            <v>28</v>
          </cell>
          <cell r="F66">
            <v>25730.880000000001</v>
          </cell>
          <cell r="G66" t="str">
            <v>1.5yd REL Metal Containers</v>
          </cell>
          <cell r="H66" t="str">
            <v>New</v>
          </cell>
          <cell r="I66" t="str">
            <v>REL</v>
          </cell>
          <cell r="J66" t="str">
            <v>Commercial</v>
          </cell>
        </row>
        <row r="67">
          <cell r="B67">
            <v>270129</v>
          </cell>
          <cell r="C67" t="str">
            <v>P</v>
          </cell>
          <cell r="D67"/>
          <cell r="E67">
            <v>36</v>
          </cell>
          <cell r="F67">
            <v>33870.239999999998</v>
          </cell>
          <cell r="G67" t="str">
            <v>2y REL Metal Containers</v>
          </cell>
          <cell r="H67" t="str">
            <v>New</v>
          </cell>
          <cell r="I67" t="str">
            <v>REL</v>
          </cell>
          <cell r="J67" t="str">
            <v>Commercial</v>
          </cell>
        </row>
        <row r="68">
          <cell r="B68">
            <v>270623</v>
          </cell>
          <cell r="C68" t="str">
            <v>P</v>
          </cell>
          <cell r="D68"/>
          <cell r="E68">
            <v>46</v>
          </cell>
          <cell r="F68">
            <v>25497.93</v>
          </cell>
          <cell r="G68" t="str">
            <v>3rd Eye Camera</v>
          </cell>
          <cell r="H68" t="str">
            <v>New</v>
          </cell>
          <cell r="I68"/>
          <cell r="J68" t="str">
            <v>All</v>
          </cell>
        </row>
        <row r="69">
          <cell r="B69">
            <v>270730</v>
          </cell>
          <cell r="C69" t="str">
            <v>P</v>
          </cell>
          <cell r="D69"/>
          <cell r="E69"/>
          <cell r="F69">
            <v>198.94</v>
          </cell>
          <cell r="G69" t="str">
            <v>3rd Eye Camera -Cables</v>
          </cell>
          <cell r="H69" t="str">
            <v>New</v>
          </cell>
          <cell r="I69"/>
          <cell r="J69" t="str">
            <v>All</v>
          </cell>
        </row>
        <row r="70">
          <cell r="B70">
            <v>270761</v>
          </cell>
          <cell r="C70" t="str">
            <v>P</v>
          </cell>
          <cell r="D70"/>
          <cell r="E70"/>
          <cell r="F70">
            <v>29847.18</v>
          </cell>
          <cell r="G70" t="str">
            <v>3rd Eye Camera - installs</v>
          </cell>
          <cell r="H70" t="str">
            <v>New</v>
          </cell>
          <cell r="I70"/>
          <cell r="J70" t="str">
            <v>All</v>
          </cell>
        </row>
        <row r="71">
          <cell r="B71">
            <v>270762</v>
          </cell>
          <cell r="C71" t="str">
            <v>P</v>
          </cell>
          <cell r="D71"/>
          <cell r="E71"/>
          <cell r="F71">
            <v>-1808.92</v>
          </cell>
          <cell r="G71" t="str">
            <v>3rd Eye Camera - Credit</v>
          </cell>
          <cell r="H71" t="str">
            <v>New</v>
          </cell>
          <cell r="I71"/>
          <cell r="J71" t="str">
            <v>All</v>
          </cell>
        </row>
      </sheetData>
      <sheetData sheetId="1"/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ject_LastPulledValues"/>
      <sheetName val="Assets"/>
      <sheetName val="ProjDepr"/>
      <sheetName val="District Summary"/>
      <sheetName val="Invoice"/>
    </sheetNames>
    <sheetDataSet>
      <sheetData sheetId="0"/>
      <sheetData sheetId="1">
        <row r="7">
          <cell r="N7">
            <v>824740.02999999991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00-10899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'l Priceout"/>
      <sheetName val="Com'l Priceout"/>
      <sheetName val="Roll Off Priceout"/>
      <sheetName val="Roll Off Productivity"/>
      <sheetName val="TB -LOB"/>
      <sheetName val="Comm'l TB-120"/>
      <sheetName val="Com'l Rec. TB-160"/>
      <sheetName val="Resi TB-190"/>
      <sheetName val="230 &amp; 220"/>
      <sheetName val="YW TB-220"/>
      <sheetName val="RO TB-260"/>
      <sheetName val="Industrial LOB"/>
      <sheetName val="TS TB-300"/>
      <sheetName val="POL TB-750"/>
      <sheetName val="Revenue Reconciliation"/>
      <sheetName val="Billed Revenue Summary"/>
      <sheetName val="Disposal Summary"/>
      <sheetName val="Payroll Register"/>
      <sheetName val="Balance Sheet"/>
      <sheetName val="Monthly IS"/>
      <sheetName val="DEPN"/>
      <sheetName val="Fixed Asset Summary"/>
      <sheetName val="Fixed Asset Detail"/>
      <sheetName val="Fuel"/>
      <sheetName val="WTB"/>
      <sheetName val="OH Analysis (2008)"/>
      <sheetName val="Corp. Office OH 2008"/>
      <sheetName val="OH Analysis"/>
      <sheetName val="Corp. Office OH"/>
      <sheetName val="2008 Group Office TB"/>
      <sheetName val="MA Office OH"/>
      <sheetName val="MA Stats"/>
      <sheetName val="2008 Group Office IS"/>
      <sheetName val="2008 West Group IS"/>
      <sheetName val="Legal"/>
      <sheetName val="Lurito 25 bpi"/>
      <sheetName val="Lurito 25 bpi (Rolloff)"/>
      <sheetName val="70000"/>
      <sheetName val="502500"/>
      <sheetName val="509000"/>
      <sheetName val="509500"/>
      <sheetName val="570800"/>
      <sheetName val="518000"/>
      <sheetName val="568100"/>
      <sheetName val="678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8">
          <cell r="AD8" t="str">
            <v>#N/A</v>
          </cell>
        </row>
      </sheetData>
      <sheetData sheetId="19"/>
      <sheetData sheetId="20"/>
      <sheetData sheetId="21"/>
      <sheetData sheetId="22"/>
      <sheetData sheetId="23"/>
      <sheetData sheetId="24">
        <row r="4">
          <cell r="DE4" t="str">
            <v>01815</v>
          </cell>
        </row>
        <row r="5">
          <cell r="DC5" t="str">
            <v>12</v>
          </cell>
          <cell r="DD5" t="str">
            <v>WM of Ellensburg</v>
          </cell>
          <cell r="DE5" t="str">
            <v>01815</v>
          </cell>
        </row>
        <row r="8">
          <cell r="DC8">
            <v>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AK4" t="str">
            <v>01500</v>
          </cell>
        </row>
        <row r="5">
          <cell r="AI5" t="str">
            <v>12</v>
          </cell>
          <cell r="AJ5" t="str">
            <v>Western Area Office</v>
          </cell>
          <cell r="AK5" t="str">
            <v>01500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3">
        <row r="4">
          <cell r="AK4" t="str">
            <v>G00006</v>
          </cell>
        </row>
        <row r="5">
          <cell r="AI5" t="str">
            <v>12</v>
          </cell>
          <cell r="AJ5" t="str">
            <v>Error</v>
          </cell>
          <cell r="AK5" t="str">
            <v>Western</v>
          </cell>
        </row>
        <row r="8">
          <cell r="AH8">
            <v>0</v>
          </cell>
        </row>
        <row r="9">
          <cell r="AM9" t="str">
            <v>USD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 (WMofWA)"/>
      <sheetName val="Balance Sheet (WMofWA)"/>
      <sheetName val="Rev. Sum. - Confidential"/>
      <sheetName val="WTB-Confidential"/>
      <sheetName val="Priceout"/>
      <sheetName val="Monthly IS (SnoKing)"/>
      <sheetName val="Total Lurito"/>
      <sheetName val="Lurito - Garbage"/>
      <sheetName val="Lurito - Recycling"/>
      <sheetName val="Lurito - YW"/>
      <sheetName val="Lurito-Garbage"/>
      <sheetName val="Lurito-Recycling"/>
      <sheetName val="Lurito-YW"/>
      <sheetName val="PC 230"/>
      <sheetName val="PC 220"/>
      <sheetName val="PC 160 - Confidential"/>
      <sheetName val="PC 260-Confidential"/>
      <sheetName val="WUTC Customer Counts"/>
      <sheetName val="Processing Fees"/>
      <sheetName val="YW Processing Fees"/>
      <sheetName val="PR Register-Confidential"/>
      <sheetName val="PR Detail -confidential"/>
      <sheetName val="Wage scale-CONFIDENTIAL"/>
      <sheetName val="Fuel"/>
      <sheetName val="Balance Sheet (SnoKing)"/>
      <sheetName val="DEPN"/>
      <sheetName val="DEPN Summary"/>
      <sheetName val="Fixed Asset Summary"/>
      <sheetName val="Fixed Asset Detail"/>
      <sheetName val="Facility Costs"/>
      <sheetName val="Legal Fees"/>
      <sheetName val="MA Office OH"/>
      <sheetName val="MA Stats"/>
      <sheetName val="OH Analysis"/>
      <sheetName val="Corp. Office OH"/>
      <sheetName val="2008 West Group IS"/>
      <sheetName val="2008 Group Office TB"/>
      <sheetName val="2008 Group Office IS"/>
      <sheetName val="500500"/>
      <sheetName val="AP-500500"/>
      <sheetName val="500800"/>
      <sheetName val="509000"/>
      <sheetName val="AP-509500"/>
      <sheetName val="509500"/>
      <sheetName val="531200"/>
      <sheetName val="Income Statement (2)"/>
      <sheetName val="Lurito"/>
      <sheetName val="Fixed Assets"/>
      <sheetName val="unprocessed SS"/>
      <sheetName val="Tonnage"/>
      <sheetName val="Outbound Tons"/>
      <sheetName val="Inbound Tons"/>
      <sheetName val="Labor"/>
      <sheetName val="CDL Pricing"/>
      <sheetName val="CRC Commodity Prices"/>
      <sheetName val="Commodity Mix"/>
      <sheetName val="502500"/>
      <sheetName val="Summary"/>
      <sheetName val="Com'l FL"/>
      <sheetName val="Res'l RL"/>
      <sheetName val="Roll Off"/>
      <sheetName val="Res'l YW"/>
      <sheetName val="Res'l Rec."/>
      <sheetName val="Com'l Rec."/>
      <sheetName val="Summary (2)"/>
      <sheetName val="Customer Counts"/>
      <sheetName val="Com'l FL-2009"/>
      <sheetName val="Res'l RL (2)"/>
      <sheetName val="Res'l YW (2)"/>
      <sheetName val="Res'l Rec. (2)"/>
      <sheetName val="Roll Off (2)"/>
      <sheetName val="Haul Summary"/>
      <sheetName val="Com'l Rec. (2)"/>
      <sheetName val="Hauls On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ammond, Greg (UTC)" id="{4EB45659-C22A-4F20-8658-C9439038E659}" userId="S::greg.hammond@utc.wa.gov::1a12d6dc-9091-421a-bf06-5f0772164ea0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kasha Leffler" refreshedDate="44749.71359097222" createdVersion="7" refreshedVersion="7" minRefreshableVersion="3" recordCount="1051" xr:uid="{00000000-000A-0000-FFFF-FFFF0C000000}">
  <cacheSource type="worksheet">
    <worksheetSource ref="B13:AW1064" sheet="FAR 6.30.22"/>
  </cacheSource>
  <cacheFields count="48">
    <cacheField name="District" numFmtId="0">
      <sharedItems containsSemiMixedTypes="0" containsString="0" containsNumber="1" containsInteger="1" minValue="2180" maxValue="2180"/>
    </cacheField>
    <cacheField name="Asset #" numFmtId="0">
      <sharedItems containsSemiMixedTypes="0" containsString="0" containsNumber="1" containsInteger="1" minValue="60675" maxValue="283934"/>
    </cacheField>
    <cacheField name="Parent/ Child" numFmtId="0">
      <sharedItems containsBlank="1" containsMixedTypes="1" containsNumber="1" containsInteger="1" minValue="60721" maxValue="272739"/>
    </cacheField>
    <cacheField name="Descr" numFmtId="0">
      <sharedItems/>
    </cacheField>
    <cacheField name="Container Count" numFmtId="0">
      <sharedItems containsString="0" containsBlank="1" containsNumber="1" containsInteger="1" minValue="0" maxValue="100486"/>
    </cacheField>
    <cacheField name="0" numFmtId="0">
      <sharedItems containsNonDate="0" containsString="0" containsBlank="1"/>
    </cacheField>
    <cacheField name="MFG Serial#" numFmtId="0">
      <sharedItems containsBlank="1" containsMixedTypes="1" containsNumber="1" containsInteger="1" minValue="0" maxValue="3015080598"/>
    </cacheField>
    <cacheField name="License Plate" numFmtId="0">
      <sharedItems containsBlank="1"/>
    </cacheField>
    <cacheField name="Model Year" numFmtId="0">
      <sharedItems containsSemiMixedTypes="0" containsString="0" containsNumber="1" containsInteger="1" minValue="0" maxValue="2022"/>
    </cacheField>
    <cacheField name="Vendor/Mfg" numFmtId="0">
      <sharedItems containsBlank="1" containsMixedTypes="1" containsNumber="1" containsInteger="1" minValue="0" maxValue="0"/>
    </cacheField>
    <cacheField name="Body Mfg" numFmtId="0">
      <sharedItems containsBlank="1" containsMixedTypes="1" containsNumber="1" containsInteger="1" minValue="0" maxValue="0"/>
    </cacheField>
    <cacheField name="Ins Category" numFmtId="0">
      <sharedItems containsBlank="1"/>
    </cacheField>
    <cacheField name="In Service Date" numFmtId="171">
      <sharedItems containsSemiMixedTypes="0" containsNonDate="0" containsDate="1" containsString="0" minDate="2002-07-01T00:00:00" maxDate="2022-06-22T00:00:00"/>
    </cacheField>
    <cacheField name="Acq Date" numFmtId="171">
      <sharedItems containsSemiMixedTypes="0" containsNonDate="0" containsDate="1" containsString="0" minDate="2002-07-01T00:00:00" maxDate="2022-06-22T00:00:00"/>
    </cacheField>
    <cacheField name="CER #" numFmtId="0">
      <sharedItems containsBlank="1"/>
    </cacheField>
    <cacheField name="Useful Life" numFmtId="0">
      <sharedItems containsSemiMixedTypes="0" containsString="0" containsNumber="1" containsInteger="1" minValue="0" maxValue="4000"/>
    </cacheField>
    <cacheField name="Asset Account" numFmtId="0">
      <sharedItems containsSemiMixedTypes="0" containsString="0" containsNumber="1" containsInteger="1" minValue="14000" maxValue="15260"/>
    </cacheField>
    <cacheField name="Cost" numFmtId="43">
      <sharedItems containsSemiMixedTypes="0" containsString="0" containsNumber="1" minValue="-2046212.52" maxValue="23804343"/>
    </cacheField>
    <cacheField name="Accum Account" numFmtId="0">
      <sharedItems containsSemiMixedTypes="0" containsString="0" containsNumber="1" containsInteger="1" minValue="0" maxValue="15266"/>
    </cacheField>
    <cacheField name="Accum Life to Date" numFmtId="43">
      <sharedItems containsSemiMixedTypes="0" containsString="0" containsNumber="1" minValue="-6618.26" maxValue="3809388.65"/>
    </cacheField>
    <cacheField name="NBV" numFmtId="43">
      <sharedItems containsSemiMixedTypes="0" containsString="0" containsNumber="1" minValue="-2046212.52" maxValue="23804343"/>
    </cacheField>
    <cacheField name="Accum YTD" numFmtId="1">
      <sharedItems containsSemiMixedTypes="0" containsString="0" containsNumber="1" minValue="-246.95" maxValue="133836.31"/>
    </cacheField>
    <cacheField name="Expense Account" numFmtId="0">
      <sharedItems containsString="0" containsBlank="1" containsNumber="1" containsInteger="1" minValue="0" maxValue="70269"/>
    </cacheField>
    <cacheField name="Current Depr" numFmtId="43">
      <sharedItems containsSemiMixedTypes="0" containsString="0" containsNumber="1" minValue="-49.39" maxValue="26767.26"/>
    </cacheField>
    <cacheField name="Acq Type" numFmtId="0">
      <sharedItems/>
    </cacheField>
    <cacheField name="Former Company" numFmtId="0">
      <sharedItems containsBlank="1"/>
    </cacheField>
    <cacheField name="Invoice #" numFmtId="0">
      <sharedItems containsDate="1" containsBlank="1" containsMixedTypes="1" minDate="1899-12-31T00:09:04" maxDate="1900-01-01T11:24:05"/>
    </cacheField>
    <cacheField name="Company Asset #" numFmtId="0">
      <sharedItems containsBlank="1" containsMixedTypes="1" containsNumber="1" containsInteger="1" minValue="1044" maxValue="9995"/>
    </cacheField>
    <cacheField name="Book" numFmtId="0">
      <sharedItems/>
    </cacheField>
    <cacheField name="Activity Cd" numFmtId="0">
      <sharedItems/>
    </cacheField>
    <cacheField name="Depr Meth" numFmtId="0">
      <sharedItems/>
    </cacheField>
    <cacheField name="Beg Date" numFmtId="0">
      <sharedItems containsNonDate="0" containsDate="1" containsString="0" containsBlank="1" minDate="2009-04-30T00:00:00" maxDate="2022-05-01T00:00:00"/>
    </cacheField>
    <cacheField name="Dbase" numFmtId="0">
      <sharedItems/>
    </cacheField>
    <cacheField name="Seq" numFmtId="0">
      <sharedItems containsSemiMixedTypes="0" containsString="0" containsNumber="1" containsInteger="1" minValue="0" maxValue="52"/>
    </cacheField>
    <cacheField name="Beg Depr" numFmtId="0">
      <sharedItems containsSemiMixedTypes="0" containsString="0" containsNumber="1" minValue="0" maxValue="911916.66"/>
    </cacheField>
    <cacheField name="LOB From Field" numFmtId="0">
      <sharedItems containsNonDate="0" containsString="0" containsBlank="1"/>
    </cacheField>
    <cacheField name="Equipment Type for Lookup" numFmtId="0">
      <sharedItems containsBlank="1" count="16">
        <s v="Office Equipment"/>
        <s v="Transfer Station Equipment"/>
        <s v="COMMERCIAL RECYCLING"/>
        <s v="Shop Equipment"/>
        <s v="Shared Containers"/>
        <s v="Buildings - Shop"/>
        <s v="RESI/COMM GARBAGE"/>
        <s v="Recycling Carts"/>
        <s v="Yard Waste"/>
        <s v="Garbage Carts"/>
        <s v="Service Equipment"/>
        <s v="Garbage Containers"/>
        <s v="Drop Boxes"/>
        <m/>
        <s v="Commerical Recycle" u="1"/>
        <s v="Transfer Station Equipment?" u="1"/>
      </sharedItems>
    </cacheField>
    <cacheField name="Month" numFmtId="0">
      <sharedItems containsString="0" containsBlank="1" containsNumber="1" containsInteger="1" minValue="1" maxValue="12"/>
    </cacheField>
    <cacheField name="YearPIS" numFmtId="0">
      <sharedItems containsString="0" containsBlank="1" containsNumber="1" containsInteger="1" minValue="2008" maxValue="2022"/>
    </cacheField>
    <cacheField name="Year Fully Dep" numFmtId="0">
      <sharedItems containsString="0" containsBlank="1" containsNumber="1" containsInteger="1" minValue="2015" maxValue="2034"/>
    </cacheField>
    <cacheField name="Year/Mo Fully Dep" numFmtId="0">
      <sharedItems containsString="0" containsBlank="1" containsNumber="1" minValue="2015.9166666666667" maxValue="2034.3333333333333"/>
    </cacheField>
    <cacheField name="Monthly Dep" numFmtId="0">
      <sharedItems containsString="0" containsBlank="1" containsNumber="1" minValue="-30.148666666666667" maxValue="3115.7824166666669"/>
    </cacheField>
    <cacheField name="Annual Dep" numFmtId="0">
      <sharedItems containsString="0" containsBlank="1" containsNumber="1" minValue="-361.78399999999999" maxValue="37389.389000000003"/>
    </cacheField>
    <cacheField name="Test Year Dep" numFmtId="0">
      <sharedItems containsString="0" containsBlank="1" containsNumber="1" minValue="-361.78399999999999" maxValue="37389.389000000003"/>
    </cacheField>
    <cacheField name="BOY Accum" numFmtId="0">
      <sharedItems containsString="0" containsBlank="1" containsNumber="1" minValue="0" maxValue="72628.45"/>
    </cacheField>
    <cacheField name="EOY Accum" numFmtId="0">
      <sharedItems containsString="0" containsBlank="1" containsNumber="1" minValue="-361.78399999999999" maxValue="72628.45"/>
    </cacheField>
    <cacheField name="EOY Average Investment" numFmtId="0">
      <sharedItems containsString="0" containsBlank="1" containsNumber="1" minValue="-1447.136" maxValue="336504.50099999999"/>
    </cacheField>
    <cacheField name="Pre 8/31/21 Add?" numFmtId="0">
      <sharedItems containsBlank="1" count="2">
        <s v="N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1">
  <r>
    <n v="2180"/>
    <n v="283934"/>
    <s v="P"/>
    <s v="New Laptop for DVP SN: 5CD152BK00"/>
    <n v="1"/>
    <m/>
    <m/>
    <m/>
    <n v="0"/>
    <s v="CDW DIR #PO  2180-22-0"/>
    <m/>
    <m/>
    <d v="2022-06-21T00:00:00"/>
    <d v="2022-06-21T00:00:00"/>
    <s v="2180-22-0031-1"/>
    <n v="300"/>
    <n v="14110"/>
    <n v="1386.44"/>
    <n v="14116"/>
    <n v="0"/>
    <n v="1386.44"/>
    <n v="0"/>
    <n v="70260"/>
    <n v="0"/>
    <s v="P"/>
    <m/>
    <s v="Z856749"/>
    <m/>
    <s v="Internal"/>
    <s v="A"/>
    <s v="SL"/>
    <m/>
    <s v="WCNX"/>
    <n v="0"/>
    <n v="0"/>
    <m/>
    <x v="0"/>
    <n v="6"/>
    <n v="2022"/>
    <n v="2025"/>
    <n v="2025.5"/>
    <n v="38.512222222222228"/>
    <n v="462.14666666666676"/>
    <n v="462.14666666666676"/>
    <n v="0"/>
    <n v="462.14666666666676"/>
    <n v="924.29333333333329"/>
    <x v="0"/>
  </r>
  <r>
    <n v="2180"/>
    <n v="283933"/>
    <s v="P"/>
    <s v="New Docking Station for Computer - No SN on Amazon Purchase"/>
    <n v="1"/>
    <m/>
    <m/>
    <m/>
    <n v="0"/>
    <s v="AMZN MKTP US 2G6Q34LK3"/>
    <m/>
    <m/>
    <d v="2022-06-21T00:00:00"/>
    <d v="2022-06-21T00:00:00"/>
    <s v="2180-22-0031-1"/>
    <n v="300"/>
    <n v="14110"/>
    <n v="306.3"/>
    <n v="14116"/>
    <n v="0"/>
    <n v="306.3"/>
    <n v="0"/>
    <n v="70260"/>
    <n v="0"/>
    <s v="P"/>
    <m/>
    <n v="5673023"/>
    <m/>
    <s v="Internal"/>
    <s v="A"/>
    <s v="SL"/>
    <m/>
    <s v="WCNX"/>
    <n v="0"/>
    <n v="0"/>
    <m/>
    <x v="0"/>
    <n v="6"/>
    <n v="2022"/>
    <n v="2025"/>
    <n v="2025.5"/>
    <n v="8.5083333333333346"/>
    <n v="102.10000000000002"/>
    <n v="102.10000000000002"/>
    <n v="0"/>
    <n v="102.10000000000002"/>
    <n v="204.2"/>
    <x v="0"/>
  </r>
  <r>
    <n v="2180"/>
    <n v="283932"/>
    <s v="P"/>
    <s v="New Docking Station for DVP Laptop - No SN on Amazon Purchase"/>
    <n v="1"/>
    <m/>
    <m/>
    <m/>
    <n v="0"/>
    <s v="AMZN MKTP US DB6RW0M73 AM"/>
    <m/>
    <m/>
    <d v="2022-06-21T00:00:00"/>
    <d v="2022-06-21T00:00:00"/>
    <s v="2180-22-0031-1"/>
    <n v="300"/>
    <n v="14110"/>
    <n v="306.3"/>
    <n v="14116"/>
    <n v="0"/>
    <n v="306.3"/>
    <n v="0"/>
    <n v="70260"/>
    <n v="0"/>
    <s v="P"/>
    <m/>
    <n v="1676239"/>
    <m/>
    <s v="Internal"/>
    <s v="A"/>
    <s v="SL"/>
    <m/>
    <s v="WCNX"/>
    <n v="0"/>
    <n v="0"/>
    <m/>
    <x v="0"/>
    <n v="6"/>
    <n v="2022"/>
    <n v="2025"/>
    <n v="2025.5"/>
    <n v="8.5083333333333346"/>
    <n v="102.10000000000002"/>
    <n v="102.10000000000002"/>
    <n v="0"/>
    <n v="102.10000000000002"/>
    <n v="204.2"/>
    <x v="0"/>
  </r>
  <r>
    <n v="2180"/>
    <n v="282815"/>
    <m/>
    <s v="Mini Loader Hydraulic pumps"/>
    <m/>
    <m/>
    <m/>
    <m/>
    <n v="0"/>
    <m/>
    <m/>
    <m/>
    <d v="2022-06-01T00:00:00"/>
    <d v="2022-06-01T00:00:00"/>
    <s v="2180-22-0006-1"/>
    <n v="300"/>
    <n v="14030"/>
    <n v="2848.25"/>
    <n v="14036"/>
    <n v="0"/>
    <n v="2848.25"/>
    <n v="0"/>
    <n v="51260"/>
    <n v="0"/>
    <s v="P"/>
    <m/>
    <m/>
    <m/>
    <s v="Internal"/>
    <s v="A"/>
    <s v="SL"/>
    <m/>
    <s v="WCNX"/>
    <n v="0"/>
    <n v="0"/>
    <m/>
    <x v="1"/>
    <n v="6"/>
    <n v="2022"/>
    <n v="2025"/>
    <n v="2025.5"/>
    <n v="79.118055555555557"/>
    <n v="949.41666666666674"/>
    <n v="949.41666666666674"/>
    <n v="0"/>
    <n v="949.41666666666674"/>
    <n v="1898.8333333333333"/>
    <x v="0"/>
  </r>
  <r>
    <n v="2180"/>
    <n v="282579"/>
    <m/>
    <s v="Used Mini Loader Planetaries - Rear, Lef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2136.19"/>
    <n v="14036"/>
    <n v="0"/>
    <n v="2136.19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59.338611111111113"/>
    <n v="712.06333333333339"/>
    <n v="712.06333333333339"/>
    <n v="0"/>
    <n v="712.06333333333339"/>
    <n v="1424.1266666666666"/>
    <x v="0"/>
  </r>
  <r>
    <n v="2180"/>
    <n v="282578"/>
    <m/>
    <s v="Used Mini Loader Planetaries - Rear, Righ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2136.19"/>
    <n v="14036"/>
    <n v="0"/>
    <n v="2136.19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59.338611111111113"/>
    <n v="712.06333333333339"/>
    <n v="712.06333333333339"/>
    <n v="0"/>
    <n v="712.06333333333339"/>
    <n v="1424.1266666666666"/>
    <x v="0"/>
  </r>
  <r>
    <n v="2180"/>
    <n v="282577"/>
    <m/>
    <s v="Used Mini Loader Planetaries - Front, Lef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2136.19"/>
    <n v="14036"/>
    <n v="0"/>
    <n v="2136.19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59.338611111111113"/>
    <n v="712.06333333333339"/>
    <n v="712.06333333333339"/>
    <n v="0"/>
    <n v="712.06333333333339"/>
    <n v="1424.1266666666666"/>
    <x v="0"/>
  </r>
  <r>
    <n v="2180"/>
    <n v="282576"/>
    <m/>
    <s v="Used Mini Loader Planetaries - Front, Righ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2136.19"/>
    <n v="14036"/>
    <n v="0"/>
    <n v="2136.19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59.338611111111113"/>
    <n v="712.06333333333339"/>
    <n v="712.06333333333339"/>
    <n v="0"/>
    <n v="712.06333333333339"/>
    <n v="1424.1266666666666"/>
    <x v="0"/>
  </r>
  <r>
    <n v="2180"/>
    <n v="282575"/>
    <m/>
    <s v="Used Mini Loader Differentials - Fron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3560.31"/>
    <n v="14036"/>
    <n v="0"/>
    <n v="3560.31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98.897499999999994"/>
    <n v="1186.77"/>
    <n v="1186.77"/>
    <n v="0"/>
    <n v="1186.77"/>
    <n v="2373.54"/>
    <x v="0"/>
  </r>
  <r>
    <n v="2180"/>
    <n v="282574"/>
    <m/>
    <s v="Used Mini Loader Differentials - Front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3560.31"/>
    <n v="14036"/>
    <n v="0"/>
    <n v="3560.31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98.897499999999994"/>
    <n v="1186.77"/>
    <n v="1186.77"/>
    <n v="0"/>
    <n v="1186.77"/>
    <n v="2373.54"/>
    <x v="0"/>
  </r>
  <r>
    <n v="2180"/>
    <n v="282573"/>
    <m/>
    <s v="Used Mini Loader Transmission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5696.49"/>
    <n v="14036"/>
    <n v="0"/>
    <n v="5696.49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158.23583333333332"/>
    <n v="1898.83"/>
    <n v="1898.83"/>
    <n v="0"/>
    <n v="1898.83"/>
    <n v="3797.66"/>
    <x v="0"/>
  </r>
  <r>
    <n v="2180"/>
    <n v="282572"/>
    <m/>
    <s v="Used Mini Loader Engine"/>
    <m/>
    <m/>
    <s v="ZW505B-005071"/>
    <m/>
    <n v="2021"/>
    <s v="COLUMBIA WESTERN MACHINER"/>
    <s v="NA"/>
    <s v="Non-Rolling Stock"/>
    <d v="2022-06-01T00:00:00"/>
    <d v="2022-06-01T00:00:00"/>
    <s v="2180-22-0006-1"/>
    <n v="300"/>
    <n v="14030"/>
    <n v="8544.74"/>
    <n v="14036"/>
    <n v="0"/>
    <n v="8544.74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25"/>
    <n v="2025.5"/>
    <n v="237.35388888888886"/>
    <n v="2848.2466666666664"/>
    <n v="2848.2466666666664"/>
    <n v="0"/>
    <n v="2848.2466666666664"/>
    <n v="5696.4933333333338"/>
    <x v="0"/>
  </r>
  <r>
    <n v="2180"/>
    <n v="282571"/>
    <s v="P"/>
    <s v="2021 Hitachi ZW50 Wheel Loader Chassis"/>
    <m/>
    <m/>
    <s v="ZW505B-005071"/>
    <m/>
    <n v="2021"/>
    <s v="COLUMBIA WESTERN MACHINER"/>
    <s v="NA"/>
    <s v="Bucket Loader"/>
    <d v="2022-06-01T00:00:00"/>
    <d v="2022-06-01T00:00:00"/>
    <s v="2180-22-0006-1"/>
    <n v="1100"/>
    <n v="14030"/>
    <n v="38451.32"/>
    <n v="14036"/>
    <n v="0"/>
    <n v="38451.32"/>
    <n v="0"/>
    <n v="51260"/>
    <n v="0"/>
    <s v="P"/>
    <m/>
    <s v="C000291"/>
    <m/>
    <s v="Internal"/>
    <s v="A"/>
    <s v="SL"/>
    <m/>
    <s v="WCNX"/>
    <n v="0"/>
    <n v="0"/>
    <m/>
    <x v="1"/>
    <n v="6"/>
    <n v="2022"/>
    <n v="2033"/>
    <n v="2033.5"/>
    <n v="291.2978787878788"/>
    <n v="3495.5745454545458"/>
    <n v="3495.5745454545458"/>
    <n v="0"/>
    <n v="3495.5745454545458"/>
    <n v="34955.745454545453"/>
    <x v="0"/>
  </r>
  <r>
    <n v="2180"/>
    <n v="282319"/>
    <s v="P"/>
    <s v="2022 Peterbilt FEL Truck"/>
    <m/>
    <m/>
    <s v="3BPDLK0X4NF113153"/>
    <m/>
    <n v="2022"/>
    <m/>
    <m/>
    <s v="FEL Truck"/>
    <d v="2022-06-03T00:00:00"/>
    <d v="2022-06-03T00:00:00"/>
    <s v="2180-22-0017-1"/>
    <n v="1000"/>
    <n v="14040"/>
    <n v="373893.89"/>
    <n v="14046"/>
    <n v="0"/>
    <n v="373893.89"/>
    <n v="0"/>
    <n v="51260"/>
    <n v="0"/>
    <s v="P"/>
    <m/>
    <m/>
    <m/>
    <s v="Internal"/>
    <s v="A"/>
    <s v="SL"/>
    <m/>
    <s v="WCNX"/>
    <n v="0"/>
    <n v="0"/>
    <m/>
    <x v="2"/>
    <n v="6"/>
    <n v="2022"/>
    <n v="2032"/>
    <n v="2032.5"/>
    <n v="3115.7824166666669"/>
    <n v="37389.389000000003"/>
    <n v="37389.389000000003"/>
    <n v="0"/>
    <n v="37389.389000000003"/>
    <n v="336504.50099999999"/>
    <x v="0"/>
  </r>
  <r>
    <n v="2180"/>
    <n v="282058"/>
    <s v="P"/>
    <s v="Dell Wyse 5070 Terminal"/>
    <n v="3"/>
    <m/>
    <m/>
    <m/>
    <n v="0"/>
    <s v="CDW DIR #2180 WIN 10"/>
    <m/>
    <m/>
    <d v="2022-04-26T00:00:00"/>
    <d v="2022-04-26T00:00:00"/>
    <s v="2180-22-0027-1"/>
    <n v="300"/>
    <n v="14110"/>
    <n v="1650.21"/>
    <n v="14116"/>
    <n v="45.84"/>
    <n v="1604.3700000000001"/>
    <n v="45.84"/>
    <n v="70260"/>
    <n v="45.84"/>
    <s v="P"/>
    <m/>
    <s v="W285355"/>
    <m/>
    <s v="Internal"/>
    <s v="A"/>
    <s v="SL"/>
    <m/>
    <s v="WCNX"/>
    <n v="0"/>
    <n v="0"/>
    <m/>
    <x v="0"/>
    <n v="4"/>
    <n v="2022"/>
    <n v="2025"/>
    <n v="2025.3333333333333"/>
    <n v="45.839166666666671"/>
    <n v="550.07000000000005"/>
    <n v="550.07000000000005"/>
    <n v="0"/>
    <n v="550.07000000000005"/>
    <n v="1100.1399999999999"/>
    <x v="0"/>
  </r>
  <r>
    <n v="2180"/>
    <n v="281752"/>
    <s v="P"/>
    <s v="Synchrowave 300 Welder"/>
    <n v="1"/>
    <m/>
    <m/>
    <m/>
    <n v="0"/>
    <s v="PACIFIC WELDING SUPPLIES "/>
    <m/>
    <m/>
    <d v="2022-04-11T00:00:00"/>
    <d v="2022-04-11T00:00:00"/>
    <s v="2180-22-0010-1"/>
    <n v="500"/>
    <n v="14070"/>
    <n v="9199.36"/>
    <n v="14076"/>
    <n v="306.64"/>
    <n v="8892.7200000000012"/>
    <n v="306.64"/>
    <n v="51260"/>
    <n v="306.64"/>
    <s v="P"/>
    <m/>
    <n v="1830595"/>
    <m/>
    <s v="Internal"/>
    <s v="A"/>
    <s v="SL"/>
    <m/>
    <s v="WCNX"/>
    <n v="0"/>
    <n v="0"/>
    <m/>
    <x v="3"/>
    <n v="4"/>
    <n v="2022"/>
    <n v="2027"/>
    <n v="2027.3333333333333"/>
    <n v="153.32266666666666"/>
    <n v="1839.8719999999998"/>
    <n v="1839.8719999999998"/>
    <n v="0"/>
    <n v="1839.8719999999998"/>
    <n v="7359.4880000000012"/>
    <x v="0"/>
  </r>
  <r>
    <n v="2180"/>
    <n v="279137"/>
    <s v="P"/>
    <s v="6YD FEL Containers"/>
    <n v="5"/>
    <m/>
    <m/>
    <m/>
    <n v="0"/>
    <s v="CAPITAL INDUSTRIES INC"/>
    <m/>
    <s v="6 YD FEL Container"/>
    <d v="2022-04-26T00:00:00"/>
    <d v="2022-04-26T00:00:00"/>
    <s v="2180-22-0024-2"/>
    <n v="1200"/>
    <n v="14050"/>
    <n v="10584.45"/>
    <n v="14056"/>
    <n v="73.5"/>
    <n v="10510.95"/>
    <n v="73.5"/>
    <n v="54260"/>
    <n v="73.5"/>
    <s v="P"/>
    <m/>
    <n v="172505"/>
    <m/>
    <s v="Internal"/>
    <s v="A"/>
    <s v="SL"/>
    <m/>
    <s v="WCNX"/>
    <n v="0"/>
    <n v="0"/>
    <m/>
    <x v="4"/>
    <n v="4"/>
    <n v="2022"/>
    <n v="2034"/>
    <n v="2034.3333333333333"/>
    <n v="73.503124999999997"/>
    <n v="882.03749999999991"/>
    <n v="882.03749999999991"/>
    <n v="0"/>
    <n v="882.03749999999991"/>
    <n v="9702.4125000000004"/>
    <x v="0"/>
  </r>
  <r>
    <n v="2180"/>
    <n v="279136"/>
    <s v="P"/>
    <s v="6YD FEL Containers"/>
    <n v="8"/>
    <m/>
    <m/>
    <m/>
    <n v="0"/>
    <s v="CAPITAL INDUSTRIES INC"/>
    <m/>
    <s v="6 YD FEL Container"/>
    <d v="2022-04-26T00:00:00"/>
    <d v="2022-04-26T00:00:00"/>
    <s v="2180-22-0024-2"/>
    <n v="1200"/>
    <n v="14050"/>
    <n v="16935.12"/>
    <n v="14056"/>
    <n v="117.61"/>
    <n v="16817.509999999998"/>
    <n v="117.61"/>
    <n v="54260"/>
    <n v="117.61"/>
    <s v="P"/>
    <m/>
    <n v="172506"/>
    <m/>
    <s v="Internal"/>
    <s v="A"/>
    <s v="SL"/>
    <m/>
    <s v="WCNX"/>
    <n v="0"/>
    <n v="0"/>
    <m/>
    <x v="4"/>
    <n v="4"/>
    <n v="2022"/>
    <n v="2034"/>
    <n v="2034.3333333333333"/>
    <n v="117.605"/>
    <n v="1411.26"/>
    <n v="1411.26"/>
    <n v="0"/>
    <n v="1411.26"/>
    <n v="15523.859999999999"/>
    <x v="0"/>
  </r>
  <r>
    <n v="2180"/>
    <n v="279135"/>
    <s v="P"/>
    <s v="6YD FEL Containers"/>
    <n v="8"/>
    <m/>
    <m/>
    <m/>
    <n v="0"/>
    <s v="CAPITAL INDUSTRIES INC"/>
    <m/>
    <s v="6 YD FEL Container"/>
    <d v="2022-04-26T00:00:00"/>
    <d v="2022-04-26T00:00:00"/>
    <s v="2180-22-0024-2"/>
    <n v="1200"/>
    <n v="14050"/>
    <n v="16935.12"/>
    <n v="14056"/>
    <n v="117.61"/>
    <n v="16817.509999999998"/>
    <n v="117.61"/>
    <n v="54260"/>
    <n v="117.61"/>
    <s v="P"/>
    <m/>
    <n v="172504"/>
    <m/>
    <s v="Internal"/>
    <s v="A"/>
    <s v="SL"/>
    <m/>
    <s v="WCNX"/>
    <n v="0"/>
    <n v="0"/>
    <m/>
    <x v="4"/>
    <n v="4"/>
    <n v="2022"/>
    <n v="2034"/>
    <n v="2034.3333333333333"/>
    <n v="117.605"/>
    <n v="1411.26"/>
    <n v="1411.26"/>
    <n v="0"/>
    <n v="1411.26"/>
    <n v="15523.859999999999"/>
    <x v="0"/>
  </r>
  <r>
    <n v="2180"/>
    <n v="279134"/>
    <s v="P"/>
    <s v="6YD FEL Containers"/>
    <n v="8"/>
    <m/>
    <m/>
    <m/>
    <n v="0"/>
    <s v="CAPITAL INDUSTRIES INC"/>
    <m/>
    <s v="6 YD FEL Container"/>
    <d v="2022-04-26T00:00:00"/>
    <d v="2022-04-26T00:00:00"/>
    <s v="2180-22-0024-2"/>
    <n v="1200"/>
    <n v="14050"/>
    <n v="16935.12"/>
    <n v="14056"/>
    <n v="117.61"/>
    <n v="16817.509999999998"/>
    <n v="117.61"/>
    <n v="54260"/>
    <n v="117.61"/>
    <s v="P"/>
    <m/>
    <n v="172503"/>
    <m/>
    <s v="Internal"/>
    <s v="A"/>
    <s v="SL"/>
    <m/>
    <s v="WCNX"/>
    <n v="0"/>
    <n v="0"/>
    <m/>
    <x v="4"/>
    <n v="4"/>
    <n v="2022"/>
    <n v="2034"/>
    <n v="2034.3333333333333"/>
    <n v="117.605"/>
    <n v="1411.26"/>
    <n v="1411.26"/>
    <n v="0"/>
    <n v="1411.26"/>
    <n v="15523.859999999999"/>
    <x v="0"/>
  </r>
  <r>
    <n v="2180"/>
    <n v="279133"/>
    <s v="P"/>
    <s v="6YD FEL Containers"/>
    <n v="8"/>
    <m/>
    <m/>
    <m/>
    <n v="0"/>
    <s v="CAPITAL INDUSTRIES INC"/>
    <m/>
    <s v="6 YD FEL Container"/>
    <d v="2022-04-26T00:00:00"/>
    <d v="2022-04-26T00:00:00"/>
    <s v="2180-22-0024-2"/>
    <n v="1200"/>
    <n v="14050"/>
    <n v="16935.12"/>
    <n v="14056"/>
    <n v="117.61"/>
    <n v="16817.509999999998"/>
    <n v="117.61"/>
    <n v="54260"/>
    <n v="117.61"/>
    <s v="P"/>
    <m/>
    <n v="172502"/>
    <m/>
    <s v="Internal"/>
    <s v="A"/>
    <s v="SL"/>
    <m/>
    <s v="WCNX"/>
    <n v="0"/>
    <n v="0"/>
    <m/>
    <x v="4"/>
    <n v="4"/>
    <n v="2022"/>
    <n v="2034"/>
    <n v="2034.3333333333333"/>
    <n v="117.605"/>
    <n v="1411.26"/>
    <n v="1411.26"/>
    <n v="0"/>
    <n v="1411.26"/>
    <n v="15523.859999999999"/>
    <x v="0"/>
  </r>
  <r>
    <n v="2180"/>
    <n v="279132"/>
    <s v="P"/>
    <s v="6YD FEL Containers"/>
    <n v="8"/>
    <m/>
    <m/>
    <m/>
    <n v="0"/>
    <s v="CAPITAL INDUSTRIES INC"/>
    <m/>
    <s v="6 YD FEL Container"/>
    <d v="2022-04-26T00:00:00"/>
    <d v="2022-04-26T00:00:00"/>
    <s v="2180-22-0024-2"/>
    <n v="1200"/>
    <n v="14050"/>
    <n v="16935.12"/>
    <n v="14056"/>
    <n v="117.61"/>
    <n v="16817.509999999998"/>
    <n v="117.61"/>
    <n v="54260"/>
    <n v="117.61"/>
    <s v="P"/>
    <m/>
    <n v="172499"/>
    <m/>
    <s v="Internal"/>
    <s v="A"/>
    <s v="SL"/>
    <m/>
    <s v="WCNX"/>
    <n v="0"/>
    <n v="0"/>
    <m/>
    <x v="4"/>
    <n v="4"/>
    <n v="2022"/>
    <n v="2034"/>
    <n v="2034.3333333333333"/>
    <n v="117.605"/>
    <n v="1411.26"/>
    <n v="1411.26"/>
    <n v="0"/>
    <n v="1411.26"/>
    <n v="15523.859999999999"/>
    <x v="0"/>
  </r>
  <r>
    <n v="2180"/>
    <n v="279131"/>
    <s v="P"/>
    <s v="2YD REL Containers"/>
    <n v="25"/>
    <m/>
    <m/>
    <m/>
    <n v="0"/>
    <s v="CAPITAL INDUSTRIES INC"/>
    <m/>
    <s v="2 YD REL Container"/>
    <d v="2022-04-26T00:00:00"/>
    <d v="2022-04-26T00:00:00"/>
    <s v="2180-22-0024-1"/>
    <n v="1200"/>
    <n v="14050"/>
    <n v="23521"/>
    <n v="14056"/>
    <n v="163.34"/>
    <n v="23357.66"/>
    <n v="163.34"/>
    <n v="54260"/>
    <n v="163.34"/>
    <s v="P"/>
    <m/>
    <n v="172498"/>
    <m/>
    <s v="Internal"/>
    <s v="A"/>
    <s v="SL"/>
    <m/>
    <s v="WCNX"/>
    <n v="0"/>
    <n v="0"/>
    <m/>
    <x v="4"/>
    <n v="4"/>
    <n v="2022"/>
    <n v="2034"/>
    <n v="2034.3333333333333"/>
    <n v="163.34027777777777"/>
    <n v="1960.0833333333333"/>
    <n v="1960.0833333333333"/>
    <n v="0"/>
    <n v="1960.0833333333333"/>
    <n v="21560.916666666668"/>
    <x v="0"/>
  </r>
  <r>
    <n v="2180"/>
    <n v="278665"/>
    <s v="P"/>
    <s v="HP ProBook 440 SN: 5CD1411JX4 w/ SAMSUNG Evo SSD"/>
    <n v="1"/>
    <m/>
    <m/>
    <m/>
    <n v="0"/>
    <s v="CDW DIR #PO  2180-22-0"/>
    <m/>
    <m/>
    <d v="2022-04-15T00:00:00"/>
    <d v="2022-04-15T00:00:00"/>
    <s v="2180-22-0028-1"/>
    <n v="300"/>
    <n v="14110"/>
    <n v="1327.78"/>
    <n v="14116"/>
    <n v="73.77"/>
    <n v="1254.01"/>
    <n v="73.77"/>
    <n v="70260"/>
    <n v="36.89"/>
    <s v="P"/>
    <m/>
    <s v="W016040"/>
    <m/>
    <s v="Internal"/>
    <s v="A"/>
    <s v="SL"/>
    <m/>
    <s v="WCNX"/>
    <n v="0"/>
    <n v="0"/>
    <m/>
    <x v="0"/>
    <n v="4"/>
    <n v="2022"/>
    <n v="2025"/>
    <n v="2025.3333333333333"/>
    <n v="36.882777777777775"/>
    <n v="442.59333333333331"/>
    <n v="442.59333333333331"/>
    <n v="0"/>
    <n v="442.59333333333331"/>
    <n v="885.18666666666672"/>
    <x v="0"/>
  </r>
  <r>
    <n v="2180"/>
    <n v="278664"/>
    <s v="P"/>
    <s v="HP ProDesk 600 G6 (SN=MXL2093WKM)"/>
    <n v="1"/>
    <m/>
    <m/>
    <m/>
    <n v="0"/>
    <s v="CDW DIR #2180 WIN 10"/>
    <m/>
    <m/>
    <d v="2022-04-26T00:00:00"/>
    <d v="2022-04-26T00:00:00"/>
    <s v="2180-22-0027-1"/>
    <n v="300"/>
    <n v="14110"/>
    <n v="965"/>
    <n v="14116"/>
    <n v="26.81"/>
    <n v="938.19"/>
    <n v="26.81"/>
    <n v="70260"/>
    <n v="26.81"/>
    <s v="P"/>
    <m/>
    <s v="W150062"/>
    <m/>
    <s v="Internal"/>
    <s v="A"/>
    <s v="SL"/>
    <m/>
    <s v="WCNX"/>
    <n v="0"/>
    <n v="0"/>
    <m/>
    <x v="0"/>
    <n v="4"/>
    <n v="2022"/>
    <n v="2025"/>
    <n v="2025.3333333333333"/>
    <n v="26.805555555555557"/>
    <n v="321.66666666666669"/>
    <n v="321.66666666666669"/>
    <n v="0"/>
    <n v="321.66666666666669"/>
    <n v="643.33333333333326"/>
    <x v="0"/>
  </r>
  <r>
    <n v="2180"/>
    <n v="278663"/>
    <s v="P"/>
    <s v="HP ProDesk 600 G6 (SN=MXL2093WJB)"/>
    <n v="1"/>
    <m/>
    <m/>
    <m/>
    <n v="0"/>
    <s v="CDW DIR #2180 WIN 10"/>
    <m/>
    <m/>
    <d v="2022-04-26T00:00:00"/>
    <d v="2022-04-26T00:00:00"/>
    <s v="2180-22-0027-1"/>
    <n v="300"/>
    <n v="14110"/>
    <n v="965"/>
    <n v="14116"/>
    <n v="26.81"/>
    <n v="938.19"/>
    <n v="26.81"/>
    <n v="70260"/>
    <n v="26.81"/>
    <s v="P"/>
    <m/>
    <s v="W150062"/>
    <m/>
    <s v="Internal"/>
    <s v="A"/>
    <s v="SL"/>
    <m/>
    <s v="WCNX"/>
    <n v="0"/>
    <n v="0"/>
    <m/>
    <x v="0"/>
    <n v="4"/>
    <n v="2022"/>
    <n v="2025"/>
    <n v="2025.3333333333333"/>
    <n v="26.805555555555557"/>
    <n v="321.66666666666669"/>
    <n v="321.66666666666669"/>
    <n v="0"/>
    <n v="321.66666666666669"/>
    <n v="643.33333333333326"/>
    <x v="0"/>
  </r>
  <r>
    <n v="2180"/>
    <n v="278641"/>
    <s v="P"/>
    <s v="Weld Shop Improvements"/>
    <m/>
    <m/>
    <m/>
    <m/>
    <n v="0"/>
    <s v="ELMHURST UTUAL POWER &amp; LI"/>
    <m/>
    <m/>
    <d v="2022-03-22T00:00:00"/>
    <d v="2022-03-22T00:00:00"/>
    <s v="2180-22-0026-1"/>
    <n v="800"/>
    <n v="14090"/>
    <n v="24615"/>
    <n v="14096"/>
    <n v="512.80999999999995"/>
    <n v="24102.19"/>
    <n v="512.80999999999995"/>
    <n v="57260"/>
    <n v="256.39999999999998"/>
    <s v="P"/>
    <m/>
    <n v="22176"/>
    <m/>
    <s v="Internal"/>
    <s v="A"/>
    <s v="SL"/>
    <m/>
    <s v="WCNX"/>
    <n v="0"/>
    <n v="0"/>
    <m/>
    <x v="5"/>
    <n v="3"/>
    <n v="2022"/>
    <n v="2030"/>
    <n v="2030.25"/>
    <n v="256.40625"/>
    <n v="3076.875"/>
    <n v="3076.875"/>
    <n v="0"/>
    <n v="3076.875"/>
    <n v="21538.125"/>
    <x v="0"/>
  </r>
  <r>
    <n v="2180"/>
    <n v="277482"/>
    <s v="P"/>
    <s v="4 YD Commercial Customers ($100 each)"/>
    <n v="215"/>
    <m/>
    <m/>
    <m/>
    <n v="0"/>
    <m/>
    <m/>
    <m/>
    <d v="2008-11-03T00:00:00"/>
    <d v="2008-11-03T00:00:00"/>
    <m/>
    <n v="700"/>
    <n v="14050"/>
    <n v="18723.16"/>
    <n v="14056"/>
    <n v="18723.16"/>
    <n v="0"/>
    <n v="0"/>
    <n v="54260"/>
    <n v="0"/>
    <s v="A"/>
    <s v="LeMay Enterprises"/>
    <m/>
    <m/>
    <s v="Internal"/>
    <s v="A"/>
    <s v="SL"/>
    <d v="2022-03-31T00:00:00"/>
    <s v="WCNX"/>
    <n v="0"/>
    <n v="18723.16"/>
    <m/>
    <x v="4"/>
    <n v="11"/>
    <n v="2008"/>
    <n v="2015"/>
    <n v="2015.9166666666667"/>
    <n v="222.89476190476191"/>
    <n v="2674.7371428571428"/>
    <n v="0"/>
    <n v="18723.16"/>
    <n v="18723.16"/>
    <n v="0"/>
    <x v="0"/>
  </r>
  <r>
    <n v="2180"/>
    <n v="277481"/>
    <s v="P"/>
    <s v="3 YD Commercial Customers ($100 each)"/>
    <n v="150"/>
    <m/>
    <m/>
    <m/>
    <n v="0"/>
    <m/>
    <m/>
    <m/>
    <d v="2008-11-03T00:00:00"/>
    <d v="2008-11-03T00:00:00"/>
    <m/>
    <n v="700"/>
    <n v="14050"/>
    <n v="13062.67"/>
    <n v="14056"/>
    <n v="13062.67"/>
    <n v="0"/>
    <n v="0"/>
    <n v="54260"/>
    <n v="0"/>
    <s v="A"/>
    <s v="LeMay Enterprises"/>
    <m/>
    <m/>
    <s v="Internal"/>
    <s v="A"/>
    <s v="SL"/>
    <d v="2022-03-31T00:00:00"/>
    <s v="WCNX"/>
    <n v="0"/>
    <n v="13062.67"/>
    <m/>
    <x v="4"/>
    <n v="11"/>
    <n v="2008"/>
    <n v="2015"/>
    <n v="2015.9166666666667"/>
    <n v="155.5079761904762"/>
    <n v="1866.0957142857144"/>
    <n v="0"/>
    <n v="13062.67"/>
    <n v="13062.67"/>
    <n v="0"/>
    <x v="0"/>
  </r>
  <r>
    <n v="2180"/>
    <n v="277480"/>
    <s v="P"/>
    <s v="2 YD Commercial Customers ($100 each)"/>
    <n v="833"/>
    <m/>
    <m/>
    <m/>
    <n v="0"/>
    <m/>
    <m/>
    <m/>
    <d v="2008-11-03T00:00:00"/>
    <d v="2008-11-03T00:00:00"/>
    <m/>
    <n v="700"/>
    <n v="14050"/>
    <n v="72541.36"/>
    <n v="14056"/>
    <n v="72541.36"/>
    <n v="0"/>
    <n v="0"/>
    <n v="54260"/>
    <n v="0"/>
    <s v="A"/>
    <s v="LeMay Enterprises"/>
    <m/>
    <m/>
    <s v="Internal"/>
    <s v="A"/>
    <s v="SL"/>
    <d v="2022-03-31T00:00:00"/>
    <s v="WCNX"/>
    <n v="0"/>
    <n v="72541.36"/>
    <m/>
    <x v="4"/>
    <n v="11"/>
    <n v="2008"/>
    <n v="2015"/>
    <n v="2015.9166666666667"/>
    <n v="863.58761904761911"/>
    <n v="10363.051428571429"/>
    <n v="0"/>
    <n v="72541.36"/>
    <n v="72541.36"/>
    <n v="0"/>
    <x v="0"/>
  </r>
  <r>
    <n v="2180"/>
    <n v="277479"/>
    <s v="P"/>
    <s v="1 YD Commercial Customers ($100 each)"/>
    <n v="834"/>
    <m/>
    <m/>
    <m/>
    <n v="0"/>
    <m/>
    <m/>
    <m/>
    <d v="2008-11-03T00:00:00"/>
    <d v="2008-11-03T00:00:00"/>
    <m/>
    <n v="700"/>
    <n v="14050"/>
    <n v="72628.45"/>
    <n v="14056"/>
    <n v="72628.45"/>
    <n v="0"/>
    <n v="0"/>
    <n v="54260"/>
    <n v="0"/>
    <s v="A"/>
    <s v="LeMay Enterprises"/>
    <m/>
    <m/>
    <s v="Internal"/>
    <s v="A"/>
    <s v="SL"/>
    <d v="2022-03-31T00:00:00"/>
    <s v="WCNX"/>
    <n v="0"/>
    <n v="72628.45"/>
    <m/>
    <x v="4"/>
    <n v="11"/>
    <n v="2008"/>
    <n v="2015"/>
    <n v="2015.9166666666667"/>
    <n v="864.62440476190477"/>
    <n v="10375.492857142857"/>
    <n v="0"/>
    <n v="72628.45"/>
    <n v="72628.45"/>
    <n v="0"/>
    <x v="0"/>
  </r>
  <r>
    <n v="2180"/>
    <n v="277406"/>
    <n v="272739"/>
    <s v="2022 Isuzu Retriever Truck - Body - Rollover 2180-21-0020"/>
    <m/>
    <m/>
    <s v="JALE5W16XN7304897"/>
    <m/>
    <n v="2022"/>
    <s v="SOLID WASTE SYSTEMS"/>
    <m/>
    <s v="Non-Rolling Stock"/>
    <d v="2022-03-24T00:00:00"/>
    <d v="2022-03-24T00:00:00"/>
    <s v="2180-22-0022-1"/>
    <n v="1000"/>
    <n v="14040"/>
    <n v="85701"/>
    <n v="14046"/>
    <n v="1428.35"/>
    <n v="84272.65"/>
    <n v="1428.35"/>
    <n v="51260"/>
    <n v="714.17"/>
    <s v="P"/>
    <m/>
    <s v="4103594 - B"/>
    <m/>
    <s v="Internal"/>
    <s v="A"/>
    <s v="SL"/>
    <m/>
    <s v="WCNX"/>
    <n v="0"/>
    <n v="0"/>
    <m/>
    <x v="6"/>
    <n v="3"/>
    <n v="2022"/>
    <n v="2032"/>
    <n v="2032.25"/>
    <n v="714.17500000000007"/>
    <n v="8570.1"/>
    <n v="8570.1"/>
    <n v="0"/>
    <n v="8570.1"/>
    <n v="77130.899999999994"/>
    <x v="0"/>
  </r>
  <r>
    <n v="2180"/>
    <n v="277259"/>
    <n v="272739"/>
    <s v="Decals for New Isuzu Retriever 8 YD"/>
    <m/>
    <m/>
    <m/>
    <m/>
    <n v="0"/>
    <s v="ALICIA B JENNINGS"/>
    <m/>
    <s v="Non-Rolling Stock"/>
    <d v="2022-04-06T00:00:00"/>
    <d v="2022-04-06T00:00:00"/>
    <s v="2180-22-0022-1"/>
    <n v="1000"/>
    <n v="14040"/>
    <n v="413.15"/>
    <n v="14046"/>
    <n v="6.89"/>
    <n v="406.26"/>
    <n v="6.89"/>
    <n v="51260"/>
    <n v="3.45"/>
    <s v="P"/>
    <m/>
    <n v="306"/>
    <m/>
    <s v="Internal"/>
    <s v="A"/>
    <s v="SL"/>
    <m/>
    <s v="WCNX"/>
    <n v="0"/>
    <n v="0"/>
    <m/>
    <x v="6"/>
    <n v="4"/>
    <n v="2022"/>
    <n v="2032"/>
    <n v="2032.3333333333333"/>
    <n v="3.4429166666666666"/>
    <n v="41.314999999999998"/>
    <n v="41.314999999999998"/>
    <n v="0"/>
    <n v="41.314999999999998"/>
    <n v="371.83499999999998"/>
    <x v="0"/>
  </r>
  <r>
    <n v="2180"/>
    <n v="276005"/>
    <s v="P"/>
    <s v="New Fuel Cloud Kiosk/System Install"/>
    <n v="1"/>
    <m/>
    <m/>
    <m/>
    <n v="0"/>
    <s v="NW PUMP &amp;EQUIPMENT"/>
    <m/>
    <m/>
    <d v="2022-02-21T00:00:00"/>
    <d v="2022-02-21T00:00:00"/>
    <s v="2180-22-0025-1"/>
    <n v="500"/>
    <n v="14070"/>
    <n v="3497.65"/>
    <n v="14076"/>
    <n v="174.88"/>
    <n v="3322.77"/>
    <n v="174.88"/>
    <n v="51260"/>
    <n v="58.29"/>
    <s v="P"/>
    <m/>
    <s v="3299550-00"/>
    <m/>
    <s v="Internal"/>
    <s v="A"/>
    <s v="SL"/>
    <m/>
    <s v="WCNX"/>
    <n v="0"/>
    <n v="0"/>
    <m/>
    <x v="3"/>
    <n v="2"/>
    <n v="2022"/>
    <n v="2027"/>
    <n v="2027.1666666666667"/>
    <n v="58.294166666666662"/>
    <n v="699.53"/>
    <n v="699.53"/>
    <n v="0"/>
    <n v="699.53"/>
    <n v="2798.12"/>
    <x v="0"/>
  </r>
  <r>
    <n v="2180"/>
    <n v="275842"/>
    <s v="P"/>
    <s v="New Electrical Restructuring for Weld Shop"/>
    <m/>
    <m/>
    <m/>
    <s v="94-3283464"/>
    <n v="0"/>
    <s v="MB ELECTRIC LLC"/>
    <m/>
    <m/>
    <d v="2022-03-22T00:00:00"/>
    <d v="2022-03-22T00:00:00"/>
    <s v="2180-22-0026-1"/>
    <n v="800"/>
    <n v="14090"/>
    <n v="45912.99"/>
    <n v="14096"/>
    <n v="956.52"/>
    <n v="44956.47"/>
    <n v="956.52"/>
    <n v="57260"/>
    <n v="478.26"/>
    <s v="P"/>
    <m/>
    <n v="14374"/>
    <m/>
    <s v="Internal"/>
    <s v="A"/>
    <s v="SL"/>
    <m/>
    <s v="WCNX"/>
    <n v="0"/>
    <n v="0"/>
    <m/>
    <x v="5"/>
    <n v="3"/>
    <n v="2022"/>
    <n v="2030"/>
    <n v="2030.25"/>
    <n v="478.2603125"/>
    <n v="5739.1237499999997"/>
    <n v="5739.1237499999997"/>
    <n v="0"/>
    <n v="5739.1237499999997"/>
    <n v="40173.866249999999"/>
    <x v="0"/>
  </r>
  <r>
    <n v="2180"/>
    <n v="274957"/>
    <s v="P"/>
    <s v="95G Recycle Carts"/>
    <n v="702"/>
    <m/>
    <m/>
    <m/>
    <n v="0"/>
    <s v="REHRIG PACIFIC COMPANY IN"/>
    <m/>
    <s v="Non-Container Audit"/>
    <d v="2022-01-25T00:00:00"/>
    <d v="2022-01-25T00:00:00"/>
    <s v="2180-22-0023-3"/>
    <n v="700"/>
    <n v="14050"/>
    <n v="48029.97"/>
    <n v="14056"/>
    <n v="2287.14"/>
    <n v="45742.83"/>
    <n v="2287.14"/>
    <n v="54260"/>
    <n v="571.78"/>
    <s v="P"/>
    <m/>
    <n v="50219735"/>
    <m/>
    <s v="Internal"/>
    <s v="A"/>
    <s v="SL"/>
    <m/>
    <s v="WCNX"/>
    <n v="0"/>
    <n v="0"/>
    <m/>
    <x v="7"/>
    <n v="1"/>
    <n v="2022"/>
    <n v="2029"/>
    <n v="2029.0833333333333"/>
    <n v="571.78535714285715"/>
    <n v="6861.4242857142854"/>
    <n v="6861.4242857142854"/>
    <n v="0"/>
    <n v="6861.4242857142854"/>
    <n v="41168.545714285719"/>
    <x v="0"/>
  </r>
  <r>
    <n v="2180"/>
    <n v="274956"/>
    <s v="P"/>
    <s v="95G YW Carts"/>
    <n v="1404"/>
    <m/>
    <m/>
    <m/>
    <n v="0"/>
    <s v="REHRIG PACIFIC COMPANY IN"/>
    <m/>
    <s v="Non-Container Audit"/>
    <d v="2022-01-26T00:00:00"/>
    <d v="2022-01-26T00:00:00"/>
    <s v="2180-22-0023-2"/>
    <n v="700"/>
    <n v="14050"/>
    <n v="96059.94"/>
    <n v="14056"/>
    <n v="4574.28"/>
    <n v="91485.66"/>
    <n v="4574.28"/>
    <n v="54260"/>
    <n v="1143.57"/>
    <s v="P"/>
    <m/>
    <n v="50220003"/>
    <m/>
    <s v="Internal"/>
    <s v="A"/>
    <s v="SL"/>
    <m/>
    <s v="WCNX"/>
    <n v="0"/>
    <n v="0"/>
    <m/>
    <x v="8"/>
    <n v="1"/>
    <n v="2022"/>
    <n v="2029"/>
    <n v="2029.0833333333333"/>
    <n v="1143.5707142857143"/>
    <n v="13722.848571428571"/>
    <n v="13722.848571428571"/>
    <n v="0"/>
    <n v="13722.848571428571"/>
    <n v="82337.091428571439"/>
    <x v="0"/>
  </r>
  <r>
    <n v="2180"/>
    <n v="274955"/>
    <s v="P"/>
    <s v="95G MSW Carts"/>
    <n v="702"/>
    <m/>
    <m/>
    <m/>
    <n v="0"/>
    <s v="REHRIG PACIFIC COMPANY IN"/>
    <m/>
    <s v="Non-Container Audit"/>
    <d v="2022-01-26T00:00:00"/>
    <d v="2022-01-26T00:00:00"/>
    <s v="2180-22-0023-1"/>
    <n v="700"/>
    <n v="14050"/>
    <n v="48029.97"/>
    <n v="14056"/>
    <n v="2287.14"/>
    <n v="45742.83"/>
    <n v="2287.14"/>
    <n v="54260"/>
    <n v="571.78"/>
    <s v="P"/>
    <m/>
    <n v="50220003"/>
    <m/>
    <s v="Internal"/>
    <s v="A"/>
    <s v="SL"/>
    <m/>
    <s v="WCNX"/>
    <n v="0"/>
    <n v="0"/>
    <m/>
    <x v="9"/>
    <n v="1"/>
    <n v="2022"/>
    <n v="2029"/>
    <n v="2029.0833333333333"/>
    <n v="571.78535714285715"/>
    <n v="6861.4242857142854"/>
    <n v="6861.4242857142854"/>
    <n v="0"/>
    <n v="6861.4242857142854"/>
    <n v="41168.545714285719"/>
    <x v="0"/>
  </r>
  <r>
    <n v="2180"/>
    <n v="274954"/>
    <s v="P"/>
    <s v="95G MSW Carts"/>
    <n v="702"/>
    <m/>
    <m/>
    <m/>
    <n v="0"/>
    <s v="REHRIG PACIFIC COMPANY IN"/>
    <m/>
    <s v="Non-Container Audit"/>
    <d v="2022-01-25T00:00:00"/>
    <d v="2022-01-25T00:00:00"/>
    <s v="2180-22-0023-1"/>
    <n v="700"/>
    <n v="14050"/>
    <n v="48029.97"/>
    <n v="14056"/>
    <n v="2287.14"/>
    <n v="45742.83"/>
    <n v="2287.14"/>
    <n v="54260"/>
    <n v="571.78"/>
    <s v="P"/>
    <m/>
    <n v="50219735"/>
    <m/>
    <s v="Internal"/>
    <s v="A"/>
    <s v="SL"/>
    <m/>
    <s v="WCNX"/>
    <n v="0"/>
    <n v="0"/>
    <m/>
    <x v="9"/>
    <n v="1"/>
    <n v="2022"/>
    <n v="2029"/>
    <n v="2029.0833333333333"/>
    <n v="571.78535714285715"/>
    <n v="6861.4242857142854"/>
    <n v="6861.4242857142854"/>
    <n v="0"/>
    <n v="6861.4242857142854"/>
    <n v="41168.545714285719"/>
    <x v="0"/>
  </r>
  <r>
    <n v="2180"/>
    <n v="274855"/>
    <s v="P"/>
    <s v="95G Rec Carts"/>
    <n v="702"/>
    <m/>
    <m/>
    <m/>
    <n v="0"/>
    <s v="REHRIG PACIFIC COMPANY IN"/>
    <m/>
    <s v="Non-Container Audit"/>
    <d v="2022-01-24T00:00:00"/>
    <d v="2022-01-24T00:00:00"/>
    <s v="2180-22-0023-3"/>
    <n v="700"/>
    <n v="14050"/>
    <n v="48029.97"/>
    <n v="14056"/>
    <n v="2287.14"/>
    <n v="45742.83"/>
    <n v="2287.14"/>
    <n v="54260"/>
    <n v="571.78"/>
    <s v="P"/>
    <m/>
    <n v="50219488"/>
    <m/>
    <s v="Internal"/>
    <s v="A"/>
    <s v="SL"/>
    <m/>
    <s v="WCNX"/>
    <n v="0"/>
    <n v="0"/>
    <m/>
    <x v="7"/>
    <n v="1"/>
    <n v="2022"/>
    <n v="2029"/>
    <n v="2029.0833333333333"/>
    <n v="571.78535714285715"/>
    <n v="6861.4242857142854"/>
    <n v="6861.4242857142854"/>
    <n v="0"/>
    <n v="6861.4242857142854"/>
    <n v="41168.545714285719"/>
    <x v="0"/>
  </r>
  <r>
    <n v="2180"/>
    <n v="274613"/>
    <s v="P"/>
    <s v="New Fuel Cloud Kiosk/System Install"/>
    <n v="1"/>
    <m/>
    <m/>
    <m/>
    <n v="0"/>
    <s v="NORTHWEST PUMP"/>
    <m/>
    <m/>
    <d v="2022-02-21T00:00:00"/>
    <d v="2022-02-21T00:00:00"/>
    <s v="2180-22-0025-1"/>
    <n v="500"/>
    <n v="14070"/>
    <n v="9288.67"/>
    <n v="14076"/>
    <n v="464.43"/>
    <n v="8824.24"/>
    <n v="464.43"/>
    <n v="51260"/>
    <n v="154.81"/>
    <s v="P"/>
    <m/>
    <s v="3294174-00"/>
    <m/>
    <s v="Internal"/>
    <s v="A"/>
    <s v="SL"/>
    <m/>
    <s v="WCNX"/>
    <n v="0"/>
    <n v="0"/>
    <m/>
    <x v="3"/>
    <n v="2"/>
    <n v="2022"/>
    <n v="2027"/>
    <n v="2027.1666666666667"/>
    <n v="154.81116666666665"/>
    <n v="1857.7339999999999"/>
    <n v="1857.7339999999999"/>
    <n v="0"/>
    <n v="1857.7339999999999"/>
    <n v="7430.9359999999997"/>
    <x v="0"/>
  </r>
  <r>
    <n v="2180"/>
    <n v="272739"/>
    <s v="P"/>
    <s v="2022 Isuzu NRR Retriever Chassis 8YD"/>
    <m/>
    <m/>
    <s v="JALE5W16XN7304897"/>
    <m/>
    <n v="2021"/>
    <s v="N/A"/>
    <s v="N/A"/>
    <s v="Automated Sideload"/>
    <d v="2022-01-02T00:00:00"/>
    <d v="2022-01-02T00:00:00"/>
    <s v="2180-21-0020-1"/>
    <n v="1000"/>
    <n v="14040"/>
    <n v="66358.58"/>
    <n v="14046"/>
    <n v="2764.94"/>
    <n v="63593.64"/>
    <n v="2764.94"/>
    <n v="51260"/>
    <n v="552.99"/>
    <s v="P"/>
    <m/>
    <s v="4103594 - A"/>
    <m/>
    <s v="Internal"/>
    <s v="A"/>
    <s v="SL"/>
    <m/>
    <s v="WCNX"/>
    <n v="0"/>
    <n v="0"/>
    <m/>
    <x v="6"/>
    <n v="1"/>
    <n v="2022"/>
    <n v="2032"/>
    <n v="2032.0833333333333"/>
    <n v="552.98816666666664"/>
    <n v="6635.8580000000002"/>
    <n v="6635.8580000000002"/>
    <n v="0"/>
    <n v="6635.8580000000002"/>
    <n v="59722.722000000002"/>
    <x v="0"/>
  </r>
  <r>
    <n v="2180"/>
    <n v="270762"/>
    <s v="P"/>
    <s v="3rd Eye Camera - Credit"/>
    <m/>
    <m/>
    <m/>
    <m/>
    <n v="0"/>
    <m/>
    <m/>
    <m/>
    <d v="2021-12-31T00:00:00"/>
    <d v="2021-12-31T00:00:00"/>
    <s v="1010-21-0039"/>
    <n v="500"/>
    <n v="14070"/>
    <n v="-1808.92"/>
    <n v="14076"/>
    <n v="-150.74"/>
    <n v="-1658.18"/>
    <n v="-150.74"/>
    <n v="51260"/>
    <n v="-30.15"/>
    <s v="P"/>
    <m/>
    <m/>
    <m/>
    <s v="Internal"/>
    <s v="A"/>
    <s v="SL"/>
    <m/>
    <s v="WCNX"/>
    <n v="0"/>
    <n v="0"/>
    <m/>
    <x v="10"/>
    <n v="12"/>
    <n v="2021"/>
    <n v="2026"/>
    <n v="2027"/>
    <n v="-30.148666666666667"/>
    <n v="-361.78399999999999"/>
    <n v="-361.78399999999999"/>
    <n v="0"/>
    <n v="-361.78399999999999"/>
    <n v="-1447.136"/>
    <x v="0"/>
  </r>
  <r>
    <n v="2180"/>
    <n v="270761"/>
    <s v="P"/>
    <s v="3rd Eye Camera - installs"/>
    <m/>
    <m/>
    <m/>
    <m/>
    <n v="0"/>
    <m/>
    <m/>
    <m/>
    <d v="2021-12-31T00:00:00"/>
    <d v="2021-12-31T00:00:00"/>
    <s v="1010-21-0039"/>
    <n v="500"/>
    <n v="14070"/>
    <n v="29847.18"/>
    <n v="14076"/>
    <n v="2487.27"/>
    <n v="27359.91"/>
    <n v="2487.27"/>
    <n v="51260"/>
    <n v="497.46"/>
    <s v="P"/>
    <m/>
    <m/>
    <m/>
    <s v="Internal"/>
    <s v="A"/>
    <s v="SL"/>
    <m/>
    <s v="WCNX"/>
    <n v="0"/>
    <n v="0"/>
    <m/>
    <x v="10"/>
    <n v="12"/>
    <n v="2021"/>
    <n v="2026"/>
    <n v="2027"/>
    <n v="497.45299999999997"/>
    <n v="5969.4359999999997"/>
    <n v="5969.4359999999997"/>
    <n v="0"/>
    <n v="5969.4359999999997"/>
    <n v="23877.743999999999"/>
    <x v="0"/>
  </r>
  <r>
    <n v="2180"/>
    <n v="270730"/>
    <s v="P"/>
    <s v="3rd Eye Camera -Cables"/>
    <m/>
    <m/>
    <m/>
    <m/>
    <n v="0"/>
    <m/>
    <m/>
    <m/>
    <d v="2021-12-31T00:00:00"/>
    <d v="2021-12-31T00:00:00"/>
    <s v="1010-21-0039"/>
    <n v="500"/>
    <n v="14070"/>
    <n v="198.94"/>
    <n v="14076"/>
    <n v="16.579999999999998"/>
    <n v="182.36"/>
    <n v="16.579999999999998"/>
    <n v="51260"/>
    <n v="3.32"/>
    <s v="P"/>
    <m/>
    <m/>
    <m/>
    <s v="Internal"/>
    <s v="A"/>
    <s v="SL"/>
    <m/>
    <s v="WCNX"/>
    <n v="0"/>
    <n v="0"/>
    <m/>
    <x v="10"/>
    <n v="12"/>
    <n v="2021"/>
    <n v="2026"/>
    <n v="2027"/>
    <n v="3.3156666666666665"/>
    <n v="39.787999999999997"/>
    <n v="39.787999999999997"/>
    <n v="0"/>
    <n v="39.787999999999997"/>
    <n v="159.15199999999999"/>
    <x v="0"/>
  </r>
  <r>
    <n v="2180"/>
    <n v="270623"/>
    <s v="P"/>
    <s v="3rd Eye Camera"/>
    <n v="46"/>
    <m/>
    <m/>
    <m/>
    <n v="0"/>
    <m/>
    <m/>
    <m/>
    <d v="2021-12-31T00:00:00"/>
    <d v="2021-12-31T00:00:00"/>
    <s v="1010-21-0039"/>
    <n v="500"/>
    <n v="14070"/>
    <n v="25497.93"/>
    <n v="14076"/>
    <n v="2124.83"/>
    <n v="23373.1"/>
    <n v="2124.83"/>
    <n v="51260"/>
    <n v="424.97"/>
    <s v="P"/>
    <m/>
    <m/>
    <m/>
    <s v="Internal"/>
    <s v="A"/>
    <s v="SL"/>
    <m/>
    <s v="WCNX"/>
    <n v="0"/>
    <n v="0"/>
    <m/>
    <x v="10"/>
    <n v="12"/>
    <n v="2021"/>
    <n v="2026"/>
    <n v="2027"/>
    <n v="424.96550000000002"/>
    <n v="5099.5860000000002"/>
    <n v="5099.5860000000002"/>
    <n v="0"/>
    <n v="5099.5860000000002"/>
    <n v="20398.344000000001"/>
    <x v="0"/>
  </r>
  <r>
    <n v="2180"/>
    <n v="270129"/>
    <s v="P"/>
    <s v="2y REL Metal Containers"/>
    <n v="36"/>
    <m/>
    <m/>
    <m/>
    <n v="0"/>
    <s v="CAPITAL INDUSTRIES INC"/>
    <m/>
    <s v="2 YD REL Container"/>
    <d v="2021-12-27T00:00:00"/>
    <d v="2021-12-27T00:00:00"/>
    <s v="2180-21-0016-2"/>
    <n v="1200"/>
    <n v="14050"/>
    <n v="33870.239999999998"/>
    <n v="14056"/>
    <n v="1176.05"/>
    <n v="32694.19"/>
    <n v="1176.05"/>
    <n v="54260"/>
    <n v="235.21"/>
    <s v="P"/>
    <m/>
    <n v="170486"/>
    <m/>
    <s v="Internal"/>
    <s v="A"/>
    <s v="SL"/>
    <m/>
    <s v="WCNX"/>
    <n v="0"/>
    <n v="0"/>
    <m/>
    <x v="11"/>
    <n v="12"/>
    <n v="2021"/>
    <n v="2033"/>
    <n v="2034"/>
    <n v="235.21"/>
    <n v="2822.52"/>
    <n v="2822.52"/>
    <n v="0"/>
    <n v="2822.52"/>
    <n v="31047.719999999998"/>
    <x v="0"/>
  </r>
  <r>
    <n v="2180"/>
    <n v="270117"/>
    <s v="P"/>
    <s v="1.5yd REL Metal Containers"/>
    <n v="28"/>
    <m/>
    <m/>
    <m/>
    <n v="0"/>
    <s v="CAPITAL INDUSTRIES INC"/>
    <m/>
    <s v="1.5 YD REL Container"/>
    <d v="2021-12-27T00:00:00"/>
    <d v="2021-12-27T00:00:00"/>
    <s v="2180-21-0016-1"/>
    <n v="1200"/>
    <n v="14050"/>
    <n v="25730.880000000001"/>
    <n v="14056"/>
    <n v="893.43"/>
    <n v="24837.45"/>
    <n v="893.43"/>
    <n v="54260"/>
    <n v="178.68"/>
    <s v="P"/>
    <m/>
    <n v="170485"/>
    <m/>
    <s v="Internal"/>
    <s v="A"/>
    <s v="SL"/>
    <m/>
    <s v="WCNX"/>
    <n v="0"/>
    <n v="0"/>
    <m/>
    <x v="11"/>
    <n v="12"/>
    <n v="2021"/>
    <n v="2033"/>
    <n v="2034"/>
    <n v="178.6866666666667"/>
    <n v="2144.2400000000002"/>
    <n v="2144.2400000000002"/>
    <n v="0"/>
    <n v="2144.2400000000002"/>
    <n v="23586.639999999999"/>
    <x v="0"/>
  </r>
  <r>
    <n v="2180"/>
    <n v="270114"/>
    <s v="P"/>
    <s v="1.5y REL Metal Containers"/>
    <n v="8"/>
    <m/>
    <m/>
    <m/>
    <n v="0"/>
    <s v="CAPITAL INDUSTRIES INC"/>
    <m/>
    <s v="1.5 YD REL Container"/>
    <d v="2021-12-27T00:00:00"/>
    <d v="2021-12-27T00:00:00"/>
    <s v="2180-21-0016-1"/>
    <n v="1200"/>
    <n v="14050"/>
    <n v="7351.68"/>
    <n v="14056"/>
    <n v="255.27"/>
    <n v="7096.41"/>
    <n v="255.27"/>
    <n v="54260"/>
    <n v="51.06"/>
    <s v="P"/>
    <m/>
    <n v="170492"/>
    <m/>
    <s v="Internal"/>
    <s v="A"/>
    <s v="SL"/>
    <m/>
    <s v="WCNX"/>
    <n v="0"/>
    <n v="0"/>
    <m/>
    <x v="11"/>
    <n v="12"/>
    <n v="2021"/>
    <n v="2033"/>
    <n v="2034"/>
    <n v="51.053333333333335"/>
    <n v="612.64"/>
    <n v="612.64"/>
    <n v="0"/>
    <n v="612.64"/>
    <n v="6739.04"/>
    <x v="0"/>
  </r>
  <r>
    <n v="2180"/>
    <n v="266035"/>
    <s v="P"/>
    <s v="HP 250 G8 Serial # : CND137662V"/>
    <n v="1"/>
    <m/>
    <m/>
    <m/>
    <n v="0"/>
    <s v="CDW DIR #PO  2180-21-0"/>
    <m/>
    <m/>
    <d v="2021-11-16T00:00:00"/>
    <d v="2021-11-16T00:00:00"/>
    <s v="2180-21-0018-1"/>
    <n v="300"/>
    <n v="14110"/>
    <n v="1407.06"/>
    <n v="14116"/>
    <n v="234.52"/>
    <n v="1172.54"/>
    <n v="195.43"/>
    <n v="70260"/>
    <n v="39.090000000000003"/>
    <s v="P"/>
    <m/>
    <s v="N670677"/>
    <m/>
    <s v="Internal"/>
    <s v="A"/>
    <s v="SL"/>
    <m/>
    <s v="WCNX"/>
    <n v="0"/>
    <n v="0"/>
    <m/>
    <x v="0"/>
    <n v="11"/>
    <n v="2021"/>
    <n v="2024"/>
    <n v="2024.9166666666667"/>
    <n v="39.085000000000001"/>
    <n v="469.02"/>
    <n v="469.02"/>
    <n v="0"/>
    <n v="469.02"/>
    <n v="938.04"/>
    <x v="0"/>
  </r>
  <r>
    <n v="2180"/>
    <n v="265456"/>
    <s v="P"/>
    <s v="Drive Cam Units"/>
    <n v="1"/>
    <m/>
    <m/>
    <m/>
    <n v="0"/>
    <m/>
    <m/>
    <m/>
    <d v="2021-11-01T00:00:00"/>
    <d v="2021-11-01T00:00:00"/>
    <s v="1010-21-0038"/>
    <n v="500"/>
    <n v="14070"/>
    <n v="539.04999999999995"/>
    <n v="14076"/>
    <n v="62.89"/>
    <n v="476.15999999999997"/>
    <n v="44.92"/>
    <n v="51260"/>
    <n v="8.98"/>
    <s v="P"/>
    <m/>
    <m/>
    <m/>
    <s v="Internal"/>
    <s v="A"/>
    <s v="SL"/>
    <m/>
    <s v="WCNX"/>
    <n v="0"/>
    <n v="0"/>
    <m/>
    <x v="10"/>
    <n v="11"/>
    <n v="2021"/>
    <n v="2026"/>
    <n v="2026.9166666666667"/>
    <n v="8.9841666666666651"/>
    <n v="107.80999999999997"/>
    <n v="107.80999999999997"/>
    <n v="0"/>
    <n v="107.80999999999997"/>
    <n v="431.24"/>
    <x v="0"/>
  </r>
  <r>
    <n v="2180"/>
    <n v="264760"/>
    <s v="P"/>
    <s v="30 yd Roll Off Boxes"/>
    <n v="2"/>
    <m/>
    <m/>
    <m/>
    <n v="0"/>
    <s v="CAPITAL INDUSTRIES INC"/>
    <m/>
    <s v="30 YD RO Box"/>
    <d v="2021-10-29T00:00:00"/>
    <d v="2021-10-29T00:00:00"/>
    <s v="2180-21-0010-2"/>
    <n v="1200"/>
    <n v="14050"/>
    <n v="11960"/>
    <n v="14056"/>
    <n v="581.39"/>
    <n v="11378.61"/>
    <n v="415.28"/>
    <n v="54260"/>
    <n v="83.06"/>
    <s v="P"/>
    <m/>
    <n v="169562"/>
    <m/>
    <s v="Internal"/>
    <s v="A"/>
    <s v="SL"/>
    <m/>
    <s v="WCNX"/>
    <n v="0"/>
    <n v="0"/>
    <m/>
    <x v="12"/>
    <n v="10"/>
    <n v="2021"/>
    <n v="2033"/>
    <n v="2033.8333333333333"/>
    <n v="83.055555555555557"/>
    <n v="996.66666666666674"/>
    <n v="996.66666666666674"/>
    <n v="0"/>
    <n v="996.66666666666674"/>
    <n v="10963.333333333334"/>
    <x v="0"/>
  </r>
  <r>
    <n v="2180"/>
    <n v="264292"/>
    <s v="P"/>
    <s v="30 yd Roll Off Boxes"/>
    <n v="2"/>
    <m/>
    <m/>
    <m/>
    <n v="0"/>
    <s v="CAPITAL INDUSTRIES INC"/>
    <m/>
    <s v="30 YD RO Box"/>
    <d v="2021-10-29T00:00:00"/>
    <d v="2021-10-29T00:00:00"/>
    <s v="2180-21-0010-2"/>
    <n v="1200"/>
    <n v="14050"/>
    <n v="14200"/>
    <n v="14056"/>
    <n v="690.27"/>
    <n v="13509.73"/>
    <n v="493.05"/>
    <n v="54260"/>
    <n v="98.61"/>
    <s v="P"/>
    <m/>
    <n v="168236"/>
    <m/>
    <s v="Internal"/>
    <s v="A"/>
    <s v="SL"/>
    <m/>
    <s v="WCNX"/>
    <n v="0"/>
    <n v="0"/>
    <m/>
    <x v="12"/>
    <n v="10"/>
    <n v="2021"/>
    <n v="2033"/>
    <n v="2033.8333333333333"/>
    <n v="98.6111111111111"/>
    <n v="1183.3333333333333"/>
    <n v="1183.3333333333333"/>
    <n v="0"/>
    <n v="1183.3333333333333"/>
    <n v="13016.666666666666"/>
    <x v="0"/>
  </r>
  <r>
    <n v="2180"/>
    <n v="263831"/>
    <n v="263830"/>
    <s v="Docking station for new laptop Serial #AH5KHKDB35401235"/>
    <n v="1"/>
    <m/>
    <m/>
    <m/>
    <n v="0"/>
    <s v="AMZN MKTP US 278LK3UZ0"/>
    <m/>
    <m/>
    <d v="2021-09-24T00:00:00"/>
    <d v="2021-09-24T00:00:00"/>
    <s v="2180-21-0017-1"/>
    <n v="300"/>
    <n v="14110"/>
    <n v="262.73"/>
    <n v="14116"/>
    <n v="58.39"/>
    <n v="204.34000000000003"/>
    <n v="36.49"/>
    <n v="70260"/>
    <n v="7.3"/>
    <s v="P"/>
    <m/>
    <n v="281824"/>
    <m/>
    <s v="Internal"/>
    <s v="A"/>
    <s v="SL"/>
    <m/>
    <s v="WCNX"/>
    <n v="0"/>
    <n v="0"/>
    <m/>
    <x v="0"/>
    <n v="9"/>
    <n v="2021"/>
    <n v="2024"/>
    <n v="2024.75"/>
    <n v="7.298055555555556"/>
    <n v="87.576666666666668"/>
    <n v="87.576666666666668"/>
    <n v="0"/>
    <n v="87.576666666666668"/>
    <n v="175.15333333333336"/>
    <x v="0"/>
  </r>
  <r>
    <n v="2180"/>
    <n v="263830"/>
    <s v="P"/>
    <s v="HP Probook S/N #5CD1321QPW"/>
    <n v="1"/>
    <m/>
    <m/>
    <m/>
    <n v="0"/>
    <s v="CDW DIR #PO  2180-21-0"/>
    <m/>
    <m/>
    <d v="2021-09-24T00:00:00"/>
    <d v="2021-09-24T00:00:00"/>
    <s v="2180-21-0017-1"/>
    <n v="300"/>
    <n v="14110"/>
    <n v="1173.05"/>
    <n v="14116"/>
    <n v="260.69"/>
    <n v="912.3599999999999"/>
    <n v="162.93"/>
    <n v="70260"/>
    <n v="32.590000000000003"/>
    <s v="P"/>
    <m/>
    <s v="L262072"/>
    <m/>
    <s v="Internal"/>
    <s v="A"/>
    <s v="SL"/>
    <m/>
    <s v="WCNX"/>
    <n v="0"/>
    <n v="0"/>
    <m/>
    <x v="0"/>
    <n v="9"/>
    <n v="2021"/>
    <n v="2024"/>
    <n v="2024.75"/>
    <n v="32.584722222222219"/>
    <n v="391.01666666666665"/>
    <n v="391.01666666666665"/>
    <n v="0"/>
    <n v="391.01666666666665"/>
    <n v="782.0333333333333"/>
    <x v="0"/>
  </r>
  <r>
    <n v="2180"/>
    <n v="260012"/>
    <s v="P"/>
    <s v="6yd FEL Commerial Container"/>
    <n v="7"/>
    <m/>
    <m/>
    <m/>
    <n v="0"/>
    <s v="CAPITAL INDUSTRIES INC"/>
    <m/>
    <s v="6 YD FEL Container"/>
    <d v="2021-07-30T00:00:00"/>
    <d v="2021-07-30T00:00:00"/>
    <s v="2180-21-0011-4"/>
    <n v="1200"/>
    <n v="14050"/>
    <n v="10682.91"/>
    <n v="14056"/>
    <n v="741.87"/>
    <n v="9941.0399999999991"/>
    <n v="370.93"/>
    <n v="54260"/>
    <n v="74.180000000000007"/>
    <s v="P"/>
    <m/>
    <n v="167973"/>
    <m/>
    <s v="Internal"/>
    <s v="A"/>
    <s v="SL"/>
    <m/>
    <s v="WCNX"/>
    <n v="0"/>
    <n v="0"/>
    <m/>
    <x v="11"/>
    <n v="7"/>
    <n v="2021"/>
    <n v="2033"/>
    <n v="2033.5833333333333"/>
    <n v="74.186875000000001"/>
    <n v="890.24250000000006"/>
    <n v="890.24250000000006"/>
    <n v="0"/>
    <n v="890.24250000000006"/>
    <n v="9792.6674999999996"/>
    <x v="0"/>
  </r>
  <r>
    <n v="2180"/>
    <n v="260011"/>
    <s v="P"/>
    <s v="6yd FEL Commercial Container"/>
    <n v="7"/>
    <m/>
    <m/>
    <m/>
    <n v="0"/>
    <s v="CAPITAL INDUSTRIES INC"/>
    <m/>
    <s v="6 YD FEL Container"/>
    <d v="2021-07-30T00:00:00"/>
    <d v="2021-07-30T00:00:00"/>
    <s v="2180-21-0011-4"/>
    <n v="1200"/>
    <n v="14050"/>
    <n v="10682.91"/>
    <n v="14056"/>
    <n v="741.87"/>
    <n v="9941.0399999999991"/>
    <n v="370.93"/>
    <n v="54260"/>
    <n v="74.180000000000007"/>
    <s v="P"/>
    <m/>
    <n v="167972"/>
    <m/>
    <s v="Internal"/>
    <s v="A"/>
    <s v="SL"/>
    <m/>
    <s v="WCNX"/>
    <n v="0"/>
    <n v="0"/>
    <m/>
    <x v="11"/>
    <n v="7"/>
    <n v="2021"/>
    <n v="2033"/>
    <n v="2033.5833333333333"/>
    <n v="74.186875000000001"/>
    <n v="890.24250000000006"/>
    <n v="890.24250000000006"/>
    <n v="0"/>
    <n v="890.24250000000006"/>
    <n v="9792.6674999999996"/>
    <x v="0"/>
  </r>
  <r>
    <n v="2180"/>
    <n v="260010"/>
    <s v="P"/>
    <s v="4yd FEL Commerial Container"/>
    <n v="10"/>
    <m/>
    <m/>
    <m/>
    <n v="0"/>
    <s v="CAPITAL INDUSTRIES INC"/>
    <m/>
    <s v="4 YD FEL Container"/>
    <d v="2021-08-18T00:00:00"/>
    <d v="2021-08-18T00:00:00"/>
    <s v="2180-21-0011-3"/>
    <n v="1200"/>
    <n v="14050"/>
    <n v="10228.9"/>
    <n v="14056"/>
    <n v="639.30999999999995"/>
    <n v="9589.59"/>
    <n v="355.17"/>
    <n v="54260"/>
    <n v="71.03"/>
    <s v="P"/>
    <m/>
    <n v="168293"/>
    <m/>
    <s v="Internal"/>
    <s v="A"/>
    <s v="SL"/>
    <m/>
    <s v="WCNX"/>
    <n v="0"/>
    <n v="0"/>
    <m/>
    <x v="11"/>
    <n v="8"/>
    <n v="2021"/>
    <n v="2033"/>
    <n v="2033.6666666666667"/>
    <n v="71.03402777777778"/>
    <n v="852.4083333333333"/>
    <n v="852.4083333333333"/>
    <n v="0"/>
    <n v="852.4083333333333"/>
    <n v="9376.4916666666668"/>
    <x v="0"/>
  </r>
  <r>
    <n v="2180"/>
    <n v="260009"/>
    <s v="P"/>
    <s v="4yd FEL Commerial Container"/>
    <n v="7"/>
    <m/>
    <m/>
    <m/>
    <n v="0"/>
    <s v="CAPITAL INDUSTRIES INC"/>
    <m/>
    <s v="4 YD FEL Container"/>
    <d v="2021-08-18T00:00:00"/>
    <d v="2021-08-18T00:00:00"/>
    <s v="2180-21-0011-3"/>
    <n v="1200"/>
    <n v="14050"/>
    <n v="7160.23"/>
    <n v="14056"/>
    <n v="447.52"/>
    <n v="6712.7099999999991"/>
    <n v="248.62"/>
    <n v="54260"/>
    <n v="49.72"/>
    <s v="P"/>
    <m/>
    <n v="168292"/>
    <m/>
    <s v="Internal"/>
    <s v="A"/>
    <s v="SL"/>
    <m/>
    <s v="WCNX"/>
    <n v="0"/>
    <n v="0"/>
    <m/>
    <x v="11"/>
    <n v="8"/>
    <n v="2021"/>
    <n v="2033"/>
    <n v="2033.6666666666667"/>
    <n v="49.723819444444445"/>
    <n v="596.68583333333333"/>
    <n v="596.68583333333333"/>
    <n v="0"/>
    <n v="596.68583333333333"/>
    <n v="6563.5441666666666"/>
    <x v="0"/>
  </r>
  <r>
    <n v="2180"/>
    <n v="260008"/>
    <s v="P"/>
    <s v="4yd FEL Commerial Container"/>
    <n v="10"/>
    <m/>
    <m/>
    <m/>
    <n v="0"/>
    <s v="CAPITAL INDUSTRIES INC"/>
    <m/>
    <s v="4 YD FEL Container"/>
    <d v="2021-08-18T00:00:00"/>
    <d v="2021-08-18T00:00:00"/>
    <s v="2180-21-0011-3"/>
    <n v="1200"/>
    <n v="14050"/>
    <n v="10228.9"/>
    <n v="14056"/>
    <n v="639.30999999999995"/>
    <n v="9589.59"/>
    <n v="355.17"/>
    <n v="54260"/>
    <n v="71.03"/>
    <s v="P"/>
    <m/>
    <n v="168289"/>
    <m/>
    <s v="Internal"/>
    <s v="A"/>
    <s v="SL"/>
    <m/>
    <s v="WCNX"/>
    <n v="0"/>
    <n v="0"/>
    <m/>
    <x v="11"/>
    <n v="8"/>
    <n v="2021"/>
    <n v="2033"/>
    <n v="2033.6666666666667"/>
    <n v="71.03402777777778"/>
    <n v="852.4083333333333"/>
    <n v="852.4083333333333"/>
    <n v="0"/>
    <n v="852.4083333333333"/>
    <n v="9376.4916666666668"/>
    <x v="0"/>
  </r>
  <r>
    <n v="2180"/>
    <n v="260007"/>
    <s v="P"/>
    <s v="4 yd FEL Commerial Container"/>
    <n v="9"/>
    <m/>
    <m/>
    <m/>
    <n v="0"/>
    <s v="CAPITAL INDUSTRIES INC"/>
    <m/>
    <s v="4 YD FEL Container"/>
    <d v="2021-08-18T00:00:00"/>
    <d v="2021-08-18T00:00:00"/>
    <s v="2180-21-0011-3"/>
    <n v="1200"/>
    <n v="14050"/>
    <n v="9206.01"/>
    <n v="14056"/>
    <n v="575.37"/>
    <n v="8630.64"/>
    <n v="319.64999999999998"/>
    <n v="54260"/>
    <n v="63.93"/>
    <s v="P"/>
    <m/>
    <n v="168452"/>
    <m/>
    <s v="Internal"/>
    <s v="A"/>
    <s v="SL"/>
    <m/>
    <s v="WCNX"/>
    <n v="0"/>
    <n v="0"/>
    <m/>
    <x v="11"/>
    <n v="8"/>
    <n v="2021"/>
    <n v="2033"/>
    <n v="2033.6666666666667"/>
    <n v="63.930624999999999"/>
    <n v="767.16750000000002"/>
    <n v="767.16750000000002"/>
    <n v="0"/>
    <n v="767.16750000000002"/>
    <n v="8438.8425000000007"/>
    <x v="0"/>
  </r>
  <r>
    <n v="2180"/>
    <n v="260006"/>
    <s v="P"/>
    <s v="2yd FEL Commerial Container"/>
    <n v="10"/>
    <m/>
    <m/>
    <m/>
    <n v="0"/>
    <s v="CAPITAL INDUSTRIES INC"/>
    <m/>
    <s v="2 YD FEL Container"/>
    <d v="2021-08-30T00:00:00"/>
    <d v="2021-08-30T00:00:00"/>
    <s v="2180-21-0011-2"/>
    <n v="1200"/>
    <n v="14050"/>
    <n v="8259.7000000000007"/>
    <n v="14056"/>
    <n v="516.24"/>
    <n v="7743.4600000000009"/>
    <n v="286.8"/>
    <n v="54260"/>
    <n v="57.36"/>
    <s v="P"/>
    <m/>
    <n v="168442"/>
    <m/>
    <s v="Internal"/>
    <s v="A"/>
    <s v="SL"/>
    <m/>
    <s v="WCNX"/>
    <n v="0"/>
    <n v="0"/>
    <m/>
    <x v="11"/>
    <n v="8"/>
    <n v="2021"/>
    <n v="2033"/>
    <n v="2033.6666666666667"/>
    <n v="57.359027777777783"/>
    <n v="688.30833333333339"/>
    <n v="688.30833333333339"/>
    <n v="0"/>
    <n v="688.30833333333339"/>
    <n v="7571.3916666666673"/>
    <x v="0"/>
  </r>
  <r>
    <n v="2180"/>
    <n v="260005"/>
    <s v="P"/>
    <s v="2yd FEL Commerial Container"/>
    <n v="14"/>
    <m/>
    <m/>
    <m/>
    <n v="0"/>
    <s v="CAPITAL INDUSTRIES INC"/>
    <m/>
    <s v="2 YD FEL Container"/>
    <d v="2021-08-30T00:00:00"/>
    <d v="2021-08-30T00:00:00"/>
    <s v="2180-21-0011-2"/>
    <n v="1200"/>
    <n v="14050"/>
    <n v="11563.58"/>
    <n v="14056"/>
    <n v="722.72"/>
    <n v="10840.86"/>
    <n v="401.51"/>
    <n v="54260"/>
    <n v="80.3"/>
    <s v="P"/>
    <m/>
    <n v="168440"/>
    <m/>
    <s v="Internal"/>
    <s v="A"/>
    <s v="SL"/>
    <m/>
    <s v="WCNX"/>
    <n v="0"/>
    <n v="0"/>
    <m/>
    <x v="11"/>
    <n v="8"/>
    <n v="2021"/>
    <n v="2033"/>
    <n v="2033.6666666666667"/>
    <n v="80.302638888888893"/>
    <n v="963.63166666666666"/>
    <n v="963.63166666666666"/>
    <n v="0"/>
    <n v="963.63166666666666"/>
    <n v="10599.948333333334"/>
    <x v="0"/>
  </r>
  <r>
    <n v="2180"/>
    <n v="260004"/>
    <s v="P"/>
    <s v="2yd REL Commercial Containers"/>
    <n v="36"/>
    <m/>
    <m/>
    <m/>
    <n v="0"/>
    <s v="CAPITAL INDUSTRIES INC"/>
    <m/>
    <s v="2 YD REL Container"/>
    <d v="2021-07-30T00:00:00"/>
    <d v="2021-07-30T00:00:00"/>
    <s v="2180-21-0011-1"/>
    <n v="1200"/>
    <n v="14050"/>
    <n v="28553.4"/>
    <n v="14056"/>
    <n v="1982.88"/>
    <n v="26570.52"/>
    <n v="991.44"/>
    <n v="54260"/>
    <n v="198.29"/>
    <s v="P"/>
    <m/>
    <n v="167965"/>
    <m/>
    <s v="Internal"/>
    <s v="A"/>
    <s v="SL"/>
    <m/>
    <s v="WCNX"/>
    <n v="0"/>
    <n v="0"/>
    <m/>
    <x v="11"/>
    <n v="7"/>
    <n v="2021"/>
    <n v="2033"/>
    <n v="2033.5833333333333"/>
    <n v="198.28750000000002"/>
    <n v="2379.4500000000003"/>
    <n v="2379.4500000000003"/>
    <n v="0"/>
    <n v="2379.4500000000003"/>
    <n v="26173.95"/>
    <x v="0"/>
  </r>
  <r>
    <n v="2180"/>
    <n v="259382"/>
    <s v="P"/>
    <s v="40yd Roll Off Lid System w Steel Frame"/>
    <n v="2"/>
    <m/>
    <m/>
    <m/>
    <n v="0"/>
    <s v="IMPACTPLAST"/>
    <m/>
    <s v="40 YD RO Box"/>
    <d v="2021-05-28T00:00:00"/>
    <d v="2021-05-28T00:00:00"/>
    <s v="2180-21-0010-3"/>
    <n v="1200"/>
    <n v="14050"/>
    <n v="7578.72"/>
    <n v="14056"/>
    <n v="631.55999999999995"/>
    <n v="6947.16"/>
    <n v="263.14999999999998"/>
    <n v="54260"/>
    <n v="52.63"/>
    <s v="P"/>
    <m/>
    <n v="1033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374"/>
    <s v="P"/>
    <s v="30yd Roll Off Lid System w/Steel Frame"/>
    <n v="4"/>
    <m/>
    <m/>
    <m/>
    <n v="0"/>
    <s v="IMPACTPLAST"/>
    <m/>
    <s v="30 YD RO Box"/>
    <d v="2021-05-28T00:00:00"/>
    <d v="2021-05-28T00:00:00"/>
    <s v="2180-21-0010-2"/>
    <n v="1200"/>
    <n v="14050"/>
    <n v="15157.46"/>
    <n v="14056"/>
    <n v="1263.1199999999999"/>
    <n v="13894.34"/>
    <n v="526.29999999999995"/>
    <n v="54260"/>
    <n v="105.26"/>
    <s v="P"/>
    <m/>
    <n v="1033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368"/>
    <s v="P"/>
    <s v="20yd Roll Off Lid System w/Steel Frame"/>
    <n v="9"/>
    <m/>
    <m/>
    <m/>
    <n v="0"/>
    <s v="IMPACTPLAST"/>
    <m/>
    <s v="20 YD RO Box"/>
    <d v="2021-05-28T00:00:00"/>
    <d v="2021-05-28T00:00:00"/>
    <s v="2180-21-0010-1"/>
    <n v="1200"/>
    <n v="14050"/>
    <n v="34104.28"/>
    <n v="14056"/>
    <n v="2842.03"/>
    <n v="31262.25"/>
    <n v="1184.18"/>
    <n v="54260"/>
    <n v="236.84"/>
    <s v="P"/>
    <m/>
    <n v="1033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31"/>
    <s v="P"/>
    <s v="6y FEL Commercial Containers"/>
    <n v="4"/>
    <m/>
    <m/>
    <m/>
    <n v="0"/>
    <s v="CAPITAL INDUSTRIES INC"/>
    <m/>
    <s v="6 YD FEL Container"/>
    <d v="2021-07-30T00:00:00"/>
    <d v="2021-07-30T00:00:00"/>
    <s v="2180-21-0011-4"/>
    <n v="1200"/>
    <n v="14050"/>
    <n v="6151.95"/>
    <n v="14056"/>
    <n v="427.22"/>
    <n v="5724.73"/>
    <n v="213.61"/>
    <n v="54260"/>
    <n v="42.72"/>
    <s v="P"/>
    <m/>
    <n v="1679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30"/>
    <s v="P"/>
    <s v="6yd FEL Commercial Containers"/>
    <n v="4"/>
    <m/>
    <m/>
    <m/>
    <n v="0"/>
    <s v="CAPITAL INDUSTRIES INC"/>
    <m/>
    <s v="6 YD FEL Container"/>
    <d v="2021-07-30T00:00:00"/>
    <d v="2021-07-30T00:00:00"/>
    <s v="2180-21-0011-4"/>
    <n v="1200"/>
    <n v="14050"/>
    <n v="6151.95"/>
    <n v="14056"/>
    <n v="427.22"/>
    <n v="5724.73"/>
    <n v="213.61"/>
    <n v="54260"/>
    <n v="42.72"/>
    <s v="P"/>
    <m/>
    <n v="1679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29"/>
    <s v="P"/>
    <s v="6yd FEL Commercial Containers"/>
    <n v="4"/>
    <m/>
    <m/>
    <m/>
    <n v="0"/>
    <s v="CAPITAL INDUSTRIES INC"/>
    <m/>
    <s v="6 YD FEL Container"/>
    <d v="2021-07-30T00:00:00"/>
    <d v="2021-07-30T00:00:00"/>
    <s v="2180-21-0011-4"/>
    <n v="1200"/>
    <n v="14050"/>
    <n v="6151.95"/>
    <n v="14056"/>
    <n v="427.22"/>
    <n v="5724.73"/>
    <n v="213.61"/>
    <n v="54260"/>
    <n v="42.72"/>
    <s v="P"/>
    <m/>
    <n v="1679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28"/>
    <s v="P"/>
    <s v="6yd FEL Commercial Containers"/>
    <n v="4"/>
    <m/>
    <m/>
    <m/>
    <n v="0"/>
    <s v="CAPITAL INDUSTRIES INC"/>
    <m/>
    <s v="6 YD FEL Container"/>
    <d v="2021-07-30T00:00:00"/>
    <d v="2021-07-30T00:00:00"/>
    <s v="2180-21-0011-4"/>
    <n v="1200"/>
    <n v="14050"/>
    <n v="6151.95"/>
    <n v="14056"/>
    <n v="427.22"/>
    <n v="5724.73"/>
    <n v="213.61"/>
    <n v="54260"/>
    <n v="42.72"/>
    <s v="P"/>
    <m/>
    <n v="1679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27"/>
    <s v="P"/>
    <s v="6yd FEL Commercial Containers"/>
    <n v="4"/>
    <m/>
    <m/>
    <m/>
    <n v="0"/>
    <s v="CAPITAL INDUSTRIES INC"/>
    <m/>
    <s v="6 YD FEL Container"/>
    <d v="2021-07-30T00:00:00"/>
    <d v="2021-07-30T00:00:00"/>
    <s v="2180-21-0011-4"/>
    <n v="1200"/>
    <n v="14050"/>
    <n v="6151.95"/>
    <n v="14056"/>
    <n v="427.22"/>
    <n v="5724.73"/>
    <n v="213.61"/>
    <n v="54260"/>
    <n v="42.72"/>
    <s v="P"/>
    <m/>
    <n v="1679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26"/>
    <s v="P"/>
    <s v="6yd FEL Commercial Containers"/>
    <n v="2"/>
    <m/>
    <m/>
    <m/>
    <n v="0"/>
    <s v="CAPITAL INDUSTRIES INC"/>
    <m/>
    <s v="6 YD FEL Container"/>
    <d v="2021-07-30T00:00:00"/>
    <d v="2021-07-30T00:00:00"/>
    <s v="2180-21-0011-4"/>
    <n v="1200"/>
    <n v="14050"/>
    <n v="3052.26"/>
    <n v="14056"/>
    <n v="211.96"/>
    <n v="2840.3"/>
    <n v="105.98"/>
    <n v="54260"/>
    <n v="21.19"/>
    <s v="P"/>
    <m/>
    <n v="1679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9125"/>
    <s v="P"/>
    <s v="40yd Roll Off Boxes"/>
    <n v="2"/>
    <m/>
    <m/>
    <m/>
    <n v="0"/>
    <s v="CAPITAL INDUSTRIES INC"/>
    <m/>
    <s v="40 YD RO Box"/>
    <d v="2021-08-05T00:00:00"/>
    <d v="2021-08-05T00:00:00"/>
    <s v="2180-21-0010-3"/>
    <n v="1200"/>
    <n v="14050"/>
    <n v="15900"/>
    <n v="14056"/>
    <n v="1104.1600000000001"/>
    <n v="14795.84"/>
    <n v="552.08000000000004"/>
    <n v="54260"/>
    <n v="110.41"/>
    <s v="P"/>
    <m/>
    <n v="1682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8991"/>
    <s v="P"/>
    <s v="20yd Roll Off Boxes"/>
    <n v="10"/>
    <m/>
    <m/>
    <m/>
    <n v="0"/>
    <s v="CAPITAL INDUSTRIES INC"/>
    <m/>
    <s v="20 YD RO Box"/>
    <d v="2021-08-01T00:00:00"/>
    <d v="2021-08-01T00:00:00"/>
    <s v="2180-21-0010-1"/>
    <n v="1200"/>
    <n v="14050"/>
    <n v="63900"/>
    <n v="14056"/>
    <n v="4437.5"/>
    <n v="59462.5"/>
    <n v="2218.75"/>
    <n v="54260"/>
    <n v="443.75"/>
    <s v="P"/>
    <m/>
    <n v="1682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6225"/>
    <s v="P"/>
    <s v="95 Gallon Grey Recycle Carts"/>
    <n v="702"/>
    <m/>
    <m/>
    <m/>
    <n v="0"/>
    <s v="REHRIG PACIFIC COMPANY IN"/>
    <m/>
    <s v="Non-Container Audit"/>
    <d v="2021-07-23T00:00:00"/>
    <d v="2021-07-23T00:00:00"/>
    <s v="2180-21-0015-3"/>
    <n v="700"/>
    <n v="14050"/>
    <n v="42661.73"/>
    <n v="14056"/>
    <n v="5078.78"/>
    <n v="37582.950000000004"/>
    <n v="2539.39"/>
    <n v="54260"/>
    <n v="507.88"/>
    <s v="P"/>
    <m/>
    <n v="5018318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6224"/>
    <s v="P"/>
    <s v="95 Gallon Green MSW Carts"/>
    <n v="702"/>
    <m/>
    <m/>
    <m/>
    <n v="0"/>
    <s v="REHRIG PACIFIC COMPANY IN"/>
    <m/>
    <s v="Non-Container Audit"/>
    <d v="2021-07-21T00:00:00"/>
    <d v="2021-07-21T00:00:00"/>
    <s v="2180-21-0015-1"/>
    <n v="700"/>
    <n v="14050"/>
    <n v="42661.73"/>
    <n v="14056"/>
    <n v="5078.78"/>
    <n v="37582.950000000004"/>
    <n v="2539.39"/>
    <n v="54260"/>
    <n v="507.88"/>
    <s v="P"/>
    <m/>
    <n v="501828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6223"/>
    <s v="P"/>
    <s v="95 Gallon Green MSW Carts"/>
    <n v="702"/>
    <m/>
    <m/>
    <m/>
    <n v="0"/>
    <s v="REHRIG PACIFIC COMPANY IN"/>
    <m/>
    <s v="Non-Container Audit"/>
    <d v="2021-07-20T00:00:00"/>
    <d v="2021-07-20T00:00:00"/>
    <s v="2180-21-0015-1"/>
    <n v="700"/>
    <n v="14050"/>
    <n v="42661.74"/>
    <n v="14056"/>
    <n v="5078.78"/>
    <n v="37582.959999999999"/>
    <n v="2539.39"/>
    <n v="54260"/>
    <n v="507.88"/>
    <s v="P"/>
    <m/>
    <n v="50186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6222"/>
    <s v="P"/>
    <s v="95 Gallon Blue Yard Waste Carts"/>
    <n v="702"/>
    <m/>
    <m/>
    <m/>
    <n v="0"/>
    <s v="REHRIG PACIFIC COMPANY IN"/>
    <m/>
    <s v="Non-Container Audit"/>
    <d v="2021-07-21T00:00:00"/>
    <d v="2021-07-21T00:00:00"/>
    <s v="2180-21-0015-2"/>
    <n v="700"/>
    <n v="14050"/>
    <n v="42661.73"/>
    <n v="14056"/>
    <n v="5078.78"/>
    <n v="37582.950000000004"/>
    <n v="2539.39"/>
    <n v="54260"/>
    <n v="507.88"/>
    <s v="P"/>
    <m/>
    <n v="501828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6221"/>
    <s v="P"/>
    <s v="95 Gallon Blue Yard Waste Carts"/>
    <n v="702"/>
    <m/>
    <m/>
    <m/>
    <n v="0"/>
    <s v="REHRIG PACIFIC COMPANY IN"/>
    <m/>
    <s v="Non-Container Audit"/>
    <d v="2021-07-20T00:00:00"/>
    <d v="2021-07-20T00:00:00"/>
    <s v="2180-21-0015-2"/>
    <n v="700"/>
    <n v="14050"/>
    <n v="42661.74"/>
    <n v="14056"/>
    <n v="5078.78"/>
    <n v="37582.959999999999"/>
    <n v="2539.39"/>
    <n v="54260"/>
    <n v="507.88"/>
    <s v="P"/>
    <m/>
    <n v="50186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5409"/>
    <s v="P"/>
    <s v="2021 Ford Pickup Truck"/>
    <m/>
    <m/>
    <s v="1FTMF1CB8MKD87832"/>
    <m/>
    <n v="2021"/>
    <m/>
    <m/>
    <s v="Pick Up Truck"/>
    <d v="2021-04-27T00:00:00"/>
    <d v="2021-04-27T00:00:00"/>
    <s v="2180-21-0002"/>
    <n v="500"/>
    <n v="14040"/>
    <n v="25411.4"/>
    <n v="14046"/>
    <n v="5505.81"/>
    <n v="19905.59"/>
    <n v="2117.62"/>
    <n v="51260"/>
    <n v="423.53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4935"/>
    <s v="P"/>
    <s v="HP Workstation Z2 G5 - MXL1164KL6"/>
    <n v="1"/>
    <m/>
    <m/>
    <m/>
    <n v="0"/>
    <s v="CDW"/>
    <m/>
    <m/>
    <d v="2021-05-19T00:00:00"/>
    <d v="2021-05-19T00:00:00"/>
    <s v="2180-21-0013-1"/>
    <n v="300"/>
    <n v="14110"/>
    <n v="1044.8399999999999"/>
    <n v="14116"/>
    <n v="348.28"/>
    <n v="696.56"/>
    <n v="145.12"/>
    <n v="70260"/>
    <n v="29.03"/>
    <s v="P"/>
    <m/>
    <s v="D4140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4454"/>
    <s v="P"/>
    <s v="20yd RO Container"/>
    <n v="1"/>
    <m/>
    <m/>
    <m/>
    <n v="0"/>
    <s v="IMPACTPLAST"/>
    <m/>
    <s v="20 YD RO Box"/>
    <d v="2021-05-28T00:00:00"/>
    <d v="2021-05-28T00:00:00"/>
    <s v="2180-21-0010-1"/>
    <n v="1200"/>
    <n v="14050"/>
    <n v="4004.92"/>
    <n v="14056"/>
    <n v="333.74"/>
    <n v="3671.1800000000003"/>
    <n v="139.06"/>
    <n v="54260"/>
    <n v="27.81"/>
    <s v="P"/>
    <m/>
    <n v="1033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3027"/>
    <s v="P"/>
    <s v="Docking Station - Kensington triple Display"/>
    <n v="1"/>
    <m/>
    <m/>
    <m/>
    <n v="0"/>
    <s v="Amazon"/>
    <m/>
    <m/>
    <d v="2021-05-17T00:00:00"/>
    <d v="2021-05-17T00:00:00"/>
    <s v="2180-21-0012-1"/>
    <n v="300"/>
    <n v="14110"/>
    <n v="415.32"/>
    <n v="14116"/>
    <n v="138.44"/>
    <n v="276.88"/>
    <n v="57.68"/>
    <n v="70260"/>
    <n v="11.53"/>
    <s v="P"/>
    <m/>
    <s v="112-6448229-61362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3026"/>
    <s v="P"/>
    <s v="HP ProBook 430 GB - 13.3&quot; - 5CD115JTX2"/>
    <n v="1"/>
    <m/>
    <m/>
    <m/>
    <n v="0"/>
    <s v="CDW"/>
    <m/>
    <m/>
    <d v="2021-05-17T00:00:00"/>
    <d v="2021-05-17T00:00:00"/>
    <s v="2180-21-0012-1"/>
    <n v="300"/>
    <n v="14110"/>
    <n v="1079.8599999999999"/>
    <n v="14116"/>
    <n v="359.95"/>
    <n v="719.90999999999985"/>
    <n v="149.97999999999999"/>
    <n v="70260"/>
    <n v="30"/>
    <s v="P"/>
    <m/>
    <s v="D27263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3025"/>
    <s v="P"/>
    <s v="HP ProBook 430 GB - 13.3&quot; - 5CD115JTHG"/>
    <n v="1"/>
    <m/>
    <m/>
    <m/>
    <n v="0"/>
    <s v="CDW"/>
    <m/>
    <m/>
    <d v="2021-05-14T00:00:00"/>
    <d v="2021-05-14T00:00:00"/>
    <s v="2180-21-0009-1"/>
    <n v="300"/>
    <n v="14110"/>
    <n v="1079.8599999999999"/>
    <n v="14116"/>
    <n v="389.95"/>
    <n v="689.90999999999985"/>
    <n v="149.97999999999999"/>
    <n v="70260"/>
    <n v="30"/>
    <s v="P"/>
    <m/>
    <s v="D1818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2759"/>
    <s v="P"/>
    <s v="Kensington SD4820P USB-C Docking Station"/>
    <n v="1"/>
    <m/>
    <m/>
    <m/>
    <n v="0"/>
    <s v="Amazon"/>
    <m/>
    <m/>
    <d v="2021-05-16T00:00:00"/>
    <d v="2021-05-16T00:00:00"/>
    <s v="2180-21-0009-1"/>
    <n v="300"/>
    <n v="14110"/>
    <n v="153.35"/>
    <n v="14116"/>
    <n v="51.12"/>
    <n v="102.22999999999999"/>
    <n v="21.3"/>
    <n v="70260"/>
    <n v="4.26"/>
    <s v="P"/>
    <m/>
    <s v="114-9786367-238022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50767"/>
    <n v="250394"/>
    <s v="Fire Suppression System- Unit 7388"/>
    <m/>
    <m/>
    <m/>
    <m/>
    <n v="0"/>
    <m/>
    <m/>
    <s v="Non Rolling Stock"/>
    <d v="2014-12-16T00:00:00"/>
    <d v="2014-12-16T00:00:00"/>
    <s v="2187-14-0004-1"/>
    <n v="300"/>
    <n v="14030"/>
    <n v="8558.68"/>
    <n v="14036"/>
    <n v="8558.68"/>
    <n v="0"/>
    <n v="0"/>
    <n v="51260"/>
    <n v="0"/>
    <s v="P"/>
    <m/>
    <n v="51433"/>
    <m/>
    <s v="Internal"/>
    <s v="A"/>
    <s v="SL"/>
    <d v="2021-03-31T00:00:00"/>
    <s v="WCNX"/>
    <n v="0"/>
    <n v="8558.68"/>
    <m/>
    <x v="13"/>
    <m/>
    <m/>
    <m/>
    <m/>
    <m/>
    <m/>
    <m/>
    <m/>
    <m/>
    <m/>
    <x v="1"/>
  </r>
  <r>
    <n v="2180"/>
    <n v="250766"/>
    <n v="250394"/>
    <s v="FLUP - Truck 7388"/>
    <n v="0"/>
    <m/>
    <s v="A25128"/>
    <m/>
    <n v="1995"/>
    <m/>
    <m/>
    <s v="Non-Rolling Stock"/>
    <d v="2009-05-03T00:00:00"/>
    <d v="2009-05-03T00:00:00"/>
    <s v="2186-8-0003-1"/>
    <n v="300"/>
    <n v="14040"/>
    <n v="14259.78"/>
    <n v="14046"/>
    <n v="14259.78"/>
    <n v="0"/>
    <n v="0"/>
    <n v="51260"/>
    <n v="0"/>
    <s v="P"/>
    <m/>
    <n v="54422"/>
    <n v="7388"/>
    <s v="Internal"/>
    <s v="A"/>
    <s v="SL"/>
    <d v="2021-03-31T00:00:00"/>
    <s v="WCNX"/>
    <n v="0"/>
    <n v="14259.78"/>
    <m/>
    <x v="13"/>
    <m/>
    <m/>
    <m/>
    <m/>
    <m/>
    <m/>
    <m/>
    <m/>
    <m/>
    <m/>
    <x v="1"/>
  </r>
  <r>
    <n v="2180"/>
    <n v="250394"/>
    <s v="P"/>
    <s v="1995 TYPE H BUCKET"/>
    <n v="0"/>
    <m/>
    <s v="A25128"/>
    <m/>
    <n v="1995"/>
    <s v="KAMATSU"/>
    <s v="Other"/>
    <s v="Bucket Loader"/>
    <d v="2008-11-03T00:00:00"/>
    <d v="2008-11-03T00:00:00"/>
    <m/>
    <n v="300"/>
    <n v="14030"/>
    <n v="2500"/>
    <n v="14036"/>
    <n v="2500"/>
    <n v="0"/>
    <n v="0"/>
    <n v="51260"/>
    <n v="0"/>
    <s v="A"/>
    <s v="LeMay Enterprises"/>
    <m/>
    <n v="7388"/>
    <s v="Internal"/>
    <s v="A"/>
    <s v="SL"/>
    <d v="2021-03-31T00:00:00"/>
    <s v="WCNX"/>
    <n v="0"/>
    <n v="2500"/>
    <m/>
    <x v="13"/>
    <m/>
    <m/>
    <m/>
    <m/>
    <m/>
    <m/>
    <m/>
    <m/>
    <m/>
    <m/>
    <x v="1"/>
  </r>
  <r>
    <n v="2180"/>
    <n v="247911"/>
    <s v="P"/>
    <s v="6yd FEL Containers"/>
    <n v="36"/>
    <m/>
    <m/>
    <m/>
    <n v="0"/>
    <s v="RULE STEEL TANKS INC"/>
    <m/>
    <s v="6 YD FEL/REL/SL Metal"/>
    <d v="2021-02-24T00:00:00"/>
    <d v="2021-02-24T00:00:00"/>
    <s v="2180-21-0007-5"/>
    <n v="1200"/>
    <n v="14050"/>
    <n v="34292.36"/>
    <n v="14056"/>
    <n v="3572.12"/>
    <n v="30720.240000000002"/>
    <n v="1190.71"/>
    <n v="54260"/>
    <n v="238.14"/>
    <s v="P"/>
    <m/>
    <s v="003871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7910"/>
    <s v="P"/>
    <s v="4yd FEL Containers"/>
    <n v="36"/>
    <m/>
    <m/>
    <m/>
    <n v="0"/>
    <s v="RULE STEEL TANKS INC"/>
    <m/>
    <s v="4 YD FEL/REL/SL Metal"/>
    <d v="2021-02-24T00:00:00"/>
    <d v="2021-02-24T00:00:00"/>
    <s v="2180-21-0007-4"/>
    <n v="1200"/>
    <n v="14050"/>
    <n v="27960"/>
    <n v="14056"/>
    <n v="2912.5"/>
    <n v="25047.5"/>
    <n v="970.83"/>
    <n v="54260"/>
    <n v="194.16"/>
    <s v="P"/>
    <m/>
    <s v="003871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7909"/>
    <s v="P"/>
    <s v="3yd FEL Containers"/>
    <n v="36"/>
    <m/>
    <m/>
    <m/>
    <n v="0"/>
    <s v="RULE STEEL TANKS INC"/>
    <m/>
    <s v="3 YD FEL/REL/SL Metal"/>
    <d v="2021-02-24T00:00:00"/>
    <d v="2021-02-24T00:00:00"/>
    <s v="2180-21-0007-3"/>
    <n v="1200"/>
    <n v="14050"/>
    <n v="25205"/>
    <n v="14056"/>
    <n v="2625.53"/>
    <n v="22579.47"/>
    <n v="875.18"/>
    <n v="54260"/>
    <n v="175.04"/>
    <s v="P"/>
    <m/>
    <s v="003871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7908"/>
    <s v="P"/>
    <s v="2yd REL Containers"/>
    <n v="60"/>
    <m/>
    <m/>
    <m/>
    <n v="0"/>
    <s v="RULE STEEL TANKS INC"/>
    <m/>
    <s v="2 YD FEL/REL/SL Metal"/>
    <d v="2021-02-24T00:00:00"/>
    <d v="2021-02-24T00:00:00"/>
    <s v="2180-21-0007-2"/>
    <n v="1200"/>
    <n v="14050"/>
    <n v="37615"/>
    <n v="14056"/>
    <n v="3918.22"/>
    <n v="33696.78"/>
    <n v="1306.08"/>
    <n v="54260"/>
    <n v="261.22000000000003"/>
    <s v="P"/>
    <m/>
    <s v="003871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7907"/>
    <s v="P"/>
    <s v="1yd REL Containers"/>
    <n v="24"/>
    <m/>
    <m/>
    <m/>
    <n v="0"/>
    <s v="RULE STEEL TANKS INC"/>
    <m/>
    <s v="1 YD FEL/REL/SL Metal"/>
    <d v="2021-02-24T00:00:00"/>
    <d v="2021-02-24T00:00:00"/>
    <s v="2180-21-0007-1"/>
    <n v="1200"/>
    <n v="14050"/>
    <n v="13026"/>
    <n v="14056"/>
    <n v="1356.87"/>
    <n v="11669.130000000001"/>
    <n v="452.29"/>
    <n v="54260"/>
    <n v="90.46"/>
    <s v="P"/>
    <m/>
    <s v="003871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797"/>
    <s v="P"/>
    <s v="95 Gallon Dark Aqua Yard Waste Carts"/>
    <n v="702"/>
    <m/>
    <m/>
    <m/>
    <n v="0"/>
    <s v="REHRIG PACIFIC COMPANY IN"/>
    <m/>
    <s v="Non-Container Audit"/>
    <d v="2021-01-01T00:00:00"/>
    <d v="2021-01-01T00:00:00"/>
    <s v="2180-21-0008-4"/>
    <n v="700"/>
    <n v="14050"/>
    <n v="32640.34"/>
    <n v="14056"/>
    <n v="6605.79"/>
    <n v="26034.55"/>
    <n v="1942.88"/>
    <n v="54260"/>
    <n v="388.58"/>
    <s v="P"/>
    <m/>
    <n v="501496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796"/>
    <s v="P"/>
    <s v="95 Gallon Grey Recycle Carts"/>
    <n v="702"/>
    <m/>
    <m/>
    <m/>
    <n v="0"/>
    <s v="REHRIG PACIFIC COMPANY IN"/>
    <m/>
    <s v="Non-Container Audit"/>
    <d v="2021-01-01T00:00:00"/>
    <d v="2021-01-01T00:00:00"/>
    <s v="2180-21-0008-3"/>
    <n v="500"/>
    <n v="14050"/>
    <n v="32640.35"/>
    <n v="14056"/>
    <n v="9248.1"/>
    <n v="23392.25"/>
    <n v="2720.03"/>
    <n v="54260"/>
    <n v="544.01"/>
    <s v="P"/>
    <m/>
    <n v="501496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795"/>
    <s v="P"/>
    <s v="65 Gallon Green MSW Carts"/>
    <n v="936"/>
    <m/>
    <m/>
    <m/>
    <n v="0"/>
    <s v="REHRIG PACIFIC COMPANY IN"/>
    <m/>
    <s v="Non-Container Audit"/>
    <d v="2021-01-25T00:00:00"/>
    <d v="2021-01-25T00:00:00"/>
    <s v="2180-21-0008-1"/>
    <n v="700"/>
    <n v="14050"/>
    <n v="38405.230000000003"/>
    <n v="14056"/>
    <n v="7315.29"/>
    <n v="31089.940000000002"/>
    <n v="2286.0300000000002"/>
    <n v="54260"/>
    <n v="457.21"/>
    <s v="P"/>
    <m/>
    <n v="501492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436"/>
    <n v="241233"/>
    <s v="Licensing for Truck #4095"/>
    <m/>
    <m/>
    <m/>
    <m/>
    <n v="2020"/>
    <s v="x"/>
    <s v="x"/>
    <s v="Non-Rolling Stock"/>
    <d v="2021-01-01T00:00:00"/>
    <d v="2021-01-01T00:00:00"/>
    <s v="2180-20-0047-1"/>
    <n v="1000"/>
    <n v="14040"/>
    <n v="1065.8599999999999"/>
    <n v="14046"/>
    <n v="150.99"/>
    <n v="914.86999999999989"/>
    <n v="44.41"/>
    <n v="51260"/>
    <n v="8.8800000000000008"/>
    <s v="P"/>
    <m/>
    <s v="L01225018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435"/>
    <n v="242812"/>
    <s v="Licensing for Truck #3713"/>
    <m/>
    <m/>
    <m/>
    <m/>
    <n v="2020"/>
    <s v="x"/>
    <s v="x"/>
    <s v="Non-Rolling Stock"/>
    <d v="2021-01-01T00:00:00"/>
    <d v="2021-01-01T00:00:00"/>
    <s v="2180-20-0045-1"/>
    <n v="1000"/>
    <n v="14040"/>
    <n v="895.37"/>
    <n v="14046"/>
    <n v="126.85"/>
    <n v="768.52"/>
    <n v="37.31"/>
    <n v="51260"/>
    <n v="7.46"/>
    <s v="P"/>
    <m/>
    <s v="L01225018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434"/>
    <n v="240180"/>
    <s v="Licensing for Truck #1091"/>
    <m/>
    <m/>
    <m/>
    <m/>
    <n v="0"/>
    <s v="WA DOL"/>
    <m/>
    <s v="Non-Rolling Stock"/>
    <d v="2021-01-01T00:00:00"/>
    <d v="2021-01-01T00:00:00"/>
    <s v="2180-20-0038-1"/>
    <n v="1000"/>
    <n v="14040"/>
    <n v="857.37"/>
    <n v="14046"/>
    <n v="121.47"/>
    <n v="735.9"/>
    <n v="35.729999999999997"/>
    <n v="51260"/>
    <n v="7.15"/>
    <s v="P"/>
    <m/>
    <s v="L01225018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133"/>
    <s v="P"/>
    <s v="95 Gallon Blue Yard Waste Carts"/>
    <n v="702"/>
    <m/>
    <m/>
    <m/>
    <n v="0"/>
    <s v="REHRIG PACIFIC COMPANY IN"/>
    <m/>
    <s v="Non-Container Audit"/>
    <d v="2021-01-25T00:00:00"/>
    <d v="2021-01-25T00:00:00"/>
    <s v="2180-21-0008-4"/>
    <n v="700"/>
    <n v="14050"/>
    <n v="32640.34"/>
    <n v="14056"/>
    <n v="6217.21"/>
    <n v="26423.13"/>
    <n v="1942.88"/>
    <n v="54260"/>
    <n v="388.58"/>
    <s v="P"/>
    <m/>
    <n v="501477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132"/>
    <s v="P"/>
    <s v="95 Gallon Grey Recycle Carts"/>
    <n v="702"/>
    <m/>
    <m/>
    <m/>
    <n v="0"/>
    <s v="REHRIG PACIFIC COMPANY IN"/>
    <m/>
    <s v="Non-Container Audit"/>
    <d v="2021-01-25T00:00:00"/>
    <d v="2021-01-25T00:00:00"/>
    <s v="2180-21-0008-3"/>
    <n v="700"/>
    <n v="14050"/>
    <n v="32640.34"/>
    <n v="14056"/>
    <n v="6217.21"/>
    <n v="26423.13"/>
    <n v="1942.88"/>
    <n v="54260"/>
    <n v="388.58"/>
    <s v="P"/>
    <m/>
    <n v="501477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131"/>
    <s v="P"/>
    <s v="95 Gallon Green MSW Carts"/>
    <n v="702"/>
    <m/>
    <m/>
    <m/>
    <n v="0"/>
    <s v="REHRIG PACIFIC COMPANY IN"/>
    <m/>
    <s v="Non-Container Audit"/>
    <d v="2021-01-22T00:00:00"/>
    <d v="2021-01-22T00:00:00"/>
    <s v="2180-21-0008-2"/>
    <n v="700"/>
    <n v="14050"/>
    <n v="32640.34"/>
    <n v="14056"/>
    <n v="6217.21"/>
    <n v="26423.13"/>
    <n v="1942.88"/>
    <n v="54260"/>
    <n v="388.58"/>
    <s v="P"/>
    <m/>
    <n v="5014714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6130"/>
    <s v="P"/>
    <s v="65 Gallon Green MSW Carts"/>
    <n v="936"/>
    <m/>
    <m/>
    <m/>
    <n v="0"/>
    <s v="REHRIG PACIFIC COMPANY IN"/>
    <m/>
    <s v="Non-Container Audit"/>
    <d v="2021-01-25T00:00:00"/>
    <d v="2021-01-25T00:00:00"/>
    <s v="2180-21-0008-1"/>
    <n v="700"/>
    <n v="14050"/>
    <n v="38405.24"/>
    <n v="14056"/>
    <n v="7315.29"/>
    <n v="31089.949999999997"/>
    <n v="2286.0300000000002"/>
    <n v="54260"/>
    <n v="457.21"/>
    <s v="P"/>
    <m/>
    <n v="501477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5707"/>
    <n v="242813"/>
    <s v="Decals for New ASL"/>
    <m/>
    <m/>
    <m/>
    <m/>
    <n v="2020"/>
    <s v="x"/>
    <s v="x"/>
    <s v="Non-Rolling Stock"/>
    <d v="2021-01-01T00:00:00"/>
    <d v="2021-01-01T00:00:00"/>
    <s v="2180-20-0046-1"/>
    <n v="1000"/>
    <n v="14040"/>
    <n v="480.92"/>
    <n v="14046"/>
    <n v="68.13"/>
    <n v="412.79"/>
    <n v="20.04"/>
    <n v="51260"/>
    <n v="4.01"/>
    <s v="P"/>
    <m/>
    <n v="9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5706"/>
    <n v="242812"/>
    <s v="Decals for New ASL"/>
    <m/>
    <m/>
    <m/>
    <m/>
    <n v="2020"/>
    <s v="x"/>
    <s v="x"/>
    <s v="Non-Rolling Stock"/>
    <d v="2021-01-01T00:00:00"/>
    <d v="2021-01-01T00:00:00"/>
    <s v="2180-20-0045-1"/>
    <n v="1000"/>
    <n v="14040"/>
    <n v="480.92"/>
    <n v="14046"/>
    <n v="68.13"/>
    <n v="412.79"/>
    <n v="20.04"/>
    <n v="51260"/>
    <n v="4.01"/>
    <s v="P"/>
    <m/>
    <n v="9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5703"/>
    <n v="240182"/>
    <s v="Decals for New Roll Off Truck"/>
    <m/>
    <m/>
    <m/>
    <m/>
    <n v="0"/>
    <s v="ALICIA B JENNINGS"/>
    <m/>
    <s v="Non-Rolling Stock"/>
    <d v="2021-01-01T00:00:00"/>
    <d v="2021-01-01T00:00:00"/>
    <s v="2180-20-0041-1"/>
    <n v="1000"/>
    <n v="14040"/>
    <n v="191.75"/>
    <n v="14046"/>
    <n v="27.17"/>
    <n v="164.57999999999998"/>
    <n v="7.99"/>
    <n v="51260"/>
    <n v="1.6"/>
    <s v="P"/>
    <m/>
    <n v="9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5702"/>
    <n v="240180"/>
    <s v="Decals for New REL"/>
    <m/>
    <m/>
    <m/>
    <m/>
    <n v="0"/>
    <s v="ALICIA B JENNINGS"/>
    <m/>
    <s v="Non-Rolling Stock"/>
    <d v="2021-01-01T00:00:00"/>
    <d v="2021-01-01T00:00:00"/>
    <s v="2180-20-0038-1"/>
    <n v="1000"/>
    <n v="14040"/>
    <n v="388.15"/>
    <n v="14046"/>
    <n v="55"/>
    <n v="333.15"/>
    <n v="16.18"/>
    <n v="51260"/>
    <n v="3.24"/>
    <s v="P"/>
    <m/>
    <n v="9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4572"/>
    <n v="240181"/>
    <s v="Decals for New REL"/>
    <m/>
    <m/>
    <m/>
    <m/>
    <n v="0"/>
    <s v="ALICIA B JENNINGS"/>
    <m/>
    <s v="Non-Rolling Stock"/>
    <d v="2020-12-21T00:00:00"/>
    <d v="2020-12-21T00:00:00"/>
    <s v="2180-20-0039-1"/>
    <n v="1000"/>
    <n v="14040"/>
    <n v="388.15"/>
    <n v="14046"/>
    <n v="55"/>
    <n v="333.15"/>
    <n v="16.18"/>
    <n v="51260"/>
    <n v="3.24"/>
    <s v="P"/>
    <m/>
    <n v="9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3461"/>
    <s v="P"/>
    <s v="116 - Samsung Tab Active Pro Tablets"/>
    <n v="116"/>
    <m/>
    <m/>
    <m/>
    <n v="0"/>
    <s v="COMPLETE TABLET SOLUTIONS"/>
    <m/>
    <m/>
    <d v="2020-09-30T00:00:00"/>
    <d v="2020-09-30T00:00:00"/>
    <s v="2180-20-0059-1"/>
    <n v="100"/>
    <n v="14110"/>
    <n v="80766.149999999994"/>
    <n v="14116"/>
    <n v="80766.149999999994"/>
    <n v="0"/>
    <n v="0"/>
    <n v="70260"/>
    <n v="0"/>
    <s v="P"/>
    <m/>
    <n v="22763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3344"/>
    <s v="P"/>
    <s v="6yd FEL Metal Containers"/>
    <n v="25"/>
    <m/>
    <m/>
    <m/>
    <n v="0"/>
    <s v="CAPITAL INDUSTRIES INC"/>
    <m/>
    <s v="6 YD FEL/REL/SL Metal"/>
    <d v="2020-11-16T00:00:00"/>
    <d v="2020-11-16T00:00:00"/>
    <s v="2180-20-0055-3"/>
    <n v="1200"/>
    <n v="14050"/>
    <n v="23362.87"/>
    <n v="14056"/>
    <n v="2920.36"/>
    <n v="20442.509999999998"/>
    <n v="811.21"/>
    <n v="54260"/>
    <n v="162.24"/>
    <s v="P"/>
    <m/>
    <n v="16326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3343"/>
    <s v="P"/>
    <s v="1yd REL"/>
    <n v="25"/>
    <m/>
    <m/>
    <m/>
    <n v="0"/>
    <s v="CAPITAL INDUSTRIES INC"/>
    <m/>
    <s v="1 YD FEL/REL/SL Metal"/>
    <d v="2020-11-16T00:00:00"/>
    <d v="2020-11-16T00:00:00"/>
    <s v="2180-20-0055-1"/>
    <n v="1200"/>
    <n v="14050"/>
    <n v="14482.25"/>
    <n v="14056"/>
    <n v="1810.29"/>
    <n v="12671.96"/>
    <n v="502.86"/>
    <n v="54260"/>
    <n v="100.57"/>
    <s v="P"/>
    <m/>
    <n v="1632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2813"/>
    <s v="P"/>
    <s v="2020 Peterbilt ASL Truck"/>
    <m/>
    <m/>
    <s v="3BPDLK0X4LF108418"/>
    <m/>
    <n v="2020"/>
    <s v="Peterbilt"/>
    <s v="labrie"/>
    <s v="Automated Sideload"/>
    <d v="2020-11-16T00:00:00"/>
    <d v="2020-11-16T00:00:00"/>
    <s v="2180-20-0046"/>
    <n v="1000"/>
    <n v="14040"/>
    <n v="366754.67"/>
    <n v="14046"/>
    <n v="55013.21"/>
    <n v="311741.45999999996"/>
    <n v="15281.45"/>
    <n v="51260"/>
    <n v="3056.29"/>
    <s v="P"/>
    <m/>
    <m/>
    <n v="371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2812"/>
    <s v="P"/>
    <s v="2020 Peterbilt ASL Truck"/>
    <m/>
    <m/>
    <s v="3BPDLK0X2LF108417"/>
    <m/>
    <n v="2020"/>
    <s v="Peterbilt"/>
    <s v="labrie"/>
    <s v="Automated Sideload"/>
    <d v="2020-12-02T00:00:00"/>
    <d v="2020-12-02T00:00:00"/>
    <s v="2180-20-0045"/>
    <n v="1000"/>
    <n v="14040"/>
    <n v="366754.67"/>
    <n v="14046"/>
    <n v="55013.21"/>
    <n v="311741.45999999996"/>
    <n v="15281.45"/>
    <n v="51260"/>
    <n v="3056.29"/>
    <s v="P"/>
    <m/>
    <m/>
    <n v="371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2721"/>
    <s v="P"/>
    <s v="2yd REL Metal Containers"/>
    <n v="60"/>
    <m/>
    <m/>
    <m/>
    <n v="0"/>
    <s v="CAPITAL INDUSTRIES INC"/>
    <m/>
    <s v="2 YD FEL/REL/SL Metal"/>
    <d v="2020-11-16T00:00:00"/>
    <d v="2020-11-16T00:00:00"/>
    <s v="2180-20-0055-2"/>
    <n v="1200"/>
    <n v="14050"/>
    <n v="37052.699999999997"/>
    <n v="14056"/>
    <n v="4631.59"/>
    <n v="32421.109999999997"/>
    <n v="1286.55"/>
    <n v="54260"/>
    <n v="257.31"/>
    <s v="P"/>
    <m/>
    <n v="1632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2359"/>
    <n v="240182"/>
    <s v="Truck#4094 Licensing"/>
    <m/>
    <m/>
    <m/>
    <m/>
    <n v="0"/>
    <s v="Dept of Licensing"/>
    <m/>
    <s v="Non-Rolling Stock"/>
    <d v="2020-11-10T00:00:00"/>
    <d v="2020-11-10T00:00:00"/>
    <s v="2180-20-0041-1"/>
    <n v="1000"/>
    <n v="14040"/>
    <n v="1276.8800000000001"/>
    <n v="14046"/>
    <n v="202.16"/>
    <n v="1074.72"/>
    <n v="53.2"/>
    <n v="51260"/>
    <n v="10.64"/>
    <s v="P"/>
    <m/>
    <s v="LO11804841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2358"/>
    <n v="240181"/>
    <s v="Truck#1090 Licensing"/>
    <m/>
    <m/>
    <m/>
    <m/>
    <n v="0"/>
    <s v="Dept of Licensing"/>
    <m/>
    <s v="Non-Rolling Stock"/>
    <d v="2020-11-10T00:00:00"/>
    <d v="2020-11-10T00:00:00"/>
    <s v="2180-20-0039-1"/>
    <n v="1000"/>
    <n v="14040"/>
    <n v="992.55"/>
    <n v="14046"/>
    <n v="157.16"/>
    <n v="835.39"/>
    <n v="41.36"/>
    <n v="51260"/>
    <n v="8.27"/>
    <s v="P"/>
    <m/>
    <s v="LO11804841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1521"/>
    <n v="240180"/>
    <s v="2020 Peterbilt REL Truck- Body"/>
    <m/>
    <m/>
    <s v="3BPDLK0X5LF109447"/>
    <m/>
    <n v="2020"/>
    <m/>
    <m/>
    <s v="Non-Rolling Stock"/>
    <d v="2020-09-30T00:00:00"/>
    <d v="2020-09-30T00:00:00"/>
    <s v="2180-20-0038"/>
    <n v="1000"/>
    <n v="14040"/>
    <n v="115328.73"/>
    <n v="14046"/>
    <n v="19221.439999999999"/>
    <n v="96107.29"/>
    <n v="4805.3599999999997"/>
    <n v="51260"/>
    <n v="961.07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1233"/>
    <s v="P"/>
    <s v="2021 Peterbilt ROL Truck"/>
    <m/>
    <m/>
    <s v="1NPCX4EX3MD730319"/>
    <m/>
    <n v="2021"/>
    <s v="Peterbilt"/>
    <s v="AA welding"/>
    <s v="R/O Truck"/>
    <d v="2020-10-02T00:00:00"/>
    <d v="2020-10-02T00:00:00"/>
    <s v="2180-20-0047"/>
    <n v="1000"/>
    <n v="14040"/>
    <n v="269224.42"/>
    <n v="14046"/>
    <n v="44870.73"/>
    <n v="224353.68999999997"/>
    <n v="11217.68"/>
    <n v="51260"/>
    <n v="2243.5300000000002"/>
    <s v="P"/>
    <m/>
    <m/>
    <n v="409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918"/>
    <s v="P"/>
    <s v="(94) New DriveCams"/>
    <n v="94"/>
    <m/>
    <m/>
    <m/>
    <n v="0"/>
    <s v="Lytx, Inc."/>
    <m/>
    <m/>
    <d v="2020-10-05T00:00:00"/>
    <d v="2020-10-05T00:00:00"/>
    <s v="2180-20-0062-1"/>
    <n v="500"/>
    <n v="14070"/>
    <n v="96643.61"/>
    <n v="14076"/>
    <n v="32214.53"/>
    <n v="64429.08"/>
    <n v="8053.63"/>
    <n v="51260"/>
    <n v="1610.72"/>
    <s v="P"/>
    <m/>
    <n v="53128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795"/>
    <s v="P"/>
    <s v="Geo Tab Roll Out (130 Units)"/>
    <n v="130"/>
    <m/>
    <m/>
    <m/>
    <n v="0"/>
    <s v="ASSURED TELEMATICS INC"/>
    <m/>
    <m/>
    <d v="2020-10-31T00:00:00"/>
    <d v="2020-10-31T00:00:00"/>
    <s v="2180-20-0058-1"/>
    <n v="100"/>
    <n v="14110"/>
    <n v="12469.38"/>
    <n v="14116"/>
    <n v="12469.38"/>
    <n v="0"/>
    <n v="0"/>
    <n v="70260"/>
    <n v="0"/>
    <s v="P"/>
    <m/>
    <n v="6151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725"/>
    <s v="P"/>
    <s v="Winterm (Serial # 9FZWR33)"/>
    <m/>
    <m/>
    <m/>
    <m/>
    <n v="0"/>
    <s v="CDW"/>
    <m/>
    <m/>
    <d v="2020-10-30T00:00:00"/>
    <d v="2020-10-30T00:00:00"/>
    <s v="2180-20-0060-1"/>
    <n v="300"/>
    <n v="14110"/>
    <n v="401.48"/>
    <n v="14116"/>
    <n v="211.9"/>
    <n v="189.58"/>
    <n v="55.76"/>
    <n v="70260"/>
    <n v="11.15"/>
    <s v="P"/>
    <m/>
    <n v="219274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724"/>
    <s v="P"/>
    <s v="Winterm (Serial # 9K2YR33)"/>
    <m/>
    <m/>
    <m/>
    <m/>
    <n v="0"/>
    <s v="CDW"/>
    <m/>
    <m/>
    <d v="2020-09-30T00:00:00"/>
    <d v="2020-09-30T00:00:00"/>
    <s v="2180-20-0060-1"/>
    <n v="300"/>
    <n v="14110"/>
    <n v="401.49"/>
    <n v="14116"/>
    <n v="223.04"/>
    <n v="178.45000000000002"/>
    <n v="55.76"/>
    <n v="70260"/>
    <n v="11.15"/>
    <s v="P"/>
    <m/>
    <n v="219274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723"/>
    <s v="P"/>
    <s v="Winterm (Serial # 9KNXR33)"/>
    <m/>
    <m/>
    <m/>
    <m/>
    <n v="0"/>
    <s v="CDW"/>
    <m/>
    <m/>
    <d v="2020-10-30T00:00:00"/>
    <d v="2020-10-30T00:00:00"/>
    <s v="2180-20-0060-1"/>
    <n v="300"/>
    <n v="14110"/>
    <n v="401.48"/>
    <n v="14116"/>
    <n v="211.9"/>
    <n v="189.58"/>
    <n v="55.76"/>
    <n v="70260"/>
    <n v="11.15"/>
    <s v="P"/>
    <m/>
    <n v="219274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182"/>
    <s v="P"/>
    <s v="2021 Peterbilt ROL Truck"/>
    <m/>
    <m/>
    <s v="2NP3XJ0X0MM737163"/>
    <m/>
    <n v="2021"/>
    <s v="Peterbilt"/>
    <s v="AA welding"/>
    <s v="R/O Truck"/>
    <d v="2020-10-06T00:00:00"/>
    <d v="2020-10-06T00:00:00"/>
    <s v="2180-20-0041"/>
    <n v="1000"/>
    <n v="14040"/>
    <n v="223888.25"/>
    <n v="14046"/>
    <n v="37314.720000000001"/>
    <n v="186573.53"/>
    <n v="9328.68"/>
    <n v="51260"/>
    <n v="1865.74"/>
    <s v="P"/>
    <m/>
    <m/>
    <n v="409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181"/>
    <s v="P"/>
    <s v="2020 Peterbilt REL Truck"/>
    <m/>
    <m/>
    <s v="3BPDLK0X3LF109446"/>
    <m/>
    <n v="2020"/>
    <s v="Peterbilt"/>
    <s v="Newway"/>
    <s v="REL Truck"/>
    <d v="2020-10-05T00:00:00"/>
    <d v="2020-10-05T00:00:00"/>
    <s v="2180-20-0039"/>
    <n v="1000"/>
    <n v="14040"/>
    <n v="304666.09999999998"/>
    <n v="14046"/>
    <n v="50777.68"/>
    <n v="253888.41999999998"/>
    <n v="12694.42"/>
    <n v="51260"/>
    <n v="2538.88"/>
    <s v="P"/>
    <m/>
    <m/>
    <n v="109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40180"/>
    <s v="P"/>
    <s v="2020 Peterbilt REL Truck"/>
    <m/>
    <m/>
    <s v="3BPDLK0X5LF109447"/>
    <m/>
    <n v="2020"/>
    <s v="Peterbilt"/>
    <s v="Newway"/>
    <s v="REL Truck"/>
    <d v="2020-09-30T00:00:00"/>
    <d v="2020-09-30T00:00:00"/>
    <s v="2180-20-0038"/>
    <n v="1000"/>
    <n v="14040"/>
    <n v="189337.37"/>
    <n v="14046"/>
    <n v="31556.240000000002"/>
    <n v="157781.13"/>
    <n v="7889.06"/>
    <n v="51260"/>
    <n v="1577.81"/>
    <s v="P"/>
    <m/>
    <m/>
    <n v="109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9506"/>
    <s v="P"/>
    <s v="115 Tablet mounts with charging"/>
    <m/>
    <m/>
    <m/>
    <m/>
    <n v="0"/>
    <s v="PROCLIPUSA"/>
    <m/>
    <m/>
    <d v="2020-09-30T00:00:00"/>
    <d v="2020-09-30T00:00:00"/>
    <s v="2180-20-0059-1"/>
    <n v="100"/>
    <n v="14110"/>
    <n v="25147.040000000001"/>
    <n v="14116"/>
    <n v="25147.040000000001"/>
    <n v="0"/>
    <n v="0"/>
    <n v="70260"/>
    <n v="0"/>
    <s v="P"/>
    <m/>
    <s v="SI-11751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6"/>
    <s v="P"/>
    <s v="95 Gallon Yard Waste  Carts Aqua Blue"/>
    <n v="702"/>
    <m/>
    <m/>
    <m/>
    <n v="0"/>
    <s v="REHRIG PACIFIC COMPANY IN"/>
    <m/>
    <s v="Non-Container Audit"/>
    <d v="2020-09-11T00:00:00"/>
    <d v="2020-09-11T00:00:00"/>
    <s v="2180-20-0057-4"/>
    <n v="700"/>
    <n v="14050"/>
    <n v="30338.49"/>
    <n v="14056"/>
    <n v="7584.62"/>
    <n v="22753.870000000003"/>
    <n v="1805.86"/>
    <n v="54260"/>
    <n v="361.17"/>
    <s v="P"/>
    <m/>
    <n v="501213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5"/>
    <s v="P"/>
    <s v="95 Gallon Yard Waste  Carts Aqua Blue"/>
    <n v="702"/>
    <m/>
    <m/>
    <m/>
    <n v="0"/>
    <s v="REHRIG PACIFIC COMPANY IN"/>
    <m/>
    <s v="Non-Container Audit"/>
    <d v="2020-09-11T00:00:00"/>
    <d v="2020-09-11T00:00:00"/>
    <s v="2180-20-0057-3"/>
    <n v="700"/>
    <n v="14050"/>
    <n v="30338.49"/>
    <n v="14056"/>
    <n v="7584.62"/>
    <n v="22753.870000000003"/>
    <n v="1805.86"/>
    <n v="54260"/>
    <n v="361.17"/>
    <s v="P"/>
    <m/>
    <n v="501213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4"/>
    <s v="P"/>
    <s v="95 Gallon Recycle Grey Carts"/>
    <n v="702"/>
    <m/>
    <m/>
    <m/>
    <n v="0"/>
    <s v="REHRIG PACIFIC COMPANY IN"/>
    <m/>
    <s v="Non-Container Audit"/>
    <d v="2020-09-10T00:00:00"/>
    <d v="2020-09-10T00:00:00"/>
    <s v="2180-20-0057-3"/>
    <n v="700"/>
    <n v="14050"/>
    <n v="30338.48"/>
    <n v="14056"/>
    <n v="7584.62"/>
    <n v="22753.86"/>
    <n v="1805.86"/>
    <n v="54260"/>
    <n v="361.17"/>
    <s v="P"/>
    <m/>
    <n v="5012115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3"/>
    <s v="P"/>
    <s v="95 Gallon MSW Carts Forest Green"/>
    <n v="702"/>
    <m/>
    <m/>
    <m/>
    <n v="0"/>
    <s v="REHRIG PACIFIC COMPANY IN"/>
    <m/>
    <s v="Non-Container Audit"/>
    <d v="2020-09-14T00:00:00"/>
    <d v="2020-09-14T00:00:00"/>
    <s v="2180-20-0057-2"/>
    <n v="700"/>
    <n v="14050"/>
    <n v="30338.49"/>
    <n v="14056"/>
    <n v="7584.62"/>
    <n v="22753.870000000003"/>
    <n v="1805.86"/>
    <n v="54260"/>
    <n v="361.17"/>
    <s v="P"/>
    <m/>
    <n v="501218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2"/>
    <s v="P"/>
    <s v="95 Gallon MSW Forest Green"/>
    <n v="702"/>
    <m/>
    <m/>
    <m/>
    <n v="0"/>
    <s v="REHRIG PACIFIC COMPANY IN"/>
    <m/>
    <s v="Non-Container Audit"/>
    <d v="2020-09-08T00:00:00"/>
    <d v="2020-09-08T00:00:00"/>
    <s v="2180-20-0057-2"/>
    <n v="700"/>
    <n v="14050"/>
    <n v="30338.49"/>
    <n v="14056"/>
    <n v="7584.62"/>
    <n v="22753.870000000003"/>
    <n v="1805.86"/>
    <n v="54260"/>
    <n v="361.17"/>
    <s v="P"/>
    <m/>
    <n v="501207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1"/>
    <s v="P"/>
    <s v="65 Gallon MSW  Carts Forest Green"/>
    <n v="936"/>
    <m/>
    <m/>
    <m/>
    <n v="0"/>
    <s v="REHRIG PACIFIC COMPANY IN"/>
    <m/>
    <s v="Non-Container Audit"/>
    <d v="2020-09-11T00:00:00"/>
    <d v="2020-09-11T00:00:00"/>
    <s v="2180-20-0057-1"/>
    <n v="700"/>
    <n v="14050"/>
    <n v="34722.25"/>
    <n v="14056"/>
    <n v="8680.56"/>
    <n v="26041.690000000002"/>
    <n v="2066.8000000000002"/>
    <n v="54260"/>
    <n v="413.36"/>
    <s v="P"/>
    <m/>
    <n v="501213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470"/>
    <s v="P"/>
    <s v="95 Gallon Recycling Carts Grey"/>
    <n v="702"/>
    <m/>
    <m/>
    <m/>
    <n v="0"/>
    <s v="REHRIG PACIFIC COMPANY IN"/>
    <m/>
    <s v="Non-Container Audit"/>
    <d v="2020-08-24T00:00:00"/>
    <d v="2020-08-24T00:00:00"/>
    <s v="2180-20-0056-3"/>
    <n v="700"/>
    <n v="14050"/>
    <n v="30031.57"/>
    <n v="14056"/>
    <n v="7507.91"/>
    <n v="22523.66"/>
    <n v="1787.6"/>
    <n v="54260"/>
    <n v="357.52"/>
    <s v="P"/>
    <m/>
    <n v="501177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326"/>
    <s v="P"/>
    <s v="95G G Aqua Blue Yard Waste Carts"/>
    <n v="702"/>
    <m/>
    <m/>
    <s v="94-3283464"/>
    <n v="0"/>
    <s v="REHRIG PACIFIC COMPANY IN"/>
    <m/>
    <s v="Non-Container Audit"/>
    <d v="2020-08-28T00:00:00"/>
    <d v="2020-08-28T00:00:00"/>
    <s v="2180-20-0056-4"/>
    <n v="700"/>
    <n v="14050"/>
    <n v="30031.57"/>
    <n v="14056"/>
    <n v="7507.91"/>
    <n v="22523.66"/>
    <n v="1787.6"/>
    <n v="54260"/>
    <n v="357.52"/>
    <s v="P"/>
    <m/>
    <n v="501186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7325"/>
    <s v="P"/>
    <s v="95 Gallon Forest Green  MSW Carts"/>
    <n v="702"/>
    <m/>
    <m/>
    <s v="94-3283464"/>
    <n v="0"/>
    <s v="REHRIG PACIFIC COMPANY IN"/>
    <m/>
    <s v="Non-Container Audit"/>
    <d v="2020-08-26T00:00:00"/>
    <d v="2020-08-26T00:00:00"/>
    <s v="2180-20-0056-2"/>
    <n v="700"/>
    <n v="14050"/>
    <n v="30031.58"/>
    <n v="14056"/>
    <n v="7507.91"/>
    <n v="22523.670000000002"/>
    <n v="1787.6"/>
    <n v="54260"/>
    <n v="357.52"/>
    <s v="P"/>
    <m/>
    <n v="5011838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6902"/>
    <n v="233852"/>
    <s v="4091 Licensing"/>
    <m/>
    <m/>
    <m/>
    <m/>
    <n v="0"/>
    <s v="WA DOL LIC &amp; REG 31150"/>
    <m/>
    <s v="Non-Rolling Stock"/>
    <d v="2020-06-16T00:00:00"/>
    <d v="2020-06-16T00:00:00"/>
    <s v="2180-20-0037-1"/>
    <n v="1000"/>
    <n v="14040"/>
    <n v="612.34"/>
    <n v="14046"/>
    <n v="117.35"/>
    <n v="494.99"/>
    <n v="25.51"/>
    <n v="51260"/>
    <n v="5.0999999999999996"/>
    <s v="P"/>
    <m/>
    <n v="1117974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6901"/>
    <n v="233677"/>
    <s v="3710 Licensing"/>
    <m/>
    <m/>
    <m/>
    <m/>
    <n v="0"/>
    <s v="WA DOL LIC &amp; REG 31150"/>
    <m/>
    <s v="Non-Rolling Stock"/>
    <d v="2020-06-16T00:00:00"/>
    <d v="2020-06-16T00:00:00"/>
    <s v="2180-20-0033-1"/>
    <n v="1000"/>
    <n v="14040"/>
    <n v="506.76"/>
    <n v="14046"/>
    <n v="97.14"/>
    <n v="409.62"/>
    <n v="21.12"/>
    <n v="51260"/>
    <n v="4.2300000000000004"/>
    <s v="P"/>
    <m/>
    <n v="1117974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6900"/>
    <n v="233676"/>
    <s v="3709 Licensing"/>
    <m/>
    <m/>
    <m/>
    <m/>
    <n v="0"/>
    <s v="WA DOL LIC &amp; REG 31150"/>
    <m/>
    <s v="Non-Rolling Stock"/>
    <d v="2020-06-08T00:00:00"/>
    <d v="2020-06-08T00:00:00"/>
    <s v="2180-20-0032-1"/>
    <n v="1000"/>
    <n v="14040"/>
    <n v="506.75"/>
    <n v="14046"/>
    <n v="101.36"/>
    <n v="405.39"/>
    <n v="21.12"/>
    <n v="51260"/>
    <n v="4.2300000000000004"/>
    <s v="P"/>
    <m/>
    <n v="1117974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6850"/>
    <s v="P"/>
    <s v="95 G Yard Waste Aqua Blue Carts"/>
    <n v="351"/>
    <m/>
    <m/>
    <m/>
    <n v="0"/>
    <s v="REHRIG PACIFIC COMPANY IN"/>
    <m/>
    <s v="Non-Container Audit"/>
    <d v="2020-08-28T00:00:00"/>
    <d v="2020-08-28T00:00:00"/>
    <s v="2180-20-0056-4"/>
    <n v="700"/>
    <n v="14050"/>
    <n v="15015.3"/>
    <n v="14056"/>
    <n v="3753.83"/>
    <n v="11261.47"/>
    <n v="893.77"/>
    <n v="54260"/>
    <n v="178.76"/>
    <s v="P"/>
    <m/>
    <n v="501188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6849"/>
    <s v="P"/>
    <s v="65 G MSW  Forest Green Carts"/>
    <n v="468"/>
    <m/>
    <m/>
    <m/>
    <n v="0"/>
    <s v="REHRIG PACIFIC COMPANY IN"/>
    <m/>
    <s v="Non-Container Audit"/>
    <d v="2020-08-29T00:00:00"/>
    <d v="2020-08-29T00:00:00"/>
    <s v="2180-20-0056-1"/>
    <n v="700"/>
    <n v="14050"/>
    <n v="17157"/>
    <n v="14056"/>
    <n v="4289.25"/>
    <n v="12867.75"/>
    <n v="1021.25"/>
    <n v="54260"/>
    <n v="204.25"/>
    <s v="P"/>
    <m/>
    <n v="501188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267"/>
    <n v="232601"/>
    <s v="Trk #4090 Licensing Fees"/>
    <m/>
    <m/>
    <m/>
    <m/>
    <n v="0"/>
    <s v="WA DOL LIC &amp; REG 31150"/>
    <m/>
    <s v="Non-Rolling Stock"/>
    <d v="2020-05-19T00:00:00"/>
    <d v="2020-05-19T00:00:00"/>
    <s v="2180-20-0036-1"/>
    <n v="1000"/>
    <n v="14040"/>
    <n v="573.48"/>
    <n v="14046"/>
    <n v="114.7"/>
    <n v="458.78000000000003"/>
    <n v="23.9"/>
    <n v="51260"/>
    <n v="4.78"/>
    <s v="P"/>
    <m/>
    <n v="110264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266"/>
    <n v="233675"/>
    <s v="Trk #3708 Licensing Fees"/>
    <m/>
    <m/>
    <m/>
    <m/>
    <n v="0"/>
    <s v="WA DOL LIC &amp; REG 31150"/>
    <m/>
    <s v="Non-Rolling Stock"/>
    <d v="2020-06-08T00:00:00"/>
    <d v="2020-06-08T00:00:00"/>
    <s v="2180-20-0031-1"/>
    <n v="1000"/>
    <n v="14040"/>
    <n v="470.96"/>
    <n v="14046"/>
    <n v="94.2"/>
    <n v="376.76"/>
    <n v="19.63"/>
    <n v="51260"/>
    <n v="3.93"/>
    <s v="P"/>
    <m/>
    <n v="110264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265"/>
    <n v="233674"/>
    <s v="Trk #3707 Licensing Fees"/>
    <m/>
    <m/>
    <m/>
    <m/>
    <n v="0"/>
    <s v="WA DOL LIC &amp; REG 31150"/>
    <m/>
    <s v="Non-Rolling Stock"/>
    <d v="2020-05-27T00:00:00"/>
    <d v="2020-05-27T00:00:00"/>
    <s v="2180-20-0030-1"/>
    <n v="1000"/>
    <n v="14040"/>
    <n v="470.96"/>
    <n v="14046"/>
    <n v="94.2"/>
    <n v="376.76"/>
    <n v="19.63"/>
    <n v="51260"/>
    <n v="3.93"/>
    <s v="P"/>
    <m/>
    <n v="110264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264"/>
    <n v="232994"/>
    <s v="Trk #3706 Licensing Fees"/>
    <m/>
    <m/>
    <m/>
    <m/>
    <n v="0"/>
    <s v="WA DOL LIC &amp; REG 31150"/>
    <m/>
    <s v="Non-Rolling Stock"/>
    <d v="2020-05-27T00:00:00"/>
    <d v="2020-05-27T00:00:00"/>
    <s v="2180-20-0029-1"/>
    <n v="1000"/>
    <n v="14040"/>
    <n v="470.96"/>
    <n v="14046"/>
    <n v="94.2"/>
    <n v="376.76"/>
    <n v="19.63"/>
    <n v="51260"/>
    <n v="3.93"/>
    <s v="P"/>
    <m/>
    <n v="110264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101"/>
    <s v="P"/>
    <s v="2021 Peterbilt ROL Truck"/>
    <m/>
    <m/>
    <s v="2NP3XJ0X9MM737162"/>
    <m/>
    <n v="2021"/>
    <s v="Peterbilt"/>
    <s v="AA welding"/>
    <s v="R/O Truck"/>
    <d v="2020-07-16T00:00:00"/>
    <d v="2020-07-16T00:00:00"/>
    <s v="2180-20-0040"/>
    <n v="1000"/>
    <n v="14040"/>
    <n v="223888.3"/>
    <n v="14046"/>
    <n v="41046.19"/>
    <n v="182842.11"/>
    <n v="9328.68"/>
    <n v="51260"/>
    <n v="1865.74"/>
    <s v="P"/>
    <m/>
    <m/>
    <n v="409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5100"/>
    <s v="P"/>
    <s v="2020 Peterbilt ASL Truck"/>
    <m/>
    <m/>
    <s v="3BPDLK0X3LF107955"/>
    <m/>
    <n v="2020"/>
    <s v="Peterbilt"/>
    <s v="labrie"/>
    <s v="Automated Sideload"/>
    <d v="2020-07-16T00:00:00"/>
    <d v="2020-07-16T00:00:00"/>
    <s v="2180-20-0034"/>
    <n v="1000"/>
    <n v="14040"/>
    <n v="368682.05"/>
    <n v="14046"/>
    <n v="67591.710000000006"/>
    <n v="301090.33999999997"/>
    <n v="15361.75"/>
    <n v="51260"/>
    <n v="3072.35"/>
    <s v="P"/>
    <m/>
    <m/>
    <n v="371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62"/>
    <n v="233852"/>
    <s v="Lettering for New Roll Off Truck"/>
    <m/>
    <m/>
    <m/>
    <m/>
    <n v="0"/>
    <s v="ALICIA B JENNINGS"/>
    <m/>
    <s v="Non-Rolling Stock"/>
    <d v="2020-06-16T00:00:00"/>
    <d v="2020-06-16T00:00:00"/>
    <s v="2180-20-0037-1"/>
    <n v="1000"/>
    <n v="14040"/>
    <n v="191.75"/>
    <n v="14046"/>
    <n v="36.76"/>
    <n v="154.99"/>
    <n v="7.99"/>
    <n v="51260"/>
    <n v="1.6"/>
    <s v="P"/>
    <m/>
    <n v="8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61"/>
    <n v="233677"/>
    <s v="Decals for New ASL"/>
    <m/>
    <m/>
    <m/>
    <m/>
    <n v="0"/>
    <s v="ALICIA B JENNINGS"/>
    <m/>
    <s v="Non-Rolling Stock"/>
    <d v="2020-06-16T00:00:00"/>
    <d v="2020-06-16T00:00:00"/>
    <s v="2180-20-0033-1"/>
    <n v="1000"/>
    <n v="14040"/>
    <n v="480.92"/>
    <n v="14046"/>
    <n v="92.18"/>
    <n v="388.74"/>
    <n v="20.04"/>
    <n v="51260"/>
    <n v="4.01"/>
    <s v="P"/>
    <m/>
    <n v="8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60"/>
    <n v="233676"/>
    <s v="Decals for New ASL"/>
    <m/>
    <m/>
    <m/>
    <m/>
    <n v="0"/>
    <s v="ALICIA B JENNINGS"/>
    <m/>
    <s v="Non-Rolling Stock"/>
    <d v="2020-06-08T00:00:00"/>
    <d v="2020-06-08T00:00:00"/>
    <s v="2180-20-0032-1"/>
    <n v="1000"/>
    <n v="14040"/>
    <n v="480.92"/>
    <n v="14046"/>
    <n v="96.18"/>
    <n v="384.74"/>
    <n v="20.04"/>
    <n v="51260"/>
    <n v="4.01"/>
    <s v="P"/>
    <m/>
    <n v="85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59"/>
    <n v="233675"/>
    <s v="Decals for New ASL"/>
    <m/>
    <m/>
    <m/>
    <m/>
    <n v="0"/>
    <s v="ALICIA B JENNINGS"/>
    <m/>
    <s v="Non-Rolling Stock"/>
    <d v="2020-06-08T00:00:00"/>
    <d v="2020-06-08T00:00:00"/>
    <s v="2180-20-0031-1"/>
    <n v="1000"/>
    <n v="14040"/>
    <n v="480.92"/>
    <n v="14046"/>
    <n v="96.18"/>
    <n v="384.74"/>
    <n v="20.04"/>
    <n v="51260"/>
    <n v="4.01"/>
    <s v="P"/>
    <m/>
    <n v="8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58"/>
    <n v="233674"/>
    <s v="Decals for New ASL"/>
    <m/>
    <m/>
    <m/>
    <m/>
    <n v="0"/>
    <s v="ALICIA B JENNINGS"/>
    <m/>
    <s v="Non-Rolling Stock"/>
    <d v="2020-05-27T00:00:00"/>
    <d v="2020-05-27T00:00:00"/>
    <s v="2180-20-0030-1"/>
    <n v="1000"/>
    <n v="14040"/>
    <n v="480.92"/>
    <n v="14046"/>
    <n v="96.18"/>
    <n v="384.74"/>
    <n v="20.04"/>
    <n v="51260"/>
    <n v="4.01"/>
    <s v="P"/>
    <m/>
    <n v="8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4057"/>
    <n v="232994"/>
    <s v="Decals for New ASL"/>
    <m/>
    <m/>
    <m/>
    <m/>
    <n v="0"/>
    <s v="ALICIA B JENNINGS"/>
    <m/>
    <s v="Non-Rolling Stock"/>
    <d v="2020-05-27T00:00:00"/>
    <d v="2020-05-27T00:00:00"/>
    <s v="2180-20-0029-1"/>
    <n v="1000"/>
    <n v="14040"/>
    <n v="480.92"/>
    <n v="14046"/>
    <n v="96.18"/>
    <n v="384.74"/>
    <n v="20.04"/>
    <n v="51260"/>
    <n v="4.01"/>
    <s v="P"/>
    <m/>
    <n v="8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852"/>
    <s v="P"/>
    <s v="2021 Peterbilt ROL Truck"/>
    <m/>
    <m/>
    <s v="2NP3XJ0X7MM737161"/>
    <m/>
    <n v="2021"/>
    <s v="Peterbilt"/>
    <s v="AA welding"/>
    <s v="R/O Truck"/>
    <d v="2020-06-30T00:00:00"/>
    <d v="2020-06-30T00:00:00"/>
    <s v="2180-20-0037"/>
    <n v="1000"/>
    <n v="14040"/>
    <n v="223875.18"/>
    <n v="14046"/>
    <n v="42909.41"/>
    <n v="180965.77"/>
    <n v="9328.1299999999992"/>
    <n v="51260"/>
    <n v="1865.62"/>
    <s v="P"/>
    <m/>
    <m/>
    <n v="409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735"/>
    <s v="P"/>
    <s v="5 Yard FEL OCC Cages"/>
    <n v="11"/>
    <m/>
    <m/>
    <m/>
    <n v="0"/>
    <s v="CAPITAL INDUSTRIES INC"/>
    <m/>
    <s v="5 YD FEL/REL/SL Metal"/>
    <d v="2020-03-24T00:00:00"/>
    <d v="2020-03-24T00:00:00"/>
    <s v="2180-20-0043-1"/>
    <n v="1200"/>
    <n v="14050"/>
    <n v="9558.2900000000009"/>
    <n v="14056"/>
    <n v="1725.81"/>
    <n v="7832.4800000000014"/>
    <n v="331.89"/>
    <n v="54260"/>
    <n v="66.38"/>
    <s v="P"/>
    <m/>
    <n v="16022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734"/>
    <s v="P"/>
    <s v="5 Yard FEL OCC Cages"/>
    <n v="11"/>
    <m/>
    <m/>
    <m/>
    <n v="0"/>
    <s v="CAPITAL INDUSTRIES INC"/>
    <m/>
    <s v="5 YD FEL/REL/SL Metal"/>
    <d v="2020-03-24T00:00:00"/>
    <d v="2020-03-24T00:00:00"/>
    <s v="2180-20-0043-1"/>
    <n v="1200"/>
    <n v="14050"/>
    <n v="9558.2900000000009"/>
    <n v="14056"/>
    <n v="1725.81"/>
    <n v="7832.4800000000014"/>
    <n v="331.89"/>
    <n v="54260"/>
    <n v="66.38"/>
    <s v="P"/>
    <m/>
    <n v="1602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677"/>
    <s v="P"/>
    <s v="2020 Peterbilt ASL Truck"/>
    <m/>
    <m/>
    <s v="3BPDLK0X7LF107957"/>
    <m/>
    <n v="2020"/>
    <s v="Peterbilt"/>
    <s v="labrie"/>
    <s v="Automated Sideload"/>
    <d v="2020-06-04T00:00:00"/>
    <d v="2020-06-04T00:00:00"/>
    <s v="2180-20-0033"/>
    <n v="1000"/>
    <n v="14040"/>
    <n v="368682.05"/>
    <n v="14046"/>
    <n v="73736.41"/>
    <n v="294945.64"/>
    <n v="15361.75"/>
    <n v="51260"/>
    <n v="3072.35"/>
    <s v="P"/>
    <m/>
    <m/>
    <n v="371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676"/>
    <s v="P"/>
    <s v="2020 Peterbilt ASL Truck"/>
    <m/>
    <m/>
    <s v="3BPDLK0X5LF107956"/>
    <m/>
    <n v="2020"/>
    <s v="Peterbilt"/>
    <s v="labrie"/>
    <s v="Automated Sideload"/>
    <d v="2020-06-05T00:00:00"/>
    <d v="2020-06-05T00:00:00"/>
    <s v="2180-20-0032"/>
    <n v="1000"/>
    <n v="14040"/>
    <n v="368682.05"/>
    <n v="14046"/>
    <n v="73736.41"/>
    <n v="294945.64"/>
    <n v="15361.75"/>
    <n v="51260"/>
    <n v="3072.35"/>
    <s v="P"/>
    <m/>
    <m/>
    <n v="370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675"/>
    <s v="P"/>
    <s v="2020 Peterbilt ASL Truck"/>
    <m/>
    <m/>
    <s v="3BPDLK0X5LF108413"/>
    <m/>
    <n v="2020"/>
    <s v="Peterbilt"/>
    <s v="labrie"/>
    <s v="Automated Sideload"/>
    <d v="2020-05-29T00:00:00"/>
    <d v="2020-05-29T00:00:00"/>
    <s v="2180-20-0031"/>
    <n v="1000"/>
    <n v="14040"/>
    <n v="368682.05"/>
    <n v="14046"/>
    <n v="73736.41"/>
    <n v="294945.64"/>
    <n v="15361.75"/>
    <n v="51260"/>
    <n v="3072.35"/>
    <s v="P"/>
    <m/>
    <m/>
    <n v="370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674"/>
    <s v="P"/>
    <s v="2020 Peterbilt ASL Truck"/>
    <m/>
    <m/>
    <s v="3BPDLK0X1LF108411"/>
    <m/>
    <n v="2020"/>
    <s v="Peterbilt"/>
    <s v="labrie"/>
    <s v="Automated Sideload"/>
    <d v="2020-05-29T00:00:00"/>
    <d v="2020-05-29T00:00:00"/>
    <s v="2180-20-0030"/>
    <n v="1000"/>
    <n v="14040"/>
    <n v="368680.96000000002"/>
    <n v="14046"/>
    <n v="73736.2"/>
    <n v="294944.76"/>
    <n v="15361.71"/>
    <n v="51260"/>
    <n v="3072.34"/>
    <s v="P"/>
    <m/>
    <m/>
    <n v="370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560"/>
    <s v="P"/>
    <s v="5 Yard FEL OCC Cages"/>
    <n v="8"/>
    <m/>
    <m/>
    <m/>
    <n v="0"/>
    <s v="CAPITAL INDUSTRIES INC"/>
    <m/>
    <s v="5 YD FEL/REL/SL Metal"/>
    <d v="2020-03-24T00:00:00"/>
    <d v="2020-03-24T00:00:00"/>
    <s v="2180-20-0043-1"/>
    <n v="1200"/>
    <n v="14050"/>
    <n v="6951.48"/>
    <n v="14056"/>
    <n v="1255.1300000000001"/>
    <n v="5696.3499999999995"/>
    <n v="241.37"/>
    <n v="54260"/>
    <n v="48.27"/>
    <s v="P"/>
    <m/>
    <n v="1602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3282"/>
    <n v="232601"/>
    <s v="Decals for a New Roll OffTruck #4090"/>
    <m/>
    <m/>
    <m/>
    <m/>
    <n v="0"/>
    <s v="ALICIA B JENNINGS"/>
    <m/>
    <s v="Non-Rolling Stock"/>
    <d v="2020-05-19T00:00:00"/>
    <d v="2020-05-19T00:00:00"/>
    <s v="2180-20-0036-1"/>
    <n v="1000"/>
    <n v="14040"/>
    <n v="191.75"/>
    <n v="14046"/>
    <n v="38.36"/>
    <n v="153.38999999999999"/>
    <n v="7.99"/>
    <n v="51260"/>
    <n v="1.6"/>
    <s v="P"/>
    <m/>
    <n v="8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995"/>
    <n v="232601"/>
    <s v="Routeware-Tablet"/>
    <m/>
    <m/>
    <m/>
    <m/>
    <n v="2021"/>
    <m/>
    <m/>
    <s v="Non-Rolling Stock"/>
    <d v="2020-05-07T00:00:00"/>
    <d v="2020-05-07T00:00:00"/>
    <s v="2180-20-0036"/>
    <n v="100"/>
    <n v="14110"/>
    <n v="1427.87"/>
    <n v="14116"/>
    <n v="1427.87"/>
    <n v="0"/>
    <n v="0"/>
    <n v="70260"/>
    <n v="0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994"/>
    <s v="P"/>
    <s v="2020 Peterbilt ASL Truck"/>
    <m/>
    <m/>
    <s v="3BPDLK0X6LF107951"/>
    <m/>
    <n v="2020"/>
    <s v="Peterbilt"/>
    <s v="labrie"/>
    <s v="Automated Sideload"/>
    <d v="2020-05-22T00:00:00"/>
    <d v="2020-05-22T00:00:00"/>
    <s v="2180-20-0029"/>
    <n v="1000"/>
    <n v="14040"/>
    <n v="365253.95"/>
    <n v="14046"/>
    <n v="73050.8"/>
    <n v="292203.15000000002"/>
    <n v="15218.92"/>
    <n v="51260"/>
    <n v="3043.79"/>
    <s v="P"/>
    <m/>
    <m/>
    <n v="370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863"/>
    <s v="P"/>
    <s v="95 Gallon Yardwaste Carts"/>
    <n v="702"/>
    <m/>
    <m/>
    <m/>
    <n v="0"/>
    <s v="REHRIG PACIFIC COMPANY IN"/>
    <m/>
    <s v="Non-Container Audit"/>
    <d v="2020-05-16T00:00:00"/>
    <d v="2020-05-16T00:00:00"/>
    <s v="2180-20-0054-1"/>
    <n v="700"/>
    <n v="14050"/>
    <n v="27791.1"/>
    <n v="14056"/>
    <n v="7940.32"/>
    <n v="19850.78"/>
    <n v="1654.23"/>
    <n v="54260"/>
    <n v="330.84"/>
    <s v="P"/>
    <m/>
    <n v="500976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862"/>
    <s v="P"/>
    <s v="95 Gallon Yarde Waste Carts"/>
    <n v="702"/>
    <m/>
    <m/>
    <m/>
    <n v="0"/>
    <s v="REHRIG PACIFIC COMPANY IN"/>
    <m/>
    <s v="Non-Container Audit"/>
    <d v="2020-05-15T00:00:00"/>
    <d v="2020-05-15T00:00:00"/>
    <s v="2180-20-0054-1"/>
    <n v="700"/>
    <n v="14050"/>
    <n v="27791.1"/>
    <n v="14056"/>
    <n v="8271.16"/>
    <n v="19519.939999999999"/>
    <n v="1654.23"/>
    <n v="54260"/>
    <n v="330.84"/>
    <s v="P"/>
    <m/>
    <n v="5009753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775"/>
    <s v="P"/>
    <s v="95 Gallon Recylce Carts"/>
    <n v="702"/>
    <m/>
    <m/>
    <m/>
    <n v="0"/>
    <s v="REHRIG PACIFIC COMPANY IN"/>
    <m/>
    <s v="Non-Container Audit"/>
    <d v="2020-04-28T00:00:00"/>
    <d v="2020-04-28T00:00:00"/>
    <s v="2180-20-0053-3"/>
    <n v="700"/>
    <n v="14050"/>
    <n v="30039.24"/>
    <n v="14056"/>
    <n v="8940.25"/>
    <n v="21098.99"/>
    <n v="1788.05"/>
    <n v="54260"/>
    <n v="357.61"/>
    <s v="P"/>
    <m/>
    <n v="500943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774"/>
    <s v="P"/>
    <s v="95 Gallon MSW Carts"/>
    <n v="702"/>
    <m/>
    <m/>
    <m/>
    <n v="0"/>
    <s v="REHRIG PACIFIC COMPANY IN"/>
    <m/>
    <s v="Non-Container Audit"/>
    <d v="2020-04-28T00:00:00"/>
    <d v="2020-04-28T00:00:00"/>
    <s v="2180-20-0053-2"/>
    <n v="700"/>
    <n v="14050"/>
    <n v="30039.25"/>
    <n v="14056"/>
    <n v="8940.25"/>
    <n v="21099"/>
    <n v="1788.05"/>
    <n v="54260"/>
    <n v="357.61"/>
    <s v="P"/>
    <m/>
    <n v="500943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766"/>
    <n v="228661"/>
    <s v="Routeware-Tablet"/>
    <m/>
    <m/>
    <m/>
    <m/>
    <n v="0"/>
    <s v="ROUTEWARE INC"/>
    <m/>
    <s v="Non-Rolling Stock"/>
    <d v="2020-02-01T00:00:00"/>
    <d v="2020-02-01T00:00:00"/>
    <s v="2180-20-0035-1"/>
    <n v="100"/>
    <n v="14110"/>
    <n v="1427.87"/>
    <n v="14116"/>
    <n v="1427.87"/>
    <n v="0"/>
    <n v="0"/>
    <n v="70260"/>
    <n v="0"/>
    <s v="P"/>
    <m/>
    <s v="INV-0010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601"/>
    <s v="P"/>
    <s v="2021 Peterbilt ROL Truck"/>
    <m/>
    <m/>
    <s v="2NP3XJ0X5MM737160"/>
    <m/>
    <n v="2021"/>
    <s v="Peterbilt"/>
    <s v="AA welding"/>
    <s v="R/O Truck"/>
    <d v="2020-05-07T00:00:00"/>
    <d v="2020-05-07T00:00:00"/>
    <s v="2180-20-0036"/>
    <n v="1000"/>
    <n v="14040"/>
    <n v="222512.89"/>
    <n v="14046"/>
    <n v="46356.85"/>
    <n v="176156.04"/>
    <n v="9271.3700000000008"/>
    <n v="51260"/>
    <n v="1854.27"/>
    <s v="P"/>
    <m/>
    <m/>
    <n v="409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2230"/>
    <s v="P"/>
    <s v="Panasonic TOUGHBOOK 55 14&quot; Core FZ-55A0601VM"/>
    <m/>
    <m/>
    <m/>
    <m/>
    <n v="0"/>
    <s v="CDW"/>
    <m/>
    <m/>
    <d v="2020-04-11T00:00:00"/>
    <d v="2020-04-11T00:00:00"/>
    <s v="2180-20-0048-1"/>
    <n v="200"/>
    <n v="14110"/>
    <n v="2188.9699999999998"/>
    <n v="14116"/>
    <n v="2188.9699999999998"/>
    <n v="0"/>
    <n v="273.62"/>
    <n v="70260"/>
    <n v="0"/>
    <s v="P"/>
    <m/>
    <s v="XND07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1986"/>
    <s v="P"/>
    <s v="65 Gallon MSW Carts"/>
    <n v="936"/>
    <m/>
    <m/>
    <m/>
    <n v="0"/>
    <s v="REHRIG PACIFIC COMPANY IN"/>
    <m/>
    <s v="Non-Container Audit"/>
    <d v="2020-04-24T00:00:00"/>
    <d v="2020-04-24T00:00:00"/>
    <s v="2180-20-0053-1"/>
    <n v="700"/>
    <n v="14050"/>
    <n v="34619.94"/>
    <n v="14056"/>
    <n v="10303.56"/>
    <n v="24316.380000000005"/>
    <n v="2060.71"/>
    <n v="54260"/>
    <n v="412.14"/>
    <s v="P"/>
    <m/>
    <n v="5009353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30972"/>
    <s v="P"/>
    <s v="65 Gallon MSW Carts"/>
    <n v="816"/>
    <m/>
    <m/>
    <m/>
    <n v="0"/>
    <s v="SIERRA CONTAINER GROUP LL"/>
    <m/>
    <s v="Non-Container Audit"/>
    <d v="2020-02-14T00:00:00"/>
    <d v="2020-02-14T00:00:00"/>
    <s v="2180-20-0042-1"/>
    <n v="700"/>
    <n v="14050"/>
    <n v="34293.089999999997"/>
    <n v="14056"/>
    <n v="11431.02"/>
    <n v="22862.069999999996"/>
    <n v="2041.25"/>
    <n v="54260"/>
    <n v="408.25"/>
    <s v="P"/>
    <m/>
    <n v="25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9401"/>
    <s v="P"/>
    <s v="HP SB ProDesk 600 SN-MXL93625FK"/>
    <m/>
    <m/>
    <m/>
    <m/>
    <n v="0"/>
    <s v="CDW"/>
    <m/>
    <m/>
    <d v="2020-02-10T00:00:00"/>
    <d v="2020-02-10T00:00:00"/>
    <s v="2180-20-0052-1"/>
    <n v="300"/>
    <n v="14110"/>
    <n v="980.03"/>
    <n v="14116"/>
    <n v="762.25"/>
    <n v="217.77999999999997"/>
    <n v="136.12"/>
    <n v="70260"/>
    <n v="27.23"/>
    <s v="P"/>
    <m/>
    <s v="WTD819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9179"/>
    <s v="P"/>
    <s v="New AC Laptop  UPS Next Day Air"/>
    <m/>
    <m/>
    <m/>
    <m/>
    <n v="0"/>
    <s v="CDW"/>
    <m/>
    <m/>
    <d v="2020-02-17T00:00:00"/>
    <d v="2020-02-17T00:00:00"/>
    <s v="2180-20-0049-1"/>
    <n v="300"/>
    <n v="14110"/>
    <n v="69.39"/>
    <n v="14116"/>
    <n v="52.05"/>
    <n v="17.340000000000003"/>
    <n v="9.64"/>
    <n v="70260"/>
    <n v="1.93"/>
    <s v="P"/>
    <m/>
    <d v="2020-02-17T00:00: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9178"/>
    <s v="P"/>
    <s v="HP SB ProBook 650 Serial- 5CG9519HRZ"/>
    <m/>
    <m/>
    <m/>
    <m/>
    <n v="0"/>
    <s v="CDW"/>
    <m/>
    <m/>
    <d v="2020-02-17T00:00:00"/>
    <d v="2020-02-17T00:00:00"/>
    <s v="2180-20-0049-1"/>
    <n v="300"/>
    <n v="14110"/>
    <n v="1579.99"/>
    <n v="14116"/>
    <n v="1184.99"/>
    <n v="395"/>
    <n v="219.44"/>
    <n v="70260"/>
    <n v="43.89"/>
    <s v="P"/>
    <m/>
    <s v="WWC58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9177"/>
    <s v="P"/>
    <s v="HP SB ProDesk 600 Serial: MXL9511WPD"/>
    <m/>
    <m/>
    <m/>
    <m/>
    <n v="0"/>
    <s v="CDW"/>
    <m/>
    <m/>
    <d v="2020-02-11T00:00:00"/>
    <d v="2020-02-11T00:00:00"/>
    <s v="2180-20-0044-1"/>
    <n v="300"/>
    <n v="14110"/>
    <n v="893.55"/>
    <n v="14116"/>
    <n v="694.95"/>
    <n v="198.59999999999991"/>
    <n v="124.1"/>
    <n v="70260"/>
    <n v="24.82"/>
    <s v="P"/>
    <m/>
    <s v="WTM848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9086"/>
    <n v="228661"/>
    <s v="Truck #2060 Licensing"/>
    <m/>
    <m/>
    <m/>
    <m/>
    <n v="0"/>
    <s v="WA DOL LIC &amp; REG 31150"/>
    <m/>
    <s v="Non-Rolling Stock"/>
    <d v="2020-01-22T00:00:00"/>
    <d v="2020-01-22T00:00:00"/>
    <s v="2180-20-0035-1"/>
    <n v="1000"/>
    <n v="14040"/>
    <n v="745.9"/>
    <n v="14046"/>
    <n v="174.05"/>
    <n v="571.84999999999991"/>
    <n v="31.08"/>
    <n v="51260"/>
    <n v="6.22"/>
    <s v="P"/>
    <m/>
    <n v="1051832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661"/>
    <s v="P"/>
    <s v="2020 Peterbilt FEL Truck"/>
    <m/>
    <m/>
    <s v="3BPDLK0XXLF108424"/>
    <m/>
    <n v="2020"/>
    <s v="peterbilt"/>
    <s v="Wittke"/>
    <s v="FEL Truck"/>
    <d v="2020-02-01T00:00:00"/>
    <d v="2020-02-01T00:00:00"/>
    <s v="2180-20-0035"/>
    <n v="1000"/>
    <n v="14040"/>
    <n v="350190.23"/>
    <n v="14046"/>
    <n v="81711.05"/>
    <n v="268479.18"/>
    <n v="14591.26"/>
    <n v="51260"/>
    <n v="2918.25"/>
    <s v="P"/>
    <m/>
    <m/>
    <n v="206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615"/>
    <s v="P"/>
    <s v="95 Gallon RC Carts"/>
    <n v="676"/>
    <m/>
    <m/>
    <m/>
    <n v="0"/>
    <s v="SIERRA CONTAINER GROUP LL"/>
    <m/>
    <s v="Non-Container Audit"/>
    <d v="2020-02-11T00:00:00"/>
    <d v="2020-02-11T00:00:00"/>
    <s v="2180-20-0042-4"/>
    <n v="700"/>
    <n v="14050"/>
    <n v="31941.26"/>
    <n v="14056"/>
    <n v="10647.09"/>
    <n v="21294.17"/>
    <n v="1901.27"/>
    <n v="54260"/>
    <n v="380.26"/>
    <s v="P"/>
    <m/>
    <n v="25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614"/>
    <s v="P"/>
    <s v="95 Gallon YW Carts"/>
    <n v="676"/>
    <m/>
    <m/>
    <m/>
    <n v="0"/>
    <s v="SIERRA CONTAINER GROUP LL"/>
    <m/>
    <s v="Non-Container Audit"/>
    <d v="2020-02-11T00:00:00"/>
    <d v="2020-02-11T00:00:00"/>
    <s v="2180-20-0042-3"/>
    <n v="700"/>
    <n v="14050"/>
    <n v="31941.26"/>
    <n v="14056"/>
    <n v="10647.09"/>
    <n v="21294.17"/>
    <n v="1901.27"/>
    <n v="54260"/>
    <n v="380.26"/>
    <s v="P"/>
    <m/>
    <n v="25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613"/>
    <s v="P"/>
    <s v="95 Gallon MSW Carts"/>
    <n v="676"/>
    <m/>
    <m/>
    <m/>
    <n v="0"/>
    <s v="SIERRA CONTAINER GROUP LL"/>
    <m/>
    <s v="Non-Container Audit"/>
    <d v="2020-02-11T00:00:00"/>
    <d v="2020-02-11T00:00:00"/>
    <s v="2180-20-0042-2"/>
    <n v="700"/>
    <n v="14050"/>
    <n v="31941.27"/>
    <n v="14056"/>
    <n v="10647.1"/>
    <n v="21294.17"/>
    <n v="1901.27"/>
    <n v="54260"/>
    <n v="380.26"/>
    <s v="P"/>
    <m/>
    <n v="25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259"/>
    <n v="225681"/>
    <s v="License for Truck #1086"/>
    <m/>
    <m/>
    <m/>
    <m/>
    <n v="0"/>
    <m/>
    <m/>
    <s v="Non-Rolling Stock"/>
    <d v="2020-01-01T00:00:00"/>
    <d v="2020-01-01T00:00:00"/>
    <s v="2180-19-0029-1"/>
    <n v="1000"/>
    <n v="14040"/>
    <n v="818.34"/>
    <n v="14046"/>
    <n v="197.76"/>
    <n v="620.58000000000004"/>
    <n v="34.1"/>
    <n v="51260"/>
    <n v="6.82"/>
    <s v="P"/>
    <m/>
    <s v="L00895211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258"/>
    <n v="225678"/>
    <s v="ASL Licensing Truck #3698"/>
    <m/>
    <m/>
    <m/>
    <m/>
    <n v="0"/>
    <s v="DOL"/>
    <m/>
    <s v="Non-Rolling Stock"/>
    <d v="2020-01-01T00:00:00"/>
    <d v="2020-01-01T00:00:00"/>
    <s v="2180-19-0004-1"/>
    <n v="1000"/>
    <n v="14040"/>
    <n v="-995.67"/>
    <n v="14046"/>
    <n v="-240.63"/>
    <n v="-755.04"/>
    <n v="-41.49"/>
    <n v="51260"/>
    <n v="-8.3000000000000007"/>
    <s v="P"/>
    <m/>
    <s v="L00883852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257"/>
    <n v="225678"/>
    <s v="Licensing #3700"/>
    <m/>
    <m/>
    <m/>
    <m/>
    <n v="0"/>
    <s v="WA DOL LIC &amp; REG 31150"/>
    <m/>
    <s v="Non-Rolling Stock"/>
    <d v="2020-01-01T00:00:00"/>
    <d v="2020-01-01T00:00:00"/>
    <s v="2180-19-0004-1"/>
    <n v="1000"/>
    <n v="14040"/>
    <n v="926.15"/>
    <n v="14046"/>
    <n v="223.83"/>
    <n v="702.31999999999994"/>
    <n v="38.590000000000003"/>
    <n v="51260"/>
    <n v="7.72"/>
    <s v="P"/>
    <m/>
    <n v="10300052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8256"/>
    <n v="223827"/>
    <s v="ASL Licensing Truck #3698"/>
    <m/>
    <m/>
    <m/>
    <m/>
    <n v="0"/>
    <s v="DOL"/>
    <m/>
    <s v="Non-Rolling Stock"/>
    <d v="2020-01-01T00:00:00"/>
    <d v="2020-01-01T00:00:00"/>
    <s v="2180-19-0003-1"/>
    <n v="1000"/>
    <n v="14040"/>
    <n v="995.67"/>
    <n v="14046"/>
    <n v="240.63"/>
    <n v="755.04"/>
    <n v="41.49"/>
    <n v="51260"/>
    <n v="8.3000000000000007"/>
    <s v="P"/>
    <m/>
    <s v="L00883852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7348"/>
    <n v="225681"/>
    <s v="Decals for New REL Peterbilt"/>
    <m/>
    <m/>
    <m/>
    <m/>
    <n v="0"/>
    <s v="ALICIA B JENNINGS"/>
    <m/>
    <s v="Non-Rolling Stock"/>
    <d v="2020-01-01T00:00:00"/>
    <d v="2020-01-01T00:00:00"/>
    <s v="2180-19-0029-1"/>
    <n v="1000"/>
    <n v="14040"/>
    <n v="388.48"/>
    <n v="14046"/>
    <n v="93.89"/>
    <n v="294.59000000000003"/>
    <n v="16.190000000000001"/>
    <n v="51260"/>
    <n v="3.24"/>
    <s v="P"/>
    <m/>
    <n v="7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7347"/>
    <n v="223828"/>
    <s v="Decals for New Roll Off Truck"/>
    <m/>
    <m/>
    <m/>
    <m/>
    <n v="0"/>
    <s v="ALICIA B JENNINGS"/>
    <m/>
    <s v="Non-Rolling Stock"/>
    <d v="2020-01-01T00:00:00"/>
    <d v="2020-01-01T00:00:00"/>
    <s v="2180-19-0011-1"/>
    <n v="1000"/>
    <n v="14040"/>
    <n v="174.88"/>
    <n v="14046"/>
    <n v="42.27"/>
    <n v="132.60999999999999"/>
    <n v="7.29"/>
    <n v="51260"/>
    <n v="1.46"/>
    <s v="P"/>
    <m/>
    <n v="7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7346"/>
    <n v="225679"/>
    <s v="Decals for New REL Peterbilt"/>
    <m/>
    <m/>
    <m/>
    <m/>
    <n v="0"/>
    <s v="ALICIA B JENNINGS"/>
    <m/>
    <s v="Non-Rolling Stock"/>
    <d v="2020-01-01T00:00:00"/>
    <d v="2020-01-01T00:00:00"/>
    <s v="2180-19-0008-1"/>
    <n v="1000"/>
    <n v="14040"/>
    <n v="388.48"/>
    <n v="14046"/>
    <n v="93.89"/>
    <n v="294.59000000000003"/>
    <n v="16.190000000000001"/>
    <n v="51260"/>
    <n v="3.24"/>
    <s v="P"/>
    <m/>
    <n v="7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7345"/>
    <n v="225678"/>
    <s v="Decals for New ASL Peterbilt"/>
    <m/>
    <m/>
    <m/>
    <m/>
    <n v="0"/>
    <s v="ALICIA B JENNINGS"/>
    <m/>
    <s v="Non-Rolling Stock"/>
    <d v="2020-01-01T00:00:00"/>
    <d v="2020-01-01T00:00:00"/>
    <s v="2180-19-0004-1"/>
    <n v="1000"/>
    <n v="14040"/>
    <n v="535.35"/>
    <n v="14046"/>
    <n v="129.38999999999999"/>
    <n v="405.96000000000004"/>
    <n v="22.31"/>
    <n v="51260"/>
    <n v="4.46"/>
    <s v="P"/>
    <m/>
    <n v="72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7344"/>
    <n v="223827"/>
    <s v="Decals for New ASL Peterbilt"/>
    <m/>
    <m/>
    <m/>
    <m/>
    <n v="0"/>
    <s v="ALICIA B JENNINGS"/>
    <m/>
    <s v="Non-Rolling Stock"/>
    <d v="2020-01-01T00:00:00"/>
    <d v="2020-01-01T00:00:00"/>
    <s v="2180-19-0003-1"/>
    <n v="1000"/>
    <n v="14040"/>
    <n v="535.35"/>
    <n v="14046"/>
    <n v="129.38999999999999"/>
    <n v="405.96000000000004"/>
    <n v="22.31"/>
    <n v="51260"/>
    <n v="4.46"/>
    <s v="P"/>
    <m/>
    <n v="7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820"/>
    <s v="P"/>
    <s v="65 Gallon MSW Carts"/>
    <n v="936"/>
    <m/>
    <m/>
    <m/>
    <n v="0"/>
    <s v="REHRIG PACIFIC COMPANY IN"/>
    <m/>
    <s v="Non-Container Audit"/>
    <d v="2019-10-01T00:00:00"/>
    <d v="2019-10-01T00:00:00"/>
    <s v="2180-19-0049-2"/>
    <n v="700"/>
    <n v="14050"/>
    <n v="37525.4"/>
    <n v="14056"/>
    <n v="14295.36"/>
    <n v="23230.04"/>
    <n v="2233.65"/>
    <n v="54260"/>
    <n v="446.73"/>
    <s v="P"/>
    <m/>
    <n v="500515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681"/>
    <s v="P"/>
    <s v="2020 Peterbilt REL Truck"/>
    <m/>
    <m/>
    <s v="3BPDLK0X0LF107959"/>
    <m/>
    <n v="2020"/>
    <s v="peterbilt"/>
    <s v="Neway"/>
    <s v="REL Truck"/>
    <d v="2019-12-19T00:00:00"/>
    <d v="2019-12-19T00:00:00"/>
    <s v="2180-19-0029"/>
    <n v="1000"/>
    <n v="14040"/>
    <n v="306072.98"/>
    <n v="14046"/>
    <n v="73967.64"/>
    <n v="232105.33999999997"/>
    <n v="12753.04"/>
    <n v="51260"/>
    <n v="2550.61"/>
    <s v="P"/>
    <m/>
    <m/>
    <n v="108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680"/>
    <s v="P"/>
    <s v="2020 Peterbilt ROL Truck"/>
    <m/>
    <m/>
    <s v="1NPCX4EX2LD636446"/>
    <m/>
    <n v="2020"/>
    <s v="peterbilt"/>
    <s v="AA welding"/>
    <s v="R/O Truck"/>
    <d v="2019-11-25T00:00:00"/>
    <d v="2019-11-25T00:00:00"/>
    <s v="2180-19-0010"/>
    <n v="1000"/>
    <n v="14040"/>
    <n v="270731.48"/>
    <n v="14046"/>
    <n v="67682.880000000005"/>
    <n v="203048.59999999998"/>
    <n v="11280.48"/>
    <n v="51260"/>
    <n v="2256.1"/>
    <s v="P"/>
    <m/>
    <m/>
    <n v="408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679"/>
    <s v="P"/>
    <s v="2020 Peterbilt REL Truck"/>
    <m/>
    <m/>
    <s v="3BPDLK0X9LF107958"/>
    <m/>
    <n v="2020"/>
    <s v="peterbilt"/>
    <s v="Neway"/>
    <s v="REL Truck"/>
    <d v="2019-12-13T00:00:00"/>
    <d v="2019-12-13T00:00:00"/>
    <s v="2180-19-0008"/>
    <n v="1000"/>
    <n v="14040"/>
    <n v="305751.65000000002"/>
    <n v="14046"/>
    <n v="76437.820000000007"/>
    <n v="229313.83000000002"/>
    <n v="12739.65"/>
    <n v="51260"/>
    <n v="2547.9299999999998"/>
    <s v="P"/>
    <m/>
    <m/>
    <n v="108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678"/>
    <s v="P"/>
    <s v="2020 Peterbilt ASL Truck"/>
    <m/>
    <m/>
    <s v="3BPDLK0X4LF107429"/>
    <m/>
    <n v="2020"/>
    <s v="peterbilt"/>
    <s v="labrie"/>
    <s v="Automated Sideload"/>
    <d v="2019-11-23T00:00:00"/>
    <d v="2019-11-23T00:00:00"/>
    <s v="2180-19-0004"/>
    <n v="1000"/>
    <n v="14040"/>
    <n v="368277.14"/>
    <n v="14046"/>
    <n v="92069.28"/>
    <n v="276207.86"/>
    <n v="15344.88"/>
    <n v="51260"/>
    <n v="3068.98"/>
    <s v="P"/>
    <m/>
    <m/>
    <n v="370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677"/>
    <s v="P"/>
    <s v="2020 Peterbilt ASL Truck"/>
    <m/>
    <m/>
    <s v="3BPDLK0X9LF107426"/>
    <m/>
    <n v="2020"/>
    <s v="peterbilt"/>
    <s v="labrie"/>
    <s v="Automated Sideload"/>
    <d v="2019-11-20T00:00:00"/>
    <d v="2019-11-20T00:00:00"/>
    <s v="2180-19-0002"/>
    <n v="1000"/>
    <n v="14040"/>
    <n v="367858.22"/>
    <n v="14046"/>
    <n v="91964.56"/>
    <n v="275893.65999999997"/>
    <n v="15327.43"/>
    <n v="51260"/>
    <n v="3065.49"/>
    <s v="P"/>
    <m/>
    <m/>
    <n v="369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386"/>
    <s v="P"/>
    <s v="40YD Rolloff Boxes"/>
    <n v="5"/>
    <m/>
    <m/>
    <m/>
    <n v="0"/>
    <s v="CAPITAL INDUSTRIES INC"/>
    <m/>
    <s v="40 YD RO Box"/>
    <d v="2019-12-11T00:00:00"/>
    <d v="2019-12-11T00:00:00"/>
    <s v="2180-19-0051-2"/>
    <n v="1200"/>
    <n v="14050"/>
    <n v="39000"/>
    <n v="14056"/>
    <n v="8125"/>
    <n v="30875"/>
    <n v="1354.17"/>
    <n v="54260"/>
    <n v="270.83999999999997"/>
    <s v="P"/>
    <m/>
    <n v="1580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5385"/>
    <s v="P"/>
    <s v="20YD Rolloff Boxes"/>
    <n v="8"/>
    <m/>
    <m/>
    <m/>
    <n v="0"/>
    <s v="CAPITAL INDUSTRIES INC"/>
    <m/>
    <s v="20 YD RO Box"/>
    <d v="2019-12-11T00:00:00"/>
    <d v="2019-12-11T00:00:00"/>
    <s v="2180-19-0051-1"/>
    <n v="1200"/>
    <n v="14050"/>
    <n v="48800"/>
    <n v="14056"/>
    <n v="10166.68"/>
    <n v="38633.32"/>
    <n v="1694.45"/>
    <n v="54260"/>
    <n v="338.89"/>
    <s v="P"/>
    <m/>
    <n v="1580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3828"/>
    <s v="P"/>
    <s v="2019 Peterbilt ROL Truck"/>
    <m/>
    <m/>
    <s v="1NPCX4EXXKD627976"/>
    <m/>
    <n v="2019"/>
    <s v="peterbilt"/>
    <s v="AA welding"/>
    <s v="R/O Truck"/>
    <d v="2019-11-01T00:00:00"/>
    <d v="2019-11-01T00:00:00"/>
    <s v="2180-19-0011"/>
    <n v="1000"/>
    <n v="14040"/>
    <n v="269330.87"/>
    <n v="14046"/>
    <n v="69577.149999999994"/>
    <n v="199753.72"/>
    <n v="11222.12"/>
    <n v="51260"/>
    <n v="2244.42"/>
    <s v="P"/>
    <m/>
    <m/>
    <n v="408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3827"/>
    <s v="P"/>
    <s v="2020 Peterbilt ASL Truck"/>
    <m/>
    <m/>
    <s v="3BPDLK0X4LF107320"/>
    <m/>
    <n v="2020"/>
    <s v="peterbilt"/>
    <s v="labrie"/>
    <s v="Automated Sideload"/>
    <d v="2019-11-01T00:00:00"/>
    <d v="2019-11-01T00:00:00"/>
    <s v="2180-19-0003"/>
    <n v="1000"/>
    <n v="14040"/>
    <n v="367281.47"/>
    <n v="14046"/>
    <n v="94881.06"/>
    <n v="272400.40999999997"/>
    <n v="15303.4"/>
    <n v="51260"/>
    <n v="3060.68"/>
    <s v="P"/>
    <m/>
    <m/>
    <n v="369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50"/>
    <s v="P"/>
    <s v="6Yd FEL Metal Containers"/>
    <n v="48"/>
    <m/>
    <m/>
    <m/>
    <n v="0"/>
    <s v="RULE STEEL TANKS INC"/>
    <m/>
    <s v="6 YD FEL/REL/SL Metal"/>
    <d v="2019-10-22T00:00:00"/>
    <d v="2019-10-22T00:00:00"/>
    <s v="2180-19-0050-5"/>
    <n v="1200"/>
    <n v="14050"/>
    <n v="46489.19"/>
    <n v="14056"/>
    <n v="10008.030000000001"/>
    <n v="36481.160000000003"/>
    <n v="1614.21"/>
    <n v="54260"/>
    <n v="322.83999999999997"/>
    <s v="P"/>
    <m/>
    <s v="0036767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9"/>
    <s v="P"/>
    <s v="4Yd FEL Metal Containers"/>
    <n v="12"/>
    <m/>
    <m/>
    <m/>
    <n v="0"/>
    <s v="RULE STEEL TANKS INC"/>
    <m/>
    <s v="4 YD FEL/REL/SL Metal"/>
    <d v="2019-10-22T00:00:00"/>
    <d v="2019-10-22T00:00:00"/>
    <s v="2180-19-0050-4"/>
    <n v="1200"/>
    <n v="14050"/>
    <n v="10507.44"/>
    <n v="14056"/>
    <n v="2262.02"/>
    <n v="8245.42"/>
    <n v="364.84"/>
    <n v="54260"/>
    <n v="72.97"/>
    <s v="P"/>
    <m/>
    <s v="0036767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8"/>
    <s v="P"/>
    <s v="2Yd REL Metal Containers"/>
    <n v="54"/>
    <m/>
    <m/>
    <m/>
    <n v="0"/>
    <s v="RULE STEEL TANKS INC"/>
    <m/>
    <s v="2 YD FEL/REL/SL Metal"/>
    <d v="2019-10-22T00:00:00"/>
    <d v="2019-10-22T00:00:00"/>
    <s v="2180-19-0050-3"/>
    <n v="1200"/>
    <n v="14050"/>
    <n v="34652.76"/>
    <n v="14056"/>
    <n v="7459.97"/>
    <n v="27192.79"/>
    <n v="1203.22"/>
    <n v="54260"/>
    <n v="240.64"/>
    <s v="P"/>
    <m/>
    <s v="0036767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7"/>
    <s v="P"/>
    <s v="1.5Yd REL Metal Containers"/>
    <n v="12"/>
    <m/>
    <m/>
    <m/>
    <n v="0"/>
    <s v="RULE STEEL TANKS INC"/>
    <m/>
    <s v="1.5 YD FEL/REL/SL Metal"/>
    <d v="2019-10-22T00:00:00"/>
    <d v="2019-10-22T00:00:00"/>
    <s v="2180-19-0050-2"/>
    <n v="1200"/>
    <n v="14050"/>
    <n v="6808.72"/>
    <n v="14056"/>
    <n v="1465.76"/>
    <n v="5342.96"/>
    <n v="236.41"/>
    <n v="54260"/>
    <n v="47.28"/>
    <s v="P"/>
    <m/>
    <s v="0036767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6"/>
    <s v="P"/>
    <s v="1Yd REL Metal Containers"/>
    <n v="12"/>
    <m/>
    <m/>
    <m/>
    <n v="0"/>
    <s v="RULE STEEL TANKS INC"/>
    <m/>
    <s v="1 YD FEL/REL/SL Metal"/>
    <d v="2019-10-22T00:00:00"/>
    <d v="2019-10-22T00:00:00"/>
    <s v="2180-19-0050-1"/>
    <n v="1200"/>
    <n v="14050"/>
    <n v="6480.82"/>
    <n v="14056"/>
    <n v="1395.18"/>
    <n v="5085.6399999999994"/>
    <n v="225.03"/>
    <n v="54260"/>
    <n v="45.01"/>
    <s v="P"/>
    <m/>
    <s v="0036767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5"/>
    <s v="P"/>
    <s v="6Yd FEL Metal Containers"/>
    <n v="36"/>
    <m/>
    <m/>
    <m/>
    <n v="0"/>
    <s v="RULE STEEL TANKS INC"/>
    <m/>
    <s v="6 YD FEL/REL/SL Metal"/>
    <d v="2019-10-22T00:00:00"/>
    <d v="2019-10-22T00:00:00"/>
    <s v="2180-19-0041-4"/>
    <n v="1200"/>
    <n v="14050"/>
    <n v="33917.97"/>
    <n v="14056"/>
    <n v="7301.79"/>
    <n v="26616.18"/>
    <n v="1177.71"/>
    <n v="54260"/>
    <n v="235.54"/>
    <s v="P"/>
    <m/>
    <s v="003676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4"/>
    <s v="P"/>
    <s v="4Yd FEL Metal Containers"/>
    <n v="24"/>
    <m/>
    <m/>
    <m/>
    <n v="0"/>
    <s v="RULE STEEL TANKS INC"/>
    <m/>
    <s v="4 YD FEL/REL/SL Metal"/>
    <d v="2019-10-22T00:00:00"/>
    <d v="2019-10-22T00:00:00"/>
    <s v="2180-19-0041-3"/>
    <n v="1200"/>
    <n v="14050"/>
    <n v="18126.310000000001"/>
    <n v="14056"/>
    <n v="3902.21"/>
    <n v="14224.100000000002"/>
    <n v="629.39"/>
    <n v="54260"/>
    <n v="125.88"/>
    <s v="P"/>
    <m/>
    <s v="003676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3"/>
    <s v="P"/>
    <s v="2Yd REL Metal Containers"/>
    <n v="36"/>
    <m/>
    <m/>
    <m/>
    <n v="0"/>
    <s v="RULE STEEL TANKS INC"/>
    <m/>
    <s v="2 YD FEL/REL/SL Metal"/>
    <d v="2019-10-22T00:00:00"/>
    <d v="2019-10-22T00:00:00"/>
    <s v="2180-19-0041-2"/>
    <n v="1200"/>
    <n v="14050"/>
    <n v="23490.76"/>
    <n v="14056"/>
    <n v="5057.03"/>
    <n v="18433.73"/>
    <n v="815.65"/>
    <n v="54260"/>
    <n v="163.13"/>
    <s v="P"/>
    <m/>
    <s v="003676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642"/>
    <s v="P"/>
    <s v="1Yd REL Metal Containers"/>
    <n v="24"/>
    <m/>
    <m/>
    <m/>
    <n v="0"/>
    <s v="RULE STEEL TANKS INC"/>
    <m/>
    <s v="1 YD FEL/REL/SL Metal"/>
    <d v="2019-10-22T00:00:00"/>
    <d v="2019-10-22T00:00:00"/>
    <s v="2180-19-0041-1"/>
    <n v="1200"/>
    <n v="14050"/>
    <n v="13142.23"/>
    <n v="14056"/>
    <n v="2829.24"/>
    <n v="10312.99"/>
    <n v="456.33"/>
    <n v="54260"/>
    <n v="91.27"/>
    <s v="P"/>
    <m/>
    <s v="003676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2124"/>
    <s v="P"/>
    <s v="2004 Type HT C-C Trailer"/>
    <n v="0"/>
    <m/>
    <s v="1H9CC53474T347063"/>
    <m/>
    <n v="2004"/>
    <s v="Other"/>
    <s v="Other"/>
    <s v="Trailer"/>
    <d v="2008-11-03T00:00:00"/>
    <d v="2008-11-03T00:00:00"/>
    <m/>
    <n v="300"/>
    <n v="14040"/>
    <n v="13000"/>
    <n v="14046"/>
    <n v="13000"/>
    <n v="0"/>
    <n v="0"/>
    <n v="51260"/>
    <n v="0"/>
    <s v="A"/>
    <s v="LeMay Enterprises"/>
    <m/>
    <n v="8881"/>
    <s v="Internal"/>
    <s v="A"/>
    <s v="SL"/>
    <d v="2019-09-30T00:00:00"/>
    <s v="WCNX"/>
    <n v="0"/>
    <n v="13000"/>
    <m/>
    <x v="13"/>
    <m/>
    <m/>
    <m/>
    <m/>
    <m/>
    <m/>
    <m/>
    <m/>
    <m/>
    <m/>
    <x v="1"/>
  </r>
  <r>
    <n v="2180"/>
    <n v="221855"/>
    <n v="218236"/>
    <s v="Decals for New FEL Truck"/>
    <m/>
    <m/>
    <m/>
    <m/>
    <n v="0"/>
    <m/>
    <m/>
    <s v="Non-Rolling Stock"/>
    <d v="2019-10-31T00:00:00"/>
    <d v="2019-10-31T00:00:00"/>
    <s v="2180-19-0006"/>
    <n v="1000"/>
    <n v="14040"/>
    <n v="358.34"/>
    <n v="14046"/>
    <n v="92.56"/>
    <n v="265.77999999999997"/>
    <n v="14.93"/>
    <n v="51260"/>
    <n v="2.99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1750"/>
    <n v="219754"/>
    <s v="2019 Peterbilt ASL Truck- Body"/>
    <m/>
    <m/>
    <m/>
    <m/>
    <n v="2019"/>
    <m/>
    <m/>
    <s v="Automated Sideload"/>
    <d v="2019-09-30T00:00:00"/>
    <d v="2019-09-30T00:00:00"/>
    <s v="2180-19-0001"/>
    <n v="1000"/>
    <n v="14040"/>
    <n v="175049.79"/>
    <n v="14046"/>
    <n v="46679.95"/>
    <n v="128369.84000000001"/>
    <n v="7293.74"/>
    <n v="51260"/>
    <n v="1458.75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1708"/>
    <s v="P"/>
    <s v="95 Gallon YW Totes"/>
    <n v="1404"/>
    <m/>
    <m/>
    <m/>
    <n v="0"/>
    <s v="REHRIG PACIFIC COMPANY IN"/>
    <m/>
    <s v="Non-Container Audit"/>
    <d v="2019-09-28T00:00:00"/>
    <d v="2019-09-28T00:00:00"/>
    <s v="2180-19-0049-5"/>
    <n v="700"/>
    <n v="14050"/>
    <n v="64666.87"/>
    <n v="14056"/>
    <n v="24635.01"/>
    <n v="40031.86"/>
    <n v="3849.22"/>
    <n v="54260"/>
    <n v="769.84"/>
    <s v="P"/>
    <m/>
    <n v="500505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1426"/>
    <s v="P"/>
    <s v="95 Gallon Recycle Totes"/>
    <n v="702"/>
    <m/>
    <m/>
    <m/>
    <n v="0"/>
    <s v="REHRIG PACIFIC COMPANY IN"/>
    <m/>
    <s v="Non-Container Audit"/>
    <d v="2019-09-23T00:00:00"/>
    <d v="2019-09-23T00:00:00"/>
    <s v="2180-19-0049-4"/>
    <n v="700"/>
    <n v="14050"/>
    <n v="32333.43"/>
    <n v="14056"/>
    <n v="12317.5"/>
    <n v="20015.93"/>
    <n v="1924.61"/>
    <n v="54260"/>
    <n v="384.92"/>
    <s v="P"/>
    <m/>
    <n v="5004831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1022"/>
    <s v="P"/>
    <s v="95 Gallon MSW Carts"/>
    <n v="351"/>
    <m/>
    <m/>
    <m/>
    <n v="0"/>
    <s v="REHRIG PACIFIC COMPANY IN"/>
    <m/>
    <s v="Non-Container Audit"/>
    <d v="2019-09-28T00:00:00"/>
    <d v="2019-09-28T00:00:00"/>
    <s v="2180-19-0049-3"/>
    <n v="700"/>
    <n v="14050"/>
    <n v="16166.72"/>
    <n v="14056"/>
    <n v="6158.72"/>
    <n v="10008"/>
    <n v="962.3"/>
    <n v="54260"/>
    <n v="192.46"/>
    <s v="P"/>
    <m/>
    <n v="500503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1021"/>
    <s v="P"/>
    <s v="35 Gallon MSW Carts"/>
    <n v="540"/>
    <m/>
    <m/>
    <m/>
    <n v="0"/>
    <s v="REHRIG PACIFIC COMPANY IN"/>
    <m/>
    <s v="Non-Container Audit"/>
    <d v="2019-09-28T00:00:00"/>
    <d v="2019-09-28T00:00:00"/>
    <s v="2180-19-0049-1"/>
    <n v="700"/>
    <n v="14050"/>
    <n v="17865.96"/>
    <n v="14056"/>
    <n v="6806.08"/>
    <n v="11059.88"/>
    <n v="1063.45"/>
    <n v="54260"/>
    <n v="212.69"/>
    <s v="P"/>
    <m/>
    <n v="500503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0524"/>
    <n v="218236"/>
    <s v="Decals for New FEL Peterbilt"/>
    <m/>
    <m/>
    <m/>
    <m/>
    <n v="0"/>
    <s v="IN  GOODDESIGN LLC"/>
    <m/>
    <s v="Non-Rolling Stock"/>
    <d v="2019-08-05T00:00:00"/>
    <d v="2019-08-05T00:00:00"/>
    <s v="2180-19-0006-1"/>
    <n v="1000"/>
    <n v="14040"/>
    <n v="530"/>
    <n v="14046"/>
    <n v="150.16"/>
    <n v="379.84000000000003"/>
    <n v="22.08"/>
    <n v="51260"/>
    <n v="4.41"/>
    <s v="P"/>
    <m/>
    <n v="10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0523"/>
    <n v="218213"/>
    <s v="Decals for New FEL Peterbilt"/>
    <m/>
    <m/>
    <m/>
    <m/>
    <n v="0"/>
    <s v="LARSEN SIGN CO"/>
    <m/>
    <s v="Non-Rolling Stock"/>
    <d v="2019-07-20T00:00:00"/>
    <d v="2019-07-20T00:00:00"/>
    <s v="2180-19-0005-1"/>
    <n v="1000"/>
    <n v="14040"/>
    <n v="1016.48"/>
    <n v="14046"/>
    <n v="288"/>
    <n v="728.48"/>
    <n v="42.35"/>
    <n v="51260"/>
    <n v="8.4700000000000006"/>
    <s v="P"/>
    <m/>
    <n v="2588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20407"/>
    <n v="219754"/>
    <s v="Decals for New ASL Peterbilt"/>
    <m/>
    <m/>
    <m/>
    <m/>
    <n v="0"/>
    <s v="ALICIA B JENNINGS"/>
    <m/>
    <s v="Non-Rolling Stock"/>
    <d v="2019-09-30T00:00:00"/>
    <d v="2019-09-30T00:00:00"/>
    <s v="2180-19-0001-1"/>
    <n v="1000"/>
    <n v="14040"/>
    <n v="576.75"/>
    <n v="14046"/>
    <n v="153.81"/>
    <n v="422.94"/>
    <n v="24.03"/>
    <n v="51260"/>
    <n v="4.8"/>
    <s v="P"/>
    <m/>
    <n v="6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9755"/>
    <n v="219049"/>
    <s v="Camera System Upgrade"/>
    <m/>
    <m/>
    <m/>
    <m/>
    <n v="0"/>
    <m/>
    <m/>
    <m/>
    <d v="2019-09-30T00:00:00"/>
    <d v="2019-09-30T00:00:00"/>
    <s v="2180-19-0037"/>
    <n v="500"/>
    <n v="14070"/>
    <n v="17409.41"/>
    <n v="14076"/>
    <n v="9285.01"/>
    <n v="8124.4"/>
    <n v="1450.78"/>
    <n v="51260"/>
    <n v="290.14999999999998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9754"/>
    <s v="P"/>
    <s v="2019 Peterbilt ASL Truck"/>
    <m/>
    <m/>
    <s v="3BPDL70X8KF106280"/>
    <m/>
    <n v="2019"/>
    <s v="peterbilt"/>
    <s v="labrie"/>
    <s v="Automated Sideload"/>
    <d v="2019-09-30T00:00:00"/>
    <d v="2019-09-30T00:00:00"/>
    <s v="2180-19-0001"/>
    <n v="1000"/>
    <n v="14040"/>
    <n v="192346.45"/>
    <n v="14046"/>
    <n v="51292.4"/>
    <n v="141054.05000000002"/>
    <n v="8014.44"/>
    <n v="51260"/>
    <n v="1602.89"/>
    <s v="P"/>
    <m/>
    <m/>
    <n v="368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9637"/>
    <s v="P"/>
    <s v="INSTALL THE NANO AND CAMERA ON THE POLES"/>
    <m/>
    <m/>
    <m/>
    <m/>
    <n v="0"/>
    <s v="NW SECURITY AND CONSTRUCT"/>
    <m/>
    <m/>
    <d v="2019-08-06T00:00:00"/>
    <d v="2019-08-06T00:00:00"/>
    <s v="2180-19-0037-1"/>
    <n v="300"/>
    <n v="14110"/>
    <n v="1475.55"/>
    <n v="14116"/>
    <n v="1393.58"/>
    <n v="81.970000000000027"/>
    <n v="204.94"/>
    <n v="70260"/>
    <n v="40.99"/>
    <s v="P"/>
    <m/>
    <n v="32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9050"/>
    <s v="P"/>
    <s v="New Laptop for DC"/>
    <m/>
    <m/>
    <m/>
    <m/>
    <n v="0"/>
    <s v="CDW"/>
    <m/>
    <m/>
    <d v="2019-08-29T00:00:00"/>
    <d v="2019-08-29T00:00:00"/>
    <s v="2180-19-0043-1"/>
    <n v="300"/>
    <n v="14110"/>
    <n v="1408.73"/>
    <n v="14116"/>
    <n v="1291.3399999999999"/>
    <n v="117.3900000000001"/>
    <n v="195.65"/>
    <n v="70260"/>
    <n v="39.130000000000003"/>
    <s v="P"/>
    <m/>
    <s v="TMT38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9049"/>
    <s v="P"/>
    <s v="(6) Edgeswitches and NBeam for Camera system"/>
    <m/>
    <m/>
    <m/>
    <m/>
    <n v="0"/>
    <s v="B&amp;H Photo"/>
    <m/>
    <m/>
    <d v="2019-08-06T00:00:00"/>
    <d v="2019-08-06T00:00:00"/>
    <s v="2180-19-0037-1"/>
    <n v="500"/>
    <n v="14070"/>
    <n v="1265.69"/>
    <n v="14076"/>
    <n v="717.24"/>
    <n v="548.45000000000005"/>
    <n v="105.48"/>
    <n v="51260"/>
    <n v="21.1"/>
    <s v="P"/>
    <m/>
    <n v="8169138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8236"/>
    <s v="P"/>
    <s v="2019 FEL Peterbilt / Labrie 40yd"/>
    <m/>
    <m/>
    <s v="3BPDL70X9KF104795"/>
    <m/>
    <n v="2019"/>
    <s v="peterbilt"/>
    <s v="labrie"/>
    <s v="FEL Truck"/>
    <d v="2019-08-05T00:00:00"/>
    <d v="2019-08-05T00:00:00"/>
    <s v="2180-19-0006-1"/>
    <n v="1000"/>
    <n v="14040"/>
    <n v="355897.69"/>
    <n v="14046"/>
    <n v="100837.68"/>
    <n v="255060.01"/>
    <n v="14829.07"/>
    <n v="51260"/>
    <n v="2965.81"/>
    <s v="P"/>
    <m/>
    <m/>
    <n v="205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8213"/>
    <s v="P"/>
    <s v="2019 FEL Truck"/>
    <n v="0"/>
    <m/>
    <s v="3BPDL70X7KF104794"/>
    <m/>
    <n v="2019"/>
    <s v="peterbilt"/>
    <s v="Wittke"/>
    <s v="FEL Truck"/>
    <d v="2019-07-20T00:00:00"/>
    <d v="2019-07-20T00:00:00"/>
    <s v="2180-19-0005-1"/>
    <n v="1000"/>
    <n v="14040"/>
    <n v="355897.69"/>
    <n v="14046"/>
    <n v="100837.68"/>
    <n v="255060.01"/>
    <n v="14829.07"/>
    <n v="51260"/>
    <n v="2965.81"/>
    <s v="P"/>
    <m/>
    <m/>
    <n v="205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8089"/>
    <s v="P"/>
    <s v="40yd ROL Boxes"/>
    <n v="5"/>
    <m/>
    <m/>
    <m/>
    <n v="0"/>
    <s v="CAPITAL INDUSTRIES INC"/>
    <m/>
    <s v="40 YD RO Box"/>
    <d v="2019-07-15T00:00:00"/>
    <d v="2019-07-15T00:00:00"/>
    <s v="2180-19-0035-3"/>
    <n v="1200"/>
    <n v="14050"/>
    <n v="39950"/>
    <n v="14056"/>
    <n v="9710.07"/>
    <n v="30239.93"/>
    <n v="1387.15"/>
    <n v="54260"/>
    <n v="277.43"/>
    <s v="P"/>
    <m/>
    <n v="1546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7278"/>
    <s v="P"/>
    <s v="96 Gallon Recycle Totes"/>
    <n v="624"/>
    <m/>
    <m/>
    <m/>
    <n v="0"/>
    <s v="TOTER LLC"/>
    <m/>
    <m/>
    <d v="2019-07-01T00:00:00"/>
    <d v="2019-07-01T00:00:00"/>
    <s v="2180-19-0039-1"/>
    <n v="700"/>
    <n v="14050"/>
    <n v="30698.34"/>
    <n v="14056"/>
    <n v="12790.98"/>
    <n v="17907.36"/>
    <n v="1827.28"/>
    <n v="54260"/>
    <n v="365.45"/>
    <s v="P"/>
    <m/>
    <n v="656079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7052"/>
    <s v="P"/>
    <s v="96 Gallon YW Totes"/>
    <n v="1248"/>
    <m/>
    <m/>
    <m/>
    <n v="0"/>
    <s v="TOTER LLC"/>
    <m/>
    <m/>
    <d v="2019-06-22T00:00:00"/>
    <d v="2019-06-22T00:00:00"/>
    <s v="2180-19-0040-1"/>
    <n v="700"/>
    <n v="14050"/>
    <n v="61396.68"/>
    <n v="14056"/>
    <n v="25581.97"/>
    <n v="35814.71"/>
    <n v="3654.57"/>
    <n v="54260"/>
    <n v="730.92"/>
    <s v="P"/>
    <m/>
    <n v="6560676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7051"/>
    <s v="P"/>
    <s v="96 Gallon MSW Totes"/>
    <n v="624"/>
    <m/>
    <m/>
    <m/>
    <n v="0"/>
    <s v="TOTER LLC"/>
    <m/>
    <m/>
    <d v="2019-06-21T00:00:00"/>
    <d v="2019-06-21T00:00:00"/>
    <s v="2180-19-0038-1"/>
    <n v="700"/>
    <n v="14050"/>
    <n v="30698.34"/>
    <n v="14056"/>
    <n v="12790.98"/>
    <n v="17907.36"/>
    <n v="1827.28"/>
    <n v="54260"/>
    <n v="365.45"/>
    <s v="P"/>
    <m/>
    <n v="656066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7050"/>
    <s v="P"/>
    <s v="30yd ROL Boxes"/>
    <n v="5"/>
    <m/>
    <m/>
    <m/>
    <n v="0"/>
    <s v="CAPITAL INDUSTRIES INC"/>
    <m/>
    <s v="30 YD RO Box"/>
    <d v="2019-06-27T00:00:00"/>
    <d v="2019-06-27T00:00:00"/>
    <s v="2180-19-0035-2"/>
    <n v="1200"/>
    <n v="14050"/>
    <n v="34425"/>
    <n v="14056"/>
    <n v="8367.19"/>
    <n v="26057.809999999998"/>
    <n v="1195.31"/>
    <n v="54260"/>
    <n v="239.06"/>
    <s v="P"/>
    <m/>
    <n v="15407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7049"/>
    <s v="P"/>
    <s v="20yd ROL Boxes"/>
    <n v="3"/>
    <m/>
    <m/>
    <m/>
    <n v="0"/>
    <s v="CAPITAL INDUSTRIES INC"/>
    <m/>
    <s v="20 YD RO Box"/>
    <d v="2019-06-27T00:00:00"/>
    <d v="2019-06-27T00:00:00"/>
    <s v="2180-19-0035-1"/>
    <n v="1200"/>
    <n v="14050"/>
    <n v="18900"/>
    <n v="14056"/>
    <n v="4593.75"/>
    <n v="14306.25"/>
    <n v="656.25"/>
    <n v="54260"/>
    <n v="131.25"/>
    <s v="P"/>
    <m/>
    <n v="1540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6382"/>
    <s v="P"/>
    <s v="96 Gal YW Totes"/>
    <n v="936"/>
    <m/>
    <m/>
    <m/>
    <n v="0"/>
    <s v="TOTER LLC"/>
    <m/>
    <m/>
    <d v="2019-06-06T00:00:00"/>
    <d v="2019-06-06T00:00:00"/>
    <s v="2180-19-0036-2"/>
    <n v="700"/>
    <n v="14050"/>
    <n v="46475.57"/>
    <n v="14056"/>
    <n v="19918.11"/>
    <n v="26557.46"/>
    <n v="2766.4"/>
    <n v="54260"/>
    <n v="553.28"/>
    <s v="P"/>
    <m/>
    <n v="656035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6381"/>
    <s v="P"/>
    <s v="64 Gal Recycle Totes with freight order #65603545"/>
    <n v="432"/>
    <m/>
    <m/>
    <m/>
    <n v="0"/>
    <s v="TOTER LLC"/>
    <m/>
    <m/>
    <d v="2019-06-07T00:00:00"/>
    <d v="2019-06-07T00:00:00"/>
    <s v="2180-19-0036-1"/>
    <n v="700"/>
    <n v="14050"/>
    <n v="19561.55"/>
    <n v="14056"/>
    <n v="8383.5300000000007"/>
    <n v="11178.019999999999"/>
    <n v="1164.3800000000001"/>
    <n v="54260"/>
    <n v="232.88"/>
    <s v="P"/>
    <m/>
    <n v="656035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5456"/>
    <s v="P"/>
    <s v="6yd FEL Commercial Containers"/>
    <n v="24"/>
    <m/>
    <m/>
    <m/>
    <n v="0"/>
    <s v="RULE STEEL TANKS INC"/>
    <m/>
    <s v="6 YD FEL/REL/SL Metal"/>
    <d v="2019-05-29T00:00:00"/>
    <d v="2019-05-29T00:00:00"/>
    <s v="2180-19-0033-5"/>
    <n v="1200"/>
    <n v="14050"/>
    <n v="23273.69"/>
    <n v="14056"/>
    <n v="5818.44"/>
    <n v="17455.25"/>
    <n v="808.12"/>
    <n v="54260"/>
    <n v="161.63"/>
    <s v="P"/>
    <m/>
    <s v="003617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5455"/>
    <s v="P"/>
    <s v="4yd FEL Commercial Containers"/>
    <n v="24"/>
    <m/>
    <m/>
    <m/>
    <n v="0"/>
    <s v="RULE STEEL TANKS INC"/>
    <m/>
    <s v="4 YD FEL/REL/SL Metal"/>
    <d v="2019-05-29T00:00:00"/>
    <d v="2019-05-29T00:00:00"/>
    <s v="2180-19-0033-4"/>
    <n v="1200"/>
    <n v="14050"/>
    <n v="17476.41"/>
    <n v="14056"/>
    <n v="4369.1099999999997"/>
    <n v="13107.3"/>
    <n v="606.82000000000005"/>
    <n v="54260"/>
    <n v="121.36"/>
    <s v="P"/>
    <m/>
    <s v="003617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5454"/>
    <s v="P"/>
    <s v="3yd FEL Commercial Containers"/>
    <n v="48"/>
    <m/>
    <m/>
    <m/>
    <n v="0"/>
    <s v="RULE STEEL TANKS INC"/>
    <m/>
    <s v="3 YD FEL/REL/SL Metal"/>
    <d v="2019-05-29T00:00:00"/>
    <d v="2019-05-29T00:00:00"/>
    <s v="2180-19-0033-3"/>
    <n v="1200"/>
    <n v="14050"/>
    <n v="33378.47"/>
    <n v="14056"/>
    <n v="8344.6299999999992"/>
    <n v="25033.840000000004"/>
    <n v="1158.98"/>
    <n v="54260"/>
    <n v="231.8"/>
    <s v="P"/>
    <m/>
    <s v="003617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5453"/>
    <s v="P"/>
    <s v="2yd FEL Commercial Containers"/>
    <n v="24"/>
    <m/>
    <m/>
    <m/>
    <n v="0"/>
    <s v="RULE STEEL TANKS INC"/>
    <m/>
    <s v="2 YD FEL/REL/SL Metal"/>
    <d v="2019-05-29T00:00:00"/>
    <d v="2019-05-29T00:00:00"/>
    <s v="2180-19-0033-2"/>
    <n v="1200"/>
    <n v="14050"/>
    <n v="15299.16"/>
    <n v="14056"/>
    <n v="3824.79"/>
    <n v="11474.369999999999"/>
    <n v="531.22"/>
    <n v="54260"/>
    <n v="106.24"/>
    <s v="P"/>
    <m/>
    <s v="003617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5452"/>
    <s v="P"/>
    <s v="2yd REL Commercial Containers"/>
    <n v="24"/>
    <m/>
    <m/>
    <m/>
    <n v="0"/>
    <s v="RULE STEEL TANKS INC"/>
    <m/>
    <s v="2 YD FEL/REL/SL Metal"/>
    <d v="2019-05-29T00:00:00"/>
    <d v="2019-05-29T00:00:00"/>
    <s v="2180-19-0033-1"/>
    <n v="1200"/>
    <n v="14050"/>
    <n v="15194.23"/>
    <n v="14056"/>
    <n v="3798.57"/>
    <n v="11395.66"/>
    <n v="527.58000000000004"/>
    <n v="54260"/>
    <n v="105.52"/>
    <s v="P"/>
    <m/>
    <s v="0036176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2308"/>
    <s v="P"/>
    <s v="96 Gallon YW"/>
    <n v="624"/>
    <m/>
    <m/>
    <m/>
    <n v="0"/>
    <s v="TOTER LLC"/>
    <m/>
    <m/>
    <d v="2019-03-30T00:00:00"/>
    <d v="2019-03-30T00:00:00"/>
    <s v="2180-19-0030-3"/>
    <n v="700"/>
    <n v="14050"/>
    <n v="31901.46"/>
    <n v="14056"/>
    <n v="14431.61"/>
    <n v="17469.849999999999"/>
    <n v="1898.9"/>
    <n v="54260"/>
    <n v="379.78"/>
    <s v="P"/>
    <m/>
    <n v="655821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1431"/>
    <s v="P"/>
    <s v="Shop Lighting Project"/>
    <m/>
    <m/>
    <m/>
    <s v="94-3283464"/>
    <n v="0"/>
    <s v="City of Tacoma"/>
    <m/>
    <m/>
    <d v="2019-01-01T00:00:00"/>
    <d v="2019-01-01T00:00:00"/>
    <s v="2180-18-0054-1"/>
    <n v="1000"/>
    <n v="14080"/>
    <n v="-2575.16"/>
    <n v="14086"/>
    <n v="-879.86"/>
    <n v="-1695.2999999999997"/>
    <n v="-107.3"/>
    <n v="57260"/>
    <n v="-21.46"/>
    <s v="P"/>
    <m/>
    <n v="20017755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1014"/>
    <s v="P"/>
    <s v="64 Gallon Green MSW Carts"/>
    <n v="864"/>
    <m/>
    <m/>
    <m/>
    <n v="0"/>
    <s v="Toter Llc"/>
    <m/>
    <m/>
    <d v="2019-02-26T00:00:00"/>
    <d v="2019-02-26T00:00:00"/>
    <s v="2180-19-0030-4"/>
    <n v="700"/>
    <n v="14050"/>
    <n v="39272.65"/>
    <n v="14056"/>
    <n v="18233.740000000002"/>
    <n v="21038.91"/>
    <n v="2337.66"/>
    <n v="54260"/>
    <n v="467.53"/>
    <s v="P"/>
    <m/>
    <n v="655811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1013"/>
    <s v="P"/>
    <s v="64 Gallon Green MSW Carts"/>
    <n v="864"/>
    <m/>
    <m/>
    <m/>
    <n v="0"/>
    <s v="Toter Llc"/>
    <m/>
    <m/>
    <d v="2019-02-22T00:00:00"/>
    <d v="2019-02-22T00:00:00"/>
    <s v="2180-19-0030-4"/>
    <n v="700"/>
    <n v="14050"/>
    <n v="39272.65"/>
    <n v="14056"/>
    <n v="18233.740000000002"/>
    <n v="21038.91"/>
    <n v="2337.66"/>
    <n v="54260"/>
    <n v="467.53"/>
    <s v="P"/>
    <m/>
    <n v="6558097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1012"/>
    <s v="P"/>
    <s v="96 Gallon Green MSW Carts"/>
    <n v="624"/>
    <m/>
    <m/>
    <m/>
    <n v="0"/>
    <s v="Toter Llc"/>
    <m/>
    <m/>
    <d v="2019-03-01T00:00:00"/>
    <d v="2019-03-01T00:00:00"/>
    <s v="2180-19-0030-2"/>
    <n v="700"/>
    <n v="14050"/>
    <n v="31901.46"/>
    <n v="14056"/>
    <n v="14811.39"/>
    <n v="17090.07"/>
    <n v="1898.9"/>
    <n v="54260"/>
    <n v="379.78"/>
    <s v="P"/>
    <m/>
    <n v="6558175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1011"/>
    <s v="P"/>
    <s v="96 Gallon Gray MSW Carts"/>
    <n v="1248"/>
    <m/>
    <m/>
    <m/>
    <n v="0"/>
    <s v="Toter Llc"/>
    <m/>
    <m/>
    <d v="2019-02-26T00:00:00"/>
    <d v="2019-02-26T00:00:00"/>
    <s v="2180-19-0030-1"/>
    <n v="700"/>
    <n v="14050"/>
    <n v="63802.92"/>
    <n v="14056"/>
    <n v="29622.78"/>
    <n v="34180.14"/>
    <n v="3797.79"/>
    <n v="54260"/>
    <n v="759.56"/>
    <s v="P"/>
    <m/>
    <n v="655811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0086"/>
    <s v="P"/>
    <s v="Shop lighting project"/>
    <m/>
    <m/>
    <m/>
    <m/>
    <n v="0"/>
    <s v="KEITHLY ELECTRIC COMPANY"/>
    <m/>
    <m/>
    <d v="2019-01-01T00:00:00"/>
    <d v="2019-01-01T00:00:00"/>
    <s v="2180-18-0054-1"/>
    <n v="1000"/>
    <n v="14080"/>
    <n v="9037"/>
    <n v="14086"/>
    <n v="3087.64"/>
    <n v="5949.3600000000006"/>
    <n v="376.54"/>
    <n v="57260"/>
    <n v="75.31"/>
    <s v="P"/>
    <m/>
    <n v="463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10007"/>
    <s v="P"/>
    <s v="Laptop for District Manager"/>
    <m/>
    <m/>
    <m/>
    <m/>
    <n v="0"/>
    <s v="CDW"/>
    <m/>
    <m/>
    <d v="2019-01-23T00:00:00"/>
    <d v="2019-01-23T00:00:00"/>
    <s v="2180-19-0031-1"/>
    <n v="300"/>
    <n v="14110"/>
    <n v="1670.66"/>
    <n v="14116"/>
    <n v="1670.66"/>
    <n v="0"/>
    <n v="46.4"/>
    <n v="70260"/>
    <n v="0"/>
    <s v="P"/>
    <m/>
    <s v="QTN6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9134"/>
    <s v="P"/>
    <s v="95 Gal Recy Carts"/>
    <n v="702"/>
    <m/>
    <m/>
    <m/>
    <n v="0"/>
    <s v="REHRIG PACIFIC COMPANY IN"/>
    <m/>
    <m/>
    <d v="2019-01-01T00:00:00"/>
    <d v="2019-01-01T00:00:00"/>
    <s v="2180-18-0055-1"/>
    <n v="608"/>
    <n v="14050"/>
    <n v="38279.9"/>
    <n v="14056"/>
    <n v="19618.47"/>
    <n v="18661.43"/>
    <n v="2392.5"/>
    <n v="54260"/>
    <n v="478.5"/>
    <s v="P"/>
    <m/>
    <s v="LA226824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8977"/>
    <s v="P"/>
    <s v="Shop Lighting Project-lights"/>
    <m/>
    <m/>
    <m/>
    <m/>
    <n v="0"/>
    <s v="PLANLED INC"/>
    <m/>
    <m/>
    <d v="2019-01-01T00:00:00"/>
    <d v="2019-01-01T00:00:00"/>
    <s v="2180-18-0054-1"/>
    <n v="911"/>
    <n v="14080"/>
    <n v="24602.39"/>
    <n v="14086"/>
    <n v="8476.44"/>
    <n v="16125.949999999999"/>
    <n v="1033.71"/>
    <n v="57260"/>
    <n v="206.74"/>
    <s v="P"/>
    <m/>
    <s v="I18005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8946"/>
    <s v="P"/>
    <s v="40 Rolloff Boxes"/>
    <n v="2"/>
    <m/>
    <m/>
    <m/>
    <n v="0"/>
    <s v="WASTEQUIP LLC"/>
    <m/>
    <s v="40 YD RO Box"/>
    <d v="2019-01-01T00:00:00"/>
    <d v="2019-01-01T00:00:00"/>
    <s v="2180-18-0057-9"/>
    <n v="1111"/>
    <n v="14050"/>
    <n v="15795"/>
    <n v="14056"/>
    <n v="4528.66"/>
    <n v="11266.34"/>
    <n v="552.28"/>
    <n v="54260"/>
    <n v="110.46"/>
    <s v="P"/>
    <m/>
    <n v="3721825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8945"/>
    <s v="P"/>
    <s v="1.5 YD Rel Commercial Containers"/>
    <n v="12"/>
    <m/>
    <m/>
    <m/>
    <n v="0"/>
    <s v="WASTEQUIP LLC"/>
    <m/>
    <s v="1.5 YD FEL/REL/SL Metal"/>
    <d v="2019-01-01T00:00:00"/>
    <d v="2019-01-01T00:00:00"/>
    <s v="2180-18-0057-2"/>
    <n v="1111"/>
    <n v="14050"/>
    <n v="6662.92"/>
    <n v="14056"/>
    <n v="1910.36"/>
    <n v="4752.5600000000004"/>
    <n v="232.97"/>
    <n v="54260"/>
    <n v="46.59"/>
    <s v="P"/>
    <m/>
    <n v="3721825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7236"/>
    <s v="P"/>
    <s v="2019 FEL Truck"/>
    <m/>
    <m/>
    <s v="3BPDL70XXKF104028"/>
    <m/>
    <n v="2019"/>
    <s v="peterbilt"/>
    <s v="Wittke"/>
    <s v="FEL Truck"/>
    <d v="2018-12-06T00:00:00"/>
    <d v="2018-12-06T00:00:00"/>
    <s v="2180-18-0033-1"/>
    <n v="1000"/>
    <n v="14040"/>
    <n v="336698.51"/>
    <n v="14046"/>
    <n v="117844.47"/>
    <n v="218854.04"/>
    <n v="14029.1"/>
    <n v="51260"/>
    <n v="2805.82"/>
    <s v="P"/>
    <m/>
    <n v="238420"/>
    <n v="205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7203"/>
    <s v="P"/>
    <s v="4 Yard FEL Commercial Containers"/>
    <n v="24"/>
    <m/>
    <m/>
    <m/>
    <n v="0"/>
    <s v="WASTEQUIP LLC"/>
    <m/>
    <s v="4 YD FEL/REL/SL Metal"/>
    <d v="2018-10-16T00:00:00"/>
    <d v="2018-10-16T00:00:00"/>
    <s v="2180-18-0057-4"/>
    <n v="1200"/>
    <n v="14050"/>
    <n v="17313.12"/>
    <n v="14056"/>
    <n v="5169.8900000000003"/>
    <n v="12143.23"/>
    <n v="601.15"/>
    <n v="54260"/>
    <n v="120.23"/>
    <s v="P"/>
    <m/>
    <n v="372178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90"/>
    <s v="P"/>
    <s v="30 Yard Rolloff Boxes"/>
    <n v="2"/>
    <m/>
    <m/>
    <m/>
    <n v="0"/>
    <s v="WASTEQUIP LLC"/>
    <m/>
    <s v="30 YD RO Box"/>
    <d v="2018-11-13T00:00:00"/>
    <d v="2018-11-13T00:00:00"/>
    <s v="2180-18-0057-8"/>
    <n v="1200"/>
    <n v="14050"/>
    <n v="13562"/>
    <n v="14056"/>
    <n v="4049.77"/>
    <n v="9512.23"/>
    <n v="470.9"/>
    <n v="54260"/>
    <n v="94.18"/>
    <s v="P"/>
    <m/>
    <n v="372181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9"/>
    <s v="P"/>
    <s v="30 Yard Rolloff Boxes"/>
    <n v="2"/>
    <m/>
    <m/>
    <m/>
    <n v="0"/>
    <s v="WASTEQUIP LLC"/>
    <m/>
    <s v="30 YD RO Box"/>
    <d v="2018-11-12T00:00:00"/>
    <d v="2018-11-12T00:00:00"/>
    <s v="2180-18-0057-8"/>
    <n v="1200"/>
    <n v="14050"/>
    <n v="15488"/>
    <n v="14056"/>
    <n v="4624.8999999999996"/>
    <n v="10863.1"/>
    <n v="537.78"/>
    <n v="54260"/>
    <n v="107.56"/>
    <s v="P"/>
    <m/>
    <n v="372180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8"/>
    <s v="P"/>
    <s v="30Yard Rolloff Boxes"/>
    <n v="1"/>
    <m/>
    <m/>
    <m/>
    <n v="0"/>
    <s v="WASTEQUIP LLC"/>
    <m/>
    <s v="30 YD RO Box"/>
    <d v="2018-11-10T00:00:00"/>
    <d v="2018-11-10T00:00:00"/>
    <s v="2180-18-0057-8"/>
    <n v="1200"/>
    <n v="14050"/>
    <n v="7262.5"/>
    <n v="14056"/>
    <n v="2168.67"/>
    <n v="5093.83"/>
    <n v="252.17"/>
    <n v="54260"/>
    <n v="50.43"/>
    <s v="P"/>
    <m/>
    <n v="372180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7"/>
    <s v="P"/>
    <s v="20 Yard Rolloff Boxes"/>
    <n v="1"/>
    <m/>
    <m/>
    <m/>
    <n v="0"/>
    <s v="WASTEQUIP LLC"/>
    <m/>
    <s v="20 YD RO Box"/>
    <d v="2018-11-10T00:00:00"/>
    <d v="2018-11-10T00:00:00"/>
    <s v="2180-18-0057-7"/>
    <n v="1200"/>
    <n v="14050"/>
    <n v="6584.5"/>
    <n v="14056"/>
    <n v="1966.21"/>
    <n v="4618.29"/>
    <n v="228.63"/>
    <n v="54260"/>
    <n v="45.73"/>
    <s v="P"/>
    <m/>
    <n v="372180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6"/>
    <s v="P"/>
    <s v="2 Yard REL Commercial Containers"/>
    <n v="3"/>
    <m/>
    <m/>
    <m/>
    <n v="0"/>
    <s v="WASTEQUIP LLC"/>
    <m/>
    <s v="2 YD FEL/REL/SL Metal"/>
    <d v="2018-11-20T00:00:00"/>
    <d v="2018-11-20T00:00:00"/>
    <s v="2180-18-0057-3"/>
    <n v="1200"/>
    <n v="14050"/>
    <n v="1911.65"/>
    <n v="14056"/>
    <n v="557.59"/>
    <n v="1354.06"/>
    <n v="66.38"/>
    <n v="54260"/>
    <n v="13.28"/>
    <s v="P"/>
    <m/>
    <n v="372181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5"/>
    <s v="P"/>
    <s v="1 Yard REL Commercial Containers"/>
    <n v="6"/>
    <m/>
    <m/>
    <m/>
    <n v="0"/>
    <s v="WASTEQUIP LLC"/>
    <m/>
    <s v="1 YD FEL/REL/SL Metal"/>
    <d v="2018-11-20T00:00:00"/>
    <d v="2018-11-20T00:00:00"/>
    <s v="2180-18-0057-1"/>
    <n v="1200"/>
    <n v="14050"/>
    <n v="3423.27"/>
    <n v="14056"/>
    <n v="998.41"/>
    <n v="2424.86"/>
    <n v="118.86"/>
    <n v="54260"/>
    <n v="23.77"/>
    <s v="P"/>
    <m/>
    <n v="372181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4"/>
    <s v="P"/>
    <s v="40 Yard Rolloff Boxes"/>
    <n v="2"/>
    <m/>
    <m/>
    <m/>
    <n v="0"/>
    <s v="WASTEQUIP LLC"/>
    <m/>
    <s v="40 YD RO Box"/>
    <d v="2018-11-20T00:00:00"/>
    <d v="2018-11-20T00:00:00"/>
    <s v="2180-18-0057-9"/>
    <n v="1200"/>
    <n v="14050"/>
    <n v="15795"/>
    <n v="14056"/>
    <n v="4606.88"/>
    <n v="11188.119999999999"/>
    <n v="548.44000000000005"/>
    <n v="54260"/>
    <n v="109.69"/>
    <s v="P"/>
    <m/>
    <n v="372181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3"/>
    <s v="P"/>
    <s v="2 Yard REL  Commercial Containers"/>
    <n v="6"/>
    <m/>
    <m/>
    <m/>
    <n v="0"/>
    <s v="WASTEQUIP LLC"/>
    <m/>
    <s v="2 YD FEL/REL/SL Metal"/>
    <d v="2018-11-13T00:00:00"/>
    <d v="2018-11-13T00:00:00"/>
    <s v="2180-18-0057-3"/>
    <n v="1200"/>
    <n v="14050"/>
    <n v="3823.32"/>
    <n v="14056"/>
    <n v="1141.68"/>
    <n v="2681.6400000000003"/>
    <n v="132.75"/>
    <n v="54260"/>
    <n v="26.55"/>
    <s v="P"/>
    <m/>
    <n v="372181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2"/>
    <s v="P"/>
    <s v="1 Yard REL Commercial Containers"/>
    <n v="6"/>
    <m/>
    <m/>
    <m/>
    <n v="0"/>
    <s v="WASTEQUIP LLC"/>
    <m/>
    <s v="1 YD FEL/REL/SL Metal"/>
    <d v="2018-11-13T00:00:00"/>
    <d v="2018-11-13T00:00:00"/>
    <s v="2180-18-0057-1"/>
    <n v="1200"/>
    <n v="14050"/>
    <n v="3423.27"/>
    <n v="14056"/>
    <n v="1022.19"/>
    <n v="2401.08"/>
    <n v="118.86"/>
    <n v="54260"/>
    <n v="23.77"/>
    <s v="P"/>
    <m/>
    <n v="372181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1"/>
    <s v="P"/>
    <s v="2 Yard REL Commercial Containers"/>
    <n v="5"/>
    <m/>
    <m/>
    <m/>
    <n v="0"/>
    <s v="WASTEQUIP LLC"/>
    <m/>
    <s v="2 YD FEL/REL/SL Metal"/>
    <d v="2018-10-10T00:00:00"/>
    <d v="2018-10-10T00:00:00"/>
    <s v="2180-18-0057-3"/>
    <n v="1200"/>
    <n v="14050"/>
    <n v="3186.1"/>
    <n v="14056"/>
    <n v="973.54"/>
    <n v="2212.56"/>
    <n v="110.63"/>
    <n v="54260"/>
    <n v="22.13"/>
    <s v="P"/>
    <m/>
    <n v="372180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80"/>
    <s v="P"/>
    <s v="2 Yard REL Commercial Containers"/>
    <n v="10"/>
    <m/>
    <m/>
    <m/>
    <n v="0"/>
    <s v="WASTEQUIP LLC"/>
    <m/>
    <s v="2 YD FEL/REL/SL Metal"/>
    <d v="2018-11-12T00:00:00"/>
    <d v="2018-11-12T00:00:00"/>
    <s v="2180-18-0057-3"/>
    <n v="1200"/>
    <n v="14050"/>
    <n v="6372.19"/>
    <n v="14056"/>
    <n v="1902.82"/>
    <n v="4469.37"/>
    <n v="221.26"/>
    <n v="54260"/>
    <n v="44.25"/>
    <s v="P"/>
    <m/>
    <n v="37218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79"/>
    <s v="P"/>
    <s v="6 Yard FEL Commercial Containers"/>
    <n v="13"/>
    <m/>
    <m/>
    <m/>
    <n v="0"/>
    <s v="WASTEQUIP LLC"/>
    <m/>
    <s v="6 YD FEL/REL/SL Metal"/>
    <d v="2018-10-04T00:00:00"/>
    <d v="2018-10-04T00:00:00"/>
    <s v="2180-18-0057-5"/>
    <n v="1200"/>
    <n v="14050"/>
    <n v="12844.93"/>
    <n v="14056"/>
    <n v="3924.83"/>
    <n v="8920.1"/>
    <n v="446"/>
    <n v="54260"/>
    <n v="89.2"/>
    <s v="P"/>
    <m/>
    <n v="372178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78"/>
    <s v="P"/>
    <s v="6 Yard FEL  Commercial Containers"/>
    <n v="8"/>
    <m/>
    <m/>
    <m/>
    <n v="0"/>
    <s v="WASTEQUIP LLC"/>
    <m/>
    <s v="6 YD FEL/REL/SL Metal"/>
    <d v="2018-10-15T00:00:00"/>
    <d v="2018-10-15T00:00:00"/>
    <s v="2180-18-0057-5"/>
    <n v="1200"/>
    <n v="14050"/>
    <n v="7904.57"/>
    <n v="14056"/>
    <n v="2415.31"/>
    <n v="5489.26"/>
    <n v="274.47000000000003"/>
    <n v="54260"/>
    <n v="54.9"/>
    <s v="P"/>
    <m/>
    <n v="372178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677"/>
    <s v="P"/>
    <s v="64 Gallon MSW Carts"/>
    <n v="864"/>
    <m/>
    <m/>
    <m/>
    <n v="0"/>
    <s v="TOTER LLC"/>
    <m/>
    <m/>
    <d v="2018-11-14T00:00:00"/>
    <d v="2018-11-14T00:00:00"/>
    <s v="2180-18-0060-1"/>
    <n v="700"/>
    <n v="14050"/>
    <n v="39910.019999999997"/>
    <n v="14056"/>
    <n v="20430.13"/>
    <n v="19479.889999999996"/>
    <n v="2375.6"/>
    <n v="54260"/>
    <n v="475.12"/>
    <s v="P"/>
    <m/>
    <n v="6556335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14"/>
    <s v="P"/>
    <s v="96 Gallon MSW Carts"/>
    <n v="624"/>
    <m/>
    <m/>
    <m/>
    <n v="0"/>
    <s v="WASTEQUIP LLC"/>
    <m/>
    <m/>
    <d v="2018-11-07T00:00:00"/>
    <d v="2018-11-07T00:00:00"/>
    <s v="2180-18-0060-2"/>
    <n v="700"/>
    <n v="14050"/>
    <n v="33601.22"/>
    <n v="14056"/>
    <n v="17200.650000000001"/>
    <n v="16400.57"/>
    <n v="2000.08"/>
    <n v="54260"/>
    <n v="400.02"/>
    <s v="P"/>
    <m/>
    <n v="655618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13"/>
    <s v="P"/>
    <s v="10 Yard Rolloff Boxes"/>
    <n v="2"/>
    <m/>
    <m/>
    <m/>
    <n v="0"/>
    <s v="WASTEQUIP LLC"/>
    <m/>
    <s v="10 YD RO Box"/>
    <d v="2018-10-24T00:00:00"/>
    <d v="2018-10-24T00:00:00"/>
    <s v="2180-18-0057-6"/>
    <n v="1200"/>
    <n v="14050"/>
    <n v="12066"/>
    <n v="14056"/>
    <n v="3603.05"/>
    <n v="8462.9500000000007"/>
    <n v="418.96"/>
    <n v="54260"/>
    <n v="83.79"/>
    <s v="P"/>
    <m/>
    <n v="37217957"/>
    <m/>
    <s v="Internal"/>
    <s v="A"/>
    <s v="SL"/>
    <m/>
    <s v="WCNX"/>
    <n v="2"/>
    <n v="0"/>
    <m/>
    <x v="13"/>
    <m/>
    <m/>
    <m/>
    <m/>
    <m/>
    <m/>
    <m/>
    <m/>
    <m/>
    <m/>
    <x v="1"/>
  </r>
  <r>
    <n v="2180"/>
    <n v="206412"/>
    <s v="P"/>
    <s v="20 Yard Rolloff Boxes"/>
    <n v="2"/>
    <m/>
    <m/>
    <m/>
    <n v="0"/>
    <s v="WASTEQUIP LLC"/>
    <m/>
    <s v="20 YD RO Box"/>
    <d v="2018-10-25T00:00:00"/>
    <d v="2018-10-25T00:00:00"/>
    <s v="2180-18-0057-7"/>
    <n v="1200"/>
    <n v="14050"/>
    <n v="13169"/>
    <n v="14056"/>
    <n v="3932.42"/>
    <n v="9236.58"/>
    <n v="457.26"/>
    <n v="54260"/>
    <n v="91.45"/>
    <s v="P"/>
    <m/>
    <n v="372179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11"/>
    <s v="P"/>
    <s v="40 Yard Rolloff Boxes"/>
    <n v="6"/>
    <m/>
    <m/>
    <m/>
    <n v="0"/>
    <s v="WASTEQUIP LLC"/>
    <m/>
    <s v="40 YD RO Box"/>
    <d v="2018-10-24T00:00:00"/>
    <d v="2018-10-24T00:00:00"/>
    <s v="2180-18-0048-3"/>
    <n v="1200"/>
    <n v="14050"/>
    <n v="45612"/>
    <n v="14056"/>
    <n v="13620.25"/>
    <n v="31991.75"/>
    <n v="1583.75"/>
    <n v="54260"/>
    <n v="316.75"/>
    <s v="P"/>
    <m/>
    <n v="3721795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02"/>
    <n v="204185"/>
    <s v="Lettering on New FEL Peterbilt"/>
    <m/>
    <m/>
    <m/>
    <m/>
    <n v="0"/>
    <s v="ALICIA B JENNINGS"/>
    <m/>
    <s v="Non Rolling Stock"/>
    <d v="2018-10-24T00:00:00"/>
    <d v="2018-10-24T00:00:00"/>
    <s v="2180-18-0024-1"/>
    <n v="1000"/>
    <n v="14040"/>
    <n v="576.75"/>
    <n v="14046"/>
    <n v="206.68"/>
    <n v="370.07"/>
    <n v="24.03"/>
    <n v="51260"/>
    <n v="4.8"/>
    <s v="P"/>
    <m/>
    <n v="42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01"/>
    <n v="204190"/>
    <s v="Lettering on New FEL Peterbilt"/>
    <m/>
    <m/>
    <m/>
    <m/>
    <n v="0"/>
    <s v="ALICIA B JENNINGS"/>
    <m/>
    <s v="Non Rolling Stock"/>
    <d v="2018-10-24T00:00:00"/>
    <d v="2018-10-24T00:00:00"/>
    <s v="2180-18-0023-1"/>
    <n v="1000"/>
    <n v="14040"/>
    <n v="576.75"/>
    <n v="14046"/>
    <n v="206.68"/>
    <n v="370.07"/>
    <n v="24.03"/>
    <n v="51260"/>
    <n v="4.8"/>
    <s v="P"/>
    <m/>
    <n v="4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400"/>
    <n v="204188"/>
    <s v="Lettering on New ASL Peterbilt"/>
    <m/>
    <m/>
    <m/>
    <m/>
    <n v="2018"/>
    <s v="Peterbilt"/>
    <s v="Pertbilt"/>
    <s v="Non Rolling Stock"/>
    <d v="2018-10-16T00:00:00"/>
    <d v="2018-10-16T00:00:00"/>
    <s v="2180-18-0030-1"/>
    <n v="1000"/>
    <n v="14040"/>
    <n v="628.75"/>
    <n v="14046"/>
    <n v="225.32"/>
    <n v="403.43"/>
    <n v="26.2"/>
    <n v="51260"/>
    <n v="5.24"/>
    <s v="P"/>
    <m/>
    <n v="41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6246"/>
    <s v="P"/>
    <s v="HP Probook 640G4"/>
    <m/>
    <m/>
    <m/>
    <m/>
    <n v="0"/>
    <s v="CDW"/>
    <m/>
    <m/>
    <d v="2018-11-27T00:00:00"/>
    <d v="2018-11-27T00:00:00"/>
    <s v="2180-18-0058-1"/>
    <n v="300"/>
    <n v="14110"/>
    <n v="1484.41"/>
    <n v="14116"/>
    <n v="1484.41"/>
    <n v="0"/>
    <n v="0"/>
    <n v="70260"/>
    <n v="0"/>
    <s v="P"/>
    <m/>
    <s v="QBX46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5326"/>
    <s v="P"/>
    <s v="2019 ASL Truck"/>
    <m/>
    <m/>
    <s v="3BPDL70X0KF103261"/>
    <m/>
    <n v="2019"/>
    <s v="peterbilt"/>
    <s v="labrie"/>
    <s v="Automated Sideload"/>
    <d v="2018-11-19T00:00:00"/>
    <d v="2018-11-19T00:00:00"/>
    <s v="2180-18-0014-1"/>
    <n v="1000"/>
    <n v="14040"/>
    <n v="349829.48"/>
    <n v="14046"/>
    <n v="122440.33"/>
    <n v="227389.14999999997"/>
    <n v="14576.23"/>
    <n v="51260"/>
    <n v="2915.25"/>
    <s v="P"/>
    <m/>
    <n v="155557"/>
    <n v="367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837"/>
    <n v="60779"/>
    <s v="Inframe Overhaul on Trk #1065"/>
    <m/>
    <m/>
    <m/>
    <m/>
    <n v="0"/>
    <s v="DIRKS TRUCK REPAIR"/>
    <m/>
    <s v="Non Rolling Stock"/>
    <d v="2018-10-09T00:00:00"/>
    <d v="2018-10-09T00:00:00"/>
    <s v="2180-18-0056-1"/>
    <n v="300"/>
    <n v="14040"/>
    <n v="14824.26"/>
    <n v="14046"/>
    <n v="14824.26"/>
    <n v="0"/>
    <n v="0"/>
    <n v="51260"/>
    <n v="0"/>
    <s v="P"/>
    <m/>
    <s v="W 299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592"/>
    <s v="P"/>
    <s v="5 replacement tablets"/>
    <m/>
    <m/>
    <m/>
    <m/>
    <n v="0"/>
    <s v="ROUTEWARE INC"/>
    <m/>
    <m/>
    <d v="2018-09-11T00:00:00"/>
    <d v="2018-09-11T00:00:00"/>
    <s v="2180-18-0059-1"/>
    <n v="100"/>
    <n v="14110"/>
    <n v="15356.65"/>
    <n v="14116"/>
    <n v="15356.65"/>
    <n v="0"/>
    <n v="0"/>
    <n v="70260"/>
    <n v="0"/>
    <s v="P"/>
    <m/>
    <n v="996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578"/>
    <s v="P"/>
    <s v="20yd Rolloff Boxes"/>
    <n v="2"/>
    <m/>
    <m/>
    <m/>
    <n v="0"/>
    <s v="WASTEQUIP LLC"/>
    <m/>
    <s v="20 YD RO Box"/>
    <d v="2018-10-18T00:00:00"/>
    <d v="2018-10-18T00:00:00"/>
    <s v="2180-18-0057-7"/>
    <n v="1200"/>
    <n v="14050"/>
    <n v="13169"/>
    <n v="14056"/>
    <n v="3932.42"/>
    <n v="9236.58"/>
    <n v="457.26"/>
    <n v="54260"/>
    <n v="91.45"/>
    <s v="P"/>
    <m/>
    <n v="372178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577"/>
    <s v="P"/>
    <s v="40yd Rolloff Boxes"/>
    <n v="4"/>
    <m/>
    <m/>
    <m/>
    <n v="0"/>
    <s v="WASTEQUIP LLC"/>
    <m/>
    <s v="40 YD RO Box"/>
    <d v="2018-10-09T00:00:00"/>
    <d v="2018-10-09T00:00:00"/>
    <s v="2180-18-0048-3"/>
    <n v="1200"/>
    <n v="14050"/>
    <n v="30408"/>
    <n v="14056"/>
    <n v="9291.33"/>
    <n v="21116.67"/>
    <n v="1055.83"/>
    <n v="54260"/>
    <n v="211.16"/>
    <s v="P"/>
    <m/>
    <n v="3721784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576"/>
    <s v="P"/>
    <s v="30yd Rolloff Boxes"/>
    <n v="2"/>
    <m/>
    <m/>
    <m/>
    <n v="0"/>
    <s v="WASTEQUIP LLC"/>
    <m/>
    <s v="30 YD RO Box"/>
    <d v="2018-10-05T00:00:00"/>
    <d v="2018-10-05T00:00:00"/>
    <s v="2180-18-0048-2"/>
    <n v="1200"/>
    <n v="14050"/>
    <n v="13966"/>
    <n v="14056"/>
    <n v="4267.38"/>
    <n v="9698.619999999999"/>
    <n v="484.93"/>
    <n v="54260"/>
    <n v="96.99"/>
    <s v="P"/>
    <m/>
    <n v="3721783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287"/>
    <s v="P"/>
    <s v="6yd FEL Commercial Containers"/>
    <n v="13"/>
    <m/>
    <m/>
    <m/>
    <n v="0"/>
    <s v="WASTEQUIP LLC"/>
    <m/>
    <s v="6 YD FEL/REL/SL Metal"/>
    <d v="2018-10-05T00:00:00"/>
    <d v="2018-10-05T00:00:00"/>
    <s v="2180-18-0057-5"/>
    <n v="1200"/>
    <n v="14050"/>
    <n v="13897.5"/>
    <n v="14056"/>
    <n v="4246.47"/>
    <n v="9651.0299999999988"/>
    <n v="482.55"/>
    <n v="54260"/>
    <n v="96.51"/>
    <s v="P"/>
    <m/>
    <n v="3721783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90"/>
    <s v="P"/>
    <s v="2019 FEL Truck"/>
    <m/>
    <m/>
    <s v="3BPDL70X4KF104011"/>
    <m/>
    <n v="2019"/>
    <s v="peterbilt"/>
    <s v="Wittke"/>
    <s v="FEL Truck"/>
    <d v="2018-10-16T00:00:00"/>
    <d v="2018-10-16T00:00:00"/>
    <s v="2180-18-0023-1"/>
    <n v="1000"/>
    <n v="14040"/>
    <n v="336121.76"/>
    <n v="14046"/>
    <n v="120443.65"/>
    <n v="215678.11000000002"/>
    <n v="14005.08"/>
    <n v="51260"/>
    <n v="2801.02"/>
    <s v="P"/>
    <m/>
    <n v="9934"/>
    <n v="205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88"/>
    <s v="P"/>
    <s v="2019 ASL Truck"/>
    <m/>
    <m/>
    <s v="3BPDL70X1KF104029"/>
    <m/>
    <n v="2019"/>
    <s v="peterbilt"/>
    <s v="labrie"/>
    <s v="Automated Sideload"/>
    <d v="2018-10-16T00:00:00"/>
    <d v="2018-10-16T00:00:00"/>
    <s v="2180-18-0030-1"/>
    <n v="1000"/>
    <n v="14040"/>
    <n v="349200.73"/>
    <n v="14046"/>
    <n v="125130.25"/>
    <n v="224070.47999999998"/>
    <n v="14550.03"/>
    <n v="51260"/>
    <n v="2910.01"/>
    <s v="P"/>
    <m/>
    <n v="9934"/>
    <n v="368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85"/>
    <s v="P"/>
    <s v="2019 FEL Truck"/>
    <m/>
    <m/>
    <s v="3BPDL70X6KF104012"/>
    <m/>
    <n v="2019"/>
    <s v="peterbilt"/>
    <s v="Wittke"/>
    <s v="FEL Truck"/>
    <d v="2018-10-16T00:00:00"/>
    <d v="2018-10-16T00:00:00"/>
    <s v="2180-18-0024-1"/>
    <n v="1000"/>
    <n v="14040"/>
    <n v="336121.76"/>
    <n v="14046"/>
    <n v="120443.65"/>
    <n v="215678.11000000002"/>
    <n v="14005.08"/>
    <n v="51260"/>
    <n v="2801.02"/>
    <s v="P"/>
    <m/>
    <n v="9934"/>
    <n v="205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73"/>
    <s v="P"/>
    <s v="96 Gallon Recycle Carts"/>
    <n v="702"/>
    <m/>
    <m/>
    <m/>
    <n v="0"/>
    <s v="REHRIG PACIFIC COMPANY IN"/>
    <m/>
    <m/>
    <d v="2018-09-12T00:00:00"/>
    <d v="2018-09-12T00:00:00"/>
    <s v="2180-18-0055-1"/>
    <n v="700"/>
    <n v="14050"/>
    <n v="38279.9"/>
    <n v="14056"/>
    <n v="20507.099999999999"/>
    <n v="17772.800000000003"/>
    <n v="2278.5700000000002"/>
    <n v="54260"/>
    <n v="455.72"/>
    <s v="P"/>
    <m/>
    <s v="LA2261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72"/>
    <s v="P"/>
    <s v="30Yd Rolloff Boxes"/>
    <n v="4"/>
    <m/>
    <m/>
    <m/>
    <n v="0"/>
    <s v="WASTEQUIP LLC"/>
    <m/>
    <s v="30 YD RO Box"/>
    <d v="2018-09-25T00:00:00"/>
    <d v="2018-09-25T00:00:00"/>
    <s v="2180-18-0048-2"/>
    <n v="1200"/>
    <n v="14050"/>
    <n v="27932"/>
    <n v="14056"/>
    <n v="8534.7900000000009"/>
    <n v="19397.21"/>
    <n v="969.86"/>
    <n v="54260"/>
    <n v="193.97"/>
    <s v="P"/>
    <m/>
    <n v="372177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71"/>
    <s v="P"/>
    <s v="4 yd FEL Plastic Containers"/>
    <n v="30"/>
    <m/>
    <m/>
    <m/>
    <n v="0"/>
    <s v="TOTER LLC"/>
    <m/>
    <m/>
    <d v="2018-08-25T00:00:00"/>
    <d v="2018-08-25T00:00:00"/>
    <s v="2180-18-0053-1"/>
    <n v="700"/>
    <n v="14050"/>
    <n v="26542.2"/>
    <n v="14056"/>
    <n v="14219.03"/>
    <n v="12323.17"/>
    <n v="1579.89"/>
    <n v="54260"/>
    <n v="315.98"/>
    <s v="P"/>
    <m/>
    <n v="655514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66"/>
    <n v="203828"/>
    <s v="Lettering for New ASL Peterbilt"/>
    <m/>
    <m/>
    <m/>
    <m/>
    <n v="0"/>
    <s v="Peterbilt"/>
    <m/>
    <s v="Non Rolling Stock"/>
    <d v="2018-10-12T00:00:00"/>
    <d v="2018-10-12T00:00:00"/>
    <s v="2180-18-0032-1"/>
    <n v="1000"/>
    <n v="14040"/>
    <n v="628.75"/>
    <n v="14046"/>
    <n v="230.56"/>
    <n v="398.19"/>
    <n v="26.2"/>
    <n v="51260"/>
    <n v="5.24"/>
    <s v="P"/>
    <m/>
    <n v="41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4165"/>
    <n v="203827"/>
    <s v="Lettering for the New ASL Peterbilt"/>
    <m/>
    <m/>
    <m/>
    <m/>
    <n v="0"/>
    <s v="Peterbilt"/>
    <m/>
    <s v="Non Rolling Stock"/>
    <d v="2018-10-12T00:00:00"/>
    <d v="2018-10-12T00:00:00"/>
    <s v="2180-18-0031-1"/>
    <n v="1000"/>
    <n v="14040"/>
    <n v="628.75"/>
    <n v="14046"/>
    <n v="230.56"/>
    <n v="398.19"/>
    <n v="26.2"/>
    <n v="51260"/>
    <n v="5.24"/>
    <s v="P"/>
    <m/>
    <n v="3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828"/>
    <s v="P"/>
    <s v="2019 ASL Truck"/>
    <m/>
    <m/>
    <s v="3BPDL70XXKF104031"/>
    <m/>
    <n v="2019"/>
    <s v="peterbilt"/>
    <s v="labrie"/>
    <s v="Automated Sideload"/>
    <d v="2018-10-12T00:00:00"/>
    <d v="2018-10-12T00:00:00"/>
    <s v="2180-18-0032-1"/>
    <n v="1000"/>
    <n v="14040"/>
    <n v="349200.73"/>
    <n v="14046"/>
    <n v="128040.26"/>
    <n v="221160.46999999997"/>
    <n v="14550.03"/>
    <n v="51260"/>
    <n v="2910.01"/>
    <s v="P"/>
    <m/>
    <n v="9934"/>
    <n v="368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827"/>
    <s v="P"/>
    <s v="2019 ASL Truck"/>
    <m/>
    <m/>
    <s v="3BPDL70X8KF104030"/>
    <m/>
    <n v="2019"/>
    <s v="peterbilt"/>
    <s v="labrie"/>
    <s v="Automated Sideload"/>
    <d v="2018-10-12T00:00:00"/>
    <d v="2018-10-12T00:00:00"/>
    <s v="2180-18-0031-1"/>
    <n v="1000"/>
    <n v="14040"/>
    <n v="349200.73"/>
    <n v="14046"/>
    <n v="128040.26"/>
    <n v="221160.46999999997"/>
    <n v="14550.03"/>
    <n v="51260"/>
    <n v="2910.01"/>
    <s v="P"/>
    <m/>
    <n v="9934"/>
    <n v="368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787"/>
    <s v="P"/>
    <s v="20 YD Roll off box"/>
    <n v="4"/>
    <m/>
    <m/>
    <m/>
    <n v="0"/>
    <s v="WASTEQUIP LLC"/>
    <m/>
    <s v="20 YD RO Box"/>
    <d v="2018-09-22T00:00:00"/>
    <d v="2018-09-22T00:00:00"/>
    <s v="2180-18-0048-1"/>
    <n v="1200"/>
    <n v="14050"/>
    <n v="25260"/>
    <n v="14056"/>
    <n v="7718.33"/>
    <n v="17541.669999999998"/>
    <n v="877.08"/>
    <n v="54260"/>
    <n v="175.41"/>
    <s v="P"/>
    <m/>
    <n v="372177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761"/>
    <n v="203123"/>
    <s v="Lettering on New ASL Peterbilt"/>
    <m/>
    <m/>
    <m/>
    <m/>
    <n v="0"/>
    <s v="ALICIA B JENNINGS"/>
    <m/>
    <s v="Non Rolling Stock"/>
    <d v="2018-09-30T00:00:00"/>
    <d v="2018-09-30T00:00:00"/>
    <s v="2180-18-0012-1"/>
    <n v="1000"/>
    <n v="14040"/>
    <n v="628.75"/>
    <n v="14046"/>
    <n v="230.56"/>
    <n v="398.19"/>
    <n v="26.2"/>
    <n v="51260"/>
    <n v="5.24"/>
    <s v="P"/>
    <m/>
    <n v="3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706"/>
    <s v="P"/>
    <s v="20 Yard Rolloff Box warranty/repaint"/>
    <n v="2"/>
    <m/>
    <m/>
    <m/>
    <n v="0"/>
    <s v="Wastequip"/>
    <m/>
    <s v="20 YD RO Box"/>
    <d v="2018-08-15T00:00:00"/>
    <d v="2018-08-15T00:00:00"/>
    <s v="2180-18-0048-1"/>
    <n v="1200"/>
    <n v="14050"/>
    <n v="12630"/>
    <n v="14056"/>
    <n v="4034.58"/>
    <n v="8595.42"/>
    <n v="438.54"/>
    <n v="54260"/>
    <n v="87.71"/>
    <s v="P"/>
    <m/>
    <n v="3721756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3123"/>
    <s v="P"/>
    <s v="2019 ASL Truck"/>
    <m/>
    <m/>
    <s v="3BPDL70X2KF103259"/>
    <m/>
    <n v="2019"/>
    <s v="peterbilt"/>
    <s v="labrie"/>
    <s v="Automated Sideload"/>
    <d v="2018-09-30T00:00:00"/>
    <d v="2018-09-30T00:00:00"/>
    <s v="2180-18-0012-1"/>
    <n v="1000"/>
    <n v="14040"/>
    <n v="349277.23"/>
    <n v="14046"/>
    <n v="128068.31"/>
    <n v="221208.91999999998"/>
    <n v="14553.22"/>
    <n v="51260"/>
    <n v="2910.65"/>
    <s v="P"/>
    <m/>
    <n v="24144642"/>
    <n v="367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943"/>
    <s v="P"/>
    <s v="20yd Rolloff Boxes"/>
    <n v="4"/>
    <m/>
    <m/>
    <m/>
    <n v="0"/>
    <s v="WASTEQUIP LLC"/>
    <m/>
    <s v="20 YD RO Box"/>
    <d v="2018-08-15T00:00:00"/>
    <d v="2018-08-15T00:00:00"/>
    <s v="2180-18-0048-1"/>
    <n v="1200"/>
    <n v="14050"/>
    <n v="26596"/>
    <n v="14056"/>
    <n v="8495.93"/>
    <n v="18100.07"/>
    <n v="923.47"/>
    <n v="54260"/>
    <n v="184.69"/>
    <s v="P"/>
    <m/>
    <n v="372175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810"/>
    <s v="P"/>
    <s v="6yd FEL Green Commercial Containers"/>
    <n v="12"/>
    <m/>
    <m/>
    <m/>
    <n v="0"/>
    <s v="WASTEQUIP LLC"/>
    <m/>
    <s v="6 YD FEL/REL/SL Metal"/>
    <d v="2018-08-28T00:00:00"/>
    <d v="2018-08-28T00:00:00"/>
    <s v="2180-18-0052-2"/>
    <n v="1200"/>
    <n v="14050"/>
    <n v="12004.42"/>
    <n v="14056"/>
    <n v="3751.39"/>
    <n v="8253.0300000000007"/>
    <n v="416.82"/>
    <n v="54260"/>
    <n v="83.36"/>
    <s v="P"/>
    <m/>
    <n v="372175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809"/>
    <s v="P"/>
    <s v="2yd Container"/>
    <n v="24"/>
    <m/>
    <m/>
    <m/>
    <n v="0"/>
    <s v="WASTEQUIP LLC"/>
    <m/>
    <s v="2 YD FEL/REL/SL Metal"/>
    <d v="2018-09-04T00:00:00"/>
    <d v="2018-09-04T00:00:00"/>
    <s v="2180-18-0047-1"/>
    <n v="1200"/>
    <n v="14050"/>
    <n v="16328.33"/>
    <n v="14056"/>
    <n v="5102.63"/>
    <n v="11225.7"/>
    <n v="566.96"/>
    <n v="54260"/>
    <n v="113.39"/>
    <s v="P"/>
    <m/>
    <n v="372176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808"/>
    <s v="P"/>
    <s v="30yd Rolloff Boxes"/>
    <n v="2"/>
    <m/>
    <m/>
    <m/>
    <n v="0"/>
    <s v="WASTEQUIP LLC"/>
    <m/>
    <s v="30 YD RO Box"/>
    <d v="2018-08-28T00:00:00"/>
    <d v="2018-08-28T00:00:00"/>
    <s v="2180-18-0048-2"/>
    <n v="1200"/>
    <n v="14050"/>
    <n v="13966"/>
    <n v="14056"/>
    <n v="4364.37"/>
    <n v="9601.630000000001"/>
    <n v="484.93"/>
    <n v="54260"/>
    <n v="96.99"/>
    <s v="P"/>
    <m/>
    <n v="372175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807"/>
    <s v="P"/>
    <s v="6yd Containers"/>
    <n v="12"/>
    <m/>
    <m/>
    <m/>
    <n v="0"/>
    <s v="WASTEQUIP LLC"/>
    <m/>
    <s v="6 YD FEL/REL/SL Metal"/>
    <d v="2018-08-28T00:00:00"/>
    <d v="2018-08-28T00:00:00"/>
    <s v="2180-18-0052-2"/>
    <n v="1200"/>
    <n v="14050"/>
    <n v="12004.42"/>
    <n v="14056"/>
    <n v="3751.39"/>
    <n v="8253.0300000000007"/>
    <n v="416.82"/>
    <n v="54260"/>
    <n v="83.36"/>
    <s v="P"/>
    <m/>
    <n v="372175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804"/>
    <n v="202089"/>
    <s v="Lettering on the new ASL Peterbilt"/>
    <m/>
    <m/>
    <m/>
    <m/>
    <n v="0"/>
    <s v="ALICIA B JENNINGS"/>
    <m/>
    <s v="Non Rolling Stock"/>
    <d v="2018-08-31T00:00:00"/>
    <d v="2018-08-31T00:00:00"/>
    <s v="2180-18-0020-1"/>
    <n v="1000"/>
    <n v="14040"/>
    <n v="628.75"/>
    <n v="14046"/>
    <n v="235.8"/>
    <n v="392.95"/>
    <n v="26.2"/>
    <n v="51260"/>
    <n v="5.24"/>
    <s v="P"/>
    <m/>
    <n v="3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768"/>
    <n v="202088"/>
    <s v="Decals for Truck"/>
    <m/>
    <m/>
    <m/>
    <m/>
    <n v="0"/>
    <m/>
    <m/>
    <s v="Non-Rolling Stock"/>
    <d v="2018-08-31T00:00:00"/>
    <d v="2018-08-31T00:00:00"/>
    <s v="2180-18-0016-1"/>
    <n v="1000"/>
    <n v="14040"/>
    <n v="628.75"/>
    <n v="14046"/>
    <n v="235.8"/>
    <n v="392.95"/>
    <n v="26.2"/>
    <n v="51260"/>
    <n v="5.24"/>
    <s v="P"/>
    <m/>
    <s v="19474CJ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767"/>
    <n v="202087"/>
    <s v="Decals for Truck"/>
    <m/>
    <m/>
    <m/>
    <m/>
    <n v="0"/>
    <m/>
    <m/>
    <s v="Non-Rolling Stock"/>
    <d v="2018-08-31T00:00:00"/>
    <d v="2018-08-31T00:00:00"/>
    <s v="2180-18-0015-1"/>
    <n v="1000"/>
    <n v="14040"/>
    <n v="628.75"/>
    <n v="14046"/>
    <n v="235.8"/>
    <n v="392.95"/>
    <n v="26.2"/>
    <n v="51260"/>
    <n v="5.24"/>
    <s v="P"/>
    <m/>
    <s v="19474CJ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732"/>
    <s v="P"/>
    <s v="20yd Rolloff Boxes"/>
    <n v="2"/>
    <m/>
    <m/>
    <m/>
    <n v="0"/>
    <s v="WASTEQUIP LLC"/>
    <m/>
    <s v="20 YD RO Box"/>
    <d v="2018-08-15T00:00:00"/>
    <d v="2018-08-15T00:00:00"/>
    <s v="2180-18-0048-1"/>
    <n v="1200"/>
    <n v="14050"/>
    <n v="12630"/>
    <n v="14056"/>
    <n v="4034.58"/>
    <n v="8595.42"/>
    <n v="438.54"/>
    <n v="54260"/>
    <n v="87.71"/>
    <s v="P"/>
    <m/>
    <n v="3721743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731"/>
    <s v="P"/>
    <s v="REL Steel Container 4yd"/>
    <n v="24"/>
    <m/>
    <m/>
    <m/>
    <n v="0"/>
    <s v="WASTEQUIP LLC"/>
    <m/>
    <s v="4 YD FEL/REL/SL Metal"/>
    <d v="2018-04-27T00:00:00"/>
    <d v="2018-04-27T00:00:00"/>
    <s v="2180-18-0052-1"/>
    <n v="1200"/>
    <n v="14050"/>
    <n v="16555.669999999998"/>
    <n v="14056"/>
    <n v="5633.53"/>
    <n v="10922.14"/>
    <n v="574.85"/>
    <n v="54260"/>
    <n v="114.97"/>
    <s v="P"/>
    <m/>
    <n v="372175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663"/>
    <n v="197201"/>
    <s v="Decal for New Service Truck / Ford Transit Van"/>
    <m/>
    <m/>
    <m/>
    <m/>
    <n v="0"/>
    <s v="Sign Connections"/>
    <m/>
    <s v="Non Rolling Stock"/>
    <d v="2018-05-24T00:00:00"/>
    <d v="2018-05-24T00:00:00"/>
    <s v="2180-18-0009-1"/>
    <n v="1000"/>
    <n v="14040"/>
    <n v="952.44"/>
    <n v="14046"/>
    <n v="380.96"/>
    <n v="571.48"/>
    <n v="39.68"/>
    <n v="51260"/>
    <n v="7.93"/>
    <s v="P"/>
    <m/>
    <n v="27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238"/>
    <s v="P"/>
    <s v="96 Gal YW Totes"/>
    <n v="624"/>
    <m/>
    <m/>
    <m/>
    <n v="0"/>
    <s v="TOTER LLC"/>
    <m/>
    <m/>
    <d v="2018-08-24T00:00:00"/>
    <d v="2018-08-24T00:00:00"/>
    <s v="2180-18-0051-1"/>
    <n v="700"/>
    <n v="14050"/>
    <n v="34064.42"/>
    <n v="14056"/>
    <n v="18248.82"/>
    <n v="15815.599999999999"/>
    <n v="2027.65"/>
    <n v="54260"/>
    <n v="405.53"/>
    <s v="P"/>
    <m/>
    <n v="655498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237"/>
    <s v="P"/>
    <s v="96 Gal YW Totes"/>
    <n v="624"/>
    <m/>
    <m/>
    <m/>
    <n v="0"/>
    <s v="TOTER LLC"/>
    <m/>
    <m/>
    <d v="2018-08-24T00:00:00"/>
    <d v="2018-08-24T00:00:00"/>
    <s v="2180-18-0051-1"/>
    <n v="700"/>
    <n v="14050"/>
    <n v="34064.42"/>
    <n v="14056"/>
    <n v="18248.82"/>
    <n v="15815.599999999999"/>
    <n v="2027.65"/>
    <n v="54260"/>
    <n v="405.53"/>
    <s v="P"/>
    <m/>
    <n v="655498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089"/>
    <s v="P"/>
    <s v="2019 ASL Truck"/>
    <m/>
    <m/>
    <s v="3BPDL70X6KF103264"/>
    <m/>
    <n v="2019"/>
    <s v="peterbilt"/>
    <s v="labrie"/>
    <s v="Automated Sideload"/>
    <d v="2018-08-31T00:00:00"/>
    <d v="2018-08-31T00:00:00"/>
    <s v="2180-18-0020-1"/>
    <n v="1000"/>
    <n v="14040"/>
    <n v="349200.73"/>
    <n v="14046"/>
    <n v="130950.27"/>
    <n v="218250.45999999996"/>
    <n v="14550.03"/>
    <n v="51260"/>
    <n v="2910.01"/>
    <s v="P"/>
    <m/>
    <n v="9476"/>
    <n v="368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088"/>
    <s v="P"/>
    <s v="2019 ASL Truck"/>
    <m/>
    <m/>
    <s v="3BPDL70X4KF103263"/>
    <m/>
    <n v="2019"/>
    <s v="peterbilt"/>
    <s v="labrie"/>
    <s v="Automated Sideload"/>
    <d v="2018-08-31T00:00:00"/>
    <d v="2018-08-31T00:00:00"/>
    <s v="2180-18-0016-1"/>
    <n v="1000"/>
    <n v="14040"/>
    <n v="349200.72"/>
    <n v="14046"/>
    <n v="130950.26"/>
    <n v="218250.45999999996"/>
    <n v="14550.03"/>
    <n v="51260"/>
    <n v="2910.01"/>
    <s v="P"/>
    <m/>
    <n v="9476"/>
    <n v="367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087"/>
    <s v="P"/>
    <s v="2019 ASL Truck"/>
    <m/>
    <m/>
    <s v="3BPDL70X2KF103262"/>
    <m/>
    <n v="2019"/>
    <s v="peterbilt"/>
    <s v="labrie"/>
    <s v="Automated Sideload"/>
    <d v="2018-08-31T00:00:00"/>
    <d v="2018-08-31T00:00:00"/>
    <s v="2180-18-0015-1"/>
    <n v="1000"/>
    <n v="14040"/>
    <n v="349200.73"/>
    <n v="14046"/>
    <n v="130950.27"/>
    <n v="218250.45999999996"/>
    <n v="14550.03"/>
    <n v="51260"/>
    <n v="2910.01"/>
    <s v="P"/>
    <m/>
    <n v="9476"/>
    <n v="367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2086"/>
    <s v="P"/>
    <s v="2019 ASL Truck"/>
    <m/>
    <m/>
    <s v="3BPDL70X9KF103260"/>
    <m/>
    <n v="2019"/>
    <s v="peterbilt"/>
    <s v="labrie"/>
    <s v="Automated Sideload"/>
    <d v="2018-08-31T00:00:00"/>
    <d v="2018-08-31T00:00:00"/>
    <s v="2180-18-0013-1"/>
    <n v="1000"/>
    <n v="14040"/>
    <n v="349260.85"/>
    <n v="14046"/>
    <n v="130972.84"/>
    <n v="218288.00999999998"/>
    <n v="14552.54"/>
    <n v="51260"/>
    <n v="2910.51"/>
    <s v="P"/>
    <m/>
    <n v="9476"/>
    <n v="367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1090"/>
    <n v="197201"/>
    <s v="Licensing Overchange refund"/>
    <m/>
    <m/>
    <m/>
    <m/>
    <n v="0"/>
    <s v="Lakewood Ford"/>
    <m/>
    <s v="Non Rolling Stock"/>
    <d v="2018-05-24T00:00:00"/>
    <d v="2018-05-24T00:00:00"/>
    <s v="2180-18-0009-1"/>
    <n v="1000"/>
    <n v="14040"/>
    <n v="-424"/>
    <n v="14046"/>
    <n v="-169.6"/>
    <n v="-254.4"/>
    <n v="-17.670000000000002"/>
    <n v="51260"/>
    <n v="-3.54"/>
    <s v="P"/>
    <m/>
    <n v="1741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0786"/>
    <s v="P"/>
    <s v="2019 RO Truck"/>
    <m/>
    <m/>
    <s v="2NP3XJ0X9KM273500"/>
    <m/>
    <n v="2019"/>
    <s v="peterbilt"/>
    <s v="Other"/>
    <s v="R/O Truck"/>
    <d v="2018-06-29T00:00:00"/>
    <d v="2018-06-29T00:00:00"/>
    <s v="2180-18-0026-1"/>
    <n v="1000"/>
    <n v="14040"/>
    <n v="228285.83"/>
    <n v="14046"/>
    <n v="89411.94"/>
    <n v="138873.88999999998"/>
    <n v="9511.91"/>
    <n v="51260"/>
    <n v="1902.38"/>
    <s v="P"/>
    <m/>
    <m/>
    <n v="408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0784"/>
    <s v="P"/>
    <s v="2019 RO Truck"/>
    <m/>
    <m/>
    <s v="2NP3XJ0XXKM272758"/>
    <m/>
    <n v="2019"/>
    <s v="peterbilt"/>
    <s v="Other"/>
    <s v="R/O Truck"/>
    <d v="2018-07-16T00:00:00"/>
    <d v="2018-07-16T00:00:00"/>
    <s v="2180-18-0006-1"/>
    <n v="1000"/>
    <n v="14040"/>
    <n v="228215.43"/>
    <n v="14046"/>
    <n v="87482.58"/>
    <n v="140732.84999999998"/>
    <n v="9508.98"/>
    <n v="51260"/>
    <n v="1901.8"/>
    <s v="P"/>
    <m/>
    <m/>
    <n v="408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200367"/>
    <s v="P"/>
    <s v="10 Yd Open Top Containers"/>
    <n v="3"/>
    <m/>
    <m/>
    <m/>
    <n v="0"/>
    <s v="Wasteline Containers"/>
    <m/>
    <s v="10 YD RO Box"/>
    <d v="2002-07-01T00:00:00"/>
    <d v="2002-07-01T00:00:00"/>
    <s v="U02-2149-009, 010"/>
    <n v="1000"/>
    <n v="14050"/>
    <n v="5347.75"/>
    <n v="14056"/>
    <n v="5347.75"/>
    <n v="0"/>
    <n v="0"/>
    <n v="54260"/>
    <n v="0"/>
    <s v="P"/>
    <m/>
    <n v="2291"/>
    <m/>
    <s v="Internal"/>
    <s v="A"/>
    <s v="SL"/>
    <d v="2018-06-30T00:00:00"/>
    <s v="WCNX"/>
    <n v="0"/>
    <n v="5347.75"/>
    <m/>
    <x v="13"/>
    <m/>
    <m/>
    <m/>
    <m/>
    <m/>
    <m/>
    <m/>
    <m/>
    <m/>
    <m/>
    <x v="1"/>
  </r>
  <r>
    <n v="2180"/>
    <n v="200357"/>
    <s v="P"/>
    <s v="96 Gallon YW Totes"/>
    <n v="624"/>
    <m/>
    <m/>
    <m/>
    <n v="0"/>
    <s v="WASTEQUIP LLC"/>
    <m/>
    <m/>
    <d v="2018-06-24T00:00:00"/>
    <d v="2018-06-24T00:00:00"/>
    <s v="2180-18-0045-1"/>
    <n v="700"/>
    <n v="14050"/>
    <n v="33402.910000000003"/>
    <n v="14056"/>
    <n v="18689.740000000002"/>
    <n v="14713.170000000002"/>
    <n v="1988.27"/>
    <n v="54260"/>
    <n v="397.65"/>
    <s v="P"/>
    <m/>
    <n v="6553997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418"/>
    <n v="200784"/>
    <s v="New Roll Off Trk- Decals"/>
    <m/>
    <m/>
    <m/>
    <m/>
    <n v="0"/>
    <s v="SQ  SIGN CONNECTION"/>
    <m/>
    <s v="Non Rolling Stock"/>
    <d v="2018-06-25T00:00:00"/>
    <d v="2018-06-25T00:00:00"/>
    <s v="2180-18-0006-1"/>
    <n v="1000"/>
    <n v="14040"/>
    <n v="70.39"/>
    <n v="14046"/>
    <n v="27.57"/>
    <n v="42.82"/>
    <n v="2.93"/>
    <n v="51260"/>
    <n v="0.57999999999999996"/>
    <s v="P"/>
    <m/>
    <n v="278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417"/>
    <n v="199115"/>
    <s v="New Roll Off Trk- Decal"/>
    <m/>
    <m/>
    <m/>
    <m/>
    <n v="0"/>
    <s v="SQ  SIGN CONNECTION"/>
    <m/>
    <s v="Non Rolling Stock"/>
    <d v="2018-06-29T00:00:00"/>
    <d v="2018-06-29T00:00:00"/>
    <s v="2180-18-0005-1"/>
    <n v="1000"/>
    <n v="14040"/>
    <n v="70.39"/>
    <n v="14046"/>
    <n v="27.57"/>
    <n v="42.82"/>
    <n v="2.93"/>
    <n v="51260"/>
    <n v="0.57999999999999996"/>
    <s v="P"/>
    <m/>
    <n v="27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416"/>
    <n v="199114"/>
    <s v="New Roll Off Truck- Decall"/>
    <m/>
    <m/>
    <m/>
    <m/>
    <n v="0"/>
    <s v="GRAINGER"/>
    <m/>
    <s v="Non Rolling Stock"/>
    <d v="2018-06-20T00:00:00"/>
    <d v="2018-06-20T00:00:00"/>
    <s v="2180-18-0004-1"/>
    <n v="1000"/>
    <n v="14040"/>
    <n v="70.39"/>
    <n v="14046"/>
    <n v="27.57"/>
    <n v="42.82"/>
    <n v="2.93"/>
    <n v="51260"/>
    <n v="0.57999999999999996"/>
    <s v="P"/>
    <m/>
    <n v="277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309"/>
    <s v="P"/>
    <s v="95 Gallon MSW Carts"/>
    <n v="624"/>
    <m/>
    <m/>
    <m/>
    <n v="0"/>
    <s v="WASTEQUIP LLC"/>
    <m/>
    <m/>
    <d v="2018-06-20T00:00:00"/>
    <d v="2018-06-20T00:00:00"/>
    <s v="2180-18-0046-1"/>
    <n v="700"/>
    <n v="14050"/>
    <n v="33402.910000000003"/>
    <n v="14056"/>
    <n v="18689.740000000002"/>
    <n v="14713.170000000002"/>
    <n v="1988.27"/>
    <n v="54260"/>
    <n v="397.65"/>
    <s v="P"/>
    <m/>
    <n v="655404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116"/>
    <n v="197201"/>
    <s v="Radio/Drive Cam"/>
    <m/>
    <m/>
    <m/>
    <m/>
    <n v="0"/>
    <m/>
    <m/>
    <s v="Non Rolling Stock"/>
    <d v="2018-06-29T00:00:00"/>
    <d v="2018-06-29T00:00:00"/>
    <s v="2180-18-0009-1"/>
    <n v="500"/>
    <n v="14040"/>
    <n v="1453.57"/>
    <n v="14046"/>
    <n v="1138.6199999999999"/>
    <n v="314.95000000000005"/>
    <n v="121.13"/>
    <n v="51260"/>
    <n v="24.23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115"/>
    <s v="P"/>
    <s v="2019 RO Truck"/>
    <m/>
    <m/>
    <s v="2NP3XJ0X8KM272757"/>
    <m/>
    <n v="2019"/>
    <s v="peterbilt"/>
    <s v="Other"/>
    <s v="R/O Truck"/>
    <d v="2018-06-29T00:00:00"/>
    <d v="2018-06-29T00:00:00"/>
    <s v="2180-18-0005-1"/>
    <n v="1000"/>
    <n v="14040"/>
    <n v="228215.43"/>
    <n v="14046"/>
    <n v="89384.37"/>
    <n v="138831.06"/>
    <n v="9508.98"/>
    <n v="51260"/>
    <n v="1901.8"/>
    <s v="P"/>
    <m/>
    <m/>
    <n v="407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9114"/>
    <s v="P"/>
    <s v="2019 RO Truck"/>
    <m/>
    <m/>
    <s v="2NP3XJ0X6KM272756"/>
    <m/>
    <n v="2019"/>
    <s v="peterbilt"/>
    <s v="Other"/>
    <s v="R/O Truck"/>
    <d v="2018-06-20T00:00:00"/>
    <d v="2018-06-20T00:00:00"/>
    <s v="2180-18-0004-1"/>
    <n v="1000"/>
    <n v="14040"/>
    <n v="228215.43"/>
    <n v="14046"/>
    <n v="89384.37"/>
    <n v="138831.06"/>
    <n v="9508.98"/>
    <n v="51260"/>
    <n v="1901.8"/>
    <s v="P"/>
    <m/>
    <m/>
    <n v="407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8691"/>
    <s v="P"/>
    <s v="96 Gallon YW Totes"/>
    <n v="624"/>
    <m/>
    <m/>
    <m/>
    <n v="0"/>
    <s v="WASTEQUIP LLC"/>
    <m/>
    <m/>
    <d v="2018-06-15T00:00:00"/>
    <d v="2018-06-15T00:00:00"/>
    <s v="2180-18-0045-1"/>
    <n v="700"/>
    <n v="14050"/>
    <n v="33402.910000000003"/>
    <n v="14056"/>
    <n v="19087.400000000001"/>
    <n v="14315.510000000002"/>
    <n v="1988.27"/>
    <n v="54260"/>
    <n v="397.65"/>
    <s v="P"/>
    <m/>
    <n v="655385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8376"/>
    <s v="P"/>
    <s v="65 Gallon MSW Carts"/>
    <n v="864"/>
    <m/>
    <m/>
    <m/>
    <n v="0"/>
    <s v="WASTEQUIP LLC"/>
    <m/>
    <m/>
    <d v="2018-05-22T00:00:00"/>
    <d v="2018-05-22T00:00:00"/>
    <s v="2180-18-0044-1"/>
    <n v="700"/>
    <n v="14050"/>
    <n v="37301.9"/>
    <n v="14056"/>
    <n v="21315.360000000001"/>
    <n v="15986.54"/>
    <n v="2220.35"/>
    <n v="54260"/>
    <n v="444.07"/>
    <s v="P"/>
    <m/>
    <n v="655357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7566"/>
    <s v="P"/>
    <s v="65 Gallon MSW Carts"/>
    <n v="864"/>
    <m/>
    <m/>
    <m/>
    <n v="0"/>
    <s v="WASTEQUIP LLC"/>
    <m/>
    <m/>
    <d v="2018-05-22T00:00:00"/>
    <d v="2018-05-22T00:00:00"/>
    <s v="2180-18-0044-1"/>
    <n v="700"/>
    <n v="14050"/>
    <n v="42474.5"/>
    <n v="14056"/>
    <n v="24271.16"/>
    <n v="18203.34"/>
    <n v="2528.25"/>
    <n v="54260"/>
    <n v="505.65"/>
    <s v="P"/>
    <m/>
    <n v="655349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7532"/>
    <s v="P"/>
    <s v="Laptop for OM"/>
    <m/>
    <m/>
    <m/>
    <m/>
    <n v="0"/>
    <s v="CDW"/>
    <m/>
    <m/>
    <d v="2018-05-04T00:00:00"/>
    <d v="2018-05-04T00:00:00"/>
    <s v="2180-18-0043-1"/>
    <n v="300"/>
    <n v="14110"/>
    <n v="1334.12"/>
    <n v="14116"/>
    <n v="1334.12"/>
    <n v="0"/>
    <n v="0"/>
    <n v="70260"/>
    <n v="0"/>
    <s v="P"/>
    <m/>
    <s v="MPX95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7201"/>
    <s v="P"/>
    <s v="New Service Truck/ Ford Transit Van"/>
    <m/>
    <m/>
    <s v="1FTBW3XG8JKA79435"/>
    <m/>
    <n v="2018"/>
    <s v="ford"/>
    <s v="ford"/>
    <s v="Service Truck"/>
    <d v="2018-05-24T00:00:00"/>
    <d v="2018-05-24T00:00:00"/>
    <s v="2180-18-0009-1"/>
    <n v="1000"/>
    <n v="14040"/>
    <n v="86454.44"/>
    <n v="14046"/>
    <n v="34581.769999999997"/>
    <n v="51872.670000000006"/>
    <n v="3602.27"/>
    <n v="51260"/>
    <n v="720.46"/>
    <s v="P"/>
    <m/>
    <n v="7416"/>
    <n v="922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6977"/>
    <s v="P"/>
    <s v="95 Gallon Recycle Carts"/>
    <n v="624"/>
    <m/>
    <m/>
    <m/>
    <n v="0"/>
    <s v="TOTER LLC"/>
    <m/>
    <m/>
    <d v="2018-04-27T00:00:00"/>
    <d v="2018-04-27T00:00:00"/>
    <s v="2180-18-0041-1"/>
    <n v="700"/>
    <n v="14050"/>
    <n v="33089.15"/>
    <n v="14056"/>
    <n v="19302"/>
    <n v="13787.150000000001"/>
    <n v="1969.59"/>
    <n v="54260"/>
    <n v="393.92"/>
    <s v="P"/>
    <m/>
    <n v="655294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6976"/>
    <s v="P"/>
    <s v="95 Gallon Recycle Carts"/>
    <n v="624"/>
    <m/>
    <m/>
    <m/>
    <n v="0"/>
    <s v="TOTER LLC"/>
    <m/>
    <m/>
    <d v="2018-04-27T00:00:00"/>
    <d v="2018-04-27T00:00:00"/>
    <s v="2180-18-0041-1"/>
    <n v="700"/>
    <n v="14050"/>
    <n v="33089.15"/>
    <n v="14056"/>
    <n v="19302"/>
    <n v="13787.150000000001"/>
    <n v="1969.59"/>
    <n v="54260"/>
    <n v="393.92"/>
    <s v="P"/>
    <m/>
    <n v="655297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6550"/>
    <s v="P"/>
    <s v="FEL Plastic Containers 2yd"/>
    <n v="24"/>
    <m/>
    <m/>
    <s v="94-3283464"/>
    <n v="0"/>
    <s v="WASTEQUIP TOTER"/>
    <m/>
    <s v="2 YD FEL/REL/SL Plastic"/>
    <d v="2018-03-28T00:00:00"/>
    <d v="2018-03-28T00:00:00"/>
    <s v="2180-18-0034-1"/>
    <n v="700"/>
    <n v="14050"/>
    <n v="13180.99"/>
    <n v="14056"/>
    <n v="7845.83"/>
    <n v="5335.16"/>
    <n v="784.58"/>
    <n v="54260"/>
    <n v="156.91"/>
    <s v="P"/>
    <m/>
    <n v="655256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6549"/>
    <s v="P"/>
    <s v="FEL PLastic Containers 3yd"/>
    <n v="18"/>
    <m/>
    <m/>
    <s v="94-3283464"/>
    <n v="0"/>
    <s v="WASTEQUIP TOTER"/>
    <m/>
    <s v="3 YD FEL/REL/SL Plastic"/>
    <d v="2018-03-28T00:00:00"/>
    <d v="2018-03-28T00:00:00"/>
    <s v="2180-18-0035-1"/>
    <n v="700"/>
    <n v="14050"/>
    <n v="11986.39"/>
    <n v="14056"/>
    <n v="7134.76"/>
    <n v="4851.6299999999992"/>
    <n v="713.48"/>
    <n v="54260"/>
    <n v="142.69999999999999"/>
    <s v="P"/>
    <m/>
    <n v="655256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5626"/>
    <s v="P"/>
    <s v="FEL Plastic Containers 4yd"/>
    <n v="20"/>
    <m/>
    <m/>
    <s v="94-3283464"/>
    <n v="0"/>
    <s v="REHRIG PACIFIC COMPANY IN"/>
    <m/>
    <s v="4 YD FEL/REL/SL Plastic"/>
    <d v="2018-03-27T00:00:00"/>
    <d v="2018-03-27T00:00:00"/>
    <s v="2180-18-0036-1"/>
    <n v="700"/>
    <n v="14050"/>
    <n v="16439.38"/>
    <n v="14056"/>
    <n v="9785.33"/>
    <n v="6654.0500000000011"/>
    <n v="978.53"/>
    <n v="54260"/>
    <n v="195.7"/>
    <s v="P"/>
    <m/>
    <s v="LA2217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5625"/>
    <s v="P"/>
    <s v="FEL Plastic Containers 4yd"/>
    <n v="4"/>
    <m/>
    <m/>
    <s v="94-3283464"/>
    <n v="0"/>
    <s v="REHRIG PACIFIC COMPANY IN"/>
    <m/>
    <s v="4 YD FEL/REL/SL Plastic"/>
    <d v="2018-03-27T00:00:00"/>
    <d v="2018-03-27T00:00:00"/>
    <s v="2180-18-0036-1"/>
    <n v="700"/>
    <n v="14050"/>
    <n v="3287.88"/>
    <n v="14056"/>
    <n v="1957.08"/>
    <n v="1330.8000000000002"/>
    <n v="195.71"/>
    <n v="54260"/>
    <n v="39.14"/>
    <s v="P"/>
    <m/>
    <s v="LA2217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4618"/>
    <s v="P"/>
    <s v="REL Steel Containers 1yd"/>
    <n v="24"/>
    <m/>
    <m/>
    <s v="94-3283464"/>
    <n v="0"/>
    <s v="CAPITAL INDUSTRIES INC"/>
    <m/>
    <s v="1 YD FEL/REL/SL Metal"/>
    <d v="2018-03-21T00:00:00"/>
    <d v="2018-03-21T00:00:00"/>
    <s v="2180-18-0038-1"/>
    <n v="1200"/>
    <n v="14050"/>
    <n v="11673.24"/>
    <n v="14056"/>
    <n v="4053.21"/>
    <n v="7620.03"/>
    <n v="405.32"/>
    <n v="54260"/>
    <n v="81.06"/>
    <s v="P"/>
    <m/>
    <n v="1392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4617"/>
    <s v="P"/>
    <s v="REL Steel Containers 1.5yd"/>
    <n v="24"/>
    <m/>
    <m/>
    <s v="94-3283464"/>
    <n v="0"/>
    <s v="CAPITAL INDUSTRIES INC"/>
    <m/>
    <s v="1.5 YD FEL/REL/SL Metal"/>
    <d v="2018-03-21T00:00:00"/>
    <d v="2018-03-21T00:00:00"/>
    <s v="2180-18-0039-1"/>
    <n v="1200"/>
    <n v="14050"/>
    <n v="12066.72"/>
    <n v="14056"/>
    <n v="4189.83"/>
    <n v="7876.8899999999994"/>
    <n v="418.98"/>
    <n v="54260"/>
    <n v="83.79"/>
    <s v="P"/>
    <m/>
    <n v="13929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4616"/>
    <s v="P"/>
    <s v="REL Steel Containers 2yd"/>
    <n v="24"/>
    <m/>
    <m/>
    <s v="94-3283464"/>
    <n v="0"/>
    <s v="CAPITAL INDUSTRIES INC"/>
    <m/>
    <s v="2 YD FEL/REL/SL Metal"/>
    <d v="2018-03-21T00:00:00"/>
    <d v="2018-03-21T00:00:00"/>
    <s v="2180-18-0040-1"/>
    <n v="1200"/>
    <n v="14050"/>
    <n v="12984.85"/>
    <n v="14056"/>
    <n v="4508.62"/>
    <n v="8476.23"/>
    <n v="450.86"/>
    <n v="54260"/>
    <n v="90.17"/>
    <s v="P"/>
    <m/>
    <n v="1392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3679"/>
    <s v="P"/>
    <s v="YW Carts 95gal"/>
    <n v="624"/>
    <m/>
    <m/>
    <s v="94-3283464"/>
    <n v="0"/>
    <s v="TOTER LLC"/>
    <m/>
    <m/>
    <d v="2018-02-24T00:00:00"/>
    <d v="2018-02-24T00:00:00"/>
    <s v="2180-18-0037-1"/>
    <n v="700"/>
    <n v="14050"/>
    <n v="33628.550000000003"/>
    <n v="14056"/>
    <n v="20417.34"/>
    <n v="13211.210000000003"/>
    <n v="2001.7"/>
    <n v="54260"/>
    <n v="400.34"/>
    <s v="P"/>
    <m/>
    <n v="655211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3678"/>
    <s v="P"/>
    <s v="YW Carts 95gal"/>
    <n v="624"/>
    <m/>
    <m/>
    <s v="94-3283464"/>
    <n v="0"/>
    <s v="TOTER LLC"/>
    <m/>
    <m/>
    <d v="2018-02-24T00:00:00"/>
    <d v="2018-02-24T00:00:00"/>
    <s v="2180-18-0037-1"/>
    <n v="700"/>
    <n v="14050"/>
    <n v="33628.550000000003"/>
    <n v="14056"/>
    <n v="20417.34"/>
    <n v="13211.210000000003"/>
    <n v="2001.7"/>
    <n v="54260"/>
    <n v="400.34"/>
    <s v="P"/>
    <m/>
    <n v="6552138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3318"/>
    <s v="P"/>
    <s v="95gal Recycle Cart"/>
    <n v="624"/>
    <m/>
    <m/>
    <s v="94-3283464"/>
    <n v="0"/>
    <s v="TOTER LLC"/>
    <m/>
    <m/>
    <d v="2018-02-19T00:00:00"/>
    <d v="2018-02-19T00:00:00"/>
    <s v="2180-18-0029-1"/>
    <n v="700"/>
    <n v="14050"/>
    <n v="32824.15"/>
    <n v="14056"/>
    <n v="19928.97"/>
    <n v="12895.18"/>
    <n v="1953.82"/>
    <n v="54260"/>
    <n v="390.76"/>
    <s v="P"/>
    <m/>
    <n v="655202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3148"/>
    <s v="P"/>
    <s v="95 Gallon MSW Carts"/>
    <n v="624"/>
    <m/>
    <m/>
    <s v="94-3283464"/>
    <n v="0"/>
    <s v="TOTER LLC"/>
    <m/>
    <m/>
    <d v="2018-02-05T00:00:00"/>
    <d v="2018-02-05T00:00:00"/>
    <s v="2180-18-0028-1"/>
    <n v="700"/>
    <n v="14050"/>
    <n v="32824.15"/>
    <n v="14056"/>
    <n v="20319.73"/>
    <n v="12504.420000000002"/>
    <n v="1953.82"/>
    <n v="54260"/>
    <n v="390.76"/>
    <s v="P"/>
    <m/>
    <n v="6551872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2486"/>
    <s v="P"/>
    <s v="65 Gallon Green MSW Carts"/>
    <n v="864"/>
    <m/>
    <m/>
    <s v="94-3283464"/>
    <n v="0"/>
    <s v="TOTER LLC"/>
    <m/>
    <m/>
    <d v="2018-01-27T00:00:00"/>
    <d v="2018-01-27T00:00:00"/>
    <s v="2180-18-0027-1"/>
    <n v="700"/>
    <n v="14050"/>
    <n v="39303.46"/>
    <n v="14056"/>
    <n v="24330.71"/>
    <n v="14972.75"/>
    <n v="2339.4899999999998"/>
    <n v="54260"/>
    <n v="467.9"/>
    <s v="P"/>
    <m/>
    <n v="655176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1851"/>
    <n v="189849"/>
    <s v="Decals on a New Roll Off Truck Peterbilt 567 Endless Chain"/>
    <m/>
    <m/>
    <m/>
    <s v="94-3283464"/>
    <n v="0"/>
    <s v="N/A"/>
    <m/>
    <s v="Non Rolling Stock"/>
    <d v="2018-01-01T00:00:00"/>
    <d v="2018-01-01T00:00:00"/>
    <s v="2180-17-0046-1"/>
    <n v="1000"/>
    <n v="14040"/>
    <n v="70.39"/>
    <n v="14046"/>
    <n v="31.09"/>
    <n v="39.299999999999997"/>
    <n v="2.93"/>
    <n v="51260"/>
    <n v="0.57999999999999996"/>
    <s v="P"/>
    <m/>
    <n v="26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1850"/>
    <n v="189848"/>
    <s v="Truck Decals on a New ASL Pete 520 RHD/Labrie Automizer 29YD"/>
    <m/>
    <m/>
    <m/>
    <s v="94-3283464"/>
    <n v="0"/>
    <s v="N/A"/>
    <m/>
    <s v="Non Rolling Stock"/>
    <d v="2018-01-01T00:00:00"/>
    <d v="2018-01-01T00:00:00"/>
    <s v="2180-17-0045-1"/>
    <n v="1000"/>
    <n v="14040"/>
    <n v="1069.3900000000001"/>
    <n v="14046"/>
    <n v="472.32"/>
    <n v="597.07000000000016"/>
    <n v="44.56"/>
    <n v="51260"/>
    <n v="8.91"/>
    <s v="P"/>
    <m/>
    <n v="26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1849"/>
    <n v="189847"/>
    <s v="Truck Decals on ASL Pete 520 RHD/Labrie Automizer 29YD"/>
    <m/>
    <m/>
    <m/>
    <s v="94-3283464"/>
    <n v="0"/>
    <s v="N/A"/>
    <m/>
    <s v="Non Rolling Stock"/>
    <d v="2018-01-01T00:00:00"/>
    <d v="2018-01-01T00:00:00"/>
    <s v="2180-17-0044-1"/>
    <n v="1000"/>
    <n v="14040"/>
    <n v="1069.3900000000001"/>
    <n v="14046"/>
    <n v="472.32"/>
    <n v="597.07000000000016"/>
    <n v="44.56"/>
    <n v="51260"/>
    <n v="8.91"/>
    <s v="P"/>
    <m/>
    <n v="26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1666"/>
    <s v="P"/>
    <s v="30yd Roll Off Boxes w/Lib"/>
    <n v="2"/>
    <m/>
    <m/>
    <s v="94-3283464"/>
    <n v="0"/>
    <s v="ENVIRONMENTAL METAL WORKS"/>
    <m/>
    <s v="30 YD RO Box"/>
    <d v="2018-01-01T00:00:00"/>
    <d v="2018-01-01T00:00:00"/>
    <s v="2180-17-0049-1"/>
    <n v="1110"/>
    <n v="14050"/>
    <n v="13402.84"/>
    <n v="14056"/>
    <n v="5002.49"/>
    <n v="8400.35"/>
    <n v="471.93"/>
    <n v="54260"/>
    <n v="94.38"/>
    <s v="P"/>
    <m/>
    <s v="IN0062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0433"/>
    <s v="P"/>
    <s v="30 yd Roll Off Boxes w/Lid"/>
    <n v="2"/>
    <m/>
    <m/>
    <s v="94-3283464"/>
    <n v="0"/>
    <s v="ENVIRONMENTAL METAL WORKS"/>
    <m/>
    <s v="30 YD RO Box"/>
    <d v="2017-11-02T00:00:00"/>
    <d v="2017-11-02T00:00:00"/>
    <s v="2180-17-0049-1"/>
    <n v="1200"/>
    <n v="14050"/>
    <n v="12848.34"/>
    <n v="14056"/>
    <n v="4907.38"/>
    <n v="7940.96"/>
    <n v="446.13"/>
    <n v="54260"/>
    <n v="89.23"/>
    <s v="P"/>
    <m/>
    <s v="IN006282-B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0432"/>
    <s v="P"/>
    <s v="40yd Roll Off Boxes w/Lid"/>
    <n v="2"/>
    <m/>
    <m/>
    <s v="94-3283464"/>
    <n v="0"/>
    <s v="ENVIRONMENTAL METAL WORKS"/>
    <m/>
    <s v="40 YD RO Box"/>
    <d v="2017-11-02T00:00:00"/>
    <d v="2017-11-02T00:00:00"/>
    <s v="2180-17-0049-1"/>
    <n v="1200"/>
    <n v="14050"/>
    <n v="13642.18"/>
    <n v="14056"/>
    <n v="5210.57"/>
    <n v="8431.61"/>
    <n v="473.69"/>
    <n v="54260"/>
    <n v="94.74"/>
    <s v="P"/>
    <m/>
    <s v="IN006282-F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0185"/>
    <s v="P"/>
    <s v="4 yd Fel Plastic Containers"/>
    <n v="36"/>
    <m/>
    <m/>
    <s v="94-3283464"/>
    <n v="0"/>
    <s v="REHRIG PACIFIC COMPANY IN"/>
    <m/>
    <s v="4 YD FEL/REL/SL Plastic"/>
    <d v="2017-12-05T00:00:00"/>
    <d v="2017-12-05T00:00:00"/>
    <s v="2180-17-0052-1"/>
    <n v="700"/>
    <n v="14050"/>
    <n v="28526.21"/>
    <n v="14056"/>
    <n v="18338.27"/>
    <n v="10187.939999999999"/>
    <n v="1697.99"/>
    <n v="54260"/>
    <n v="339.6"/>
    <s v="P"/>
    <m/>
    <s v="LA219023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90184"/>
    <s v="P"/>
    <s v="65gal Refuse Carts"/>
    <n v="864"/>
    <m/>
    <m/>
    <s v="94-3283464"/>
    <n v="0"/>
    <s v="TOTER LLC"/>
    <m/>
    <m/>
    <d v="2017-12-16T00:00:00"/>
    <d v="2017-12-16T00:00:00"/>
    <s v="2180-17-0053-1"/>
    <n v="700"/>
    <n v="14050"/>
    <n v="39522.050000000003"/>
    <n v="14056"/>
    <n v="24936.54"/>
    <n v="14585.510000000002"/>
    <n v="2352.5"/>
    <n v="54260"/>
    <n v="470.5"/>
    <s v="P"/>
    <m/>
    <n v="655105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93"/>
    <s v="P"/>
    <s v="1yd REL Steel Commercial Containers"/>
    <n v="32"/>
    <m/>
    <m/>
    <s v="94-3283464"/>
    <n v="0"/>
    <s v="ENVIRONMENTAL METAL WORKS"/>
    <m/>
    <s v="1 YD FEL/REL/SL Metal"/>
    <d v="2017-11-30T00:00:00"/>
    <d v="2017-11-30T00:00:00"/>
    <s v="2180-17-0050-1"/>
    <n v="1200"/>
    <n v="14050"/>
    <n v="16564.64"/>
    <n v="14056"/>
    <n v="6211.75"/>
    <n v="10352.89"/>
    <n v="575.16"/>
    <n v="54260"/>
    <n v="115.03"/>
    <s v="P"/>
    <m/>
    <s v="IN0063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92"/>
    <s v="P"/>
    <s v="95gals Recycle Carts"/>
    <n v="624"/>
    <m/>
    <m/>
    <s v="94-3283464"/>
    <n v="0"/>
    <s v="TOTER LLC"/>
    <m/>
    <m/>
    <d v="2017-11-27T00:00:00"/>
    <d v="2017-11-27T00:00:00"/>
    <s v="2180-17-0051-2"/>
    <n v="700"/>
    <n v="14050"/>
    <n v="32816.879999999997"/>
    <n v="14056"/>
    <n v="21096.59"/>
    <n v="11720.289999999997"/>
    <n v="1953.39"/>
    <n v="54260"/>
    <n v="390.68"/>
    <s v="P"/>
    <m/>
    <n v="6550633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91"/>
    <s v="P"/>
    <s v="95gal YW Carts"/>
    <n v="624"/>
    <m/>
    <m/>
    <s v="94-3283464"/>
    <n v="0"/>
    <s v="TOTER LLC"/>
    <m/>
    <m/>
    <d v="2017-11-27T00:00:00"/>
    <d v="2017-11-27T00:00:00"/>
    <s v="2180-17-0051-1"/>
    <n v="700"/>
    <n v="14050"/>
    <n v="32816.879999999997"/>
    <n v="14056"/>
    <n v="21096.59"/>
    <n v="11720.289999999997"/>
    <n v="1953.39"/>
    <n v="54260"/>
    <n v="390.68"/>
    <s v="P"/>
    <m/>
    <n v="655061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86"/>
    <n v="189849"/>
    <s v="Camera Kit for Roll Off Trk Peterbilt 567 Endless Chain"/>
    <m/>
    <m/>
    <m/>
    <s v="94-3283464"/>
    <n v="0"/>
    <s v="N/A"/>
    <s v="N/A"/>
    <s v="Non Rolling Stock"/>
    <d v="2017-12-21T00:00:00"/>
    <d v="2017-12-21T00:00:00"/>
    <s v="2180-17-0046-1"/>
    <n v="500"/>
    <n v="14040"/>
    <n v="2050.4699999999998"/>
    <n v="14046"/>
    <n v="1811.21"/>
    <n v="239.25999999999976"/>
    <n v="170.89"/>
    <n v="51260"/>
    <n v="34.18"/>
    <s v="P"/>
    <m/>
    <n v="41025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9"/>
    <s v="P"/>
    <s v="2018 RO Truck"/>
    <m/>
    <m/>
    <s v="1NPCX4EX7JD482491"/>
    <m/>
    <n v="2018"/>
    <s v="peterbilt"/>
    <s v="Other"/>
    <s v="R/O Truck"/>
    <d v="2017-12-29T00:00:00"/>
    <d v="2017-12-29T00:00:00"/>
    <s v="2180-17-0046-1"/>
    <n v="1000"/>
    <n v="14040"/>
    <n v="257169.54"/>
    <n v="14046"/>
    <n v="113583.2"/>
    <n v="143586.34000000003"/>
    <n v="10715.4"/>
    <n v="51260"/>
    <n v="2143.08"/>
    <s v="P"/>
    <m/>
    <s v="P482491"/>
    <n v="407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8"/>
    <s v="P"/>
    <s v="2018 ASL Truck"/>
    <m/>
    <m/>
    <s v="3BPDL70X3JF161170"/>
    <m/>
    <n v="2018"/>
    <s v="peterbilt"/>
    <s v="labrie"/>
    <s v="Automated Sideload"/>
    <d v="2017-12-29T00:00:00"/>
    <d v="2017-12-29T00:00:00"/>
    <s v="2180-17-0045-1"/>
    <n v="1000"/>
    <n v="14040"/>
    <n v="344877.62"/>
    <n v="14046"/>
    <n v="152320.94"/>
    <n v="192556.68"/>
    <n v="14369.9"/>
    <n v="51260"/>
    <n v="2873.98"/>
    <s v="P"/>
    <m/>
    <s v="P161170"/>
    <n v="366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7"/>
    <s v="P"/>
    <s v="2018 ASL Truck"/>
    <m/>
    <m/>
    <s v="3BPDL70X5JF161171"/>
    <m/>
    <n v="2018"/>
    <s v="peterbilt"/>
    <s v="labrie"/>
    <s v="Automated Sideload"/>
    <d v="2017-12-29T00:00:00"/>
    <d v="2017-12-29T00:00:00"/>
    <s v="2180-17-0044-1"/>
    <n v="1000"/>
    <n v="14040"/>
    <n v="345348.48"/>
    <n v="14046"/>
    <n v="152528.92000000001"/>
    <n v="192819.55999999997"/>
    <n v="14389.52"/>
    <n v="51260"/>
    <n v="2877.9"/>
    <s v="P"/>
    <m/>
    <s v="P161171"/>
    <n v="366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6"/>
    <n v="188923"/>
    <s v="Drive Cam"/>
    <m/>
    <m/>
    <s v=" "/>
    <m/>
    <n v="0"/>
    <m/>
    <s v=" "/>
    <s v="Non-Rolling Stock"/>
    <d v="2017-11-21T00:00:00"/>
    <d v="2017-11-21T00:00:00"/>
    <s v="2180-17-0020-1"/>
    <n v="500"/>
    <n v="14040"/>
    <n v="1460.46"/>
    <n v="14046"/>
    <n v="1314.4"/>
    <n v="146.05999999999995"/>
    <n v="121.7"/>
    <n v="51260"/>
    <n v="24.34"/>
    <s v="P"/>
    <m/>
    <n v="26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5"/>
    <s v="P"/>
    <s v="2018 REL Truck"/>
    <m/>
    <m/>
    <s v="2NP3LJ0X0JM472896"/>
    <m/>
    <n v="2017"/>
    <s v="peterbilt"/>
    <s v="Neway"/>
    <s v="REL Truck"/>
    <d v="2017-11-13T00:00:00"/>
    <d v="2017-11-13T00:00:00"/>
    <s v="2180-17-0018-1"/>
    <n v="1000"/>
    <n v="14040"/>
    <n v="230038.72"/>
    <n v="14046"/>
    <n v="105434.41"/>
    <n v="124604.31"/>
    <n v="9584.9500000000007"/>
    <n v="51260"/>
    <n v="1916.99"/>
    <s v="P"/>
    <m/>
    <s v="P472896"/>
    <n v="108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4"/>
    <n v="188922"/>
    <s v="TT&amp;L"/>
    <m/>
    <m/>
    <s v=" "/>
    <m/>
    <n v="0"/>
    <m/>
    <s v=" "/>
    <s v="Non-Rolling Stock"/>
    <d v="2017-11-06T00:00:00"/>
    <d v="2017-11-06T00:00:00"/>
    <s v="2180-17-0016-1"/>
    <n v="1000"/>
    <n v="14040"/>
    <n v="2205.89"/>
    <n v="14046"/>
    <n v="1011.04"/>
    <n v="1194.8499999999999"/>
    <n v="91.91"/>
    <n v="51260"/>
    <n v="18.38"/>
    <s v="P"/>
    <m/>
    <n v="262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3"/>
    <s v="P"/>
    <s v="2018 ASL Truck"/>
    <m/>
    <m/>
    <s v="3BPDLJ0X5JF197519"/>
    <m/>
    <n v="2018"/>
    <s v="peterbilt"/>
    <s v="labrie"/>
    <s v="Automated Sideload"/>
    <d v="2017-11-06T00:00:00"/>
    <d v="2017-11-06T00:00:00"/>
    <s v="2180-17-0015-1"/>
    <n v="1000"/>
    <n v="14040"/>
    <n v="336216.89"/>
    <n v="14046"/>
    <n v="154099.42000000001"/>
    <n v="182117.47"/>
    <n v="14009.04"/>
    <n v="51260"/>
    <n v="2801.81"/>
    <s v="P"/>
    <m/>
    <s v="P197519"/>
    <n v="366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842"/>
    <s v="P"/>
    <s v="2018 FEL Truck"/>
    <m/>
    <m/>
    <s v="3BPDLJ0X8JF197515"/>
    <m/>
    <n v="2018"/>
    <s v="peterbilt"/>
    <s v="wayne"/>
    <s v="FEL Truck"/>
    <d v="2017-11-13T00:00:00"/>
    <d v="2017-11-13T00:00:00"/>
    <s v="2180-17-0012-1"/>
    <n v="1000"/>
    <n v="14040"/>
    <n v="318612.62"/>
    <n v="14046"/>
    <n v="146030.78"/>
    <n v="172581.84"/>
    <n v="13275.53"/>
    <n v="51260"/>
    <n v="2655.11"/>
    <s v="P"/>
    <m/>
    <s v="P197515"/>
    <n v="204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409"/>
    <n v="187603"/>
    <s v="Drive Cam for New REL Truck"/>
    <m/>
    <m/>
    <m/>
    <s v="94-3283464"/>
    <n v="0"/>
    <n v="0"/>
    <m/>
    <s v="Non Rolling Stock"/>
    <d v="2017-10-23T00:00:00"/>
    <d v="2017-10-23T00:00:00"/>
    <s v="2180-17-0022-1"/>
    <n v="500"/>
    <n v="14040"/>
    <n v="470.89"/>
    <n v="14046"/>
    <n v="431.66"/>
    <n v="39.229999999999961"/>
    <n v="39.24"/>
    <n v="51260"/>
    <n v="7.85"/>
    <s v="P"/>
    <m/>
    <n v="51017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9264"/>
    <n v="187603"/>
    <s v="Large Trk Decals for REL Freightliner Heil 20yd"/>
    <m/>
    <m/>
    <n v="0"/>
    <s v="94-3283464"/>
    <n v="0"/>
    <n v="0"/>
    <m/>
    <s v="Non Rolling Stock"/>
    <d v="2017-10-23T00:00:00"/>
    <d v="2017-10-23T00:00:00"/>
    <s v="2180-17-0022-1"/>
    <n v="1000"/>
    <n v="14040"/>
    <n v="952.44"/>
    <n v="14046"/>
    <n v="436.51"/>
    <n v="515.93000000000006"/>
    <n v="39.68"/>
    <n v="51260"/>
    <n v="7.93"/>
    <s v="P"/>
    <m/>
    <n v="26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923"/>
    <s v="P"/>
    <s v="2017 CD Truck"/>
    <m/>
    <m/>
    <s v="JALB4W176G7F00341"/>
    <m/>
    <n v="2017"/>
    <s v="isuzu"/>
    <s v="Other"/>
    <s v="Container Delivery Truck"/>
    <d v="2017-11-21T00:00:00"/>
    <d v="2017-11-21T00:00:00"/>
    <s v="2180-17-0020-1"/>
    <n v="1000"/>
    <n v="14040"/>
    <n v="68242.36"/>
    <n v="14046"/>
    <n v="30709.08"/>
    <n v="37533.279999999999"/>
    <n v="2843.43"/>
    <n v="51260"/>
    <n v="568.67999999999995"/>
    <s v="P"/>
    <m/>
    <n v="98581"/>
    <n v="956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922"/>
    <s v="P"/>
    <s v="2018 ASL Truck"/>
    <m/>
    <m/>
    <s v="3BPDLJ0X1JF197520"/>
    <m/>
    <n v="2018"/>
    <s v="peterbilt"/>
    <s v="labrie"/>
    <s v="Automated Sideload"/>
    <d v="2017-11-06T00:00:00"/>
    <d v="2017-11-06T00:00:00"/>
    <s v="2180-17-0016-1"/>
    <n v="1000"/>
    <n v="14040"/>
    <n v="333936.34000000003"/>
    <n v="14046"/>
    <n v="153054.14000000001"/>
    <n v="180882.2"/>
    <n v="13914.01"/>
    <n v="51260"/>
    <n v="2782.8"/>
    <s v="P"/>
    <m/>
    <s v="P197520"/>
    <n v="366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833"/>
    <s v="P"/>
    <s v="40yd Roll Off Boxes w/Lid"/>
    <n v="5"/>
    <m/>
    <m/>
    <s v="94-3283464"/>
    <n v="0"/>
    <s v="ENVIRONMENTAL METAL WORKS"/>
    <m/>
    <s v="40 YD RO Box"/>
    <d v="2017-10-24T00:00:00"/>
    <d v="2017-10-24T00:00:00"/>
    <s v="2180-17-0049-1"/>
    <n v="1200"/>
    <n v="14050"/>
    <n v="35596.15"/>
    <n v="14056"/>
    <n v="13595.77"/>
    <n v="22000.38"/>
    <n v="1235.98"/>
    <n v="54260"/>
    <n v="247.2"/>
    <s v="P"/>
    <m/>
    <s v="IN006282-G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832"/>
    <s v="P"/>
    <s v="30yd Roll Off Boxes w/ Lid"/>
    <n v="3"/>
    <m/>
    <m/>
    <s v="94-3283464"/>
    <n v="0"/>
    <s v="ENVIRONMENTAL METAL WORKS"/>
    <m/>
    <s v="30 YD RO Box"/>
    <d v="2017-10-24T00:00:00"/>
    <d v="2017-10-24T00:00:00"/>
    <s v="2180-17-0049-1"/>
    <n v="1200"/>
    <n v="14050"/>
    <n v="20104.259999999998"/>
    <n v="14056"/>
    <n v="7678.74"/>
    <n v="12425.519999999999"/>
    <n v="698.07"/>
    <n v="54260"/>
    <n v="139.62"/>
    <s v="P"/>
    <m/>
    <s v="IN006282-A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831"/>
    <s v="P"/>
    <s v="6yd Steel Commercial Containers"/>
    <n v="16"/>
    <m/>
    <m/>
    <s v="94-3283464"/>
    <n v="0"/>
    <s v="ENVIRONMENTAL METAL WORKS"/>
    <m/>
    <s v="6 YD FEL/REL/SL Metal"/>
    <d v="2017-09-18T00:00:00"/>
    <d v="2017-09-18T00:00:00"/>
    <s v="2180-17-0048-1"/>
    <n v="1200"/>
    <n v="14050"/>
    <n v="13540.65"/>
    <n v="14056"/>
    <n v="5265.82"/>
    <n v="8274.83"/>
    <n v="470.16"/>
    <n v="54260"/>
    <n v="94.03"/>
    <s v="P"/>
    <m/>
    <s v="IN006280-C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505"/>
    <n v="187603"/>
    <s v="Radio for FEL Freightliner Heil 20yd"/>
    <m/>
    <m/>
    <m/>
    <s v="94-3283464"/>
    <n v="0"/>
    <n v="0"/>
    <n v="0"/>
    <s v="Non-Rolling Stock"/>
    <d v="2017-10-23T00:00:00"/>
    <d v="2017-10-23T00:00:00"/>
    <s v="2180-17-0022-1"/>
    <n v="500"/>
    <n v="14040"/>
    <n v="995.61"/>
    <n v="14046"/>
    <n v="912.64"/>
    <n v="82.970000000000027"/>
    <n v="82.97"/>
    <n v="51260"/>
    <n v="16.59"/>
    <s v="P"/>
    <m/>
    <n v="212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504"/>
    <n v="187603"/>
    <s v="System  Fees for REL Freightliner Heil 20yd"/>
    <m/>
    <m/>
    <m/>
    <s v="94-3283464"/>
    <n v="0"/>
    <n v="0"/>
    <n v="0"/>
    <s v="Non-Rolling Stock"/>
    <d v="2017-10-23T00:00:00"/>
    <d v="2017-10-23T00:00:00"/>
    <s v="2180-17-0022-1"/>
    <n v="1000"/>
    <n v="14040"/>
    <n v="264.51"/>
    <n v="14046"/>
    <n v="121.23"/>
    <n v="143.27999999999997"/>
    <n v="11.02"/>
    <n v="51260"/>
    <n v="2.2000000000000002"/>
    <s v="P"/>
    <m/>
    <n v="9875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8503"/>
    <n v="187603"/>
    <s v="Heavy Duty Tablet for REL Freightliner Heil 20yd"/>
    <m/>
    <m/>
    <m/>
    <s v="94-3283464"/>
    <n v="0"/>
    <n v="0"/>
    <n v="0"/>
    <s v="Non-Rolling Stock"/>
    <d v="2017-10-23T00:00:00"/>
    <d v="2017-10-23T00:00:00"/>
    <s v="2180-17-0022-1"/>
    <n v="1000"/>
    <n v="14040"/>
    <n v="6793"/>
    <n v="14046"/>
    <n v="3113.46"/>
    <n v="3679.54"/>
    <n v="283.04000000000002"/>
    <n v="51260"/>
    <n v="56.61"/>
    <s v="P"/>
    <m/>
    <n v="987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7603"/>
    <s v="P"/>
    <s v="2018 REL Truck"/>
    <m/>
    <m/>
    <s v="2NP3LJ0X2JM472897"/>
    <m/>
    <n v="2018"/>
    <s v="peterbilt"/>
    <s v="Neway"/>
    <s v="REL Truck"/>
    <d v="2017-10-23T00:00:00"/>
    <d v="2017-10-23T00:00:00"/>
    <s v="2180-17-0022-1"/>
    <n v="1000"/>
    <n v="14040"/>
    <n v="219551.98"/>
    <n v="14046"/>
    <n v="100628"/>
    <n v="118923.98000000001"/>
    <n v="9148"/>
    <n v="51260"/>
    <n v="1829.6"/>
    <s v="P"/>
    <m/>
    <s v="P472897"/>
    <n v="108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7421"/>
    <s v="P"/>
    <s v="New 2012 Peterbilt 320 Packer REL"/>
    <n v="0"/>
    <m/>
    <s v="3BPZL70XXCF154760"/>
    <m/>
    <n v="2012"/>
    <s v="Peterbilt 320"/>
    <s v="Neway"/>
    <s v="REL Truck"/>
    <d v="2012-02-29T00:00:00"/>
    <d v="2012-02-29T00:00:00"/>
    <s v="2111-11-0002-1"/>
    <n v="1000"/>
    <n v="14040"/>
    <n v="247726.06"/>
    <n v="14046"/>
    <n v="247726.06"/>
    <n v="0"/>
    <n v="4128.7299999999996"/>
    <n v="51260"/>
    <n v="0"/>
    <s v="P"/>
    <m/>
    <n v="1674506"/>
    <n v="1078"/>
    <s v="Internal"/>
    <s v="A"/>
    <s v="SL"/>
    <d v="2017-09-30T00:00:00"/>
    <s v="WCNX"/>
    <n v="0"/>
    <n v="138313.74"/>
    <m/>
    <x v="13"/>
    <m/>
    <m/>
    <m/>
    <m/>
    <m/>
    <m/>
    <m/>
    <m/>
    <m/>
    <m/>
    <x v="1"/>
  </r>
  <r>
    <n v="2180"/>
    <n v="187205"/>
    <s v="P"/>
    <s v="6yf FEL Steel Commercial Containers"/>
    <n v="16"/>
    <m/>
    <m/>
    <s v="94-3283464"/>
    <n v="0"/>
    <s v="ENVIRONMENTAL METAL WORKS"/>
    <m/>
    <s v="6 YD FEL/REL/SL Metal"/>
    <d v="2017-09-18T00:00:00"/>
    <d v="2017-09-18T00:00:00"/>
    <s v="2180-17-0048-1"/>
    <n v="1200"/>
    <n v="14050"/>
    <n v="13540.65"/>
    <n v="14056"/>
    <n v="5265.82"/>
    <n v="8274.83"/>
    <n v="470.16"/>
    <n v="54260"/>
    <n v="94.03"/>
    <s v="P"/>
    <m/>
    <s v="IN006280-A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7204"/>
    <s v="P"/>
    <s v="6yd FEL Steel Containers"/>
    <n v="16"/>
    <m/>
    <m/>
    <s v="94-3283464"/>
    <n v="0"/>
    <s v="ENVIRONMENTAL METAL WORKS"/>
    <m/>
    <s v="6 YD FEL/REL/SL Metal"/>
    <d v="2017-09-18T00:00:00"/>
    <d v="2017-09-18T00:00:00"/>
    <s v="2180-17-0048-1"/>
    <n v="1200"/>
    <n v="14050"/>
    <n v="13540.65"/>
    <n v="14056"/>
    <n v="5265.82"/>
    <n v="8274.83"/>
    <n v="470.16"/>
    <n v="54260"/>
    <n v="94.03"/>
    <s v="P"/>
    <m/>
    <s v="IN006280-B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7203"/>
    <s v="P"/>
    <s v="95gal Yard Waste Carts"/>
    <n v="600"/>
    <m/>
    <m/>
    <s v="94-3283464"/>
    <n v="0"/>
    <s v="SIERRA CONTAINER GROUP LL"/>
    <m/>
    <m/>
    <d v="2017-08-24T00:00:00"/>
    <d v="2017-08-24T00:00:00"/>
    <s v="2180-17-0043-1"/>
    <n v="700"/>
    <n v="14050"/>
    <n v="31542.89"/>
    <n v="14056"/>
    <n v="21404.07"/>
    <n v="10138.82"/>
    <n v="1877.55"/>
    <n v="54260"/>
    <n v="375.51"/>
    <s v="P"/>
    <m/>
    <n v="11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6539"/>
    <n v="184365"/>
    <s v="Permit for New FEL Peterbilt"/>
    <m/>
    <m/>
    <m/>
    <s v="94-3283464"/>
    <n v="0"/>
    <s v="WA Dept of Trans"/>
    <m/>
    <s v="Non Rolling Stock"/>
    <d v="2017-07-28T00:00:00"/>
    <d v="2017-07-28T00:00:00"/>
    <s v="2180-17-0011-1"/>
    <n v="1000"/>
    <n v="14040"/>
    <n v="1720.1"/>
    <n v="14046"/>
    <n v="831.38"/>
    <n v="888.71999999999991"/>
    <n v="71.67"/>
    <n v="51260"/>
    <n v="14.33"/>
    <s v="P"/>
    <m/>
    <n v="257685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6538"/>
    <n v="185372"/>
    <s v="Permit for New ASL Peterbilt"/>
    <m/>
    <m/>
    <m/>
    <s v="94-3283464"/>
    <n v="0"/>
    <s v="WA Dept of Trans"/>
    <m/>
    <s v="Non Rolling Stock"/>
    <d v="2017-07-28T00:00:00"/>
    <d v="2017-07-28T00:00:00"/>
    <s v="2180-17-0017-1"/>
    <n v="1000"/>
    <n v="14040"/>
    <n v="703.67"/>
    <n v="14046"/>
    <n v="340.12"/>
    <n v="363.54999999999995"/>
    <n v="29.32"/>
    <n v="51260"/>
    <n v="5.86"/>
    <s v="P"/>
    <m/>
    <n v="25768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6537"/>
    <n v="186155"/>
    <s v="License for New FEL Peterbilt"/>
    <m/>
    <m/>
    <m/>
    <s v="94-3283464"/>
    <n v="0"/>
    <s v="WA Dept of Licensing"/>
    <m/>
    <s v="Non Rolling Stock"/>
    <d v="2017-09-04T00:00:00"/>
    <d v="2017-09-04T00:00:00"/>
    <s v="2180-17-0010-1"/>
    <n v="1000"/>
    <n v="14040"/>
    <n v="682.67"/>
    <n v="14046"/>
    <n v="324.29000000000002"/>
    <n v="358.37999999999994"/>
    <n v="28.45"/>
    <n v="51260"/>
    <n v="5.69"/>
    <s v="P"/>
    <m/>
    <s v="C54977K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6155"/>
    <s v="P"/>
    <s v="2018 FEL Truck"/>
    <m/>
    <m/>
    <s v="3BPDLJ0X7JF187087 "/>
    <m/>
    <n v="2018"/>
    <s v="peterbilt"/>
    <s v="Wittke"/>
    <s v="FEL Truck"/>
    <d v="2017-09-04T00:00:00"/>
    <d v="2017-09-04T00:00:00"/>
    <s v="2180-17-0010-1"/>
    <n v="1000"/>
    <n v="14040"/>
    <n v="317063.73"/>
    <n v="14046"/>
    <n v="150605.26"/>
    <n v="166458.46999999997"/>
    <n v="13210.99"/>
    <n v="51260"/>
    <n v="2642.2"/>
    <s v="P"/>
    <m/>
    <n v="98143"/>
    <n v="204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6097"/>
    <s v="P"/>
    <s v="6yd FEL Steel Commercial Containers"/>
    <n v="16"/>
    <m/>
    <m/>
    <s v="94-3283464"/>
    <n v="0"/>
    <s v="ENVIRONMENTAL METAL WORKS"/>
    <m/>
    <s v="6 YD FEL/REL/SL Metal"/>
    <d v="2017-09-12T00:00:00"/>
    <d v="2017-09-12T00:00:00"/>
    <s v="2180-17-0048-1"/>
    <n v="1200"/>
    <n v="14050"/>
    <n v="13540.65"/>
    <n v="14056"/>
    <n v="5359.85"/>
    <n v="8180.7999999999993"/>
    <n v="470.16"/>
    <n v="54260"/>
    <n v="94.03"/>
    <s v="P"/>
    <m/>
    <s v="IN0062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871"/>
    <s v="P"/>
    <s v="6yd Steel Commercial Containers"/>
    <n v="12"/>
    <m/>
    <m/>
    <m/>
    <n v="0"/>
    <s v="ENVIRONMENTAL METAL WORKS"/>
    <m/>
    <s v="6 YD FEL/REL/SL Metal"/>
    <d v="2017-08-03T00:00:00"/>
    <d v="2017-08-03T00:00:00"/>
    <s v="2180-17-0041-1"/>
    <n v="1200"/>
    <n v="14050"/>
    <n v="10634.3"/>
    <n v="14056"/>
    <n v="4283.26"/>
    <n v="6351.0399999999991"/>
    <n v="369.25"/>
    <n v="54260"/>
    <n v="73.849999999999994"/>
    <s v="P"/>
    <m/>
    <s v="IN006170-B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870"/>
    <s v="P"/>
    <s v="65gal Refuse Carts"/>
    <n v="768"/>
    <m/>
    <m/>
    <m/>
    <n v="0"/>
    <s v="SIERRA CONTAINER GROUP LL"/>
    <m/>
    <m/>
    <d v="2017-08-18T00:00:00"/>
    <d v="2017-08-18T00:00:00"/>
    <s v="2180-17-0047-1"/>
    <n v="700"/>
    <n v="14050"/>
    <n v="34622.35"/>
    <n v="14056"/>
    <n v="23493.65"/>
    <n v="11128.699999999997"/>
    <n v="2060.85"/>
    <n v="54260"/>
    <n v="412.17"/>
    <s v="P"/>
    <m/>
    <n v="112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869"/>
    <s v="P"/>
    <s v="95gal Recycle Carts"/>
    <n v="702"/>
    <m/>
    <m/>
    <m/>
    <n v="0"/>
    <s v="REHRIG PACIFIC COMPANY IN"/>
    <m/>
    <m/>
    <d v="2017-08-21T00:00:00"/>
    <d v="2017-08-21T00:00:00"/>
    <s v="2180-17-0042-1"/>
    <n v="700"/>
    <n v="14050"/>
    <n v="37840.54"/>
    <n v="14056"/>
    <n v="25677.5"/>
    <n v="12163.04"/>
    <n v="2252.41"/>
    <n v="54260"/>
    <n v="450.48"/>
    <s v="P"/>
    <m/>
    <s v="LA2158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868"/>
    <s v="P"/>
    <s v="2yd FEL Plastic Containers"/>
    <n v="36"/>
    <m/>
    <m/>
    <m/>
    <n v="0"/>
    <s v="TOTER LLC"/>
    <m/>
    <s v="2 YD FEL/REL/SL Plastic"/>
    <d v="2017-07-10T00:00:00"/>
    <d v="2017-07-10T00:00:00"/>
    <s v="2180-17-0040-1"/>
    <n v="700"/>
    <n v="14050"/>
    <n v="22809.35"/>
    <n v="14056"/>
    <n v="16020.86"/>
    <n v="6788.489999999998"/>
    <n v="1357.7"/>
    <n v="54260"/>
    <n v="271.54000000000002"/>
    <s v="P"/>
    <m/>
    <n v="654872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586"/>
    <n v="185372"/>
    <s v="ASL Peterbilt / Labrie 28yd Decals"/>
    <m/>
    <m/>
    <m/>
    <m/>
    <n v="0"/>
    <s v="Sign Connections"/>
    <m/>
    <s v="Non Rolling Stock"/>
    <d v="2017-07-28T00:00:00"/>
    <d v="2017-07-28T00:00:00"/>
    <s v="2180-17-0017-1"/>
    <n v="1000"/>
    <n v="14040"/>
    <n v="1069.3900000000001"/>
    <n v="14046"/>
    <n v="516.87"/>
    <n v="552.5200000000001"/>
    <n v="44.56"/>
    <n v="51260"/>
    <n v="8.91"/>
    <s v="P"/>
    <m/>
    <n v="25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372"/>
    <s v="P"/>
    <s v="2018 ASL Truck"/>
    <m/>
    <m/>
    <s v="3BPDLJ0XXJF186886"/>
    <m/>
    <n v="2018"/>
    <s v="peterbilt"/>
    <s v="labrie"/>
    <s v="Automated Sideload"/>
    <d v="2017-07-28T00:00:00"/>
    <d v="2017-07-28T00:00:00"/>
    <s v="2180-17-0017-1"/>
    <n v="1000"/>
    <n v="14040"/>
    <n v="333655.94"/>
    <n v="14046"/>
    <n v="161267.01999999999"/>
    <n v="172388.92"/>
    <n v="13902.33"/>
    <n v="51260"/>
    <n v="2780.47"/>
    <s v="P"/>
    <m/>
    <s v="P186886"/>
    <n v="365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371"/>
    <s v="P"/>
    <s v="2018 ASL Truck"/>
    <m/>
    <m/>
    <s v="3BPDLJ0X8JF186885"/>
    <m/>
    <n v="2018"/>
    <s v="peterbilt"/>
    <s v="labrie"/>
    <s v="Automated Sideload"/>
    <d v="2017-07-17T00:00:00"/>
    <d v="2017-07-17T00:00:00"/>
    <s v="2180-17-0014-1"/>
    <n v="1000"/>
    <n v="14040"/>
    <n v="334566.83"/>
    <n v="14046"/>
    <n v="161707.29"/>
    <n v="172859.54"/>
    <n v="13940.28"/>
    <n v="51260"/>
    <n v="2788.05"/>
    <s v="P"/>
    <m/>
    <s v="P186885"/>
    <n v="365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370"/>
    <s v="P"/>
    <s v="2017 ASL Truck"/>
    <m/>
    <m/>
    <s v="3BPDLJ0X6JF186884"/>
    <m/>
    <n v="2017"/>
    <s v="peterbilt"/>
    <s v="labrie"/>
    <s v="Automated Sideload"/>
    <d v="2017-07-17T00:00:00"/>
    <d v="2017-07-17T00:00:00"/>
    <s v="2180-17-0013-1"/>
    <n v="1000"/>
    <n v="14040"/>
    <n v="335381.96999999997"/>
    <n v="14046"/>
    <n v="162101.29999999999"/>
    <n v="173280.66999999998"/>
    <n v="13974.25"/>
    <n v="51260"/>
    <n v="2794.85"/>
    <s v="P"/>
    <m/>
    <s v="P186884"/>
    <n v="365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323"/>
    <s v="P"/>
    <s v="2yd REL Steel Container"/>
    <n v="16"/>
    <m/>
    <m/>
    <m/>
    <n v="0"/>
    <s v="CAPITAL INDUSTRIES INC"/>
    <m/>
    <s v="2 YD FEL/REL/SL Metal"/>
    <d v="2017-08-11T00:00:00"/>
    <d v="2017-08-11T00:00:00"/>
    <s v="2180-17-0038-2"/>
    <n v="1200"/>
    <n v="14050"/>
    <n v="8656.56"/>
    <n v="14056"/>
    <n v="3486.68"/>
    <n v="5169.8799999999992"/>
    <n v="300.58"/>
    <n v="54260"/>
    <n v="60.12"/>
    <s v="P"/>
    <m/>
    <n v="1322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322"/>
    <s v="P"/>
    <s v="65gal Refuse Carts"/>
    <n v="792"/>
    <m/>
    <m/>
    <m/>
    <n v="0"/>
    <s v="SIERRA CONTAINER GROUP LL"/>
    <m/>
    <m/>
    <d v="2017-07-31T00:00:00"/>
    <d v="2017-07-31T00:00:00"/>
    <s v="2180-17-0039-1"/>
    <n v="700"/>
    <n v="14050"/>
    <n v="36039.269999999997"/>
    <n v="14056"/>
    <n v="24884.28"/>
    <n v="11154.989999999998"/>
    <n v="2145.1999999999998"/>
    <n v="54260"/>
    <n v="429.04"/>
    <s v="P"/>
    <m/>
    <n v="10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181"/>
    <s v="P"/>
    <s v="6yd Steel Commercial Containers"/>
    <n v="13"/>
    <m/>
    <m/>
    <m/>
    <n v="0"/>
    <s v="ENVIRONMENTAL METAL WORKS"/>
    <m/>
    <s v="6 YD FEL/REL/SL Metal"/>
    <d v="2017-08-03T00:00:00"/>
    <d v="2017-08-03T00:00:00"/>
    <s v="2180-17-0041-1"/>
    <n v="1200"/>
    <n v="14050"/>
    <n v="11103.98"/>
    <n v="14056"/>
    <n v="4472.43"/>
    <n v="6631.5499999999993"/>
    <n v="385.55"/>
    <n v="54260"/>
    <n v="77.11"/>
    <s v="P"/>
    <m/>
    <s v="IN0061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175"/>
    <n v="184365"/>
    <s v="Radio for FEL Perterbild / Labrie 40yd"/>
    <m/>
    <m/>
    <m/>
    <m/>
    <n v="0"/>
    <s v="WHISLER COMMUNICATIONS"/>
    <m/>
    <s v="Non Rolling Stock"/>
    <d v="2017-07-28T00:00:00"/>
    <d v="2017-07-28T00:00:00"/>
    <s v="2180-17-0011-1"/>
    <n v="500"/>
    <n v="14040"/>
    <n v="995.61"/>
    <n v="14046"/>
    <n v="962.42"/>
    <n v="33.190000000000055"/>
    <n v="82.97"/>
    <n v="51260"/>
    <n v="16.59"/>
    <s v="P"/>
    <m/>
    <n v="18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090"/>
    <s v="P"/>
    <s v="1yd REL Containers"/>
    <n v="28"/>
    <m/>
    <m/>
    <m/>
    <n v="0"/>
    <s v="CAPITAL INDUSTRIES INC"/>
    <m/>
    <s v="1 YD FEL/REL/SL Metal"/>
    <d v="2017-07-28T00:00:00"/>
    <d v="2017-07-28T00:00:00"/>
    <s v="2180-17-0037-3"/>
    <n v="1200"/>
    <n v="14050"/>
    <n v="14995.96"/>
    <n v="14056"/>
    <n v="6040.02"/>
    <n v="8955.9399999999987"/>
    <n v="520.69000000000005"/>
    <n v="54260"/>
    <n v="104.14"/>
    <s v="P"/>
    <m/>
    <n v="1316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089"/>
    <s v="P"/>
    <s v="4yd FEL Plastic Containers"/>
    <n v="30"/>
    <m/>
    <m/>
    <m/>
    <n v="0"/>
    <s v="TOTER LLC"/>
    <m/>
    <s v="4 YD FEL/REL/SL Plastic"/>
    <d v="2017-07-10T00:00:00"/>
    <d v="2017-07-10T00:00:00"/>
    <s v="2180-17-0040-1"/>
    <n v="700"/>
    <n v="14050"/>
    <n v="27570.46"/>
    <n v="14056"/>
    <n v="19364.98"/>
    <n v="8205.48"/>
    <n v="1641.1"/>
    <n v="54260"/>
    <n v="328.22"/>
    <s v="P"/>
    <m/>
    <n v="654794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087"/>
    <n v="185371"/>
    <s v="Fees for Heavy Duty Tablet"/>
    <m/>
    <m/>
    <m/>
    <m/>
    <n v="0"/>
    <s v="ROUTEWARE INC"/>
    <m/>
    <s v="Non-Rolling Stock"/>
    <d v="2017-08-21T00:00:00"/>
    <d v="2017-08-21T00:00:00"/>
    <s v="2180-17-0014-1"/>
    <n v="1000"/>
    <n v="14040"/>
    <n v="256.86"/>
    <n v="14046"/>
    <n v="121.98"/>
    <n v="134.88"/>
    <n v="10.7"/>
    <n v="51260"/>
    <n v="2.14"/>
    <s v="P"/>
    <m/>
    <n v="984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5086"/>
    <n v="184365"/>
    <s v="Heavy Duty Tablet"/>
    <m/>
    <m/>
    <m/>
    <m/>
    <n v="0"/>
    <s v="ROUTEWARE INC"/>
    <m/>
    <s v="Non-Rolling Stock"/>
    <d v="2017-07-28T00:00:00"/>
    <d v="2017-07-28T00:00:00"/>
    <s v="2180-17-0011-1"/>
    <n v="1000"/>
    <n v="14040"/>
    <n v="7085.38"/>
    <n v="14046"/>
    <n v="3424.62"/>
    <n v="3660.76"/>
    <n v="295.23"/>
    <n v="51260"/>
    <n v="59.05"/>
    <s v="P"/>
    <m/>
    <n v="984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4563"/>
    <n v="184365"/>
    <s v="Drive Cam on New FEL Peterbilt"/>
    <m/>
    <m/>
    <m/>
    <m/>
    <n v="2017"/>
    <s v="LYTX"/>
    <m/>
    <s v="Non Rolling Stock"/>
    <d v="2017-07-28T00:00:00"/>
    <d v="2017-07-28T00:00:00"/>
    <s v="2180-17-0011-1"/>
    <n v="500"/>
    <n v="14040"/>
    <n v="1913.81"/>
    <n v="14046"/>
    <n v="1850.02"/>
    <n v="63.789999999999964"/>
    <n v="159.49"/>
    <n v="51260"/>
    <n v="31.9"/>
    <s v="P"/>
    <m/>
    <n v="508375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4562"/>
    <n v="184364"/>
    <s v="Truck Decals for Retriever Truck Isuzu/NPR 8yd"/>
    <m/>
    <m/>
    <n v="0"/>
    <m/>
    <n v="2017"/>
    <n v="0"/>
    <n v="0"/>
    <s v="Non Rolling Stock"/>
    <d v="2017-07-26T00:00:00"/>
    <d v="2017-07-26T00:00:00"/>
    <s v="2180-17-0021-1"/>
    <n v="500"/>
    <n v="14040"/>
    <n v="346.44"/>
    <n v="14046"/>
    <n v="334.9"/>
    <n v="11.54000000000002"/>
    <n v="28.87"/>
    <n v="51260"/>
    <n v="5.77"/>
    <s v="P"/>
    <m/>
    <n v="25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4365"/>
    <s v="P"/>
    <s v="2018 FEL Truck"/>
    <m/>
    <m/>
    <s v="3BPDLJ0X9JF187088 "/>
    <m/>
    <n v="2018"/>
    <s v="peterbilt"/>
    <s v="Wittke"/>
    <s v="FEL Truck"/>
    <d v="2017-07-28T00:00:00"/>
    <d v="2017-07-28T00:00:00"/>
    <s v="2180-17-0011-1"/>
    <n v="1000"/>
    <n v="14040"/>
    <n v="308316.27"/>
    <n v="14046"/>
    <n v="149019.49"/>
    <n v="159296.78000000003"/>
    <n v="12846.51"/>
    <n v="51260"/>
    <n v="2569.3000000000002"/>
    <s v="P"/>
    <m/>
    <s v="P187088"/>
    <n v="204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4364"/>
    <s v="P"/>
    <s v="2017 retriver truck"/>
    <m/>
    <m/>
    <s v="JALE5W167J7300865"/>
    <m/>
    <n v="2017"/>
    <s v="isuzu"/>
    <s v="wayne"/>
    <s v="Retriever Truck"/>
    <d v="2017-07-26T00:00:00"/>
    <d v="2017-07-26T00:00:00"/>
    <s v="2180-17-0021-1"/>
    <n v="1000"/>
    <n v="14040"/>
    <n v="143024.03"/>
    <n v="14046"/>
    <n v="69128.27"/>
    <n v="73895.759999999995"/>
    <n v="5959.33"/>
    <n v="51260"/>
    <n v="1191.8599999999999"/>
    <s v="P"/>
    <m/>
    <n v="98145"/>
    <n v="330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935"/>
    <s v="P"/>
    <s v="6 Yard FEL Plastic Containers"/>
    <n v="13"/>
    <m/>
    <m/>
    <m/>
    <n v="0"/>
    <s v="REHRIG PACIFIC COMPANY IN"/>
    <m/>
    <s v="6 YD FEL/REL/SL Plastic"/>
    <d v="2017-06-09T00:00:00"/>
    <d v="2017-06-09T00:00:00"/>
    <s v="2180-17-0033-1"/>
    <n v="700"/>
    <n v="14050"/>
    <n v="17637.47"/>
    <n v="14056"/>
    <n v="12598.2"/>
    <n v="5039.2700000000004"/>
    <n v="1049.8499999999999"/>
    <n v="54260"/>
    <n v="209.97"/>
    <s v="P"/>
    <m/>
    <s v="LA213893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934"/>
    <s v="P"/>
    <s v="95gal Recycle Carts"/>
    <n v="702"/>
    <m/>
    <m/>
    <m/>
    <n v="0"/>
    <s v="REHRIG PACIFIC COMPANY IN"/>
    <m/>
    <m/>
    <d v="2017-06-13T00:00:00"/>
    <d v="2017-06-13T00:00:00"/>
    <s v="2180-17-0037-2"/>
    <n v="700"/>
    <n v="14050"/>
    <n v="38623.17"/>
    <n v="14056"/>
    <n v="27588"/>
    <n v="11035.169999999998"/>
    <n v="2299"/>
    <n v="54260"/>
    <n v="459.8"/>
    <s v="P"/>
    <m/>
    <s v="LA2139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933"/>
    <s v="P"/>
    <s v="95gal Refuse Carts"/>
    <n v="702"/>
    <m/>
    <m/>
    <m/>
    <n v="0"/>
    <s v="REHRIG PACIFIC COMPANY IN"/>
    <m/>
    <m/>
    <d v="2017-06-13T00:00:00"/>
    <d v="2017-06-13T00:00:00"/>
    <s v="2180-17-0037-1"/>
    <n v="700"/>
    <n v="14050"/>
    <n v="38623.17"/>
    <n v="14056"/>
    <n v="27588"/>
    <n v="11035.169999999998"/>
    <n v="2299"/>
    <n v="54260"/>
    <n v="459.8"/>
    <s v="P"/>
    <m/>
    <s v="LA2139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932"/>
    <s v="P"/>
    <s v="95gal YW Carts"/>
    <n v="624"/>
    <m/>
    <m/>
    <m/>
    <n v="0"/>
    <s v="TOTER LLC"/>
    <m/>
    <m/>
    <d v="2017-06-28T00:00:00"/>
    <d v="2017-06-28T00:00:00"/>
    <s v="2180-17-0038-1"/>
    <n v="700"/>
    <n v="14050"/>
    <n v="32784.07"/>
    <n v="14056"/>
    <n v="23026.91"/>
    <n v="9757.16"/>
    <n v="1951.43"/>
    <n v="54260"/>
    <n v="390.28"/>
    <s v="P"/>
    <m/>
    <n v="654746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931"/>
    <s v="P"/>
    <s v="95gal YW Carts"/>
    <n v="624"/>
    <m/>
    <m/>
    <m/>
    <n v="0"/>
    <s v="TOTER LLC"/>
    <m/>
    <m/>
    <d v="2017-06-10T00:00:00"/>
    <d v="2017-06-10T00:00:00"/>
    <s v="2180-17-0038-1"/>
    <n v="700"/>
    <n v="14050"/>
    <n v="32784.07"/>
    <n v="14056"/>
    <n v="23417.200000000001"/>
    <n v="9366.869999999999"/>
    <n v="1951.43"/>
    <n v="54260"/>
    <n v="390.28"/>
    <s v="P"/>
    <m/>
    <n v="654715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887"/>
    <s v="P"/>
    <s v="20 Yard Roll Off Boxes w/Lids"/>
    <n v="5"/>
    <m/>
    <m/>
    <m/>
    <n v="0"/>
    <s v="CAPITAL INDUSTRIES INC"/>
    <m/>
    <s v="20 YD RO Box"/>
    <d v="2017-06-28T00:00:00"/>
    <d v="2017-06-28T00:00:00"/>
    <s v="2180-17-0035-1"/>
    <n v="1200"/>
    <n v="14050"/>
    <n v="28000"/>
    <n v="14056"/>
    <n v="11472.21"/>
    <n v="16527.79"/>
    <n v="972.22"/>
    <n v="54260"/>
    <n v="194.44"/>
    <s v="P"/>
    <m/>
    <n v="1308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497"/>
    <n v="90584"/>
    <s v="Engine Inframe Truck #5594"/>
    <m/>
    <m/>
    <m/>
    <m/>
    <n v="0"/>
    <s v="Dirks Truck Repair"/>
    <m/>
    <s v="Non Rolling Stock"/>
    <d v="2017-05-31T00:00:00"/>
    <d v="2017-05-31T00:00:00"/>
    <s v="2180-17-0036-1"/>
    <n v="300"/>
    <n v="14040"/>
    <n v="14357"/>
    <n v="14046"/>
    <n v="14357"/>
    <n v="0"/>
    <n v="0"/>
    <n v="51260"/>
    <n v="0"/>
    <s v="P"/>
    <m/>
    <s v="W 2744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458"/>
    <s v="P"/>
    <s v="30 Yard Roll Off Boxes w/Lids"/>
    <n v="6"/>
    <m/>
    <m/>
    <m/>
    <n v="0"/>
    <s v="CAPITAL INDUSTRIES INC"/>
    <m/>
    <s v="30 YD RO Box"/>
    <d v="2017-06-28T00:00:00"/>
    <d v="2017-06-28T00:00:00"/>
    <s v="2180-17-0035-1"/>
    <n v="1200"/>
    <n v="14050"/>
    <n v="37050"/>
    <n v="14056"/>
    <n v="15180.21"/>
    <n v="21869.79"/>
    <n v="1286.46"/>
    <n v="54260"/>
    <n v="257.29000000000002"/>
    <s v="P"/>
    <m/>
    <n v="13072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457"/>
    <s v="P"/>
    <s v="40 Yard Roll Off Boxes w/Lids"/>
    <n v="6"/>
    <m/>
    <m/>
    <m/>
    <n v="0"/>
    <s v="CAPITAL INDUSTRIES INC"/>
    <m/>
    <s v="40 YD RO Box"/>
    <d v="2017-06-28T00:00:00"/>
    <d v="2017-06-28T00:00:00"/>
    <s v="2180-17-0035-1"/>
    <n v="1200"/>
    <n v="14050"/>
    <n v="42870"/>
    <n v="14056"/>
    <n v="17564.79"/>
    <n v="25305.21"/>
    <n v="1488.54"/>
    <n v="54260"/>
    <n v="297.70999999999998"/>
    <s v="P"/>
    <m/>
    <n v="1307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3284"/>
    <n v="181935"/>
    <s v="TT&amp;L"/>
    <m/>
    <m/>
    <m/>
    <m/>
    <n v="0"/>
    <m/>
    <s v=" "/>
    <s v="Non-Rolling Stock"/>
    <d v="2017-06-14T00:00:00"/>
    <d v="2017-06-14T00:00:00"/>
    <s v="2180-17-0019-1"/>
    <n v="1000"/>
    <n v="14040"/>
    <n v="8346.19"/>
    <n v="14046"/>
    <n v="4173.1000000000004"/>
    <n v="4173.09"/>
    <n v="347.76"/>
    <n v="51260"/>
    <n v="69.55"/>
    <s v="P"/>
    <m/>
    <n v="981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2378"/>
    <s v="P"/>
    <s v="40 Yard RO Box"/>
    <n v="7"/>
    <m/>
    <m/>
    <m/>
    <n v="0"/>
    <s v="CAPITAL INDUSTRIES INC"/>
    <m/>
    <s v="40 YD RO Box"/>
    <d v="2015-07-31T00:00:00"/>
    <d v="2015-07-31T00:00:00"/>
    <s v="2182-15-0015-1"/>
    <n v="1200"/>
    <n v="14050"/>
    <n v="43330"/>
    <n v="14056"/>
    <n v="24673.93"/>
    <n v="18656.07"/>
    <n v="1504.51"/>
    <n v="54260"/>
    <n v="300.89999999999998"/>
    <s v="P"/>
    <m/>
    <n v="110872"/>
    <m/>
    <s v="Internal"/>
    <s v="A"/>
    <s v="SL"/>
    <d v="2017-05-31T00:00:00"/>
    <s v="WCNX"/>
    <n v="0"/>
    <n v="6619.83"/>
    <m/>
    <x v="13"/>
    <m/>
    <m/>
    <m/>
    <m/>
    <m/>
    <m/>
    <m/>
    <m/>
    <m/>
    <m/>
    <x v="1"/>
  </r>
  <r>
    <n v="2180"/>
    <n v="182377"/>
    <s v="P"/>
    <s v="40 YD Roll-Off Box"/>
    <n v="1"/>
    <m/>
    <m/>
    <m/>
    <n v="0"/>
    <s v="CAPITAL INDUSTRIES, INC."/>
    <m/>
    <s v="40 YD RO Box"/>
    <d v="2012-11-01T00:00:00"/>
    <d v="2012-11-01T00:00:00"/>
    <s v="2182-12-0011-1"/>
    <n v="1200"/>
    <n v="14050"/>
    <n v="6492.89"/>
    <n v="14056"/>
    <n v="5185.3500000000004"/>
    <n v="1307.54"/>
    <n v="225.45"/>
    <n v="54260"/>
    <n v="45.09"/>
    <s v="P"/>
    <m/>
    <n v="76589"/>
    <m/>
    <s v="Internal"/>
    <s v="A"/>
    <s v="SL"/>
    <d v="2017-05-31T00:00:00"/>
    <s v="WCNX"/>
    <n v="0"/>
    <n v="2479.9499999999998"/>
    <m/>
    <x v="13"/>
    <m/>
    <m/>
    <m/>
    <m/>
    <m/>
    <m/>
    <m/>
    <m/>
    <m/>
    <m/>
    <x v="1"/>
  </r>
  <r>
    <n v="2180"/>
    <n v="182376"/>
    <s v="P"/>
    <s v="40 YD Roll-Off Boxes"/>
    <n v="3"/>
    <m/>
    <m/>
    <m/>
    <n v="0"/>
    <s v="CAPITAL INDUSTRIES, INC."/>
    <m/>
    <s v="40 YD RO Box"/>
    <d v="2012-11-01T00:00:00"/>
    <d v="2012-11-01T00:00:00"/>
    <s v="2182-12-0011-1"/>
    <n v="1200"/>
    <n v="14050"/>
    <n v="19478.669999999998"/>
    <n v="14056"/>
    <n v="15555.86"/>
    <n v="3922.8099999999977"/>
    <n v="676.34"/>
    <n v="54260"/>
    <n v="135.27000000000001"/>
    <s v="P"/>
    <m/>
    <n v="76587"/>
    <m/>
    <s v="Internal"/>
    <s v="A"/>
    <s v="SL"/>
    <d v="2017-05-31T00:00:00"/>
    <s v="WCNX"/>
    <n v="0"/>
    <n v="7439.76"/>
    <m/>
    <x v="13"/>
    <m/>
    <m/>
    <m/>
    <m/>
    <m/>
    <m/>
    <m/>
    <m/>
    <m/>
    <m/>
    <x v="1"/>
  </r>
  <r>
    <n v="2180"/>
    <n v="182375"/>
    <s v="P"/>
    <s v="40 YD Roll-Off Boxes"/>
    <n v="3"/>
    <m/>
    <m/>
    <m/>
    <n v="0"/>
    <s v="CAPITAL INDUSTRIES, INC."/>
    <m/>
    <s v="40 YD RO Box"/>
    <d v="2012-11-01T00:00:00"/>
    <d v="2012-11-01T00:00:00"/>
    <s v="2182-12-0011-1"/>
    <n v="1200"/>
    <n v="14050"/>
    <n v="19478.669999999998"/>
    <n v="14056"/>
    <n v="15555.86"/>
    <n v="3922.8099999999977"/>
    <n v="676.34"/>
    <n v="54260"/>
    <n v="135.27000000000001"/>
    <s v="P"/>
    <m/>
    <n v="76586"/>
    <m/>
    <s v="Internal"/>
    <s v="A"/>
    <s v="SL"/>
    <d v="2017-05-31T00:00:00"/>
    <s v="WCNX"/>
    <n v="0"/>
    <n v="7439.76"/>
    <m/>
    <x v="13"/>
    <m/>
    <m/>
    <m/>
    <m/>
    <m/>
    <m/>
    <m/>
    <m/>
    <m/>
    <m/>
    <x v="1"/>
  </r>
  <r>
    <n v="2180"/>
    <n v="182374"/>
    <s v="P"/>
    <s v="40YD Roll-Off Boxes"/>
    <n v="2"/>
    <m/>
    <m/>
    <m/>
    <n v="0"/>
    <s v="CAPITAL INDUSTRIES, INC."/>
    <m/>
    <s v="40 YD RO Box"/>
    <d v="2012-11-01T00:00:00"/>
    <d v="2012-11-01T00:00:00"/>
    <s v="2182-12-0011-1"/>
    <n v="1200"/>
    <n v="14050"/>
    <n v="12985.78"/>
    <n v="14056"/>
    <n v="10370.61"/>
    <n v="2615.17"/>
    <n v="450.9"/>
    <n v="54260"/>
    <n v="90.18"/>
    <s v="P"/>
    <m/>
    <n v="76547"/>
    <m/>
    <s v="Internal"/>
    <s v="A"/>
    <s v="SL"/>
    <d v="2017-05-31T00:00:00"/>
    <s v="WCNX"/>
    <n v="0"/>
    <n v="4959.8599999999997"/>
    <m/>
    <x v="13"/>
    <m/>
    <m/>
    <m/>
    <m/>
    <m/>
    <m/>
    <m/>
    <m/>
    <m/>
    <m/>
    <x v="1"/>
  </r>
  <r>
    <n v="2180"/>
    <n v="182373"/>
    <s v="P"/>
    <s v="30 Yard Roll Off Boxes"/>
    <n v="3"/>
    <m/>
    <m/>
    <m/>
    <n v="0"/>
    <s v="CAPITAL INDUSTRIES INC"/>
    <m/>
    <s v="30 YD RO Box"/>
    <d v="2012-10-22T00:00:00"/>
    <d v="2012-10-22T00:00:00"/>
    <s v="2182-12-0010-1"/>
    <n v="1200"/>
    <n v="14050"/>
    <n v="17804.849999999999"/>
    <n v="14056"/>
    <n v="14219.18"/>
    <n v="3585.6699999999983"/>
    <n v="618.23"/>
    <n v="54260"/>
    <n v="123.65"/>
    <s v="P"/>
    <m/>
    <n v="75869"/>
    <m/>
    <s v="Internal"/>
    <s v="A"/>
    <s v="SL"/>
    <d v="2017-05-31T00:00:00"/>
    <s v="WCNX"/>
    <n v="0"/>
    <n v="6800.48"/>
    <m/>
    <x v="13"/>
    <m/>
    <m/>
    <m/>
    <m/>
    <m/>
    <m/>
    <m/>
    <m/>
    <m/>
    <m/>
    <x v="1"/>
  </r>
  <r>
    <n v="2180"/>
    <n v="182372"/>
    <s v="P"/>
    <s v="30 Yard R/O Boxes"/>
    <n v="3"/>
    <m/>
    <m/>
    <m/>
    <n v="0"/>
    <s v="CAPITAL INDUSTRIES INC"/>
    <m/>
    <s v="30 YD RO Box"/>
    <d v="2012-10-22T00:00:00"/>
    <d v="2012-10-22T00:00:00"/>
    <s v="2182-12-0010-1"/>
    <n v="1200"/>
    <n v="14050"/>
    <n v="17804.849999999999"/>
    <n v="14056"/>
    <n v="14219.18"/>
    <n v="3585.6699999999983"/>
    <n v="618.23"/>
    <n v="54260"/>
    <n v="123.65"/>
    <s v="P"/>
    <m/>
    <n v="75837"/>
    <m/>
    <s v="Internal"/>
    <s v="A"/>
    <s v="SL"/>
    <d v="2017-05-31T00:00:00"/>
    <s v="WCNX"/>
    <n v="0"/>
    <n v="6800.48"/>
    <m/>
    <x v="13"/>
    <m/>
    <m/>
    <m/>
    <m/>
    <m/>
    <m/>
    <m/>
    <m/>
    <m/>
    <m/>
    <x v="1"/>
  </r>
  <r>
    <n v="2180"/>
    <n v="182371"/>
    <s v="P"/>
    <s v="50 Yard R/O Container"/>
    <n v="1"/>
    <m/>
    <m/>
    <m/>
    <n v="0"/>
    <m/>
    <m/>
    <s v="50 YD RO Box"/>
    <d v="2008-11-03T00:00:00"/>
    <d v="2008-11-03T00:00:00"/>
    <m/>
    <n v="700"/>
    <n v="14050"/>
    <n v="1500"/>
    <n v="14056"/>
    <n v="1500"/>
    <n v="0"/>
    <n v="0"/>
    <n v="54260"/>
    <n v="0"/>
    <s v="A"/>
    <s v="LeMay Enterprises"/>
    <m/>
    <m/>
    <s v="Internal"/>
    <s v="A"/>
    <s v="SL"/>
    <d v="2017-05-31T00:00:00"/>
    <s v="WCNX"/>
    <n v="0"/>
    <n v="1500"/>
    <m/>
    <x v="13"/>
    <m/>
    <m/>
    <m/>
    <m/>
    <m/>
    <m/>
    <m/>
    <m/>
    <m/>
    <m/>
    <x v="1"/>
  </r>
  <r>
    <n v="2180"/>
    <n v="182370"/>
    <s v="P"/>
    <s v="30 Yard R/O Containers"/>
    <n v="46"/>
    <m/>
    <m/>
    <m/>
    <n v="0"/>
    <m/>
    <m/>
    <s v="30 YD RO Box"/>
    <d v="2008-11-03T00:00:00"/>
    <d v="2008-11-03T00:00:00"/>
    <m/>
    <n v="700"/>
    <n v="14050"/>
    <n v="80500"/>
    <n v="14056"/>
    <n v="80500"/>
    <n v="0"/>
    <n v="0"/>
    <n v="54260"/>
    <n v="0"/>
    <s v="A"/>
    <s v="LeMay Enterprises"/>
    <m/>
    <m/>
    <s v="Internal"/>
    <s v="A"/>
    <s v="SL"/>
    <d v="2017-05-31T00:00:00"/>
    <s v="WCNX"/>
    <n v="0"/>
    <n v="80500"/>
    <m/>
    <x v="13"/>
    <m/>
    <m/>
    <m/>
    <m/>
    <m/>
    <m/>
    <m/>
    <m/>
    <m/>
    <m/>
    <x v="1"/>
  </r>
  <r>
    <n v="2180"/>
    <n v="182368"/>
    <s v="P"/>
    <s v="1 YD Containers"/>
    <n v="170"/>
    <m/>
    <m/>
    <m/>
    <n v="0"/>
    <m/>
    <m/>
    <m/>
    <d v="2008-11-03T00:00:00"/>
    <d v="2008-11-03T00:00:00"/>
    <m/>
    <n v="1200"/>
    <n v="14050"/>
    <n v="41700"/>
    <n v="14056"/>
    <n v="41700"/>
    <n v="0"/>
    <n v="0"/>
    <n v="54260"/>
    <n v="0"/>
    <s v="A"/>
    <s v="LeMay Enterprises"/>
    <m/>
    <m/>
    <s v="Internal"/>
    <s v="A"/>
    <s v="SL"/>
    <d v="2017-05-31T00:00:00"/>
    <s v="WCNX"/>
    <n v="0"/>
    <n v="29827.08"/>
    <m/>
    <x v="13"/>
    <m/>
    <m/>
    <m/>
    <m/>
    <m/>
    <m/>
    <m/>
    <m/>
    <m/>
    <m/>
    <x v="1"/>
  </r>
  <r>
    <n v="2180"/>
    <n v="181935"/>
    <s v="P"/>
    <s v="2016 Box Van Izuzu / NPR"/>
    <m/>
    <m/>
    <s v="JALB4W177G7F00235"/>
    <m/>
    <n v="2016"/>
    <s v="isuzu"/>
    <s v="Other"/>
    <s v="Container Delivery Truck"/>
    <d v="2017-05-31T00:00:00"/>
    <d v="2017-05-31T00:00:00"/>
    <s v="2180-17-0019-1"/>
    <n v="1000"/>
    <n v="14040"/>
    <n v="60070.239999999998"/>
    <n v="14046"/>
    <n v="30035.11"/>
    <n v="30035.129999999997"/>
    <n v="2502.9299999999998"/>
    <n v="51260"/>
    <n v="500.59"/>
    <s v="P"/>
    <m/>
    <n v="13325"/>
    <n v="956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1675"/>
    <s v="P"/>
    <s v="95gal Recycle Carts"/>
    <n v="702"/>
    <m/>
    <m/>
    <m/>
    <n v="0"/>
    <s v="REHRIG PACIFIC COMPANY IN"/>
    <m/>
    <m/>
    <d v="2017-05-06T00:00:00"/>
    <d v="2017-05-06T00:00:00"/>
    <s v="2180-17-0034-2"/>
    <n v="700"/>
    <n v="14050"/>
    <n v="36215.9"/>
    <n v="14056"/>
    <n v="26299.64"/>
    <n v="9916.260000000002"/>
    <n v="2155.71"/>
    <n v="54260"/>
    <n v="431.14"/>
    <s v="P"/>
    <m/>
    <s v="LA212864R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1674"/>
    <s v="P"/>
    <s v="95gal Refuse Carts"/>
    <n v="702"/>
    <m/>
    <m/>
    <m/>
    <n v="0"/>
    <s v="REHRIG PACIFIC COMPANY IN"/>
    <m/>
    <m/>
    <d v="2017-05-02T00:00:00"/>
    <d v="2017-05-02T00:00:00"/>
    <s v="2180-17-0034-1"/>
    <n v="700"/>
    <n v="14050"/>
    <n v="34834.79"/>
    <n v="14056"/>
    <n v="25296.7"/>
    <n v="9538.09"/>
    <n v="2073.5"/>
    <n v="54260"/>
    <n v="414.7"/>
    <s v="P"/>
    <m/>
    <s v="LA212788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1673"/>
    <s v="P"/>
    <s v="4yd FEL Plastic Containers"/>
    <n v="20"/>
    <m/>
    <m/>
    <m/>
    <n v="0"/>
    <s v="REHRIG PACIFIC COMPANY IN"/>
    <m/>
    <s v="4 YD FEL/REL/SL Plastic"/>
    <d v="2017-04-21T00:00:00"/>
    <d v="2017-04-21T00:00:00"/>
    <s v="2180-17-0032-1"/>
    <n v="700"/>
    <n v="14050"/>
    <n v="15378.51"/>
    <n v="14056"/>
    <n v="11167.73"/>
    <n v="4210.7800000000007"/>
    <n v="915.39"/>
    <n v="54260"/>
    <n v="183.08"/>
    <s v="P"/>
    <m/>
    <s v="LA212521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1672"/>
    <s v="P"/>
    <s v="2yd FEL Plastic Container"/>
    <n v="24"/>
    <m/>
    <m/>
    <m/>
    <n v="0"/>
    <s v="REHRIG PACIFIC COMPANY IN"/>
    <m/>
    <s v="2 YD FEL/REL/SL Plastic"/>
    <d v="2017-04-21T00:00:00"/>
    <d v="2017-04-21T00:00:00"/>
    <s v="2180-17-0031-1"/>
    <n v="700"/>
    <n v="14050"/>
    <n v="13828.86"/>
    <n v="14056"/>
    <n v="10042.39"/>
    <n v="3786.4700000000012"/>
    <n v="823.15"/>
    <n v="54260"/>
    <n v="164.63"/>
    <s v="P"/>
    <m/>
    <s v="LA212512R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80957"/>
    <s v="P"/>
    <s v="2006 Type M Pick Up Car"/>
    <n v="0"/>
    <m/>
    <s v="1D7HE48N26S502636"/>
    <m/>
    <n v="2006"/>
    <s v="dodge"/>
    <s v="Other"/>
    <s v="Pick Up Truck"/>
    <d v="2008-11-03T00:00:00"/>
    <d v="2008-11-03T00:00:00"/>
    <m/>
    <n v="300"/>
    <n v="14040"/>
    <n v="13500"/>
    <n v="14046"/>
    <n v="13500"/>
    <n v="0"/>
    <n v="0"/>
    <n v="51260"/>
    <n v="0"/>
    <s v="A"/>
    <s v="LeMay Enterprises"/>
    <m/>
    <n v="6038"/>
    <s v="Internal"/>
    <s v="A"/>
    <s v="SL"/>
    <d v="2017-04-30T00:00:00"/>
    <s v="WCNX"/>
    <n v="0"/>
    <n v="13500"/>
    <m/>
    <x v="13"/>
    <m/>
    <m/>
    <m/>
    <m/>
    <m/>
    <m/>
    <m/>
    <m/>
    <m/>
    <m/>
    <x v="1"/>
  </r>
  <r>
    <n v="2180"/>
    <n v="180930"/>
    <s v="P"/>
    <s v="New 2012 Peterbilt 320 REL"/>
    <n v="0"/>
    <m/>
    <s v="3BPZL70X1CF149690"/>
    <m/>
    <n v="2012"/>
    <s v="Peterbilt 320"/>
    <s v="McNeilus"/>
    <s v="REL Truck"/>
    <d v="2011-08-31T00:00:00"/>
    <d v="2011-08-31T00:00:00"/>
    <s v="2131-11-0001-1"/>
    <n v="1000"/>
    <n v="14040"/>
    <n v="247726.06"/>
    <n v="14046"/>
    <n v="247726.06"/>
    <n v="0"/>
    <n v="0"/>
    <n v="51260"/>
    <n v="0"/>
    <s v="P"/>
    <m/>
    <n v="1640871"/>
    <n v="1075"/>
    <s v="Internal"/>
    <s v="A"/>
    <s v="SL"/>
    <d v="2017-04-30T00:00:00"/>
    <s v="WCNX"/>
    <n v="0"/>
    <n v="140378.13"/>
    <m/>
    <x v="13"/>
    <m/>
    <m/>
    <m/>
    <m/>
    <m/>
    <m/>
    <m/>
    <m/>
    <m/>
    <m/>
    <x v="1"/>
  </r>
  <r>
    <n v="2180"/>
    <n v="180202"/>
    <s v="P"/>
    <s v="2013 FORD CMAX"/>
    <n v="0"/>
    <m/>
    <s v="1FADP5AU6DL523870"/>
    <m/>
    <n v="2013"/>
    <s v="FORD CMAX"/>
    <s v="ford"/>
    <s v="Passenger Car"/>
    <d v="2013-04-22T00:00:00"/>
    <d v="2013-04-22T00:00:00"/>
    <s v="2180-13-0003-1"/>
    <n v="500"/>
    <n v="14040"/>
    <n v="25999.99"/>
    <n v="14046"/>
    <n v="25999.99"/>
    <n v="0"/>
    <n v="0"/>
    <n v="51260"/>
    <n v="0"/>
    <s v="P"/>
    <m/>
    <n v="13368"/>
    <n v="6627"/>
    <s v="Internal"/>
    <s v="A"/>
    <s v="SL"/>
    <d v="2017-03-31T00:00:00"/>
    <s v="WCNX"/>
    <n v="0"/>
    <n v="20366.669999999998"/>
    <m/>
    <x v="13"/>
    <m/>
    <m/>
    <m/>
    <m/>
    <m/>
    <m/>
    <m/>
    <m/>
    <m/>
    <m/>
    <x v="1"/>
  </r>
  <r>
    <n v="2180"/>
    <n v="179239"/>
    <s v="P"/>
    <s v="HP Probook 650 G2"/>
    <m/>
    <m/>
    <m/>
    <m/>
    <n v="0"/>
    <s v="CDW"/>
    <m/>
    <m/>
    <d v="2017-03-02T00:00:00"/>
    <d v="2017-03-02T00:00:00"/>
    <s v="2180-17-0028-1"/>
    <n v="300"/>
    <n v="14110"/>
    <n v="1241.69"/>
    <n v="14116"/>
    <n v="1241.69"/>
    <n v="0"/>
    <n v="0"/>
    <n v="70260"/>
    <n v="0"/>
    <s v="P"/>
    <m/>
    <s v="HBP919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9238"/>
    <s v="P"/>
    <s v="New Laptop for Operations Manager"/>
    <m/>
    <m/>
    <m/>
    <m/>
    <n v="0"/>
    <s v="CDW"/>
    <m/>
    <m/>
    <d v="2017-03-01T00:00:00"/>
    <d v="2017-03-01T00:00:00"/>
    <s v="2180-17-0029-1"/>
    <n v="300"/>
    <n v="14110"/>
    <n v="174.34"/>
    <n v="14116"/>
    <n v="174.34"/>
    <n v="0"/>
    <n v="0"/>
    <n v="70260"/>
    <n v="0"/>
    <s v="P"/>
    <m/>
    <s v="HBN52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9237"/>
    <s v="P"/>
    <s v="HP Probook 640 G2"/>
    <m/>
    <m/>
    <m/>
    <m/>
    <n v="0"/>
    <s v="CDW"/>
    <m/>
    <m/>
    <d v="2017-03-01T00:00:00"/>
    <d v="2017-03-01T00:00:00"/>
    <s v="2180-17-0029-1"/>
    <n v="300"/>
    <n v="14110"/>
    <n v="1021.58"/>
    <n v="14116"/>
    <n v="1021.58"/>
    <n v="0"/>
    <n v="0"/>
    <n v="70260"/>
    <n v="0"/>
    <s v="P"/>
    <m/>
    <s v="HBS74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7914"/>
    <s v="P"/>
    <s v="95gal YW Carts"/>
    <n v="702"/>
    <m/>
    <m/>
    <m/>
    <n v="0"/>
    <s v="REHRIG PACIFIC COMPANY IN"/>
    <m/>
    <m/>
    <d v="2017-03-09T00:00:00"/>
    <d v="2017-03-09T00:00:00"/>
    <s v="2180-17-0026-1"/>
    <n v="700"/>
    <n v="14050"/>
    <n v="37138.620000000003"/>
    <n v="14056"/>
    <n v="27853.98"/>
    <n v="9284.6400000000031"/>
    <n v="2210.63"/>
    <n v="54260"/>
    <n v="442.12"/>
    <s v="P"/>
    <m/>
    <s v="LA2114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7850"/>
    <s v="P"/>
    <s v="35 gal Refuse Carts"/>
    <n v="1080"/>
    <m/>
    <m/>
    <m/>
    <n v="0"/>
    <s v="REHRIG PACIFIC COMPANY IN"/>
    <m/>
    <m/>
    <d v="2017-02-21T00:00:00"/>
    <d v="2017-02-21T00:00:00"/>
    <s v="2180-17-0027-1"/>
    <n v="700"/>
    <n v="14050"/>
    <n v="40131.97"/>
    <n v="14056"/>
    <n v="30098.99"/>
    <n v="10032.98"/>
    <n v="2388.81"/>
    <n v="54260"/>
    <n v="477.76"/>
    <s v="P"/>
    <m/>
    <s v="LA2110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7849"/>
    <s v="P"/>
    <s v="35gal Refuse Carts"/>
    <n v="1080"/>
    <m/>
    <m/>
    <m/>
    <n v="0"/>
    <s v="REHRIG PACIFIC COMPANY IN"/>
    <m/>
    <m/>
    <d v="2017-02-21T00:00:00"/>
    <d v="2017-02-21T00:00:00"/>
    <s v="2180-17-0027-1"/>
    <n v="700"/>
    <n v="14050"/>
    <n v="40131.97"/>
    <n v="14056"/>
    <n v="30098.99"/>
    <n v="10032.98"/>
    <n v="2388.81"/>
    <n v="54260"/>
    <n v="477.76"/>
    <s v="P"/>
    <m/>
    <s v="LA2110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7526"/>
    <s v="P"/>
    <s v="65gal Refuse Carts"/>
    <n v="648"/>
    <m/>
    <m/>
    <m/>
    <n v="0"/>
    <s v="REHRIG PACIFIC COMPANY IN"/>
    <m/>
    <m/>
    <d v="2017-02-06T00:00:00"/>
    <d v="2017-02-06T00:00:00"/>
    <s v="2180-17-0024-1"/>
    <n v="700"/>
    <n v="14050"/>
    <n v="30738.18"/>
    <n v="14056"/>
    <n v="23419.53"/>
    <n v="7318.6500000000015"/>
    <n v="1829.65"/>
    <n v="54260"/>
    <n v="365.93"/>
    <s v="P"/>
    <m/>
    <s v="LA21069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6741"/>
    <s v="P"/>
    <s v="65gal Refuse Carts"/>
    <n v="648"/>
    <m/>
    <m/>
    <m/>
    <n v="0"/>
    <s v="REHRIG PACIFIC COMPANY IN"/>
    <m/>
    <m/>
    <d v="2017-02-06T00:00:00"/>
    <d v="2017-02-06T00:00:00"/>
    <s v="2180-17-0024-1"/>
    <n v="700"/>
    <n v="14050"/>
    <n v="30738.18"/>
    <n v="14056"/>
    <n v="23419.53"/>
    <n v="7318.6500000000015"/>
    <n v="1829.65"/>
    <n v="54260"/>
    <n v="365.93"/>
    <s v="P"/>
    <m/>
    <s v="LA21071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6740"/>
    <s v="P"/>
    <s v="60gal Municipal Refuse Containers"/>
    <n v="12"/>
    <m/>
    <m/>
    <m/>
    <n v="0"/>
    <s v="REHRIG PACIFIC COMPANY IN"/>
    <m/>
    <m/>
    <d v="2017-02-13T00:00:00"/>
    <d v="2017-02-13T00:00:00"/>
    <s v="2180-17-0023-1"/>
    <n v="700"/>
    <n v="14050"/>
    <n v="4688.46"/>
    <n v="14056"/>
    <n v="3572.13"/>
    <n v="1116.33"/>
    <n v="279.08"/>
    <n v="54260"/>
    <n v="55.82"/>
    <s v="P"/>
    <m/>
    <s v="LA210829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4474"/>
    <n v="171563"/>
    <s v="Apply Credit Memos"/>
    <n v="0"/>
    <m/>
    <m/>
    <m/>
    <n v="0"/>
    <s v="Rehrig Pacific"/>
    <m/>
    <m/>
    <d v="2017-01-01T00:00:00"/>
    <d v="2017-01-01T00:00:00"/>
    <s v="2180-16-0038-1"/>
    <n v="611"/>
    <n v="14050"/>
    <n v="-1454.9"/>
    <n v="14056"/>
    <n v="-1139.4000000000001"/>
    <n v="-315.5"/>
    <n v="-87.65"/>
    <n v="54260"/>
    <n v="-17.53"/>
    <s v="P"/>
    <m/>
    <s v="RC50750CM, LA1899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2666"/>
    <s v="P"/>
    <s v="2yd FEL Plastic Containers"/>
    <n v="32"/>
    <m/>
    <m/>
    <m/>
    <n v="0"/>
    <s v="TOTER INCORPORATED"/>
    <m/>
    <s v="2 YD FEL/REL/SL Plastic"/>
    <d v="2017-01-01T00:00:00"/>
    <d v="2017-01-01T00:00:00"/>
    <s v="2180-16-0034-1"/>
    <n v="611"/>
    <n v="14050"/>
    <n v="17985.71"/>
    <n v="14056"/>
    <n v="14085.18"/>
    <n v="3900.5299999999988"/>
    <n v="1083.48"/>
    <n v="54260"/>
    <n v="216.7"/>
    <s v="P"/>
    <m/>
    <n v="6543711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2665"/>
    <s v="P"/>
    <s v="65gal Garbage Carts"/>
    <n v="102"/>
    <m/>
    <m/>
    <m/>
    <n v="0"/>
    <s v="REHRIG PACIFIC COMPANY"/>
    <m/>
    <m/>
    <d v="2017-01-01T00:00:00"/>
    <d v="2017-01-01T00:00:00"/>
    <s v="2180-16-0038-1"/>
    <n v="611"/>
    <n v="14050"/>
    <n v="4419.07"/>
    <n v="14056"/>
    <n v="3460.71"/>
    <n v="958.35999999999967"/>
    <n v="266.20999999999998"/>
    <n v="54260"/>
    <n v="53.24"/>
    <s v="P"/>
    <m/>
    <s v="LA209461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85"/>
    <s v="P"/>
    <s v="40 yd RO Boxes w/ plastic lids"/>
    <n v="9"/>
    <m/>
    <m/>
    <m/>
    <n v="0"/>
    <s v="CAPITAL INDUSTRIES, INC."/>
    <m/>
    <s v="40 YD RO Box"/>
    <d v="2016-12-22T00:00:00"/>
    <d v="2016-12-22T00:00:00"/>
    <s v="2180-16-0002-1"/>
    <n v="1200"/>
    <n v="14050"/>
    <n v="61632"/>
    <n v="14056"/>
    <n v="27820"/>
    <n v="33812"/>
    <n v="2140"/>
    <n v="54260"/>
    <n v="428"/>
    <s v="P"/>
    <m/>
    <n v="1261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84"/>
    <s v="P"/>
    <s v="30yd RO Boxes"/>
    <n v="10"/>
    <m/>
    <m/>
    <m/>
    <n v="0"/>
    <s v="CAPITAL INDUSTRIES, INC."/>
    <m/>
    <s v="30 YD RO Box"/>
    <d v="2016-12-22T00:00:00"/>
    <d v="2016-12-22T00:00:00"/>
    <s v="2180-16-0002-1"/>
    <n v="1200"/>
    <n v="14050"/>
    <n v="59850"/>
    <n v="14056"/>
    <n v="27015.63"/>
    <n v="32834.369999999995"/>
    <n v="2078.13"/>
    <n v="54260"/>
    <n v="415.63"/>
    <s v="P"/>
    <m/>
    <n v="1260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6"/>
    <s v="P"/>
    <s v="65Gal Garbage Carts"/>
    <n v="648"/>
    <m/>
    <m/>
    <m/>
    <n v="0"/>
    <s v="REHRIG PACIFIC COMPANY IN"/>
    <m/>
    <m/>
    <d v="2016-12-08T00:00:00"/>
    <d v="2016-12-08T00:00:00"/>
    <s v="2180-16-0038-1"/>
    <n v="700"/>
    <n v="14050"/>
    <n v="31283.66"/>
    <n v="14056"/>
    <n v="24580.06"/>
    <n v="6703.5999999999985"/>
    <n v="1862.13"/>
    <n v="54260"/>
    <n v="372.43"/>
    <s v="P"/>
    <m/>
    <s v="LA209357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5"/>
    <s v="P"/>
    <s v="4 yd Front Load Refuse Containers"/>
    <n v="15"/>
    <m/>
    <m/>
    <m/>
    <n v="0"/>
    <s v="REHRIG PACIFIC COMPANY IN"/>
    <m/>
    <s v="4 YD FEL/REL/SL Metal"/>
    <d v="2016-12-15T00:00:00"/>
    <d v="2016-12-15T00:00:00"/>
    <s v="2180-16-0037-1"/>
    <n v="700"/>
    <n v="14050"/>
    <n v="12240"/>
    <n v="14056"/>
    <n v="9617.14"/>
    <n v="2622.8600000000006"/>
    <n v="728.57"/>
    <n v="54260"/>
    <n v="145.71"/>
    <s v="P"/>
    <m/>
    <s v="LA2096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4"/>
    <s v="P"/>
    <s v="4yd FEL Plastic Contatiners"/>
    <n v="32"/>
    <m/>
    <m/>
    <m/>
    <n v="0"/>
    <s v="TOTER LLC"/>
    <m/>
    <s v="4 YD FEL/REL/SL Plastic"/>
    <d v="2016-11-15T00:00:00"/>
    <d v="2016-11-15T00:00:00"/>
    <s v="2180-16-0034-1"/>
    <n v="700"/>
    <n v="14050"/>
    <n v="23208.11"/>
    <n v="14056"/>
    <n v="18511.259999999998"/>
    <n v="4696.8500000000022"/>
    <n v="1381.44"/>
    <n v="54260"/>
    <n v="276.29000000000002"/>
    <s v="P"/>
    <m/>
    <n v="654369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3"/>
    <s v="P"/>
    <s v="35gal Garbage Carts"/>
    <n v="750"/>
    <m/>
    <m/>
    <m/>
    <n v="0"/>
    <s v="REHRIG PACIFIC COMPANY"/>
    <m/>
    <m/>
    <d v="2016-12-12T00:00:00"/>
    <d v="2016-12-12T00:00:00"/>
    <s v="2180-16-0038-1"/>
    <n v="700"/>
    <n v="14050"/>
    <n v="29778.560000000001"/>
    <n v="14056"/>
    <n v="23397.439999999999"/>
    <n v="6381.1200000000026"/>
    <n v="1772.53"/>
    <n v="54260"/>
    <n v="354.5"/>
    <s v="P"/>
    <m/>
    <s v="LA2094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2"/>
    <s v="P"/>
    <s v="1.5 REL Containers"/>
    <n v="32"/>
    <m/>
    <m/>
    <m/>
    <n v="0"/>
    <s v="CAPITAL INDUSTRIES, INC."/>
    <m/>
    <s v="1.5 YD FEL/REL/SL Metal"/>
    <d v="2016-12-13T00:00:00"/>
    <d v="2016-12-13T00:00:00"/>
    <s v="2180-16-0033-1"/>
    <n v="1200"/>
    <n v="14050"/>
    <n v="18452.48"/>
    <n v="14056"/>
    <n v="8457.35"/>
    <n v="9995.1299999999992"/>
    <n v="640.71"/>
    <n v="54260"/>
    <n v="128.13999999999999"/>
    <s v="P"/>
    <m/>
    <n v="1260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1561"/>
    <s v="P"/>
    <s v="40 yd RO Boxes w/ plastic lids"/>
    <n v="6"/>
    <m/>
    <m/>
    <m/>
    <n v="0"/>
    <s v="CAPITAL INDUSTRIES, INC."/>
    <m/>
    <s v="40 YD RO Box"/>
    <d v="2016-12-22T00:00:00"/>
    <d v="2016-12-22T00:00:00"/>
    <s v="2180-16-0002-1"/>
    <n v="1200"/>
    <n v="14050"/>
    <n v="41088"/>
    <n v="14056"/>
    <n v="18546.669999999998"/>
    <n v="22541.33"/>
    <n v="1426.67"/>
    <n v="54260"/>
    <n v="285.33999999999997"/>
    <s v="P"/>
    <m/>
    <n v="1261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306"/>
    <s v="P"/>
    <s v="Panasonic - DDR3L - 4GB"/>
    <m/>
    <m/>
    <m/>
    <m/>
    <n v="0"/>
    <s v="CDW"/>
    <m/>
    <m/>
    <d v="2016-10-21T00:00:00"/>
    <d v="2016-10-21T00:00:00"/>
    <s v="2180-16-0035-1"/>
    <n v="200"/>
    <n v="14110"/>
    <n v="123.9"/>
    <n v="14116"/>
    <n v="123.9"/>
    <n v="0"/>
    <n v="0"/>
    <n v="70260"/>
    <n v="0"/>
    <s v="P"/>
    <m/>
    <s v="FXM299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192"/>
    <s v="P"/>
    <s v="65gal Garbage Carts"/>
    <n v="3"/>
    <m/>
    <m/>
    <m/>
    <n v="0"/>
    <s v="REHRIG PACIFIC COMPANY IN"/>
    <m/>
    <m/>
    <d v="2016-11-02T00:00:00"/>
    <d v="2016-11-02T00:00:00"/>
    <s v="2180-16-0005-1"/>
    <n v="700"/>
    <n v="14050"/>
    <n v="96.85"/>
    <n v="14056"/>
    <n v="77.28"/>
    <n v="19.569999999999993"/>
    <n v="5.77"/>
    <n v="54260"/>
    <n v="1.1599999999999999"/>
    <s v="P"/>
    <m/>
    <s v="LA2084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191"/>
    <s v="P"/>
    <s v="65gal Garbage Carts"/>
    <n v="43"/>
    <m/>
    <m/>
    <m/>
    <n v="0"/>
    <s v="REHRIG PACIFIC COMPANY IN"/>
    <m/>
    <m/>
    <d v="2016-10-14T00:00:00"/>
    <d v="2016-10-14T00:00:00"/>
    <s v="2180-16-0006-1"/>
    <n v="700"/>
    <n v="14050"/>
    <n v="3669"/>
    <n v="14056"/>
    <n v="2970.13"/>
    <n v="698.86999999999989"/>
    <n v="218.39"/>
    <n v="54260"/>
    <n v="43.68"/>
    <s v="P"/>
    <m/>
    <s v="LA2084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190"/>
    <s v="P"/>
    <s v="95gal Recycle Carts"/>
    <n v="486"/>
    <m/>
    <m/>
    <m/>
    <n v="0"/>
    <s v="REHRIG PACIFIC COMPANY IN"/>
    <m/>
    <m/>
    <d v="2016-10-24T00:00:00"/>
    <d v="2016-10-24T00:00:00"/>
    <s v="2180-16-0031-1"/>
    <n v="700"/>
    <n v="14050"/>
    <n v="25718.36"/>
    <n v="14056"/>
    <n v="20513.34"/>
    <n v="5205.0200000000004"/>
    <n v="1530.85"/>
    <n v="54260"/>
    <n v="306.17"/>
    <s v="P"/>
    <m/>
    <s v="LA2082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189"/>
    <s v="P"/>
    <s v="95gal Recycle Carts"/>
    <n v="486"/>
    <m/>
    <m/>
    <m/>
    <n v="0"/>
    <s v="REHRIG PACIFIC COMPANY IN"/>
    <m/>
    <m/>
    <d v="2016-10-24T00:00:00"/>
    <d v="2016-10-24T00:00:00"/>
    <s v="2180-16-0031-1"/>
    <n v="700"/>
    <n v="14050"/>
    <n v="25718.36"/>
    <n v="14056"/>
    <n v="20513.34"/>
    <n v="5205.0200000000004"/>
    <n v="1530.85"/>
    <n v="54260"/>
    <n v="306.17"/>
    <s v="P"/>
    <m/>
    <s v="LA2082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70164"/>
    <s v="P"/>
    <s v="95gal Garbage Carts"/>
    <n v="504"/>
    <m/>
    <m/>
    <m/>
    <n v="0"/>
    <s v="REHRIG PACIFIC COMPANY IN"/>
    <m/>
    <m/>
    <d v="2016-11-02T00:00:00"/>
    <d v="2016-11-02T00:00:00"/>
    <s v="2180-16-0005-1"/>
    <n v="700"/>
    <n v="14050"/>
    <n v="26710.19"/>
    <n v="14056"/>
    <n v="21304.55"/>
    <n v="5405.6399999999994"/>
    <n v="1589.89"/>
    <n v="54260"/>
    <n v="317.98"/>
    <s v="P"/>
    <m/>
    <s v="LA2084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624"/>
    <s v="P"/>
    <s v="6yd FEL Plastic Containers"/>
    <n v="16"/>
    <m/>
    <m/>
    <m/>
    <n v="0"/>
    <s v="REHRIG PACIFIC COMPANY"/>
    <m/>
    <s v="6 YD FEL/REL/SL Plastic"/>
    <d v="2016-10-21T00:00:00"/>
    <d v="2016-10-21T00:00:00"/>
    <s v="2180-16-0029-1"/>
    <n v="700"/>
    <n v="14050"/>
    <n v="18430.72"/>
    <n v="14056"/>
    <n v="14700.7"/>
    <n v="3730.0200000000004"/>
    <n v="1097.07"/>
    <n v="54260"/>
    <n v="219.42"/>
    <s v="P"/>
    <m/>
    <s v="LA2081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623"/>
    <s v="P"/>
    <s v="35gal Garbage Carts"/>
    <n v="1080"/>
    <m/>
    <m/>
    <m/>
    <n v="0"/>
    <s v="REHRIG PACIFIC COMPANY"/>
    <m/>
    <m/>
    <d v="2016-10-21T00:00:00"/>
    <d v="2016-10-21T00:00:00"/>
    <s v="2180-16-0032-1"/>
    <n v="700"/>
    <n v="14050"/>
    <n v="39812.97"/>
    <n v="14056"/>
    <n v="31755.599999999999"/>
    <n v="8057.3700000000026"/>
    <n v="2369.8200000000002"/>
    <n v="54260"/>
    <n v="473.96"/>
    <s v="P"/>
    <m/>
    <s v="LA20808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622"/>
    <s v="P"/>
    <s v="35gal Garbage Carts"/>
    <n v="1080"/>
    <m/>
    <m/>
    <m/>
    <n v="0"/>
    <s v="REHRIG PACIFIC COMPANY"/>
    <m/>
    <m/>
    <d v="2016-10-21T00:00:00"/>
    <d v="2016-10-21T00:00:00"/>
    <s v="2180-16-0032-1"/>
    <n v="700"/>
    <n v="14050"/>
    <n v="39812.97"/>
    <n v="14056"/>
    <n v="31755.599999999999"/>
    <n v="8057.3700000000026"/>
    <n v="2369.8200000000002"/>
    <n v="54260"/>
    <n v="473.96"/>
    <s v="P"/>
    <m/>
    <s v="LA2081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621"/>
    <s v="P"/>
    <s v="65gal Garbage Carts"/>
    <n v="568"/>
    <m/>
    <m/>
    <m/>
    <n v="0"/>
    <s v="REHRIG PACIFIC COMPANY"/>
    <m/>
    <m/>
    <d v="2016-10-14T00:00:00"/>
    <d v="2016-10-14T00:00:00"/>
    <s v="2180-16-0006-1"/>
    <n v="700"/>
    <n v="14050"/>
    <n v="29848.33"/>
    <n v="14056"/>
    <n v="24162.95"/>
    <n v="5685.380000000001"/>
    <n v="1776.69"/>
    <n v="54260"/>
    <n v="355.34"/>
    <s v="P"/>
    <m/>
    <s v="LA207979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574"/>
    <s v="P"/>
    <s v="65gal Garbage Carts"/>
    <n v="648"/>
    <m/>
    <m/>
    <m/>
    <n v="0"/>
    <s v="REHRIG PACIFIC COMPANY"/>
    <m/>
    <m/>
    <d v="2016-10-14T00:00:00"/>
    <d v="2016-10-14T00:00:00"/>
    <s v="2180-16-0006-1"/>
    <n v="700"/>
    <n v="14050"/>
    <n v="29848.33"/>
    <n v="14056"/>
    <n v="24162.95"/>
    <n v="5685.380000000001"/>
    <n v="1776.69"/>
    <n v="54260"/>
    <n v="355.34"/>
    <s v="P"/>
    <m/>
    <s v="LA207978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573"/>
    <s v="P"/>
    <s v="6yd FEL Plastic Containers"/>
    <n v="16"/>
    <m/>
    <m/>
    <m/>
    <n v="0"/>
    <s v="REHRIG PACIFIC COMPANY"/>
    <m/>
    <s v="6 YD FEL/REL/SL Plastic"/>
    <d v="2016-10-21T00:00:00"/>
    <d v="2016-10-21T00:00:00"/>
    <s v="2180-16-0029-1"/>
    <n v="700"/>
    <n v="14050"/>
    <n v="18430.72"/>
    <n v="14056"/>
    <n v="14700.7"/>
    <n v="3730.0200000000004"/>
    <n v="1097.07"/>
    <n v="54260"/>
    <n v="219.42"/>
    <s v="P"/>
    <m/>
    <s v="LA20815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369"/>
    <s v="P"/>
    <s v="Panasonic Toughbook 53 Lite"/>
    <m/>
    <m/>
    <m/>
    <m/>
    <n v="0"/>
    <s v="CDW"/>
    <m/>
    <m/>
    <d v="2016-10-21T00:00:00"/>
    <d v="2016-10-21T00:00:00"/>
    <s v="2180-16-0035-1"/>
    <n v="200"/>
    <n v="14110"/>
    <n v="1311.95"/>
    <n v="14116"/>
    <n v="1311.95"/>
    <n v="0"/>
    <n v="0"/>
    <n v="70260"/>
    <n v="0"/>
    <s v="P"/>
    <m/>
    <s v="FSM48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9028"/>
    <s v="P"/>
    <s v="2017 CD Truck"/>
    <m/>
    <m/>
    <s v="2NP2HJ7X2HM414303"/>
    <m/>
    <n v="2017"/>
    <s v="peterbilt"/>
    <s v="AA welding"/>
    <s v="Container Delivery Truck"/>
    <d v="2016-09-30T00:00:00"/>
    <d v="2016-09-30T00:00:00"/>
    <s v="2180-16-0011-1"/>
    <n v="1000"/>
    <n v="14040"/>
    <n v="198848.06"/>
    <n v="14046"/>
    <n v="112680.59"/>
    <n v="86167.47"/>
    <n v="8285.34"/>
    <n v="51260"/>
    <n v="1657.07"/>
    <s v="P"/>
    <m/>
    <s v="P414303"/>
    <n v="452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985"/>
    <s v="P"/>
    <s v="95gal Yardwaste Carts"/>
    <n v="486"/>
    <m/>
    <m/>
    <m/>
    <n v="0"/>
    <s v="REHRIG PACIFIC COMPANY"/>
    <m/>
    <m/>
    <d v="2016-10-07T00:00:00"/>
    <d v="2016-10-07T00:00:00"/>
    <s v="2180-16-0030-1"/>
    <n v="700"/>
    <n v="14050"/>
    <n v="26099.16"/>
    <n v="14056"/>
    <n v="21127.88"/>
    <n v="4971.2799999999988"/>
    <n v="1553.52"/>
    <n v="54260"/>
    <n v="310.7"/>
    <s v="P"/>
    <m/>
    <s v="LA2078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984"/>
    <s v="P"/>
    <s v="95gal Yardwaste Carts"/>
    <n v="486"/>
    <m/>
    <m/>
    <m/>
    <n v="0"/>
    <s v="REHRIG PACIFIC COMPANY"/>
    <m/>
    <m/>
    <d v="2016-10-07T00:00:00"/>
    <d v="2016-10-07T00:00:00"/>
    <s v="2180-16-0030-1"/>
    <n v="700"/>
    <n v="14050"/>
    <n v="26099.16"/>
    <n v="14056"/>
    <n v="21127.88"/>
    <n v="4971.2799999999988"/>
    <n v="1553.52"/>
    <n v="54260"/>
    <n v="310.7"/>
    <s v="P"/>
    <m/>
    <s v="LA2078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783"/>
    <s v="P"/>
    <s v="1yd REL Steel Containers"/>
    <n v="29"/>
    <m/>
    <m/>
    <m/>
    <n v="0"/>
    <s v="CAPITAL INDUSTRIES, INC."/>
    <m/>
    <s v="1 YD FEL/REL/SL Metal"/>
    <d v="2016-09-23T00:00:00"/>
    <d v="2016-09-23T00:00:00"/>
    <s v="2180-16-0026-1"/>
    <n v="1200"/>
    <n v="14050"/>
    <n v="13409.6"/>
    <n v="14056"/>
    <n v="6332.33"/>
    <n v="7077.27"/>
    <n v="465.61"/>
    <n v="54260"/>
    <n v="93.12"/>
    <s v="P"/>
    <m/>
    <n v="1237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668"/>
    <s v="P"/>
    <s v="65gal Garbage Carts"/>
    <n v="648"/>
    <m/>
    <m/>
    <m/>
    <n v="0"/>
    <s v="REHRIG PACIFIC COMPANY"/>
    <m/>
    <m/>
    <d v="2016-08-22T00:00:00"/>
    <d v="2016-08-22T00:00:00"/>
    <s v="2180-16-0006-1"/>
    <n v="700"/>
    <n v="14050"/>
    <n v="29821.13"/>
    <n v="14056"/>
    <n v="24495.919999999998"/>
    <n v="5325.2100000000028"/>
    <n v="1775.07"/>
    <n v="54260"/>
    <n v="355.02"/>
    <s v="P"/>
    <m/>
    <s v="LA206507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667"/>
    <s v="P"/>
    <s v="65gal Garbage Carts"/>
    <n v="648"/>
    <m/>
    <m/>
    <m/>
    <n v="0"/>
    <s v="REHRIG PACIFIC COMPANY"/>
    <m/>
    <m/>
    <d v="2016-08-22T00:00:00"/>
    <d v="2016-08-22T00:00:00"/>
    <s v="2180-16-0006-1"/>
    <n v="700"/>
    <n v="14050"/>
    <n v="29821.13"/>
    <n v="14056"/>
    <n v="24495.919999999998"/>
    <n v="5325.2100000000028"/>
    <n v="1775.07"/>
    <n v="54260"/>
    <n v="355.02"/>
    <s v="P"/>
    <m/>
    <s v="LA206542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666"/>
    <s v="P"/>
    <s v="95gal Garbage Carts"/>
    <n v="486"/>
    <m/>
    <m/>
    <m/>
    <n v="0"/>
    <s v="REHRIG PACIFIC COMPANY"/>
    <m/>
    <m/>
    <d v="2016-09-06T00:00:00"/>
    <d v="2016-09-06T00:00:00"/>
    <s v="2180-16-0005-1"/>
    <n v="700"/>
    <n v="14050"/>
    <n v="25827.17"/>
    <n v="14056"/>
    <n v="21215.200000000001"/>
    <n v="4611.9699999999975"/>
    <n v="1537.33"/>
    <n v="54260"/>
    <n v="307.45999999999998"/>
    <s v="P"/>
    <m/>
    <s v="LA207019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665"/>
    <s v="P"/>
    <s v="95gal Yardwaste Carts"/>
    <n v="486"/>
    <m/>
    <m/>
    <m/>
    <n v="0"/>
    <s v="REHRIG PACIFIC COMPANY"/>
    <m/>
    <m/>
    <d v="2016-09-16T00:00:00"/>
    <d v="2016-09-16T00:00:00"/>
    <s v="2180-16-0004-1"/>
    <n v="700"/>
    <n v="14050"/>
    <n v="26240.6"/>
    <n v="14056"/>
    <n v="21242.41"/>
    <n v="4998.1899999999987"/>
    <n v="1561.94"/>
    <n v="54260"/>
    <n v="312.39"/>
    <s v="P"/>
    <m/>
    <s v="LA20737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8664"/>
    <s v="P"/>
    <s v="1yd REL Steel Contailers"/>
    <n v="7"/>
    <m/>
    <m/>
    <m/>
    <n v="0"/>
    <s v="CAPITAL INDUSTRIES, INC."/>
    <m/>
    <s v="1 YD FEL/REL/SL Metal"/>
    <d v="2016-09-21T00:00:00"/>
    <d v="2016-09-21T00:00:00"/>
    <s v="2180-16-0026-1"/>
    <n v="1200"/>
    <n v="14050"/>
    <n v="3236.8"/>
    <n v="14056"/>
    <n v="1528.47"/>
    <n v="1708.3300000000002"/>
    <n v="112.39"/>
    <n v="54260"/>
    <n v="22.48"/>
    <s v="P"/>
    <m/>
    <n v="12386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7285"/>
    <s v="P"/>
    <s v="6yd FEL Plastic Containers"/>
    <n v="32"/>
    <m/>
    <m/>
    <m/>
    <n v="0"/>
    <s v="REHRIG PACIFIC COMPANY"/>
    <m/>
    <s v="6 YD FEL/REL/SL Plastic"/>
    <d v="2016-08-31T00:00:00"/>
    <d v="2016-08-31T00:00:00"/>
    <s v="2180-16-0027-1"/>
    <n v="700"/>
    <n v="14050"/>
    <n v="41648.639999999999"/>
    <n v="14056"/>
    <n v="34211.410000000003"/>
    <n v="7437.2299999999959"/>
    <n v="2479.09"/>
    <n v="54260"/>
    <n v="495.82"/>
    <s v="P"/>
    <m/>
    <s v="LA2069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6606"/>
    <n v="60779"/>
    <s v="Head rebuild  on unit#1065"/>
    <m/>
    <m/>
    <m/>
    <m/>
    <n v="0"/>
    <s v="Dirks Truck Repair"/>
    <m/>
    <s v="Non Rolling Stock"/>
    <d v="2016-07-29T00:00:00"/>
    <d v="2016-07-29T00:00:00"/>
    <s v="2180-16-0025-1"/>
    <n v="300"/>
    <n v="14040"/>
    <n v="16305.92"/>
    <n v="14046"/>
    <n v="16305.92"/>
    <n v="0"/>
    <n v="0"/>
    <n v="51260"/>
    <n v="0"/>
    <s v="P"/>
    <m/>
    <s v="W259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6253"/>
    <n v="133441"/>
    <s v="Routeware for Trk#2045"/>
    <m/>
    <m/>
    <m/>
    <m/>
    <n v="0"/>
    <s v="ROUTEWARE INC"/>
    <m/>
    <s v="Non Rolling Stoc"/>
    <d v="2016-06-30T00:00:00"/>
    <d v="2016-06-30T00:00:00"/>
    <s v="2180-16-0008-1"/>
    <n v="1000"/>
    <n v="14040"/>
    <n v="6375.7"/>
    <n v="14046"/>
    <n v="3772.29"/>
    <n v="2603.41"/>
    <n v="265.64999999999998"/>
    <n v="51260"/>
    <n v="53.13"/>
    <s v="P"/>
    <m/>
    <n v="974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6068"/>
    <s v="P"/>
    <s v="96 gal yard waste"/>
    <n v="549"/>
    <m/>
    <m/>
    <m/>
    <n v="0"/>
    <s v="SCHAEFER SYSTEMS INTERNAT"/>
    <m/>
    <m/>
    <d v="2016-07-12T00:00:00"/>
    <d v="2016-07-12T00:00:00"/>
    <s v="2180-16-0004-1"/>
    <n v="700"/>
    <n v="14050"/>
    <n v="26801.4"/>
    <n v="14056"/>
    <n v="22653.56"/>
    <n v="4147.84"/>
    <n v="1595.32"/>
    <n v="54260"/>
    <n v="319.06"/>
    <s v="P"/>
    <m/>
    <s v="PCINV0235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5737"/>
    <s v="P"/>
    <s v="6 yd Plastic Cont"/>
    <n v="16"/>
    <m/>
    <m/>
    <m/>
    <n v="0"/>
    <s v="REHRIG PACIFIC COMPANY"/>
    <m/>
    <s v="6 YD FEL/REL/SL Plastic"/>
    <d v="2016-05-18T00:00:00"/>
    <d v="2016-05-18T00:00:00"/>
    <s v="2180-16-0001-1"/>
    <n v="700"/>
    <n v="14050"/>
    <n v="17712.64"/>
    <n v="14056"/>
    <n v="15182.28"/>
    <n v="2530.3599999999988"/>
    <n v="1054.33"/>
    <n v="54260"/>
    <n v="210.87"/>
    <s v="P"/>
    <m/>
    <s v="LA20418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65690"/>
    <s v="P"/>
    <s v="2yd Plastic Cont"/>
    <n v="66"/>
    <m/>
    <m/>
    <m/>
    <n v="0"/>
    <s v="REHRIG PACIFIC COMPANY"/>
    <m/>
    <s v="2 YD FEL/REL/SL Plastic"/>
    <d v="2016-05-18T00:00:00"/>
    <d v="2016-05-18T00:00:00"/>
    <s v="2180-16-0001-1"/>
    <n v="700"/>
    <n v="14050"/>
    <n v="39173.440000000002"/>
    <n v="14056"/>
    <n v="33577.25"/>
    <n v="5596.1900000000023"/>
    <n v="2331.75"/>
    <n v="54260"/>
    <n v="466.35"/>
    <s v="P"/>
    <m/>
    <s v="LA2041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9652"/>
    <s v="P"/>
    <s v="1.5yd Containers"/>
    <n v="3"/>
    <m/>
    <m/>
    <m/>
    <n v="0"/>
    <s v="CAPITAL INDUSTRIES, INC."/>
    <m/>
    <s v="1.5 YD FEL/REL/SL Metal"/>
    <d v="2016-06-16T00:00:00"/>
    <d v="2016-06-16T00:00:00"/>
    <s v="2180-16-0001-1"/>
    <n v="700"/>
    <n v="14050"/>
    <n v="1419.84"/>
    <n v="14056"/>
    <n v="1200.1400000000001"/>
    <n v="219.69999999999982"/>
    <n v="84.52"/>
    <n v="54260"/>
    <n v="16.91"/>
    <s v="P"/>
    <m/>
    <n v="1207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568"/>
    <s v="P"/>
    <s v="3 Yard Plastic Container"/>
    <n v="36"/>
    <m/>
    <m/>
    <m/>
    <n v="0"/>
    <s v="REHRIG PACIFIC COMPANY IN"/>
    <m/>
    <s v="3 YD FEL/REL/SL Plastic"/>
    <d v="2016-06-13T00:00:00"/>
    <d v="2016-06-13T00:00:00"/>
    <s v="2180-16-0001-1"/>
    <n v="700"/>
    <n v="14050"/>
    <n v="24382.080000000002"/>
    <n v="14056"/>
    <n v="20898.96"/>
    <n v="3483.1200000000026"/>
    <n v="1451.32"/>
    <n v="54260"/>
    <n v="290.27"/>
    <s v="P"/>
    <m/>
    <s v="LA2047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567"/>
    <s v="P"/>
    <s v="1.5yd Containers"/>
    <n v="12"/>
    <m/>
    <m/>
    <m/>
    <n v="0"/>
    <s v="CAPITAL INDUSTRIES, INC."/>
    <m/>
    <s v="1.5 YD FEL/REL/SL Metal"/>
    <d v="2016-06-16T00:00:00"/>
    <d v="2016-06-16T00:00:00"/>
    <s v="2180-16-0001-1"/>
    <n v="700"/>
    <n v="14050"/>
    <n v="5679.36"/>
    <n v="14056"/>
    <n v="4800.43"/>
    <n v="878.92999999999938"/>
    <n v="338.06"/>
    <n v="54260"/>
    <n v="67.61"/>
    <s v="P"/>
    <m/>
    <n v="12070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441"/>
    <s v="P"/>
    <s v="2016 FEL Truck"/>
    <m/>
    <m/>
    <s v="3BPZL70X0GF107176"/>
    <m/>
    <n v="2016"/>
    <s v="peterbilt"/>
    <s v="Wittke"/>
    <s v="FEL Truck"/>
    <d v="2016-06-30T00:00:00"/>
    <d v="2016-06-30T00:00:00"/>
    <s v="2180-16-0008-1"/>
    <n v="1000"/>
    <n v="14040"/>
    <n v="315919.88"/>
    <n v="14046"/>
    <n v="186919.27"/>
    <n v="129000.61000000002"/>
    <n v="13163.33"/>
    <n v="51260"/>
    <n v="2632.67"/>
    <s v="P"/>
    <m/>
    <s v="P107176"/>
    <n v="204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406"/>
    <s v="P"/>
    <s v="95gal Yardwaste Carts"/>
    <n v="549"/>
    <m/>
    <m/>
    <m/>
    <n v="0"/>
    <s v="SCHAEFER SYSTEMS INTERNAT"/>
    <m/>
    <m/>
    <d v="2016-06-06T00:00:00"/>
    <d v="2016-06-06T00:00:00"/>
    <s v="2180-16-0004-1"/>
    <n v="700"/>
    <n v="14050"/>
    <n v="27028.37"/>
    <n v="14056"/>
    <n v="23167.200000000001"/>
    <n v="3861.1699999999983"/>
    <n v="1608.83"/>
    <n v="54260"/>
    <n v="321.76"/>
    <s v="P"/>
    <m/>
    <s v="PCINV02204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364"/>
    <s v="P"/>
    <s v="2 Yard Plastic Container"/>
    <n v="3"/>
    <m/>
    <m/>
    <m/>
    <n v="0"/>
    <s v="REHRIG PACIFIC COMPANY"/>
    <m/>
    <s v="2 YD FEL/REL/SL Metal"/>
    <d v="2016-05-13T00:00:00"/>
    <d v="2016-05-13T00:00:00"/>
    <s v="2180-16-0001-1"/>
    <n v="700"/>
    <n v="14050"/>
    <n v="1715.95"/>
    <n v="14056"/>
    <n v="1491.26"/>
    <n v="224.69000000000005"/>
    <n v="102.14"/>
    <n v="54260"/>
    <n v="20.43"/>
    <s v="P"/>
    <m/>
    <s v="LA20409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363"/>
    <s v="P"/>
    <s v="4Yd Plastic Containers"/>
    <n v="38"/>
    <m/>
    <m/>
    <m/>
    <n v="0"/>
    <s v="REHRIG PACIFIC COMPANY"/>
    <m/>
    <s v="4 YD FEL/REL/SL Plastic"/>
    <d v="2016-05-26T00:00:00"/>
    <d v="2016-05-26T00:00:00"/>
    <s v="2180-16-0001-1"/>
    <n v="700"/>
    <n v="14050"/>
    <n v="30292.639999999999"/>
    <n v="14056"/>
    <n v="25965.119999999999"/>
    <n v="4327.5200000000004"/>
    <n v="1803.13"/>
    <n v="54260"/>
    <n v="360.62"/>
    <s v="P"/>
    <m/>
    <s v="LA2043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3011"/>
    <s v="P"/>
    <s v="Tennant Sweeper (Zamboni)"/>
    <m/>
    <m/>
    <m/>
    <m/>
    <n v="0"/>
    <s v="Tennant"/>
    <m/>
    <m/>
    <d v="2016-04-29T00:00:00"/>
    <d v="2016-04-29T00:00:00"/>
    <s v="2180-16-0013-1"/>
    <n v="500"/>
    <n v="14070"/>
    <n v="16000"/>
    <n v="14076"/>
    <n v="16000"/>
    <n v="0"/>
    <n v="0"/>
    <n v="51260"/>
    <n v="0"/>
    <s v="P"/>
    <m/>
    <n v="91379878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892"/>
    <s v="P"/>
    <s v="95gal Recycle Carts"/>
    <n v="1008"/>
    <m/>
    <m/>
    <m/>
    <n v="0"/>
    <s v="OTTO ENVIRONMENTAL SYSTEM"/>
    <m/>
    <m/>
    <d v="2016-04-11T00:00:00"/>
    <d v="2016-04-11T00:00:00"/>
    <s v="2180-16-0020-3"/>
    <n v="700"/>
    <n v="14050"/>
    <n v="51665.81"/>
    <n v="14056"/>
    <n v="45515.12"/>
    <n v="6150.6899999999951"/>
    <n v="3075.35"/>
    <n v="54260"/>
    <n v="615.07000000000005"/>
    <s v="P"/>
    <m/>
    <n v="534307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891"/>
    <s v="P"/>
    <s v="6yd Plastic Container"/>
    <n v="16"/>
    <m/>
    <m/>
    <m/>
    <n v="0"/>
    <s v="REHRIG PACIFIC COMPANY"/>
    <m/>
    <s v="6 YD FEL/REL/SL Plastic"/>
    <d v="2016-04-30T00:00:00"/>
    <d v="2016-04-30T00:00:00"/>
    <s v="2180-16-0001-1"/>
    <n v="700"/>
    <n v="14050"/>
    <n v="18430.72"/>
    <n v="14056"/>
    <n v="16017.18"/>
    <n v="2413.5400000000009"/>
    <n v="1097.07"/>
    <n v="54260"/>
    <n v="219.42"/>
    <s v="P"/>
    <m/>
    <s v="LA2037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890"/>
    <s v="P"/>
    <s v="4yd Plastic Containers"/>
    <n v="2"/>
    <m/>
    <m/>
    <m/>
    <n v="0"/>
    <s v="REHRIG PACIFIC COMPANY"/>
    <m/>
    <s v="4 YD FEL/REL/SL Plastic"/>
    <d v="2016-05-08T00:00:00"/>
    <d v="2016-05-08T00:00:00"/>
    <s v="2180-16-0001-1"/>
    <n v="700"/>
    <n v="14050"/>
    <n v="1585.76"/>
    <n v="14056"/>
    <n v="1378.12"/>
    <n v="207.6400000000001"/>
    <n v="94.39"/>
    <n v="54260"/>
    <n v="18.88"/>
    <s v="P"/>
    <m/>
    <s v="LA2037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889"/>
    <s v="P"/>
    <s v="2yd Plastic Container"/>
    <n v="39"/>
    <m/>
    <m/>
    <m/>
    <n v="0"/>
    <s v="REHRIG PACIFIC COMPANY"/>
    <m/>
    <s v="2 YD FEL/REL/SL Plastic"/>
    <d v="2016-05-08T00:00:00"/>
    <d v="2016-05-08T00:00:00"/>
    <s v="2180-16-0001-1"/>
    <n v="700"/>
    <n v="14050"/>
    <n v="22307.26"/>
    <n v="14056"/>
    <n v="19386.060000000001"/>
    <n v="2921.1999999999971"/>
    <n v="1327.81"/>
    <n v="54260"/>
    <n v="265.56"/>
    <s v="P"/>
    <m/>
    <s v="LA2039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590"/>
    <s v="P"/>
    <s v="65 Gal Garbage Carts"/>
    <n v="556"/>
    <m/>
    <m/>
    <m/>
    <n v="0"/>
    <s v="OTTO ENVIRONMENTAL SYSTEM"/>
    <m/>
    <m/>
    <d v="2016-03-22T00:00:00"/>
    <d v="2016-03-22T00:00:00"/>
    <s v="2180-16-0020-2"/>
    <n v="700"/>
    <n v="14050"/>
    <n v="25010.16"/>
    <n v="14056"/>
    <n v="22032.76"/>
    <n v="2977.4000000000015"/>
    <n v="1488.7"/>
    <n v="54260"/>
    <n v="297.74"/>
    <s v="P"/>
    <m/>
    <n v="534280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589"/>
    <s v="P"/>
    <s v="65 Gal Garbage Carts"/>
    <n v="884"/>
    <m/>
    <m/>
    <m/>
    <n v="0"/>
    <s v="OTTO ENVIRONMENTAL SYSTEM"/>
    <m/>
    <m/>
    <d v="2016-03-22T00:00:00"/>
    <d v="2016-03-22T00:00:00"/>
    <s v="2180-16-0020-1"/>
    <n v="700"/>
    <n v="14050"/>
    <n v="39802"/>
    <n v="14056"/>
    <n v="35063.67"/>
    <n v="4738.3300000000017"/>
    <n v="2369.17"/>
    <n v="54260"/>
    <n v="473.84"/>
    <s v="P"/>
    <m/>
    <n v="534280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79"/>
    <s v="P"/>
    <s v="2016 ASL Truck"/>
    <m/>
    <m/>
    <s v="3BPZL70X4GF107181"/>
    <m/>
    <n v="2016"/>
    <s v="peterbilt"/>
    <s v="labrie"/>
    <s v="Automated Sideload"/>
    <d v="2016-04-20T00:00:00"/>
    <d v="2016-04-20T00:00:00"/>
    <s v="2180-16-0009-1"/>
    <n v="1000"/>
    <n v="14040"/>
    <n v="337626.52"/>
    <n v="14046"/>
    <n v="205389.46"/>
    <n v="132237.06000000003"/>
    <n v="14067.77"/>
    <n v="51260"/>
    <n v="2813.55"/>
    <s v="P"/>
    <m/>
    <s v="P107181"/>
    <n v="365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78"/>
    <s v="P"/>
    <s v="2016 ASL Truck"/>
    <m/>
    <m/>
    <s v="3BPZL70X6GF107182"/>
    <m/>
    <n v="2016"/>
    <s v="peterbilt"/>
    <s v="labrie"/>
    <s v="Automated Sideload"/>
    <d v="2016-04-20T00:00:00"/>
    <d v="2016-04-20T00:00:00"/>
    <s v="2180-16-0010-1"/>
    <n v="1000"/>
    <n v="14040"/>
    <n v="336680.5"/>
    <n v="14046"/>
    <n v="204813.97"/>
    <n v="131866.53"/>
    <n v="14028.35"/>
    <n v="51260"/>
    <n v="2805.67"/>
    <s v="P"/>
    <m/>
    <s v="P107182"/>
    <n v="365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77"/>
    <s v="P"/>
    <s v="2016 ASL Truck"/>
    <m/>
    <m/>
    <s v="3BPZL70X8GF107183"/>
    <m/>
    <n v="2016"/>
    <s v="peterbilt"/>
    <s v="labrie"/>
    <s v="Automated Sideload"/>
    <d v="2016-04-20T00:00:00"/>
    <d v="2016-04-20T00:00:00"/>
    <s v="2180-16-0012-1"/>
    <n v="1000"/>
    <n v="14040"/>
    <n v="339573.74"/>
    <n v="14046"/>
    <n v="206574"/>
    <n v="132999.74"/>
    <n v="14148.9"/>
    <n v="51260"/>
    <n v="2829.78"/>
    <s v="P"/>
    <m/>
    <s v="P107183"/>
    <n v="365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09"/>
    <s v="P"/>
    <s v="95 Gal Garabage Carts"/>
    <n v="504"/>
    <m/>
    <m/>
    <m/>
    <n v="0"/>
    <s v="OTTO ENVIRONMENTAL SYSTEM"/>
    <m/>
    <m/>
    <d v="2016-03-31T00:00:00"/>
    <d v="2016-03-31T00:00:00"/>
    <s v="2180-16-0020-1"/>
    <n v="700"/>
    <n v="14050"/>
    <n v="25010.38"/>
    <n v="14056"/>
    <n v="22032.94"/>
    <n v="2977.4400000000023"/>
    <n v="1488.71"/>
    <n v="54260"/>
    <n v="297.74"/>
    <s v="P"/>
    <m/>
    <n v="197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08"/>
    <s v="P"/>
    <s v="95 Gal Yard Waste Carts"/>
    <n v="504"/>
    <m/>
    <m/>
    <m/>
    <n v="0"/>
    <s v="OTTO ENVIRONMENTAL SYSTEM"/>
    <m/>
    <m/>
    <d v="2016-03-31T00:00:00"/>
    <d v="2016-03-31T00:00:00"/>
    <s v="2180-16-0020-2"/>
    <n v="700"/>
    <n v="14050"/>
    <n v="25010.38"/>
    <n v="14056"/>
    <n v="22032.94"/>
    <n v="2977.4400000000023"/>
    <n v="1488.71"/>
    <n v="54260"/>
    <n v="297.74"/>
    <s v="P"/>
    <m/>
    <n v="197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2007"/>
    <s v="P"/>
    <s v="95 Gal Yard Waste Carts"/>
    <n v="504"/>
    <m/>
    <m/>
    <m/>
    <n v="0"/>
    <s v="OTTO ENVIRONMENTAL SYSTEM"/>
    <m/>
    <m/>
    <d v="2016-04-08T00:00:00"/>
    <d v="2016-04-08T00:00:00"/>
    <s v="2180-16-0020-2"/>
    <n v="700"/>
    <n v="14050"/>
    <n v="25010.39"/>
    <n v="14056"/>
    <n v="22032.95"/>
    <n v="2977.4399999999987"/>
    <n v="1488.71"/>
    <n v="54260"/>
    <n v="297.74"/>
    <s v="P"/>
    <m/>
    <n v="53430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1778"/>
    <s v="P"/>
    <s v="65 gal garbage carts"/>
    <n v="864"/>
    <m/>
    <m/>
    <m/>
    <n v="0"/>
    <s v="TOTER INCORPORATED"/>
    <m/>
    <m/>
    <d v="2016-02-18T00:00:00"/>
    <d v="2016-02-18T00:00:00"/>
    <s v="2180-16-0006-1"/>
    <n v="700"/>
    <n v="14050"/>
    <n v="36644.400000000001"/>
    <n v="14056"/>
    <n v="32718.25"/>
    <n v="3926.1500000000015"/>
    <n v="2181.2199999999998"/>
    <n v="54260"/>
    <n v="436.25"/>
    <s v="P"/>
    <m/>
    <n v="653969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1755"/>
    <s v="P"/>
    <s v="96 Gal Recycle Carts"/>
    <n v="624"/>
    <m/>
    <m/>
    <m/>
    <n v="0"/>
    <s v="TOTER INCORPORATED"/>
    <m/>
    <m/>
    <d v="2016-02-27T00:00:00"/>
    <d v="2016-02-27T00:00:00"/>
    <s v="2180-16-0003-1"/>
    <n v="700"/>
    <n v="14050"/>
    <n v="31260.11"/>
    <n v="14056"/>
    <n v="27910.81"/>
    <n v="3349.2999999999993"/>
    <n v="1860.72"/>
    <n v="54260"/>
    <n v="372.14"/>
    <s v="P"/>
    <m/>
    <n v="653992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1546"/>
    <s v="P"/>
    <s v="HP SB 90W Docking Station"/>
    <m/>
    <m/>
    <m/>
    <m/>
    <n v="0"/>
    <s v="CDW"/>
    <m/>
    <m/>
    <d v="2016-03-17T00:00:00"/>
    <d v="2016-03-17T00:00:00"/>
    <s v="2180-16-0021-1"/>
    <n v="300"/>
    <n v="14110"/>
    <n v="155.91999999999999"/>
    <n v="14116"/>
    <n v="155.91999999999999"/>
    <n v="0"/>
    <n v="0"/>
    <n v="70260"/>
    <n v="0"/>
    <s v="P"/>
    <m/>
    <s v="ckq96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1296"/>
    <s v="P"/>
    <s v="HP SB ProBook 640 14 5CG5522MGF"/>
    <m/>
    <m/>
    <m/>
    <m/>
    <n v="0"/>
    <s v="CDW"/>
    <m/>
    <m/>
    <d v="2016-03-17T00:00:00"/>
    <d v="2016-03-17T00:00:00"/>
    <s v="2180-16-0021-1"/>
    <n v="300"/>
    <n v="14110"/>
    <n v="980.25"/>
    <n v="14116"/>
    <n v="980.25"/>
    <n v="0"/>
    <n v="0"/>
    <n v="70260"/>
    <n v="0"/>
    <s v="P"/>
    <m/>
    <s v="ckz22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0994"/>
    <s v="P"/>
    <s v="2yd Plastic Container"/>
    <n v="41"/>
    <m/>
    <m/>
    <m/>
    <n v="0"/>
    <s v="REHRIG PACIFIC COMPANY"/>
    <m/>
    <s v="2 YD FEL/REL/SL Plastic"/>
    <d v="2016-01-01T00:00:00"/>
    <d v="2016-01-01T00:00:00"/>
    <s v="2180-15-0024-1"/>
    <n v="611"/>
    <n v="14050"/>
    <n v="23454.97"/>
    <n v="14056"/>
    <n v="21759.43"/>
    <n v="1695.5400000000009"/>
    <n v="1412.95"/>
    <n v="54260"/>
    <n v="282.58999999999997"/>
    <s v="P"/>
    <m/>
    <s v="LA2000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0763"/>
    <s v="P"/>
    <s v="65 gal garbage carts"/>
    <n v="864"/>
    <m/>
    <m/>
    <m/>
    <n v="0"/>
    <s v="TOTER INCORPORATED"/>
    <m/>
    <m/>
    <d v="2016-02-18T00:00:00"/>
    <d v="2016-02-18T00:00:00"/>
    <s v="2180-16-0006-1"/>
    <n v="700"/>
    <n v="14050"/>
    <n v="36644.400000000001"/>
    <n v="14056"/>
    <n v="32718.25"/>
    <n v="3926.1500000000015"/>
    <n v="2181.2199999999998"/>
    <n v="54260"/>
    <n v="436.25"/>
    <s v="P"/>
    <m/>
    <n v="653969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0762"/>
    <s v="P"/>
    <s v="96 Gal Recycle Carts with lids"/>
    <n v="624"/>
    <m/>
    <m/>
    <m/>
    <n v="0"/>
    <s v="TOTER INCORPORATED"/>
    <m/>
    <m/>
    <d v="2016-02-19T00:00:00"/>
    <d v="2016-02-19T00:00:00"/>
    <s v="2180-16-0003-1"/>
    <n v="700"/>
    <n v="14050"/>
    <n v="31260.11"/>
    <n v="14056"/>
    <n v="27910.81"/>
    <n v="3349.2999999999993"/>
    <n v="1860.72"/>
    <n v="54260"/>
    <n v="372.14"/>
    <s v="P"/>
    <m/>
    <n v="653973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30455"/>
    <n v="128671"/>
    <s v="Mobile Radio for Peterbilt ASL"/>
    <m/>
    <m/>
    <m/>
    <m/>
    <n v="0"/>
    <s v="Wayne"/>
    <s v="Wayne Engineering"/>
    <s v="Non Rolling Stock"/>
    <d v="2016-01-01T00:00:00"/>
    <d v="2016-01-01T00:00:00"/>
    <s v="2180-15-0038-1"/>
    <n v="1000"/>
    <n v="14040"/>
    <n v="951.46"/>
    <n v="14046"/>
    <n v="610.54999999999995"/>
    <n v="340.91000000000008"/>
    <n v="39.65"/>
    <n v="51260"/>
    <n v="7.93"/>
    <s v="P"/>
    <m/>
    <n v="107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9839"/>
    <s v="P"/>
    <s v="35gal Refuse Carts"/>
    <n v="580"/>
    <m/>
    <m/>
    <m/>
    <n v="0"/>
    <s v="WASTEQUIP LLC"/>
    <m/>
    <m/>
    <d v="2016-01-01T00:00:00"/>
    <d v="2016-01-01T00:00:00"/>
    <s v="2180-15-0017-1"/>
    <n v="700"/>
    <n v="14050"/>
    <n v="20519.68"/>
    <n v="14056"/>
    <n v="18809.689999999999"/>
    <n v="1709.9900000000016"/>
    <n v="1221.4100000000001"/>
    <n v="54260"/>
    <n v="244.28"/>
    <s v="P"/>
    <m/>
    <n v="653922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9382"/>
    <s v="P"/>
    <s v="64 Gallon Refuse Cart"/>
    <n v="864"/>
    <m/>
    <m/>
    <m/>
    <n v="0"/>
    <s v="TOTER INCORPORATED"/>
    <m/>
    <m/>
    <d v="2016-01-01T00:00:00"/>
    <d v="2016-01-01T00:00:00"/>
    <s v="2180-15-0020-1"/>
    <n v="700"/>
    <n v="14050"/>
    <n v="37847.26"/>
    <n v="14056"/>
    <n v="34693.31"/>
    <n v="3153.9500000000044"/>
    <n v="2252.81"/>
    <n v="54260"/>
    <n v="450.56"/>
    <s v="P"/>
    <m/>
    <n v="653880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9323"/>
    <s v="P"/>
    <s v="64 Gallon Refuse Cart"/>
    <n v="864"/>
    <m/>
    <m/>
    <m/>
    <n v="0"/>
    <s v="TOTER INCORPORATED"/>
    <m/>
    <m/>
    <d v="2016-01-01T00:00:00"/>
    <d v="2016-01-01T00:00:00"/>
    <s v="2180-15-0020-1"/>
    <n v="700"/>
    <n v="14050"/>
    <n v="37847.26"/>
    <n v="14056"/>
    <n v="34693.31"/>
    <n v="3153.9500000000044"/>
    <n v="2252.81"/>
    <n v="54260"/>
    <n v="450.56"/>
    <s v="P"/>
    <m/>
    <n v="6538841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930"/>
    <n v="128671"/>
    <s v="DriveCam and cable assembly"/>
    <m/>
    <m/>
    <m/>
    <m/>
    <n v="0"/>
    <s v="Wayne"/>
    <s v="Wayne Engineering"/>
    <s v="Non Rolling Stock"/>
    <d v="2015-12-31T00:00:00"/>
    <d v="2015-12-31T00:00:00"/>
    <s v="2180-15-0038-1"/>
    <n v="1000"/>
    <n v="14040"/>
    <n v="637.96"/>
    <n v="14046"/>
    <n v="409.38"/>
    <n v="228.58000000000004"/>
    <n v="26.58"/>
    <n v="51260"/>
    <n v="5.31"/>
    <s v="P"/>
    <m/>
    <n v="503249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929"/>
    <n v="128662"/>
    <s v="Truck Decals"/>
    <m/>
    <m/>
    <m/>
    <m/>
    <n v="0"/>
    <s v="Sign Connections"/>
    <m/>
    <s v="Non Rolling Stock"/>
    <d v="2015-12-03T00:00:00"/>
    <d v="2015-12-03T00:00:00"/>
    <s v="2180-15-0006-1"/>
    <n v="1000"/>
    <n v="14040"/>
    <n v="1607.35"/>
    <n v="14046"/>
    <n v="1044.76"/>
    <n v="562.58999999999992"/>
    <n v="66.98"/>
    <n v="51260"/>
    <n v="13.4"/>
    <s v="P"/>
    <m/>
    <n v="19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928"/>
    <n v="128671"/>
    <s v="Truck Decals"/>
    <m/>
    <m/>
    <m/>
    <m/>
    <n v="0"/>
    <s v="Wayne"/>
    <s v="Wayne Engineering"/>
    <s v="Non Rolling Stock"/>
    <d v="2015-12-31T00:00:00"/>
    <d v="2015-12-31T00:00:00"/>
    <s v="2180-15-0038-1"/>
    <n v="1000"/>
    <n v="14040"/>
    <n v="969.39"/>
    <n v="14046"/>
    <n v="622.03"/>
    <n v="347.36"/>
    <n v="40.39"/>
    <n v="51260"/>
    <n v="8.08"/>
    <s v="P"/>
    <m/>
    <n v="19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909"/>
    <s v="P"/>
    <s v="HP SB Probook Laptop"/>
    <m/>
    <m/>
    <m/>
    <m/>
    <n v="0"/>
    <s v="CDW"/>
    <m/>
    <m/>
    <d v="2015-12-04T00:00:00"/>
    <d v="2015-12-04T00:00:00"/>
    <s v="2180-15-0050-1"/>
    <n v="300"/>
    <n v="14110"/>
    <n v="1087.92"/>
    <n v="14116"/>
    <n v="1087.92"/>
    <n v="0"/>
    <n v="0"/>
    <n v="70260"/>
    <n v="0"/>
    <s v="P"/>
    <m/>
    <s v="BKD48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908"/>
    <s v="P"/>
    <s v="HP S8 ProBook Laptop"/>
    <m/>
    <m/>
    <m/>
    <m/>
    <n v="0"/>
    <s v="CDW"/>
    <m/>
    <m/>
    <d v="2015-12-04T00:00:00"/>
    <d v="2015-12-04T00:00:00"/>
    <s v="2180-15-0050-1"/>
    <n v="300"/>
    <n v="14110"/>
    <n v="1087.92"/>
    <n v="14116"/>
    <n v="1087.92"/>
    <n v="0"/>
    <n v="0"/>
    <n v="70260"/>
    <n v="0"/>
    <s v="P"/>
    <m/>
    <s v="BKD04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768"/>
    <s v="P"/>
    <s v="96 Gallon Recycle Carts - Gray"/>
    <n v="624"/>
    <m/>
    <m/>
    <m/>
    <n v="0"/>
    <s v="TOTER INCORPORATED"/>
    <m/>
    <m/>
    <d v="2015-05-15T00:00:00"/>
    <d v="2015-05-15T00:00:00"/>
    <s v="2180-15-0017-1"/>
    <n v="700"/>
    <n v="14050"/>
    <n v="32423.49"/>
    <n v="14056"/>
    <n v="32423.49"/>
    <n v="0"/>
    <n v="1543.96"/>
    <n v="54260"/>
    <n v="0"/>
    <s v="P"/>
    <m/>
    <n v="6539187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767"/>
    <s v="P"/>
    <s v="96 Gallon Garbage Carts - Green"/>
    <n v="624"/>
    <m/>
    <m/>
    <m/>
    <n v="0"/>
    <s v="TOTER INCORPORATED"/>
    <m/>
    <m/>
    <d v="2015-05-15T00:00:00"/>
    <d v="2015-05-15T00:00:00"/>
    <s v="2180-15-0017-1"/>
    <n v="700"/>
    <n v="14050"/>
    <n v="31744.58"/>
    <n v="14056"/>
    <n v="31744.58"/>
    <n v="0"/>
    <n v="1511.65"/>
    <n v="54260"/>
    <n v="0"/>
    <s v="P"/>
    <m/>
    <n v="653916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766"/>
    <s v="P"/>
    <s v="2 yd Plastic commercial container"/>
    <n v="25"/>
    <m/>
    <m/>
    <m/>
    <n v="0"/>
    <s v="REHRIG PACIFIC COMPANY"/>
    <m/>
    <s v="2 YD FEL/REL/SL Plastic"/>
    <d v="2015-09-19T00:00:00"/>
    <d v="2015-09-19T00:00:00"/>
    <s v="2180-15-0024-1"/>
    <n v="700"/>
    <n v="14050"/>
    <n v="18973.75"/>
    <n v="14056"/>
    <n v="18070.259999999998"/>
    <n v="903.4900000000016"/>
    <n v="1129.3900000000001"/>
    <n v="54260"/>
    <n v="225.88"/>
    <s v="P"/>
    <m/>
    <s v="LA20052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765"/>
    <s v="P"/>
    <s v="6 yd Plastic commercial container (JBLM)"/>
    <n v="55"/>
    <m/>
    <m/>
    <m/>
    <n v="0"/>
    <s v="REHRIG PACIFIC COMPANY"/>
    <m/>
    <s v="6 YD FEL/REL/SL Plastic"/>
    <d v="2015-09-19T00:00:00"/>
    <d v="2015-09-19T00:00:00"/>
    <s v="2180-15-0024-1"/>
    <n v="700"/>
    <n v="14050"/>
    <n v="36034.559999999998"/>
    <n v="14056"/>
    <n v="34318.68"/>
    <n v="1715.8799999999974"/>
    <n v="2144.9299999999998"/>
    <n v="54260"/>
    <n v="428.99"/>
    <s v="P"/>
    <m/>
    <s v="LA20005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672"/>
    <s v="P"/>
    <s v="2015 Transit van 350"/>
    <m/>
    <m/>
    <s v="1FTSW3XG6FKA71938"/>
    <m/>
    <n v="2016"/>
    <s v="Ford"/>
    <s v="ford"/>
    <s v="Service Truck"/>
    <d v="2015-12-31T00:00:00"/>
    <d v="2015-12-31T00:00:00"/>
    <s v="2180-15-0048-1"/>
    <n v="900"/>
    <n v="14040"/>
    <n v="73306.22"/>
    <n v="14046"/>
    <n v="52264.65"/>
    <n v="21041.57"/>
    <n v="3393.81"/>
    <n v="51260"/>
    <n v="678.76"/>
    <s v="P"/>
    <m/>
    <s v="2015-150757"/>
    <n v="605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671"/>
    <s v="P"/>
    <s v="2016 ASL Truck"/>
    <m/>
    <m/>
    <s v="3BPZL70X5GF107092"/>
    <m/>
    <n v="2016"/>
    <s v="peterbilt"/>
    <s v="Wayne Engineering"/>
    <s v="Automated Sideload"/>
    <d v="2015-12-31T00:00:00"/>
    <d v="2015-12-31T00:00:00"/>
    <s v="2180-15-0038-1"/>
    <n v="1000"/>
    <n v="14040"/>
    <n v="335414.45"/>
    <n v="14046"/>
    <n v="215224.3"/>
    <n v="120190.15000000002"/>
    <n v="13975.6"/>
    <n v="51260"/>
    <n v="2795.12"/>
    <s v="P"/>
    <m/>
    <s v="P107092"/>
    <n v="364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670"/>
    <s v="P"/>
    <s v="2016 ASL Truck"/>
    <m/>
    <m/>
    <s v="3BPZL70X5GF105651"/>
    <m/>
    <n v="2016"/>
    <s v="peterbilt"/>
    <s v="Peterbilt"/>
    <s v="Automated Sideload"/>
    <d v="2015-12-31T00:00:00"/>
    <d v="2015-12-31T00:00:00"/>
    <s v="2180-15-0004-1"/>
    <n v="1000"/>
    <n v="14040"/>
    <n v="327882.52"/>
    <n v="14046"/>
    <n v="210391.27"/>
    <n v="117491.25000000003"/>
    <n v="13661.77"/>
    <n v="51260"/>
    <n v="2732.35"/>
    <s v="P"/>
    <m/>
    <s v="P105651"/>
    <n v="364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8669"/>
    <s v="P"/>
    <s v="2016 ASL Truck"/>
    <m/>
    <m/>
    <s v="3BPZL70X7FG105652"/>
    <m/>
    <n v="2016"/>
    <s v="peterbilt"/>
    <s v="Peterbilt"/>
    <s v="Automated Sideload"/>
    <d v="2015-12-31T00:00:00"/>
    <d v="2015-12-31T00:00:00"/>
    <s v="2180-15-0006-1"/>
    <n v="900"/>
    <n v="14040"/>
    <n v="335912.58"/>
    <n v="14046"/>
    <n v="239493.23"/>
    <n v="96419.35"/>
    <n v="15551.51"/>
    <n v="51260"/>
    <n v="3110.3"/>
    <s v="P"/>
    <m/>
    <s v="P105652"/>
    <n v="364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7691"/>
    <s v="P"/>
    <s v="Drop Box Winches"/>
    <n v="0"/>
    <m/>
    <m/>
    <m/>
    <n v="0"/>
    <s v="Capital Industries"/>
    <m/>
    <m/>
    <d v="2015-10-09T00:00:00"/>
    <d v="2015-10-09T00:00:00"/>
    <s v="2180-15-0047-1"/>
    <n v="500"/>
    <n v="14050"/>
    <n v="19344.64"/>
    <n v="14056"/>
    <n v="19344.64"/>
    <n v="0"/>
    <n v="0"/>
    <n v="54260"/>
    <n v="0"/>
    <s v="P"/>
    <m/>
    <s v="Various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494"/>
    <n v="60789"/>
    <s v="Engine Repair for Truck 3619"/>
    <m/>
    <m/>
    <m/>
    <m/>
    <n v="0"/>
    <s v="Dirks Truck Repair"/>
    <m/>
    <s v="Non Rolling Stock"/>
    <d v="2015-09-23T00:00:00"/>
    <d v="2015-09-23T00:00:00"/>
    <s v="2180-15-0042-1"/>
    <n v="300"/>
    <n v="14040"/>
    <n v="20740.36"/>
    <n v="14046"/>
    <n v="20740.36"/>
    <n v="0"/>
    <n v="0"/>
    <n v="51260"/>
    <n v="0"/>
    <s v="P"/>
    <m/>
    <s v="W 243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471"/>
    <s v="P"/>
    <s v="95gal Yardwaste Carts"/>
    <n v="624"/>
    <m/>
    <m/>
    <m/>
    <n v="0"/>
    <s v="WASTEQUIP LLC"/>
    <m/>
    <m/>
    <d v="2015-10-12T00:00:00"/>
    <d v="2015-10-12T00:00:00"/>
    <s v="2180-15-0019-1"/>
    <n v="700"/>
    <n v="14050"/>
    <n v="32121.15"/>
    <n v="14056"/>
    <n v="30591.599999999999"/>
    <n v="1529.5500000000029"/>
    <n v="1911.98"/>
    <n v="54260"/>
    <n v="382.39"/>
    <s v="P"/>
    <m/>
    <n v="653849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470"/>
    <s v="P"/>
    <s v="95gal Yardwaste Carts"/>
    <n v="624"/>
    <m/>
    <m/>
    <m/>
    <n v="0"/>
    <s v="WASTEQUIP LLC"/>
    <m/>
    <m/>
    <d v="2015-10-12T00:00:00"/>
    <d v="2015-10-12T00:00:00"/>
    <s v="2180-15-0019-1"/>
    <n v="700"/>
    <n v="14050"/>
    <n v="32121.15"/>
    <n v="14056"/>
    <n v="30591.599999999999"/>
    <n v="1529.5500000000029"/>
    <n v="1911.98"/>
    <n v="54260"/>
    <n v="382.39"/>
    <s v="P"/>
    <m/>
    <n v="653850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469"/>
    <s v="P"/>
    <s v="2YD Metal Containers"/>
    <n v="14"/>
    <m/>
    <m/>
    <m/>
    <n v="0"/>
    <s v="CAPITAL INDUSTRIES INC"/>
    <m/>
    <s v="2 YD FEL/REL/SL Metal"/>
    <d v="2015-07-24T00:00:00"/>
    <d v="2015-07-24T00:00:00"/>
    <s v="2180-15-0023-1"/>
    <n v="1200"/>
    <n v="14050"/>
    <n v="7996.8"/>
    <n v="14056"/>
    <n v="4553.67"/>
    <n v="3443.13"/>
    <n v="277.67"/>
    <n v="54260"/>
    <n v="55.54"/>
    <s v="P"/>
    <m/>
    <n v="11088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212"/>
    <s v="P"/>
    <s v="2 Yd REL Metal Container"/>
    <n v="15"/>
    <m/>
    <m/>
    <m/>
    <n v="0"/>
    <s v="CAPITAL INDUSTRIES INC"/>
    <m/>
    <s v="2 YD FEL/REL/SL Metal"/>
    <d v="2015-09-28T00:00:00"/>
    <d v="2015-09-28T00:00:00"/>
    <s v="2180-15-0023-1"/>
    <n v="1200"/>
    <n v="14050"/>
    <n v="7670.4"/>
    <n v="14056"/>
    <n v="4261.33"/>
    <n v="3409.0699999999997"/>
    <n v="266.33"/>
    <n v="54260"/>
    <n v="53.26"/>
    <s v="P"/>
    <m/>
    <n v="1131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211"/>
    <s v="P"/>
    <s v="40 Yd Drop Boxes"/>
    <n v="10"/>
    <m/>
    <m/>
    <m/>
    <n v="0"/>
    <s v="CAPITAL INDUSTRIES INC"/>
    <m/>
    <s v="40 YD RO Box"/>
    <d v="2015-09-28T00:00:00"/>
    <d v="2015-09-28T00:00:00"/>
    <s v="2180-15-0025-1"/>
    <n v="1200"/>
    <n v="14050"/>
    <n v="61900"/>
    <n v="14056"/>
    <n v="34388.74"/>
    <n v="27511.260000000002"/>
    <n v="2149.3000000000002"/>
    <n v="54260"/>
    <n v="429.86"/>
    <s v="P"/>
    <m/>
    <n v="11311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210"/>
    <s v="P"/>
    <s v="2 Yd Plastic Container"/>
    <n v="42"/>
    <m/>
    <m/>
    <m/>
    <n v="0"/>
    <s v="REHRIG PACIFIC COMPANY"/>
    <m/>
    <s v="2 YD FEL/REL/SL Plastic"/>
    <d v="2015-09-16T00:00:00"/>
    <d v="2015-09-16T00:00:00"/>
    <s v="2180-15-0024-1"/>
    <n v="700"/>
    <n v="14050"/>
    <n v="24186.240000000002"/>
    <n v="14056"/>
    <n v="23034.54"/>
    <n v="1151.7000000000007"/>
    <n v="1439.66"/>
    <n v="54260"/>
    <n v="287.94"/>
    <s v="P"/>
    <m/>
    <s v="LA1981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6209"/>
    <s v="P"/>
    <s v="3 Yd Plastic Container"/>
    <n v="36"/>
    <m/>
    <m/>
    <m/>
    <n v="0"/>
    <s v="REHRIG PACIFIC COMPANY"/>
    <m/>
    <s v="3 YD FEL/REL/SL Plastic"/>
    <d v="2015-09-16T00:00:00"/>
    <d v="2015-09-16T00:00:00"/>
    <s v="2180-15-0024-1"/>
    <n v="700"/>
    <n v="14050"/>
    <n v="24545.279999999999"/>
    <n v="14056"/>
    <n v="23376.46"/>
    <n v="1168.8199999999997"/>
    <n v="1461.02"/>
    <n v="54260"/>
    <n v="292.20999999999998"/>
    <s v="P"/>
    <m/>
    <s v="LA19814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751"/>
    <n v="125550"/>
    <s v="Routeware Tablet for Truck #3644"/>
    <m/>
    <m/>
    <m/>
    <m/>
    <n v="2015"/>
    <s v="Routeware"/>
    <m/>
    <s v="Non Rolling Stock"/>
    <d v="2015-09-02T00:00:00"/>
    <d v="2015-09-02T00:00:00"/>
    <s v="2180-15-0003-1"/>
    <n v="1000"/>
    <n v="14040"/>
    <n v="3252.04"/>
    <n v="14046"/>
    <n v="2195.1"/>
    <n v="1056.94"/>
    <n v="135.5"/>
    <n v="51260"/>
    <n v="27.1"/>
    <s v="P"/>
    <m/>
    <n v="967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550"/>
    <s v="P"/>
    <s v="2016 ASL Truck"/>
    <m/>
    <m/>
    <s v="3BPZL70X6GF100538"/>
    <m/>
    <n v="2016"/>
    <s v="peterbilt"/>
    <s v="Peterbilt"/>
    <s v="Automated Sideload"/>
    <d v="2015-09-30T00:00:00"/>
    <d v="2015-09-30T00:00:00"/>
    <s v="2180-15-0003-1"/>
    <n v="1000"/>
    <n v="14040"/>
    <n v="341500.78"/>
    <n v="14046"/>
    <n v="227667.20000000001"/>
    <n v="113833.58000000002"/>
    <n v="14229.2"/>
    <n v="51260"/>
    <n v="2845.84"/>
    <s v="P"/>
    <m/>
    <s v="P100538"/>
    <n v="364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537"/>
    <s v="P"/>
    <s v="30 Yd Drop Box"/>
    <n v="10"/>
    <m/>
    <m/>
    <m/>
    <n v="0"/>
    <s v="CAPITAL INDUSTRIES INC"/>
    <m/>
    <s v="30 YD RO Box"/>
    <d v="2015-09-15T00:00:00"/>
    <d v="2015-09-15T00:00:00"/>
    <s v="2180-15-0025-1"/>
    <n v="1200"/>
    <n v="14050"/>
    <n v="55700"/>
    <n v="14056"/>
    <n v="31331.27"/>
    <n v="24368.73"/>
    <n v="1934.03"/>
    <n v="54260"/>
    <n v="386.81"/>
    <s v="P"/>
    <m/>
    <n v="11269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536"/>
    <s v="P"/>
    <s v="1.5 Yd REL Container"/>
    <n v="10"/>
    <m/>
    <m/>
    <m/>
    <n v="0"/>
    <s v="CAPITAL INDUSTRIES INC"/>
    <m/>
    <s v="1.5 YD FEL/REL/SL Metal"/>
    <d v="2015-09-15T00:00:00"/>
    <d v="2015-09-15T00:00:00"/>
    <s v="2180-15-0023-1"/>
    <n v="1200"/>
    <n v="14050"/>
    <n v="4732.8"/>
    <n v="14056"/>
    <n v="2662.2"/>
    <n v="2070.6000000000004"/>
    <n v="164.33"/>
    <n v="54260"/>
    <n v="32.86"/>
    <s v="P"/>
    <m/>
    <n v="1127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423"/>
    <s v="P"/>
    <s v="96 Gal Recycle Carts"/>
    <n v="624"/>
    <m/>
    <m/>
    <m/>
    <n v="0"/>
    <s v="WASTEQUIP LLC"/>
    <m/>
    <m/>
    <d v="2015-08-21T00:00:00"/>
    <d v="2015-08-21T00:00:00"/>
    <s v="2180-15-0018-1"/>
    <n v="700"/>
    <n v="14050"/>
    <n v="30890.5"/>
    <n v="14056"/>
    <n v="29787.279999999999"/>
    <n v="1103.2200000000012"/>
    <n v="1838.72"/>
    <n v="54260"/>
    <n v="367.74"/>
    <s v="P"/>
    <m/>
    <n v="6537958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5040"/>
    <s v="P"/>
    <s v="Used 2004 Bobcat 5220 Skid Steer Loader"/>
    <m/>
    <m/>
    <n v="56213147"/>
    <m/>
    <n v="2004"/>
    <s v="Bobcat"/>
    <s v="N/A"/>
    <s v="Backhoe"/>
    <d v="2015-07-23T00:00:00"/>
    <d v="2015-07-23T00:00:00"/>
    <s v="2180-15-0014-1"/>
    <n v="300"/>
    <n v="14030"/>
    <n v="25833"/>
    <n v="14036"/>
    <n v="25833"/>
    <n v="0"/>
    <n v="0"/>
    <n v="51260"/>
    <n v="0"/>
    <s v="P"/>
    <m/>
    <n v="56213147"/>
    <n v="736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722"/>
    <s v="P"/>
    <s v="96gal Recycle Carts"/>
    <n v="624"/>
    <m/>
    <m/>
    <m/>
    <n v="0"/>
    <s v="WASTEQUIP LLC"/>
    <m/>
    <m/>
    <d v="2015-08-11T00:00:00"/>
    <d v="2015-08-11T00:00:00"/>
    <s v="2180-15-0018-1"/>
    <n v="700"/>
    <n v="14050"/>
    <n v="34841.589999999997"/>
    <n v="14056"/>
    <n v="34012.01"/>
    <n v="829.57999999999447"/>
    <n v="2073.94"/>
    <n v="54260"/>
    <n v="414.79"/>
    <s v="P"/>
    <m/>
    <n v="653785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608"/>
    <s v="P"/>
    <s v="1.5 Yard Container"/>
    <n v="8"/>
    <m/>
    <m/>
    <m/>
    <n v="0"/>
    <s v="CAPITAL INDUSTRIES INC"/>
    <m/>
    <s v="1.5 YD FEL/REL/SL Metal"/>
    <d v="2015-07-31T00:00:00"/>
    <d v="2015-07-31T00:00:00"/>
    <s v="2180-15-0023-1"/>
    <n v="1200"/>
    <n v="14050"/>
    <n v="5624.96"/>
    <n v="14056"/>
    <n v="3203.05"/>
    <n v="2421.91"/>
    <n v="195.31"/>
    <n v="54260"/>
    <n v="39.06"/>
    <s v="P"/>
    <m/>
    <n v="1106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560"/>
    <s v="P"/>
    <s v="2 Yard Container"/>
    <n v="1"/>
    <m/>
    <m/>
    <m/>
    <n v="0"/>
    <s v="CAPITAL INDUSTRIES INC"/>
    <m/>
    <s v="2 YD FEL/REL/SL Metal"/>
    <d v="2015-07-24T00:00:00"/>
    <d v="2015-07-24T00:00:00"/>
    <s v="2180-15-0023-1"/>
    <n v="1200"/>
    <n v="14050"/>
    <n v="571.20000000000005"/>
    <n v="14056"/>
    <n v="325.26"/>
    <n v="245.94000000000005"/>
    <n v="19.829999999999998"/>
    <n v="54260"/>
    <n v="3.96"/>
    <s v="P"/>
    <m/>
    <n v="1108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559"/>
    <s v="P"/>
    <s v="6 yard container"/>
    <n v="10"/>
    <m/>
    <m/>
    <m/>
    <n v="0"/>
    <s v="CAPITAL INDUSTRIES INC"/>
    <m/>
    <s v="6 YD FEL/REL/SL Metal"/>
    <d v="2015-07-24T00:00:00"/>
    <d v="2015-07-24T00:00:00"/>
    <s v="2180-15-0023-1"/>
    <n v="1200"/>
    <n v="14050"/>
    <n v="8997.76"/>
    <n v="14056"/>
    <n v="5123.7"/>
    <n v="3874.0600000000004"/>
    <n v="312.42"/>
    <n v="54260"/>
    <n v="62.48"/>
    <s v="P"/>
    <m/>
    <n v="11067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285"/>
    <s v="P"/>
    <s v="HP ProBook 650G1"/>
    <m/>
    <m/>
    <m/>
    <m/>
    <n v="0"/>
    <s v="CDW"/>
    <m/>
    <m/>
    <d v="2015-07-16T00:00:00"/>
    <d v="2015-07-16T00:00:00"/>
    <s v="2180-15-0040-1"/>
    <n v="300"/>
    <n v="14110"/>
    <n v="1034.5999999999999"/>
    <n v="14116"/>
    <n v="1034.5999999999999"/>
    <n v="0"/>
    <n v="0"/>
    <n v="70260"/>
    <n v="0"/>
    <s v="P"/>
    <m/>
    <s v="WR773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4224"/>
    <n v="122561"/>
    <s v="2016 ASL Truck Routeware"/>
    <m/>
    <m/>
    <m/>
    <m/>
    <n v="0"/>
    <s v="Routeware"/>
    <m/>
    <s v="Non Rolling Stock"/>
    <d v="2015-05-30T00:00:00"/>
    <d v="2015-05-30T00:00:00"/>
    <s v="2180-15-0002-1"/>
    <n v="1000"/>
    <n v="14040"/>
    <n v="5973.14"/>
    <n v="14046"/>
    <n v="4181.17"/>
    <n v="1791.9700000000003"/>
    <n v="248.88"/>
    <n v="51260"/>
    <n v="49.78"/>
    <s v="P"/>
    <m/>
    <n v="965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931"/>
    <s v="P"/>
    <s v="65 Gallon Refuse Cart"/>
    <n v="864"/>
    <m/>
    <m/>
    <m/>
    <n v="0"/>
    <s v="WASTEQUIP LLC"/>
    <m/>
    <m/>
    <d v="2015-07-10T00:00:00"/>
    <d v="2015-07-10T00:00:00"/>
    <s v="2180-15-0020-1"/>
    <n v="700"/>
    <n v="14050"/>
    <n v="37601.279999999999"/>
    <n v="14056"/>
    <n v="37153.65"/>
    <n v="447.62999999999738"/>
    <n v="2238.1799999999998"/>
    <n v="54260"/>
    <n v="447.64"/>
    <s v="P"/>
    <m/>
    <n v="6537478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708"/>
    <s v="P"/>
    <s v="65 Gallon Refuse Cart"/>
    <n v="864"/>
    <m/>
    <m/>
    <m/>
    <n v="0"/>
    <s v="WASTEQUIP LLC"/>
    <m/>
    <m/>
    <d v="2015-07-02T00:00:00"/>
    <d v="2015-07-02T00:00:00"/>
    <s v="2180-15-0020-1"/>
    <n v="700"/>
    <n v="14050"/>
    <n v="41476.04"/>
    <n v="14056"/>
    <n v="40982.300000000003"/>
    <n v="493.73999999999796"/>
    <n v="2468.8200000000002"/>
    <n v="54260"/>
    <n v="493.77"/>
    <s v="P"/>
    <m/>
    <n v="653744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629"/>
    <s v="P"/>
    <s v="2016 R/O Truck"/>
    <m/>
    <m/>
    <s v="2NP3XJ0X7GM328906"/>
    <m/>
    <n v="2016"/>
    <s v="peterbilt"/>
    <s v="Other"/>
    <s v="R/O Truck"/>
    <d v="2015-06-30T00:00:00"/>
    <d v="2015-06-30T00:00:00"/>
    <s v="2182-15-0001-1"/>
    <n v="1000"/>
    <n v="14040"/>
    <n v="202299.47"/>
    <n v="14046"/>
    <n v="139923.82"/>
    <n v="62375.649999999994"/>
    <n v="8429.15"/>
    <n v="51260"/>
    <n v="1685.83"/>
    <s v="P"/>
    <m/>
    <s v="P328906"/>
    <n v="4075"/>
    <s v="Internal"/>
    <s v="A"/>
    <s v="SL"/>
    <d v="2015-06-30T00:00:00"/>
    <s v="WCNX"/>
    <n v="0"/>
    <n v="0"/>
    <m/>
    <x v="13"/>
    <m/>
    <m/>
    <m/>
    <m/>
    <m/>
    <m/>
    <m/>
    <m/>
    <m/>
    <m/>
    <x v="1"/>
  </r>
  <r>
    <n v="2180"/>
    <n v="123428"/>
    <s v="P"/>
    <s v="Used Forklift - Hyster Model H60ft"/>
    <m/>
    <m/>
    <s v="L177B20862E"/>
    <m/>
    <n v="2007"/>
    <s v="hyster"/>
    <s v="hyster"/>
    <s v="Forklift"/>
    <d v="2015-05-26T00:00:00"/>
    <d v="2015-05-26T00:00:00"/>
    <s v="2180-15-0012-1"/>
    <n v="300"/>
    <n v="14030"/>
    <n v="31902.34"/>
    <n v="14036"/>
    <n v="31902.34"/>
    <n v="0"/>
    <n v="0"/>
    <n v="51260"/>
    <n v="0"/>
    <s v="P"/>
    <m/>
    <s v="HM 218531 S"/>
    <n v="704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337"/>
    <s v="P"/>
    <s v="96 Gallon Refuse Cart"/>
    <n v="624"/>
    <m/>
    <m/>
    <m/>
    <n v="0"/>
    <s v="WASTEQUIP LLC"/>
    <m/>
    <m/>
    <d v="2015-05-15T00:00:00"/>
    <d v="2015-05-15T00:00:00"/>
    <s v="2180-15-0017-1"/>
    <n v="700"/>
    <n v="14050"/>
    <n v="32729.22"/>
    <n v="14056"/>
    <n v="32729.22"/>
    <n v="0"/>
    <n v="1558.55"/>
    <n v="54260"/>
    <n v="0"/>
    <s v="P"/>
    <m/>
    <n v="6536791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336"/>
    <s v="P"/>
    <s v="45 Gallon Garbage Cart"/>
    <n v="912"/>
    <m/>
    <m/>
    <m/>
    <n v="0"/>
    <s v="WASTEQUIP LLC"/>
    <m/>
    <m/>
    <d v="2015-06-18T00:00:00"/>
    <d v="2015-06-18T00:00:00"/>
    <s v="2180-15-0037-1"/>
    <n v="700"/>
    <n v="14050"/>
    <n v="40129.97"/>
    <n v="14056"/>
    <n v="39652.230000000003"/>
    <n v="477.73999999999796"/>
    <n v="2388.6999999999998"/>
    <n v="54260"/>
    <n v="477.74"/>
    <s v="P"/>
    <m/>
    <n v="6537262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335"/>
    <s v="P"/>
    <s v="45 Gallon Garbage Cart"/>
    <n v="912"/>
    <m/>
    <m/>
    <m/>
    <n v="0"/>
    <s v="WASTEQUIP LLC"/>
    <m/>
    <m/>
    <d v="2015-06-13T00:00:00"/>
    <d v="2015-06-13T00:00:00"/>
    <s v="2180-15-0037-1"/>
    <n v="700"/>
    <n v="14050"/>
    <n v="40129.97"/>
    <n v="14056"/>
    <n v="40129.97"/>
    <n v="0"/>
    <n v="2388.6999999999998"/>
    <n v="54260"/>
    <n v="477.74"/>
    <s v="P"/>
    <m/>
    <n v="653722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334"/>
    <s v="P"/>
    <s v="45 Gallon Garbage Cart"/>
    <n v="912"/>
    <m/>
    <m/>
    <m/>
    <n v="0"/>
    <s v="WASTEQUIP LLC"/>
    <m/>
    <m/>
    <d v="2015-06-13T00:00:00"/>
    <d v="2015-06-13T00:00:00"/>
    <s v="2180-15-0037-1"/>
    <n v="700"/>
    <n v="14050"/>
    <n v="40129.97"/>
    <n v="14056"/>
    <n v="40129.97"/>
    <n v="0"/>
    <n v="2388.6999999999998"/>
    <n v="54260"/>
    <n v="477.74"/>
    <s v="P"/>
    <m/>
    <n v="653722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333"/>
    <s v="P"/>
    <s v="45 Gallon Garbage Cart"/>
    <n v="912"/>
    <m/>
    <m/>
    <m/>
    <n v="0"/>
    <s v="WASTEQUIP LLC"/>
    <m/>
    <m/>
    <d v="2015-06-13T00:00:00"/>
    <d v="2015-06-13T00:00:00"/>
    <s v="2180-15-0037-1"/>
    <n v="700"/>
    <n v="14050"/>
    <n v="40129.97"/>
    <n v="14056"/>
    <n v="40129.97"/>
    <n v="0"/>
    <n v="2388.6999999999998"/>
    <n v="54260"/>
    <n v="477.74"/>
    <s v="P"/>
    <m/>
    <n v="6537227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156"/>
    <s v="P"/>
    <s v="65 Gallon Refuse Cart"/>
    <n v="1440"/>
    <m/>
    <m/>
    <m/>
    <n v="0"/>
    <s v="OTTO ENVIRONMENTAL SYSTEM"/>
    <m/>
    <m/>
    <d v="2015-04-15T00:00:00"/>
    <d v="2015-04-15T00:00:00"/>
    <s v="2180-15-0020-1"/>
    <n v="700"/>
    <n v="14050"/>
    <n v="65323.519999999997"/>
    <n v="14056"/>
    <n v="65323.519999999997"/>
    <n v="0"/>
    <n v="2332.9899999999998"/>
    <n v="54260"/>
    <n v="0"/>
    <s v="P"/>
    <m/>
    <n v="53341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056"/>
    <s v="P"/>
    <s v="96 Gal Yardwaste Cart"/>
    <n v="624"/>
    <m/>
    <m/>
    <m/>
    <n v="0"/>
    <s v="TOTER INCORPORATED"/>
    <m/>
    <m/>
    <d v="2015-06-05T00:00:00"/>
    <d v="2015-06-05T00:00:00"/>
    <s v="2180-15-0019-1"/>
    <n v="700"/>
    <n v="14050"/>
    <n v="32479.15"/>
    <n v="14056"/>
    <n v="32479.15"/>
    <n v="0"/>
    <n v="1933.27"/>
    <n v="54260"/>
    <n v="386.66"/>
    <s v="P"/>
    <m/>
    <n v="6537150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055"/>
    <s v="P"/>
    <s v="95 Gal Yardwaste Cart"/>
    <n v="624"/>
    <m/>
    <m/>
    <m/>
    <n v="0"/>
    <s v="TOTER INCORPORATED"/>
    <m/>
    <m/>
    <d v="2015-06-05T00:00:00"/>
    <d v="2015-06-05T00:00:00"/>
    <s v="2180-15-0019-1"/>
    <n v="700"/>
    <n v="14050"/>
    <n v="32479.15"/>
    <n v="14056"/>
    <n v="32479.15"/>
    <n v="0"/>
    <n v="1933.27"/>
    <n v="54260"/>
    <n v="386.66"/>
    <s v="P"/>
    <m/>
    <n v="653716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054"/>
    <s v="P"/>
    <s v="96 Gal Recycle Cart"/>
    <n v="624"/>
    <m/>
    <m/>
    <m/>
    <n v="0"/>
    <s v="TOTER INCORPORATED"/>
    <m/>
    <m/>
    <d v="2015-05-10T00:00:00"/>
    <d v="2015-05-10T00:00:00"/>
    <s v="2180-15-0018-1"/>
    <n v="700"/>
    <n v="14050"/>
    <n v="32729.22"/>
    <n v="14056"/>
    <n v="32729.22"/>
    <n v="0"/>
    <n v="1558.55"/>
    <n v="54260"/>
    <n v="0"/>
    <s v="P"/>
    <m/>
    <n v="653681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053"/>
    <s v="P"/>
    <s v="95 Gal Yardwaste Cart"/>
    <n v="624"/>
    <m/>
    <m/>
    <m/>
    <n v="0"/>
    <s v="TOTER INCORPORATED"/>
    <m/>
    <m/>
    <d v="2015-04-10T00:00:00"/>
    <d v="2015-04-10T00:00:00"/>
    <s v="2180-15-0019-1"/>
    <n v="700"/>
    <n v="14050"/>
    <n v="32729.22"/>
    <n v="14056"/>
    <n v="32729.22"/>
    <n v="0"/>
    <n v="1168.92"/>
    <n v="54260"/>
    <n v="0"/>
    <s v="P"/>
    <m/>
    <n v="653662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3052"/>
    <s v="P"/>
    <s v="95-Gal Yardwast Cart"/>
    <n v="624"/>
    <m/>
    <m/>
    <m/>
    <n v="0"/>
    <s v="TOTER INCORPORATED"/>
    <m/>
    <m/>
    <d v="2015-04-10T00:00:00"/>
    <d v="2015-04-10T00:00:00"/>
    <s v="2180-15-0019-1"/>
    <n v="700"/>
    <n v="14050"/>
    <n v="32729.22"/>
    <n v="14056"/>
    <n v="32729.22"/>
    <n v="0"/>
    <n v="1168.92"/>
    <n v="54260"/>
    <n v="0"/>
    <s v="P"/>
    <m/>
    <n v="6536619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925"/>
    <s v="P"/>
    <s v="95 Gallon Refuse Cart"/>
    <n v="624"/>
    <m/>
    <m/>
    <m/>
    <n v="0"/>
    <s v="TOTER INCORPORATED"/>
    <m/>
    <m/>
    <d v="2015-05-15T00:00:00"/>
    <d v="2015-05-15T00:00:00"/>
    <s v="2180-15-0017-1"/>
    <n v="700"/>
    <n v="14050"/>
    <n v="32729.22"/>
    <n v="14056"/>
    <n v="32729.22"/>
    <n v="0"/>
    <n v="1558.55"/>
    <n v="54260"/>
    <n v="0"/>
    <s v="P"/>
    <m/>
    <n v="653688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830"/>
    <s v="P"/>
    <s v="HP Prodesk 600 G1"/>
    <m/>
    <m/>
    <m/>
    <m/>
    <n v="0"/>
    <m/>
    <m/>
    <m/>
    <d v="2015-05-23T00:00:00"/>
    <d v="2015-05-23T00:00:00"/>
    <s v="2180-15-0036-1"/>
    <n v="300"/>
    <n v="14110"/>
    <n v="716.06"/>
    <n v="14116"/>
    <n v="716.06"/>
    <n v="0"/>
    <n v="0"/>
    <n v="70260"/>
    <n v="0"/>
    <s v="P"/>
    <m/>
    <s v="VQ6511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829"/>
    <s v="P"/>
    <s v="HP Probook 640 G1"/>
    <m/>
    <m/>
    <m/>
    <m/>
    <n v="0"/>
    <m/>
    <m/>
    <m/>
    <d v="2015-05-15T00:00:00"/>
    <d v="2015-05-15T00:00:00"/>
    <s v="2180-15-0035-1"/>
    <n v="300"/>
    <n v="14110"/>
    <n v="1084.92"/>
    <n v="14116"/>
    <n v="1084.92"/>
    <n v="0"/>
    <n v="0"/>
    <n v="70260"/>
    <n v="0"/>
    <s v="P"/>
    <m/>
    <s v="VQ200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828"/>
    <s v="P"/>
    <s v="HP Probook 650 G1"/>
    <m/>
    <m/>
    <m/>
    <m/>
    <n v="0"/>
    <m/>
    <m/>
    <m/>
    <d v="2015-05-15T00:00:00"/>
    <d v="2015-05-15T00:00:00"/>
    <s v="2180-15-0034-1"/>
    <n v="300"/>
    <n v="14110"/>
    <n v="1096.6600000000001"/>
    <n v="14116"/>
    <n v="1096.6600000000001"/>
    <n v="0"/>
    <n v="0"/>
    <n v="70260"/>
    <n v="0"/>
    <s v="P"/>
    <m/>
    <s v="VL467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789"/>
    <n v="60721"/>
    <s v="Truck 9214 Engine Repair"/>
    <m/>
    <m/>
    <m/>
    <m/>
    <n v="0"/>
    <s v="Dirks Truck Repair"/>
    <m/>
    <s v="Non Rolling Stock"/>
    <d v="2015-04-22T00:00:00"/>
    <d v="2015-04-22T00:00:00"/>
    <s v="2180-15-0033-1"/>
    <n v="300"/>
    <n v="14040"/>
    <n v="11461.68"/>
    <n v="14046"/>
    <n v="11461.68"/>
    <n v="0"/>
    <n v="0"/>
    <n v="51260"/>
    <n v="0"/>
    <s v="P"/>
    <m/>
    <s v="W 234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695"/>
    <s v="P"/>
    <s v="96 Gallon Recycle Cart"/>
    <n v="624"/>
    <m/>
    <m/>
    <m/>
    <n v="0"/>
    <s v="TOTER INCORPORATED"/>
    <m/>
    <m/>
    <d v="2015-05-10T00:00:00"/>
    <d v="2015-05-10T00:00:00"/>
    <s v="2180-15-0018-1"/>
    <n v="700"/>
    <n v="14050"/>
    <n v="32729.22"/>
    <n v="14056"/>
    <n v="32729.22"/>
    <n v="0"/>
    <n v="1558.55"/>
    <n v="54260"/>
    <n v="0"/>
    <s v="P"/>
    <m/>
    <n v="653692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561"/>
    <s v="P"/>
    <s v="2016 ASL Truck"/>
    <m/>
    <m/>
    <s v=" 3BPZL70X8GF100461"/>
    <m/>
    <n v="2016"/>
    <s v="peterbilt"/>
    <s v="wayne"/>
    <s v="Automated Sideload"/>
    <d v="2015-05-30T00:00:00"/>
    <d v="2015-05-30T00:00:00"/>
    <s v="2180-15-0002-1"/>
    <n v="1000"/>
    <n v="14040"/>
    <n v="339958.46"/>
    <n v="14046"/>
    <n v="237970.95"/>
    <n v="101987.51000000001"/>
    <n v="14164.94"/>
    <n v="51260"/>
    <n v="2832.99"/>
    <s v="P"/>
    <m/>
    <s v="P100461"/>
    <n v="364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196"/>
    <s v="P"/>
    <s v="95 Gal Grey Recycle Cart"/>
    <n v="486"/>
    <m/>
    <m/>
    <m/>
    <n v="0"/>
    <s v="REHRIG PACIFIC COMPANY"/>
    <m/>
    <m/>
    <d v="2015-01-17T00:00:00"/>
    <d v="2015-01-17T00:00:00"/>
    <s v="2180-15-0018-1"/>
    <n v="700"/>
    <n v="14050"/>
    <n v="27796.59"/>
    <n v="14056"/>
    <n v="27796.59"/>
    <n v="0"/>
    <n v="330.92"/>
    <n v="54260"/>
    <n v="0"/>
    <s v="P"/>
    <m/>
    <s v="LA1925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2195"/>
    <s v="P"/>
    <s v="95 Gal Grey Recycle Carts"/>
    <n v="486"/>
    <m/>
    <m/>
    <m/>
    <n v="0"/>
    <s v="REHRIG PACIFIC COMPANY"/>
    <m/>
    <m/>
    <d v="2015-01-17T00:00:00"/>
    <d v="2015-01-17T00:00:00"/>
    <s v="2180-15-0018-1"/>
    <n v="700"/>
    <n v="14050"/>
    <n v="27796.59"/>
    <n v="14056"/>
    <n v="27796.59"/>
    <n v="0"/>
    <n v="330.92"/>
    <n v="54260"/>
    <n v="0"/>
    <s v="P"/>
    <m/>
    <s v="LA1925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0654"/>
    <s v="P"/>
    <s v="(6) HP ProDesk 600G1"/>
    <m/>
    <m/>
    <m/>
    <m/>
    <n v="0"/>
    <s v="CDW"/>
    <m/>
    <m/>
    <d v="2015-02-20T00:00:00"/>
    <d v="2015-02-20T00:00:00"/>
    <s v="2180-15-0029-1"/>
    <n v="300"/>
    <n v="14110"/>
    <n v="4387.54"/>
    <n v="14116"/>
    <n v="4387.54"/>
    <n v="0"/>
    <n v="0"/>
    <n v="70260"/>
    <n v="0"/>
    <s v="P"/>
    <m/>
    <s v="SR244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20653"/>
    <s v="P"/>
    <s v="(30) Win Terms"/>
    <m/>
    <m/>
    <m/>
    <m/>
    <n v="0"/>
    <s v="CDW"/>
    <m/>
    <m/>
    <d v="2015-02-20T00:00:00"/>
    <d v="2015-02-20T00:00:00"/>
    <s v="2180-15-0030-1"/>
    <n v="300"/>
    <n v="14110"/>
    <n v="9908.6299999999992"/>
    <n v="14116"/>
    <n v="9908.6299999999992"/>
    <n v="0"/>
    <n v="0"/>
    <n v="70260"/>
    <n v="0"/>
    <s v="P"/>
    <m/>
    <s v="SR197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9073"/>
    <s v="P"/>
    <s v="2012 Ford F-150 SuperCrew"/>
    <m/>
    <m/>
    <s v="1FTFW1EF3CF27194"/>
    <m/>
    <n v="2012"/>
    <s v=" Ford "/>
    <s v=" Ford "/>
    <s v="Pick Up Truck"/>
    <d v="2015-01-03T00:00:00"/>
    <d v="2015-01-03T00:00:00"/>
    <s v="2180-15-0010-1"/>
    <n v="300"/>
    <n v="14040"/>
    <n v="27000"/>
    <n v="14046"/>
    <n v="27000"/>
    <n v="0"/>
    <n v="0"/>
    <n v="51260"/>
    <n v="0"/>
    <s v="P"/>
    <m/>
    <n v="1032015"/>
    <n v="605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903"/>
    <s v="P"/>
    <s v="95 Gal Garbage Cart"/>
    <n v="486"/>
    <m/>
    <m/>
    <m/>
    <n v="0"/>
    <s v="REHRIG PACIFIC COMPANY"/>
    <m/>
    <m/>
    <d v="2015-01-01T00:00:00"/>
    <d v="2015-01-01T00:00:00"/>
    <s v="2180-14-0016-1"/>
    <n v="607"/>
    <n v="14050"/>
    <n v="27813.17"/>
    <n v="14056"/>
    <n v="27813.17"/>
    <n v="0"/>
    <n v="0"/>
    <n v="54260"/>
    <n v="0"/>
    <s v="P"/>
    <m/>
    <s v="LA1883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45"/>
    <s v="P"/>
    <s v="REL Scale Software"/>
    <m/>
    <m/>
    <m/>
    <m/>
    <n v="0"/>
    <s v="Avery Weigh-Tronix"/>
    <m/>
    <m/>
    <d v="2014-11-26T00:00:00"/>
    <d v="2014-11-26T00:00:00"/>
    <s v="2180-14-0048-1"/>
    <n v="300"/>
    <n v="14110"/>
    <n v="3066"/>
    <n v="14116"/>
    <n v="3066"/>
    <n v="0"/>
    <n v="0"/>
    <n v="70260"/>
    <n v="0"/>
    <s v="P"/>
    <m/>
    <n v="12879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39"/>
    <s v="P"/>
    <s v="(2) Pressure Washers"/>
    <m/>
    <m/>
    <m/>
    <m/>
    <n v="0"/>
    <s v="AMB Tools &amp; Equipment"/>
    <m/>
    <m/>
    <d v="2014-12-19T00:00:00"/>
    <d v="2014-12-19T00:00:00"/>
    <s v="2180-14-0045-1"/>
    <n v="500"/>
    <n v="14070"/>
    <n v="12525.06"/>
    <n v="14076"/>
    <n v="12525.06"/>
    <n v="0"/>
    <n v="0"/>
    <n v="51260"/>
    <n v="0"/>
    <s v="P"/>
    <m/>
    <s v="T3024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38"/>
    <s v="P"/>
    <s v="Air Compressor"/>
    <m/>
    <m/>
    <m/>
    <m/>
    <n v="0"/>
    <s v="Northern Tools &amp; Equipmen"/>
    <m/>
    <m/>
    <d v="2014-12-22T00:00:00"/>
    <d v="2014-12-22T00:00:00"/>
    <s v="2180-14-0044-1"/>
    <n v="500"/>
    <n v="14070"/>
    <n v="6310.39"/>
    <n v="14076"/>
    <n v="6310.39"/>
    <n v="0"/>
    <n v="0"/>
    <n v="51260"/>
    <n v="0"/>
    <s v="P"/>
    <m/>
    <n v="661863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17"/>
    <n v="90535"/>
    <s v="Auto Tarper for Truck #4063"/>
    <m/>
    <m/>
    <m/>
    <m/>
    <n v="0"/>
    <s v="Generl Equipment Company"/>
    <m/>
    <s v="Non Rolling Stock"/>
    <d v="2014-12-05T00:00:00"/>
    <d v="2014-12-05T00:00:00"/>
    <s v="2180-14-0037-1"/>
    <n v="300"/>
    <n v="14040"/>
    <n v="8921.6"/>
    <n v="14046"/>
    <n v="8921.6"/>
    <n v="0"/>
    <n v="0"/>
    <n v="51260"/>
    <n v="0"/>
    <s v="P"/>
    <m/>
    <n v="545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15"/>
    <n v="90564"/>
    <s v="Auto Tarper for Truck #4067"/>
    <m/>
    <m/>
    <m/>
    <m/>
    <n v="0"/>
    <s v="General Equipment Company"/>
    <m/>
    <s v="Non Rolling Stock"/>
    <d v="2014-12-16T00:00:00"/>
    <d v="2014-12-16T00:00:00"/>
    <s v="2180-14-0038-1"/>
    <n v="300"/>
    <n v="14040"/>
    <n v="8921.6"/>
    <n v="14046"/>
    <n v="8921.6"/>
    <n v="0"/>
    <n v="0"/>
    <n v="51260"/>
    <n v="0"/>
    <s v="P"/>
    <m/>
    <n v="5460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8512"/>
    <n v="90529"/>
    <s v="Auto Tarper for Truck #4060"/>
    <m/>
    <m/>
    <m/>
    <m/>
    <n v="0"/>
    <s v="General Equipment"/>
    <m/>
    <s v="Non Rolling Stock"/>
    <d v="2014-11-25T00:00:00"/>
    <d v="2014-11-25T00:00:00"/>
    <s v="2180-14-0036-1"/>
    <n v="300"/>
    <n v="14040"/>
    <n v="8921.6"/>
    <n v="14046"/>
    <n v="8921.6"/>
    <n v="0"/>
    <n v="0"/>
    <n v="51260"/>
    <n v="0"/>
    <s v="P"/>
    <m/>
    <n v="5443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7837"/>
    <s v="P"/>
    <s v="96 Gal Yardwaste Carts - Blue"/>
    <n v="624"/>
    <m/>
    <m/>
    <m/>
    <n v="0"/>
    <s v="WASTEQUIP"/>
    <m/>
    <m/>
    <d v="2014-10-24T00:00:00"/>
    <d v="2014-10-24T00:00:00"/>
    <s v="2180-14-0047-1"/>
    <n v="700"/>
    <n v="14050"/>
    <n v="26546.799999999999"/>
    <n v="14056"/>
    <n v="26546.799999999999"/>
    <n v="0"/>
    <n v="0"/>
    <n v="54260"/>
    <n v="0"/>
    <s v="P"/>
    <m/>
    <s v="KB 653552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7836"/>
    <s v="P"/>
    <s v="96 Gal Garbage Carts - Green"/>
    <n v="624"/>
    <m/>
    <m/>
    <m/>
    <n v="0"/>
    <s v="WASTEQUIP"/>
    <m/>
    <m/>
    <d v="2014-10-24T00:00:00"/>
    <d v="2014-10-24T00:00:00"/>
    <s v="2180-14-0047-1"/>
    <n v="700"/>
    <n v="14050"/>
    <n v="26546.799999999999"/>
    <n v="14056"/>
    <n v="26546.799999999999"/>
    <n v="0"/>
    <n v="0"/>
    <n v="54260"/>
    <n v="0"/>
    <s v="P"/>
    <m/>
    <s v="KB 653552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7835"/>
    <s v="P"/>
    <s v="65 gal Garbage Carts"/>
    <n v="1728"/>
    <m/>
    <m/>
    <m/>
    <n v="0"/>
    <s v="WASTEQUIP"/>
    <m/>
    <m/>
    <d v="2014-10-29T00:00:00"/>
    <d v="2014-10-29T00:00:00"/>
    <s v="2180-14-0047-1"/>
    <n v="700"/>
    <n v="14050"/>
    <n v="62667.29"/>
    <n v="14056"/>
    <n v="62667.29"/>
    <n v="0"/>
    <n v="0"/>
    <n v="54260"/>
    <n v="0"/>
    <s v="P"/>
    <m/>
    <s v="KB 653552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7319"/>
    <s v="P"/>
    <s v="2015 ASL Truck"/>
    <n v="0"/>
    <m/>
    <s v="3BPZL70X1FF280431"/>
    <m/>
    <n v="2015"/>
    <s v=" Peterbilt "/>
    <s v=" Wayne "/>
    <s v="Automated Sideload"/>
    <d v="2014-11-30T00:00:00"/>
    <d v="2014-11-30T00:00:00"/>
    <s v="2180-14-0006-1"/>
    <n v="1000"/>
    <n v="14040"/>
    <n v="318890.2"/>
    <n v="14046"/>
    <n v="239167.65"/>
    <n v="79722.550000000017"/>
    <n v="13287.09"/>
    <n v="51260"/>
    <n v="2657.42"/>
    <s v="P"/>
    <m/>
    <m/>
    <n v="364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970"/>
    <s v="P"/>
    <s v="95 Gallon YW Carts"/>
    <n v="549"/>
    <m/>
    <m/>
    <m/>
    <n v="0"/>
    <s v="SCHAEFER SYSTEMS INTERNAT"/>
    <m/>
    <m/>
    <d v="2014-09-12T00:00:00"/>
    <d v="2014-09-12T00:00:00"/>
    <s v="2180-14-0015-1"/>
    <n v="700"/>
    <n v="14050"/>
    <n v="30794.2"/>
    <n v="14056"/>
    <n v="30794.2"/>
    <n v="0"/>
    <n v="0"/>
    <n v="54260"/>
    <n v="0"/>
    <s v="P"/>
    <m/>
    <s v="WARA1498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969"/>
    <s v="P"/>
    <s v="95 Gallon Recycle Carts"/>
    <n v="486"/>
    <m/>
    <m/>
    <m/>
    <n v="0"/>
    <s v="REHRIG PACIFIC COMPANY"/>
    <m/>
    <m/>
    <d v="2014-10-08T00:00:00"/>
    <d v="2014-10-08T00:00:00"/>
    <s v="2180-14-0017-1"/>
    <n v="700"/>
    <n v="14050"/>
    <n v="27750.61"/>
    <n v="14056"/>
    <n v="27750.61"/>
    <n v="0"/>
    <n v="0"/>
    <n v="54260"/>
    <n v="0"/>
    <s v="P"/>
    <m/>
    <s v="LA19013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855"/>
    <n v="116569"/>
    <s v="Decals - 2012 FEL Truck"/>
    <m/>
    <m/>
    <m/>
    <m/>
    <n v="0"/>
    <s v="Sign Connections"/>
    <m/>
    <s v="Non Rolling Stock"/>
    <d v="2014-10-31T00:00:00"/>
    <d v="2014-10-31T00:00:00"/>
    <s v="2180-14-0003-1"/>
    <n v="700"/>
    <n v="14040"/>
    <n v="913.92"/>
    <n v="14046"/>
    <n v="913.92"/>
    <n v="0"/>
    <n v="0"/>
    <n v="51260"/>
    <n v="0"/>
    <s v="P"/>
    <m/>
    <n v="15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854"/>
    <n v="116569"/>
    <s v="Licensing - 2012 FEL"/>
    <m/>
    <m/>
    <m/>
    <m/>
    <n v="0"/>
    <s v="WA State Department of Li"/>
    <m/>
    <s v="Non Rolling Stock"/>
    <d v="2014-10-31T00:00:00"/>
    <d v="2014-10-31T00:00:00"/>
    <s v="2180-14-0003-1"/>
    <n v="700"/>
    <n v="14040"/>
    <n v="22274.73"/>
    <n v="14046"/>
    <n v="22274.73"/>
    <n v="0"/>
    <n v="0"/>
    <n v="51260"/>
    <n v="0"/>
    <s v="P"/>
    <m/>
    <s v="11/068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569"/>
    <s v="P"/>
    <s v="2012 FEL Truck"/>
    <n v="0"/>
    <m/>
    <s v="5VCACL8F9CH214001"/>
    <m/>
    <n v="2012"/>
    <s v=" Autocar "/>
    <s v="Heil"/>
    <s v="FEL Truck"/>
    <d v="2014-10-31T00:00:00"/>
    <d v="2014-10-31T00:00:00"/>
    <s v="2180-14-0003-1"/>
    <n v="700"/>
    <n v="14040"/>
    <n v="257104"/>
    <n v="14046"/>
    <n v="257104"/>
    <n v="0"/>
    <n v="0"/>
    <n v="51260"/>
    <n v="0"/>
    <s v="P"/>
    <m/>
    <m/>
    <n v="204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164"/>
    <n v="90521"/>
    <s v="Curbside Weighing System"/>
    <m/>
    <m/>
    <m/>
    <m/>
    <n v="0"/>
    <m/>
    <m/>
    <s v="Non Rolling Stock"/>
    <d v="2014-09-18T00:00:00"/>
    <d v="2014-09-18T00:00:00"/>
    <s v="2180-14-0030-1"/>
    <n v="300"/>
    <n v="14040"/>
    <n v="28134.68"/>
    <n v="14046"/>
    <n v="28134.68"/>
    <n v="0"/>
    <n v="0"/>
    <n v="51260"/>
    <n v="0"/>
    <s v="P"/>
    <m/>
    <n v="261367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6079"/>
    <n v="115278"/>
    <s v="Decals - 2015 ASL Truck"/>
    <m/>
    <m/>
    <s v="3BPZL70X7FF275444"/>
    <m/>
    <n v="0"/>
    <m/>
    <m/>
    <s v="Non Rolling Stock"/>
    <d v="2014-08-22T00:00:00"/>
    <d v="2014-08-22T00:00:00"/>
    <s v="2180-14-0005-1"/>
    <n v="1000"/>
    <n v="14040"/>
    <n v="913.92"/>
    <n v="14046"/>
    <n v="708.27"/>
    <n v="205.64999999999998"/>
    <n v="38.08"/>
    <n v="51260"/>
    <n v="7.62"/>
    <s v="P"/>
    <m/>
    <n v="14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960"/>
    <n v="60775"/>
    <s v="Curbside Weighing System"/>
    <n v="0"/>
    <m/>
    <m/>
    <m/>
    <n v="0"/>
    <m/>
    <m/>
    <s v="Non-Rolling Stock"/>
    <d v="2014-06-24T00:00:00"/>
    <d v="2014-06-24T00:00:00"/>
    <s v="2180-14-0025-1"/>
    <n v="300"/>
    <n v="14040"/>
    <n v="26931.15"/>
    <n v="14046"/>
    <n v="26931.15"/>
    <n v="0"/>
    <n v="0"/>
    <n v="51260"/>
    <n v="0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909"/>
    <s v="P"/>
    <s v="Torque Tire Gun"/>
    <m/>
    <m/>
    <m/>
    <m/>
    <n v="0"/>
    <s v="BRIDGESTONE FIRESTONE"/>
    <m/>
    <m/>
    <d v="2014-06-25T00:00:00"/>
    <d v="2014-06-25T00:00:00"/>
    <s v="2180-14-0029-1"/>
    <n v="500"/>
    <n v="14070"/>
    <n v="4221.4399999999996"/>
    <n v="14076"/>
    <n v="4221.4399999999996"/>
    <n v="0"/>
    <n v="0"/>
    <n v="51260"/>
    <n v="0"/>
    <s v="P"/>
    <m/>
    <n v="642525847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899"/>
    <s v="P"/>
    <s v="2 Yd FEL Container"/>
    <n v="20"/>
    <m/>
    <m/>
    <m/>
    <n v="0"/>
    <s v="WASTEQUIP"/>
    <m/>
    <s v="2 YD FEL/REL/SL Metal"/>
    <d v="2014-07-10T00:00:00"/>
    <d v="2014-07-10T00:00:00"/>
    <s v="2180-14-0019-1"/>
    <n v="1200"/>
    <n v="14050"/>
    <n v="12033.28"/>
    <n v="14056"/>
    <n v="7938.6"/>
    <n v="4094.6800000000003"/>
    <n v="417.82"/>
    <n v="54260"/>
    <n v="83.56"/>
    <s v="P"/>
    <m/>
    <s v="37208763-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331"/>
    <s v="P"/>
    <s v="1.5 Yd Container"/>
    <n v="10"/>
    <m/>
    <m/>
    <m/>
    <n v="0"/>
    <s v="WASTEQUIP"/>
    <m/>
    <s v="1.5 YD FEL/REL/SL Metal"/>
    <d v="2014-07-10T00:00:00"/>
    <d v="2014-07-10T00:00:00"/>
    <s v="2180-14-0018-1"/>
    <n v="1200"/>
    <n v="14050"/>
    <n v="5973.12"/>
    <n v="14056"/>
    <n v="3940.6"/>
    <n v="2032.52"/>
    <n v="207.4"/>
    <n v="54260"/>
    <n v="41.48"/>
    <s v="P"/>
    <m/>
    <n v="372087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278"/>
    <s v="P"/>
    <s v="2015 ASL Truck"/>
    <n v="0"/>
    <m/>
    <s v="3BPZL70X7FF275444"/>
    <m/>
    <n v="2015"/>
    <s v=" Peterbilt "/>
    <s v=" Wayne "/>
    <s v="Automated Sideload"/>
    <d v="2014-08-22T00:00:00"/>
    <d v="2014-08-22T00:00:00"/>
    <s v="2180-14-0005-1"/>
    <n v="1000"/>
    <n v="14040"/>
    <n v="317973.28000000003"/>
    <n v="14046"/>
    <n v="246429.31"/>
    <n v="71543.97000000003"/>
    <n v="13248.89"/>
    <n v="51260"/>
    <n v="2649.78"/>
    <s v="P"/>
    <m/>
    <m/>
    <n v="363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199"/>
    <s v="P"/>
    <s v="95 Galllon YW Carts"/>
    <n v="549"/>
    <m/>
    <m/>
    <m/>
    <n v="0"/>
    <s v="SCHAEFER SYSTEMS INTERNAT"/>
    <m/>
    <m/>
    <d v="2014-07-01T00:00:00"/>
    <d v="2014-07-01T00:00:00"/>
    <s v="2180-14-0015-1"/>
    <n v="700"/>
    <n v="14050"/>
    <n v="30193.63"/>
    <n v="14056"/>
    <n v="30193.63"/>
    <n v="0"/>
    <n v="0"/>
    <n v="54260"/>
    <n v="0"/>
    <s v="P"/>
    <m/>
    <s v="WARA1492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198"/>
    <s v="P"/>
    <s v="95 Gallon YW Carts"/>
    <n v="549"/>
    <m/>
    <m/>
    <m/>
    <n v="0"/>
    <s v="SCHAEFER SYSTEMS INTERNAT"/>
    <m/>
    <m/>
    <d v="2014-07-01T00:00:00"/>
    <d v="2014-07-01T00:00:00"/>
    <s v="2180-14-0015-1"/>
    <n v="700"/>
    <n v="14050"/>
    <n v="30193.63"/>
    <n v="14056"/>
    <n v="30193.63"/>
    <n v="0"/>
    <n v="0"/>
    <n v="54260"/>
    <n v="0"/>
    <s v="P"/>
    <m/>
    <s v="WARA14923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101"/>
    <s v="P"/>
    <s v="95-Gal Refuse Cart"/>
    <n v="486"/>
    <m/>
    <m/>
    <m/>
    <n v="0"/>
    <s v="REHRIG PACIFIC COMPANY"/>
    <m/>
    <m/>
    <d v="2014-07-28T00:00:00"/>
    <d v="2014-07-28T00:00:00"/>
    <s v="2180-14-0016-1"/>
    <n v="700"/>
    <n v="14050"/>
    <n v="27813.17"/>
    <n v="14056"/>
    <n v="27813.17"/>
    <n v="0"/>
    <n v="0"/>
    <n v="54260"/>
    <n v="0"/>
    <s v="P"/>
    <m/>
    <s v="LA1883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100"/>
    <s v="P"/>
    <s v="4 Yard Plastic Commercial Container"/>
    <n v="20"/>
    <m/>
    <m/>
    <m/>
    <n v="0"/>
    <s v="REHRIG PACIFIC COMPANY"/>
    <m/>
    <s v="4 YD FEL/REL/SL Plastic"/>
    <d v="2014-07-18T00:00:00"/>
    <d v="2014-07-18T00:00:00"/>
    <s v="2180-14-0021-1"/>
    <n v="700"/>
    <n v="14050"/>
    <n v="16042.56"/>
    <n v="14056"/>
    <n v="16042.56"/>
    <n v="0"/>
    <n v="0"/>
    <n v="54260"/>
    <n v="0"/>
    <s v="P"/>
    <m/>
    <s v="AT14593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086"/>
    <s v="P"/>
    <s v="2014 Isuzu Retriever Truck"/>
    <m/>
    <m/>
    <s v="JALE5W165E7302474"/>
    <m/>
    <n v="2014"/>
    <s v=" Isuzu "/>
    <s v=" Wayne "/>
    <s v="Retriever Truck"/>
    <d v="2014-07-28T00:00:00"/>
    <d v="2014-07-28T00:00:00"/>
    <s v="2180-14-0001-1"/>
    <n v="600"/>
    <n v="14040"/>
    <n v="133477.48000000001"/>
    <n v="14046"/>
    <n v="133477.48000000001"/>
    <n v="0"/>
    <n v="0"/>
    <n v="51260"/>
    <n v="0"/>
    <s v="P"/>
    <m/>
    <s v="0070895-in"/>
    <n v="330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5032"/>
    <s v="P"/>
    <s v="4 Yard Commercial Plastic Container"/>
    <n v="16"/>
    <m/>
    <m/>
    <m/>
    <n v="0"/>
    <s v="REHRIG PACIFIC COMPANY"/>
    <m/>
    <s v="4 YD FEL/REL/SL Plastic"/>
    <d v="2014-07-31T00:00:00"/>
    <d v="2014-07-31T00:00:00"/>
    <s v="2180-14-0021-1"/>
    <n v="700"/>
    <n v="14050"/>
    <n v="12952.64"/>
    <n v="14056"/>
    <n v="12952.64"/>
    <n v="0"/>
    <n v="0"/>
    <n v="54260"/>
    <n v="0"/>
    <s v="P"/>
    <m/>
    <s v="at1461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986"/>
    <s v="P"/>
    <s v="3 Yard Plastic Containers"/>
    <n v="24"/>
    <m/>
    <m/>
    <m/>
    <n v="0"/>
    <s v="REHRIG PACIFIC COMPANY"/>
    <m/>
    <s v="3 YD FEL/REL/SL Plastic"/>
    <d v="2014-05-22T00:00:00"/>
    <d v="2014-05-22T00:00:00"/>
    <s v="2180-14-0020-1"/>
    <n v="700"/>
    <n v="14050"/>
    <n v="16602.88"/>
    <n v="14056"/>
    <n v="16602.88"/>
    <n v="0"/>
    <n v="0"/>
    <n v="54260"/>
    <n v="0"/>
    <s v="P"/>
    <m/>
    <s v="AT1450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984"/>
    <s v="P"/>
    <s v="2015 Container Delivery Truck"/>
    <m/>
    <m/>
    <s v="1JALC4W169F7001816"/>
    <m/>
    <n v="2015"/>
    <s v=" Isuzu "/>
    <s v="Other"/>
    <s v="Container Delivery Truck"/>
    <d v="2014-08-01T00:00:00"/>
    <d v="2014-08-01T00:00:00"/>
    <s v="2180-14-0002-1"/>
    <n v="1000"/>
    <n v="14040"/>
    <n v="59098.89"/>
    <n v="14046"/>
    <n v="46293.99"/>
    <n v="12804.900000000001"/>
    <n v="2462.4499999999998"/>
    <n v="51260"/>
    <n v="492.49"/>
    <s v="P"/>
    <m/>
    <s v="252765t"/>
    <n v="956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876"/>
    <s v="P"/>
    <s v="2011 Hyster H50FT Forklift serial# L177V08942J"/>
    <n v="0"/>
    <m/>
    <s v="L177V08942J"/>
    <m/>
    <n v="2011"/>
    <s v="Hyster"/>
    <s v="hyster"/>
    <s v="Forklift"/>
    <d v="2011-12-16T00:00:00"/>
    <d v="2011-12-16T00:00:00"/>
    <s v="2170-11-0005-1"/>
    <n v="900"/>
    <n v="14030"/>
    <n v="31190.89"/>
    <n v="14036"/>
    <n v="31190.89"/>
    <n v="0"/>
    <n v="0"/>
    <n v="51260"/>
    <n v="0"/>
    <s v="P"/>
    <m/>
    <n v="185068"/>
    <n v="7004"/>
    <s v="Internal"/>
    <s v="A"/>
    <s v="SL"/>
    <d v="2014-07-31T00:00:00"/>
    <s v="WCNX"/>
    <n v="0"/>
    <n v="8952.9599999999991"/>
    <m/>
    <x v="13"/>
    <m/>
    <m/>
    <m/>
    <m/>
    <m/>
    <m/>
    <m/>
    <m/>
    <m/>
    <m/>
    <x v="1"/>
  </r>
  <r>
    <n v="2180"/>
    <n v="114545"/>
    <s v="P"/>
    <s v="2013 FEL Truck"/>
    <n v="0"/>
    <m/>
    <s v="5VCACL8FXCH214007"/>
    <m/>
    <n v="2013"/>
    <s v=" Autocar "/>
    <s v=" Heil "/>
    <s v="FEL Truck"/>
    <d v="2014-07-01T00:00:00"/>
    <d v="2014-07-01T00:00:00"/>
    <s v="2180-14-0004-1"/>
    <n v="800"/>
    <n v="14040"/>
    <n v="285481.71999999997"/>
    <n v="14046"/>
    <n v="282507.99"/>
    <n v="2973.7299999999814"/>
    <n v="14868.84"/>
    <n v="51260"/>
    <n v="2973.77"/>
    <s v="P"/>
    <m/>
    <m/>
    <n v="204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405"/>
    <s v="P"/>
    <s v="95 Gallon Recycle Cart"/>
    <n v="486"/>
    <m/>
    <m/>
    <m/>
    <n v="0"/>
    <s v="REHRIG PACIFIC COMPANY"/>
    <m/>
    <m/>
    <d v="2014-07-07T00:00:00"/>
    <d v="2014-07-07T00:00:00"/>
    <s v="2180-14-0017-1"/>
    <n v="700"/>
    <n v="14050"/>
    <n v="28368.38"/>
    <n v="14056"/>
    <n v="28368.38"/>
    <n v="0"/>
    <n v="0"/>
    <n v="54260"/>
    <n v="0"/>
    <s v="P"/>
    <m/>
    <s v="LA1878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404"/>
    <s v="P"/>
    <s v="95 Gallon Recycle Cart"/>
    <n v="486"/>
    <m/>
    <m/>
    <m/>
    <n v="0"/>
    <s v="REHRIG PACIFIC COMPANY"/>
    <m/>
    <m/>
    <d v="2014-07-14T00:00:00"/>
    <d v="2014-07-14T00:00:00"/>
    <s v="2180-14-0017-1"/>
    <n v="700"/>
    <n v="14050"/>
    <n v="28368.38"/>
    <n v="14056"/>
    <n v="28368.38"/>
    <n v="0"/>
    <n v="0"/>
    <n v="54260"/>
    <n v="0"/>
    <s v="P"/>
    <m/>
    <s v="LA1880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403"/>
    <s v="P"/>
    <s v="65-Gal Forest Green Refuse Cart"/>
    <n v="102"/>
    <m/>
    <m/>
    <m/>
    <n v="0"/>
    <s v="REHRIG PACIFIC COMPANY"/>
    <m/>
    <m/>
    <d v="2014-07-12T00:00:00"/>
    <d v="2014-07-12T00:00:00"/>
    <s v="2180-14-0014-1"/>
    <n v="700"/>
    <n v="14050"/>
    <n v="4903.92"/>
    <n v="14056"/>
    <n v="4903.92"/>
    <n v="0"/>
    <n v="0"/>
    <n v="54260"/>
    <n v="0"/>
    <s v="P"/>
    <m/>
    <s v="LA1879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402"/>
    <s v="P"/>
    <s v="65- Gallon Forest Green Refuse Cart"/>
    <n v="546"/>
    <m/>
    <m/>
    <m/>
    <n v="0"/>
    <s v="REHRIG PACIFIC COMPANY"/>
    <m/>
    <m/>
    <d v="2014-07-07T00:00:00"/>
    <d v="2014-07-07T00:00:00"/>
    <s v="2180-14-0014-1"/>
    <n v="700"/>
    <n v="14050"/>
    <n v="26252.83"/>
    <n v="14056"/>
    <n v="26252.83"/>
    <n v="0"/>
    <n v="0"/>
    <n v="54260"/>
    <n v="0"/>
    <s v="P"/>
    <m/>
    <s v="LA1879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401"/>
    <s v="P"/>
    <s v="95 Gallon Garbage Carts"/>
    <n v="486"/>
    <m/>
    <m/>
    <m/>
    <n v="0"/>
    <s v="REHRIG PACIFIC COMPANY"/>
    <m/>
    <m/>
    <d v="2014-03-22T00:00:00"/>
    <d v="2014-03-22T00:00:00"/>
    <s v="2180-14-0016-1"/>
    <n v="700"/>
    <n v="14050"/>
    <n v="26672.26"/>
    <n v="14056"/>
    <n v="26672.26"/>
    <n v="0"/>
    <n v="0"/>
    <n v="54260"/>
    <n v="0"/>
    <s v="P"/>
    <m/>
    <s v="LA185479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101"/>
    <s v="P"/>
    <s v="3 Yd Plastic Containers"/>
    <n v="12"/>
    <m/>
    <m/>
    <m/>
    <n v="0"/>
    <s v="REHRIG PACIFIC COMPANY"/>
    <m/>
    <s v="3 YD FEL/REL/SL Plastic"/>
    <d v="2014-05-21T00:00:00"/>
    <d v="2014-05-21T00:00:00"/>
    <s v="2180-14-0020-1"/>
    <n v="700"/>
    <n v="14050"/>
    <n v="8573.44"/>
    <n v="14056"/>
    <n v="8573.44"/>
    <n v="0"/>
    <n v="0"/>
    <n v="54260"/>
    <n v="0"/>
    <s v="P"/>
    <m/>
    <s v="AT14495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4100"/>
    <s v="P"/>
    <s v="65 Gal Plastic Carts"/>
    <n v="648"/>
    <m/>
    <m/>
    <m/>
    <n v="0"/>
    <s v="REHRIG PACIFIC COMPANY"/>
    <m/>
    <m/>
    <d v="2014-06-20T00:00:00"/>
    <d v="2014-06-20T00:00:00"/>
    <s v="2180-14-0014-1"/>
    <n v="700"/>
    <n v="14050"/>
    <n v="31156.75"/>
    <n v="14056"/>
    <n v="31156.75"/>
    <n v="0"/>
    <n v="0"/>
    <n v="54260"/>
    <n v="0"/>
    <s v="P"/>
    <m/>
    <s v="LA1875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3896"/>
    <s v="P"/>
    <s v="(2) Routeware Cameras"/>
    <m/>
    <m/>
    <m/>
    <m/>
    <n v="0"/>
    <m/>
    <m/>
    <m/>
    <d v="2014-04-30T00:00:00"/>
    <d v="2014-04-30T00:00:00"/>
    <s v="2180-14-0028-1"/>
    <n v="500"/>
    <n v="14070"/>
    <n v="1936.34"/>
    <n v="14076"/>
    <n v="1936.34"/>
    <n v="0"/>
    <n v="0"/>
    <n v="51260"/>
    <n v="0"/>
    <s v="P"/>
    <m/>
    <n v="956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3633"/>
    <s v="P"/>
    <s v="2 Yard Commercial Container"/>
    <n v="36"/>
    <m/>
    <m/>
    <m/>
    <n v="0"/>
    <s v="REHRIG PACIFIC COMPANY"/>
    <m/>
    <s v="2 YD FEL/REL/SL Metal"/>
    <d v="2014-05-02T00:00:00"/>
    <d v="2014-05-02T00:00:00"/>
    <s v="2180-14-0019-1"/>
    <n v="1200"/>
    <n v="14050"/>
    <n v="18169.599999999999"/>
    <n v="14056"/>
    <n v="12239.22"/>
    <n v="5930.3799999999992"/>
    <n v="630.89"/>
    <n v="54260"/>
    <n v="126.18"/>
    <s v="P"/>
    <m/>
    <s v="AT144837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3271"/>
    <s v="P"/>
    <s v="Wyse Winterms D10D"/>
    <n v="5"/>
    <m/>
    <m/>
    <m/>
    <n v="0"/>
    <s v="CDW"/>
    <m/>
    <m/>
    <d v="2014-04-20T00:00:00"/>
    <d v="2014-04-20T00:00:00"/>
    <s v="2000-14-0006-1"/>
    <n v="300"/>
    <n v="14110"/>
    <n v="1641.48"/>
    <n v="14116"/>
    <n v="1641.48"/>
    <n v="0"/>
    <n v="0"/>
    <n v="70260"/>
    <n v="0"/>
    <s v="P"/>
    <m/>
    <s v="Multiple beginning with K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3248"/>
    <s v="P"/>
    <s v="(7) Routeware Cameras"/>
    <m/>
    <m/>
    <m/>
    <m/>
    <n v="0"/>
    <s v="Routeware"/>
    <m/>
    <m/>
    <d v="2014-04-30T00:00:00"/>
    <d v="2014-04-30T00:00:00"/>
    <s v="2180-14-0028-1"/>
    <n v="500"/>
    <n v="14070"/>
    <n v="6778.26"/>
    <n v="14076"/>
    <n v="6778.26"/>
    <n v="0"/>
    <n v="0"/>
    <n v="51260"/>
    <n v="0"/>
    <s v="P"/>
    <m/>
    <n v="956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986"/>
    <s v="P"/>
    <s v="2 Yard Containers"/>
    <n v="17"/>
    <m/>
    <m/>
    <m/>
    <n v="0"/>
    <s v="WASTEQUIP"/>
    <m/>
    <s v="2 YD FEL/REL/SL Metal"/>
    <d v="2014-02-18T00:00:00"/>
    <d v="2014-02-18T00:00:00"/>
    <s v="2180-14-0019-1"/>
    <n v="1200"/>
    <n v="14050"/>
    <n v="8516.86"/>
    <n v="14056"/>
    <n v="5855.36"/>
    <n v="2661.5000000000009"/>
    <n v="295.73"/>
    <n v="54260"/>
    <n v="59.15"/>
    <s v="P"/>
    <m/>
    <n v="372080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985"/>
    <s v="P"/>
    <s v="65 Gal Plastic Carts"/>
    <n v="648"/>
    <m/>
    <m/>
    <m/>
    <n v="0"/>
    <s v="REHRIG PACIFIC COMPANY"/>
    <m/>
    <m/>
    <d v="2014-02-07T00:00:00"/>
    <d v="2014-02-07T00:00:00"/>
    <s v="2180-14-0014-1"/>
    <n v="700"/>
    <n v="14050"/>
    <n v="30302.54"/>
    <n v="14056"/>
    <n v="30302.54"/>
    <n v="0"/>
    <n v="0"/>
    <n v="54260"/>
    <n v="0"/>
    <s v="P"/>
    <m/>
    <s v="LA18463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600"/>
    <s v="P"/>
    <s v="HP ProBook 647b - 14&quot;"/>
    <m/>
    <m/>
    <m/>
    <m/>
    <n v="0"/>
    <s v="CDW"/>
    <m/>
    <m/>
    <d v="2014-03-27T00:00:00"/>
    <d v="2014-03-27T00:00:00"/>
    <s v="2180-14-0026-1"/>
    <n v="300"/>
    <n v="14110"/>
    <n v="1017.56"/>
    <n v="14116"/>
    <n v="1017.56"/>
    <n v="0"/>
    <n v="0"/>
    <n v="70260"/>
    <n v="0"/>
    <s v="P"/>
    <m/>
    <s v="KT736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504"/>
    <n v="90536"/>
    <s v="Cap Repair - Transmission"/>
    <m/>
    <m/>
    <m/>
    <m/>
    <n v="0"/>
    <s v="TEC Equipment"/>
    <m/>
    <s v="Non Rolling Stock"/>
    <d v="2014-02-25T00:00:00"/>
    <d v="2014-02-25T00:00:00"/>
    <s v="2180-14-0007-1"/>
    <n v="300"/>
    <n v="14040"/>
    <n v="8067.17"/>
    <n v="14046"/>
    <n v="8067.17"/>
    <n v="0"/>
    <n v="0"/>
    <n v="51260"/>
    <n v="0"/>
    <s v="P"/>
    <m/>
    <n v="14280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495"/>
    <s v="P"/>
    <s v="95 Gal Carts"/>
    <n v="1098"/>
    <m/>
    <m/>
    <m/>
    <n v="0"/>
    <s v="SCHAEFER SYSTEMS INTERNAT"/>
    <m/>
    <m/>
    <d v="2014-04-12T00:00:00"/>
    <d v="2014-04-12T00:00:00"/>
    <s v="2180-14-0015-1"/>
    <n v="700"/>
    <n v="14050"/>
    <n v="58237.919999999998"/>
    <n v="14056"/>
    <n v="58237.919999999998"/>
    <n v="0"/>
    <n v="0"/>
    <n v="54260"/>
    <n v="0"/>
    <s v="P"/>
    <m/>
    <s v="WSLA12823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460"/>
    <s v="P"/>
    <s v="6 Yard FEL Containers"/>
    <n v="2"/>
    <m/>
    <m/>
    <m/>
    <n v="0"/>
    <s v="CAPITAL INDUSTRIES INC"/>
    <m/>
    <s v="6 YD FEL/REL/SL Metal"/>
    <d v="2014-03-21T00:00:00"/>
    <d v="2014-03-21T00:00:00"/>
    <s v="2180-14-0022-1"/>
    <n v="1200"/>
    <n v="14050"/>
    <n v="1610.24"/>
    <n v="14056"/>
    <n v="1095.8800000000001"/>
    <n v="514.3599999999999"/>
    <n v="55.91"/>
    <n v="54260"/>
    <n v="11.18"/>
    <s v="P"/>
    <m/>
    <n v="9290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459"/>
    <s v="P"/>
    <s v="6 Yard FEL Containers"/>
    <n v="11"/>
    <m/>
    <m/>
    <m/>
    <n v="0"/>
    <s v="CAPITAL INDUSTRIES INC"/>
    <m/>
    <s v="6 YD FEL/REL/SL Metal"/>
    <d v="2014-03-21T00:00:00"/>
    <d v="2014-03-21T00:00:00"/>
    <s v="2180-14-0022-1"/>
    <n v="1200"/>
    <n v="14050"/>
    <n v="8856.32"/>
    <n v="14056"/>
    <n v="6027.24"/>
    <n v="2829.08"/>
    <n v="307.51"/>
    <n v="54260"/>
    <n v="61.5"/>
    <s v="P"/>
    <m/>
    <n v="9290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2458"/>
    <s v="P"/>
    <s v="6 Yard FEL Containers"/>
    <n v="7"/>
    <m/>
    <m/>
    <m/>
    <n v="0"/>
    <s v="CAPITAL INDUSTRIES INC"/>
    <m/>
    <s v="6 YD FEL/REL/SL Metal"/>
    <d v="2014-03-21T00:00:00"/>
    <d v="2014-03-21T00:00:00"/>
    <s v="2180-14-0022-1"/>
    <n v="1200"/>
    <n v="14050"/>
    <n v="5635.84"/>
    <n v="14056"/>
    <n v="3835.48"/>
    <n v="1800.3600000000001"/>
    <n v="195.69"/>
    <n v="54260"/>
    <n v="39.14"/>
    <s v="P"/>
    <m/>
    <n v="929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1489"/>
    <s v="P"/>
    <s v="95 Gallon Recycle Carts"/>
    <n v="486"/>
    <m/>
    <m/>
    <m/>
    <n v="0"/>
    <s v="REHRIG PACIFIC COMPANY"/>
    <m/>
    <m/>
    <d v="2014-03-12T00:00:00"/>
    <d v="2014-03-12T00:00:00"/>
    <s v="2180-14-0017-1"/>
    <n v="700"/>
    <n v="14050"/>
    <n v="26672.25"/>
    <n v="14056"/>
    <n v="26672.25"/>
    <n v="0"/>
    <n v="0"/>
    <n v="54260"/>
    <n v="0"/>
    <s v="P"/>
    <m/>
    <s v="LA18529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1195"/>
    <s v="P"/>
    <s v="65 Gal Refuse Carts"/>
    <n v="648"/>
    <m/>
    <m/>
    <m/>
    <n v="0"/>
    <s v="REHRIG PACIFIC COMPANY"/>
    <m/>
    <m/>
    <d v="2014-02-07T00:00:00"/>
    <d v="2014-02-07T00:00:00"/>
    <s v="2180-14-0014-1"/>
    <n v="700"/>
    <n v="14050"/>
    <n v="30302.54"/>
    <n v="14056"/>
    <n v="30302.54"/>
    <n v="0"/>
    <n v="0"/>
    <n v="54260"/>
    <n v="0"/>
    <s v="P"/>
    <m/>
    <s v="LA1846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1095"/>
    <s v="P"/>
    <s v="HP ProBook 6470b 14&quot;"/>
    <m/>
    <m/>
    <m/>
    <m/>
    <n v="0"/>
    <s v="CDW"/>
    <m/>
    <m/>
    <d v="2014-02-14T00:00:00"/>
    <d v="2014-02-14T00:00:00"/>
    <s v="2180-14-0024-1"/>
    <n v="300"/>
    <n v="14110"/>
    <n v="1069.8599999999999"/>
    <n v="14116"/>
    <n v="1069.8599999999999"/>
    <n v="0"/>
    <n v="0"/>
    <n v="70260"/>
    <n v="0"/>
    <s v="P"/>
    <m/>
    <s v="JW187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1005"/>
    <s v="P"/>
    <s v="(2) Drive Cam Units"/>
    <m/>
    <m/>
    <m/>
    <m/>
    <n v="0"/>
    <s v="Lytx"/>
    <m/>
    <m/>
    <d v="2014-01-31T00:00:00"/>
    <d v="2014-01-31T00:00:00"/>
    <s v="2180-14-0023-1"/>
    <n v="500"/>
    <n v="14070"/>
    <n v="1223.43"/>
    <n v="14076"/>
    <n v="1223.43"/>
    <n v="0"/>
    <n v="0"/>
    <n v="51260"/>
    <n v="0"/>
    <s v="P"/>
    <m/>
    <n v="50162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0353"/>
    <s v="P"/>
    <s v="Transfer Station Leachate System"/>
    <m/>
    <m/>
    <m/>
    <m/>
    <n v="0"/>
    <m/>
    <m/>
    <m/>
    <d v="2013-11-25T00:00:00"/>
    <d v="2013-11-25T00:00:00"/>
    <s v="2182-13-0003-1"/>
    <n v="1000"/>
    <n v="14090"/>
    <n v="99307.78"/>
    <n v="14096"/>
    <n v="84411.64"/>
    <n v="14896.14"/>
    <n v="4137.83"/>
    <n v="57260"/>
    <n v="827.57"/>
    <s v="P"/>
    <m/>
    <m/>
    <m/>
    <s v="Internal"/>
    <s v="A"/>
    <s v="SL"/>
    <d v="2013-12-31T00:00:00"/>
    <s v="WCNX"/>
    <n v="0"/>
    <n v="827.57"/>
    <m/>
    <x v="13"/>
    <m/>
    <m/>
    <m/>
    <m/>
    <m/>
    <m/>
    <m/>
    <m/>
    <m/>
    <m/>
    <x v="1"/>
  </r>
  <r>
    <n v="2180"/>
    <n v="110074"/>
    <n v="109515"/>
    <s v="License - Pete/McNeilus FEL Truck #2041"/>
    <m/>
    <m/>
    <m/>
    <m/>
    <n v="0"/>
    <s v="Department of Licensing"/>
    <m/>
    <s v="Non Rolling Stock"/>
    <d v="2013-12-27T00:00:00"/>
    <d v="2013-12-27T00:00:00"/>
    <s v="2180-13-0023-1"/>
    <n v="1000"/>
    <n v="14040"/>
    <n v="798"/>
    <n v="14046"/>
    <n v="671.65"/>
    <n v="126.35000000000002"/>
    <n v="33.25"/>
    <n v="51260"/>
    <n v="6.65"/>
    <s v="P"/>
    <m/>
    <d v="2838-08-01T00:00: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10073"/>
    <n v="109515"/>
    <s v="DriveCam - Pete/McNeilus FEL Truck"/>
    <m/>
    <m/>
    <m/>
    <m/>
    <n v="0"/>
    <s v="DriveCam"/>
    <m/>
    <s v="Non Rolling Stock"/>
    <d v="2013-12-27T00:00:00"/>
    <d v="2013-12-27T00:00:00"/>
    <s v="2180-13-0023-1"/>
    <n v="1000"/>
    <n v="14040"/>
    <n v="629.19000000000005"/>
    <n v="14046"/>
    <n v="529.58000000000004"/>
    <n v="99.610000000000014"/>
    <n v="26.22"/>
    <n v="51260"/>
    <n v="5.25"/>
    <s v="P"/>
    <m/>
    <n v="50157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9651"/>
    <n v="106627"/>
    <s v="Routeware Implementation"/>
    <m/>
    <m/>
    <m/>
    <m/>
    <n v="0"/>
    <s v="ROUTEWARE INC"/>
    <m/>
    <m/>
    <d v="2013-10-30T00:00:00"/>
    <d v="2013-10-30T00:00:00"/>
    <s v="2180-13-0028-1"/>
    <n v="300"/>
    <n v="14110"/>
    <n v="35788.339999999997"/>
    <n v="14116"/>
    <n v="35788.339999999997"/>
    <n v="0"/>
    <n v="0"/>
    <n v="70260"/>
    <n v="0"/>
    <s v="P"/>
    <m/>
    <n v="9510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9515"/>
    <s v="P"/>
    <s v="2014 FEL Truck"/>
    <m/>
    <m/>
    <s v="3BPZL70X7EF234889"/>
    <m/>
    <n v="2014"/>
    <s v="PETERBILT"/>
    <s v="WITTKE LABRIE"/>
    <s v="FEL Truck"/>
    <d v="2013-12-27T00:00:00"/>
    <d v="2013-12-27T00:00:00"/>
    <s v="2180-13-0023-1"/>
    <n v="1000"/>
    <n v="14040"/>
    <n v="295986.36"/>
    <n v="14046"/>
    <n v="249121.81"/>
    <n v="46864.549999999988"/>
    <n v="12332.77"/>
    <n v="51260"/>
    <n v="2466.56"/>
    <s v="P"/>
    <m/>
    <m/>
    <n v="204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970"/>
    <s v="P"/>
    <s v="(2) HP Compaq 6300 Desktop Computers"/>
    <m/>
    <m/>
    <m/>
    <m/>
    <n v="0"/>
    <s v="CDW"/>
    <m/>
    <m/>
    <d v="2013-11-25T00:00:00"/>
    <d v="2013-11-25T00:00:00"/>
    <s v="2180-13-0034-1"/>
    <n v="300"/>
    <n v="14110"/>
    <n v="1504.24"/>
    <n v="14116"/>
    <n v="1504.24"/>
    <n v="0"/>
    <n v="0"/>
    <n v="70260"/>
    <n v="0"/>
    <s v="P"/>
    <m/>
    <s v="1BDKNRM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969"/>
    <n v="106627"/>
    <s v="Camera - Routeware Implementation"/>
    <m/>
    <m/>
    <m/>
    <m/>
    <n v="0"/>
    <s v="Routeware"/>
    <m/>
    <m/>
    <d v="2013-10-30T00:00:00"/>
    <d v="2013-10-30T00:00:00"/>
    <s v="2180-13-0028-1"/>
    <n v="300"/>
    <n v="14110"/>
    <n v="503.75"/>
    <n v="14116"/>
    <n v="503.75"/>
    <n v="0"/>
    <n v="0"/>
    <n v="70260"/>
    <n v="0"/>
    <s v="P"/>
    <m/>
    <n v="9528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949"/>
    <n v="108801"/>
    <s v="Decals for truck - 2014 ASL Truck"/>
    <m/>
    <m/>
    <m/>
    <m/>
    <n v="0"/>
    <s v="Sign Connections"/>
    <m/>
    <s v="Non Rolling Stock"/>
    <d v="2013-10-29T00:00:00"/>
    <d v="2013-10-29T00:00:00"/>
    <s v="2180-13-0025-1"/>
    <n v="1000"/>
    <n v="14040"/>
    <n v="902.53"/>
    <n v="14046"/>
    <n v="774.64"/>
    <n v="127.88999999999999"/>
    <n v="37.6"/>
    <n v="51260"/>
    <n v="7.52"/>
    <s v="P"/>
    <m/>
    <n v="11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801"/>
    <s v="P"/>
    <s v="2013 ASL"/>
    <m/>
    <m/>
    <s v="3BPZL70X1EF223337"/>
    <m/>
    <n v="2013"/>
    <s v="PETERBILT"/>
    <s v="wayne"/>
    <s v="Automated SideLoad"/>
    <d v="2013-10-29T00:00:00"/>
    <d v="2013-10-29T00:00:00"/>
    <s v="2180-13-0025-1"/>
    <n v="1000"/>
    <n v="14040"/>
    <n v="319248.73"/>
    <n v="14046"/>
    <n v="274021.8"/>
    <n v="45226.929999999993"/>
    <n v="13302.03"/>
    <n v="51260"/>
    <n v="2660.41"/>
    <s v="P"/>
    <m/>
    <m/>
    <n v="363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738"/>
    <s v="P"/>
    <s v="65 Gallon Refuse Carts"/>
    <n v="648"/>
    <m/>
    <m/>
    <m/>
    <n v="0"/>
    <s v="REHRIG PACIFIC COMPANY"/>
    <m/>
    <m/>
    <d v="2013-11-04T00:00:00"/>
    <d v="2013-11-04T00:00:00"/>
    <s v="2180-13-0005-1"/>
    <n v="700"/>
    <n v="14050"/>
    <n v="30302.54"/>
    <n v="14056"/>
    <n v="30302.54"/>
    <n v="0"/>
    <n v="0"/>
    <n v="54260"/>
    <n v="0"/>
    <s v="P"/>
    <m/>
    <s v="LA1826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618"/>
    <n v="106627"/>
    <s v="Routeware Implementation"/>
    <m/>
    <m/>
    <m/>
    <m/>
    <n v="0"/>
    <s v="ROUTEWARE INC"/>
    <m/>
    <m/>
    <d v="2013-10-30T00:00:00"/>
    <d v="2013-10-30T00:00:00"/>
    <s v="2180-13-0028-1"/>
    <n v="500"/>
    <n v="14110"/>
    <n v="7131.39"/>
    <n v="14116"/>
    <n v="7131.39"/>
    <n v="0"/>
    <n v="0"/>
    <n v="70260"/>
    <n v="0"/>
    <s v="P"/>
    <m/>
    <n v="9527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8617"/>
    <n v="106627"/>
    <s v="Routeware Implementation"/>
    <m/>
    <m/>
    <m/>
    <m/>
    <n v="0"/>
    <s v="ROUTEWARE INC"/>
    <m/>
    <m/>
    <d v="2013-10-30T00:00:00"/>
    <d v="2013-10-30T00:00:00"/>
    <s v="2180-13-0028-1"/>
    <n v="500"/>
    <n v="14110"/>
    <n v="614.72"/>
    <n v="14116"/>
    <n v="614.72"/>
    <n v="0"/>
    <n v="0"/>
    <n v="70260"/>
    <n v="0"/>
    <s v="P"/>
    <m/>
    <n v="952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879"/>
    <n v="106627"/>
    <s v="Routeware- (5) Airweigh Scales Integration"/>
    <m/>
    <m/>
    <m/>
    <m/>
    <n v="0"/>
    <s v="ROUTEWARE INC"/>
    <m/>
    <m/>
    <d v="2013-10-14T00:00:00"/>
    <d v="2013-10-14T00:00:00"/>
    <s v="2180-13-0028-1"/>
    <n v="300"/>
    <n v="14110"/>
    <n v="5412.81"/>
    <n v="14116"/>
    <n v="5412.81"/>
    <n v="0"/>
    <n v="0"/>
    <n v="70260"/>
    <n v="0"/>
    <s v="P"/>
    <m/>
    <n v="952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873"/>
    <s v="P"/>
    <s v="5YD FEL OCC Containers"/>
    <n v="14"/>
    <m/>
    <m/>
    <m/>
    <n v="0"/>
    <s v="CAPITAL INDUSTRIES INC"/>
    <m/>
    <s v="5 YD FEL/REL/SL Metal"/>
    <d v="2013-10-01T00:00:00"/>
    <d v="2013-10-01T00:00:00"/>
    <s v="2180-13-0010-1"/>
    <n v="1200"/>
    <n v="14050"/>
    <n v="12490.24"/>
    <n v="14056"/>
    <n v="9020.7000000000007"/>
    <n v="3469.5399999999991"/>
    <n v="433.69"/>
    <n v="54260"/>
    <n v="86.74"/>
    <s v="P"/>
    <m/>
    <n v="869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872"/>
    <s v="P"/>
    <s v="5YD FEL OCC Containers"/>
    <n v="6"/>
    <m/>
    <m/>
    <m/>
    <n v="0"/>
    <s v="CAPITAL INDUSTRIES INC"/>
    <m/>
    <s v="5 YD FEL/REL/SL Metal"/>
    <d v="2013-10-01T00:00:00"/>
    <d v="2013-10-01T00:00:00"/>
    <s v="2180-13-0010-1"/>
    <n v="1200"/>
    <n v="14050"/>
    <n v="5352.96"/>
    <n v="14056"/>
    <n v="3865.94"/>
    <n v="1487.02"/>
    <n v="185.87"/>
    <n v="54260"/>
    <n v="37.18"/>
    <s v="P"/>
    <m/>
    <n v="869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737"/>
    <s v="P"/>
    <s v="(2) RouteManger Licenses"/>
    <m/>
    <m/>
    <m/>
    <m/>
    <n v="0"/>
    <s v="DESERT MICRO"/>
    <m/>
    <m/>
    <d v="2013-09-01T00:00:00"/>
    <d v="2013-09-01T00:00:00"/>
    <s v="2180-13-0029-1"/>
    <n v="300"/>
    <n v="14110"/>
    <n v="1904"/>
    <n v="14116"/>
    <n v="1904"/>
    <n v="0"/>
    <n v="0"/>
    <n v="70260"/>
    <n v="0"/>
    <s v="P"/>
    <m/>
    <s v="WC9805-LIC-00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573"/>
    <n v="107324"/>
    <s v="Drive Cam - 2013 Isuzu Retriever Truck"/>
    <m/>
    <m/>
    <m/>
    <m/>
    <n v="0"/>
    <s v="DriveCam, Inc"/>
    <m/>
    <s v="Non Rolling Stock"/>
    <d v="2013-08-28T00:00:00"/>
    <d v="2013-08-28T00:00:00"/>
    <s v="2180-13-0027-1"/>
    <n v="700"/>
    <n v="14040"/>
    <n v="602.30999999999995"/>
    <n v="14046"/>
    <n v="602.30999999999995"/>
    <n v="0"/>
    <n v="0"/>
    <n v="51260"/>
    <n v="0"/>
    <s v="P"/>
    <m/>
    <n v="50436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427"/>
    <s v="P"/>
    <s v="95 Gal Recycle Carts"/>
    <n v="486"/>
    <m/>
    <m/>
    <m/>
    <n v="0"/>
    <s v="REHRIG PACIFIC COMPANY"/>
    <m/>
    <m/>
    <d v="2013-09-10T00:00:00"/>
    <d v="2013-09-10T00:00:00"/>
    <s v="2180-13-0007-1"/>
    <n v="700"/>
    <n v="14050"/>
    <n v="26930.76"/>
    <n v="14056"/>
    <n v="26930.76"/>
    <n v="0"/>
    <n v="0"/>
    <n v="54260"/>
    <n v="0"/>
    <s v="P"/>
    <m/>
    <s v="LA18126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426"/>
    <s v="P"/>
    <s v="35 Gal Refuse Carts"/>
    <n v="540"/>
    <m/>
    <m/>
    <m/>
    <n v="0"/>
    <s v="REHRIG PACIFIC COMPANY"/>
    <m/>
    <m/>
    <d v="2013-09-11T00:00:00"/>
    <d v="2013-09-11T00:00:00"/>
    <s v="2180-13-0009-1"/>
    <n v="700"/>
    <n v="14050"/>
    <n v="21107.85"/>
    <n v="14056"/>
    <n v="21107.85"/>
    <n v="0"/>
    <n v="0"/>
    <n v="54260"/>
    <n v="0"/>
    <s v="P"/>
    <m/>
    <s v="LA18129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425"/>
    <s v="P"/>
    <s v="65 Gal Carts"/>
    <n v="648"/>
    <m/>
    <m/>
    <m/>
    <n v="0"/>
    <s v="REHRIG PACIFIC COMPANY"/>
    <m/>
    <m/>
    <d v="2013-09-10T00:00:00"/>
    <d v="2013-09-10T00:00:00"/>
    <s v="2180-13-0005-1"/>
    <n v="700"/>
    <n v="14050"/>
    <n v="30302.54"/>
    <n v="14056"/>
    <n v="30302.54"/>
    <n v="0"/>
    <n v="0"/>
    <n v="54260"/>
    <n v="0"/>
    <s v="P"/>
    <m/>
    <s v="LA1812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324"/>
    <s v="P"/>
    <s v="2013 8YD ISUZU RETIEVER TRUCK"/>
    <m/>
    <m/>
    <s v="1JALE5W164E7300540"/>
    <m/>
    <n v="2013"/>
    <s v="ISUZU"/>
    <s v="wayne"/>
    <s v="Retriever Truck"/>
    <d v="2013-08-28T00:00:00"/>
    <d v="2013-08-28T00:00:00"/>
    <s v="2180-13-0027-1"/>
    <n v="600"/>
    <n v="14040"/>
    <n v="125924.63"/>
    <n v="14046"/>
    <n v="125924.63"/>
    <n v="0"/>
    <n v="0"/>
    <n v="51260"/>
    <n v="0"/>
    <s v="P"/>
    <m/>
    <m/>
    <n v="330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151"/>
    <s v="P"/>
    <s v="95 Gallon Refuse Carts"/>
    <n v="360"/>
    <m/>
    <m/>
    <m/>
    <n v="0"/>
    <s v="REHRIG PACIFIC COMPANY"/>
    <m/>
    <m/>
    <d v="2013-09-06T00:00:00"/>
    <d v="2013-09-06T00:00:00"/>
    <s v="2180-13-0006-1"/>
    <n v="700"/>
    <n v="14050"/>
    <n v="20639.8"/>
    <n v="14056"/>
    <n v="20639.8"/>
    <n v="0"/>
    <n v="0"/>
    <n v="54260"/>
    <n v="0"/>
    <s v="P"/>
    <m/>
    <s v="LA1811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145"/>
    <n v="106627"/>
    <s v="Routeware Implementation"/>
    <m/>
    <m/>
    <m/>
    <m/>
    <n v="0"/>
    <s v="ROUTEWARE INC"/>
    <m/>
    <m/>
    <d v="2013-08-31T00:00:00"/>
    <d v="2013-08-31T00:00:00"/>
    <s v="2180-13-0028-1"/>
    <n v="300"/>
    <n v="14110"/>
    <n v="47300.63"/>
    <n v="14116"/>
    <n v="47300.63"/>
    <n v="0"/>
    <n v="0"/>
    <n v="70260"/>
    <n v="0"/>
    <s v="P"/>
    <m/>
    <n v="951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128"/>
    <s v="P"/>
    <s v="2YD FEL Containers"/>
    <n v="2"/>
    <m/>
    <m/>
    <m/>
    <n v="0"/>
    <s v="CAPITAL INDUSTRIES INC"/>
    <m/>
    <s v="2 YD FEL/REL/SL Metal"/>
    <d v="2013-08-28T00:00:00"/>
    <d v="2013-08-28T00:00:00"/>
    <s v="2180-13-0013-1"/>
    <n v="1200"/>
    <n v="14050"/>
    <n v="1033.5999999999999"/>
    <n v="14056"/>
    <n v="753.64"/>
    <n v="279.95999999999992"/>
    <n v="35.89"/>
    <n v="54260"/>
    <n v="7.18"/>
    <s v="P"/>
    <m/>
    <n v="861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127"/>
    <s v="P"/>
    <s v="2YD FEL Containers"/>
    <n v="8"/>
    <m/>
    <m/>
    <m/>
    <n v="0"/>
    <s v="CAPITAL INDUSTRIES INC"/>
    <m/>
    <s v="2 YD FEL/REL/SL Metal"/>
    <d v="2013-08-28T00:00:00"/>
    <d v="2013-08-28T00:00:00"/>
    <s v="2180-13-0013-1"/>
    <n v="1200"/>
    <n v="14050"/>
    <n v="4134.3999999999996"/>
    <n v="14056"/>
    <n v="3014.48"/>
    <n v="1119.9199999999996"/>
    <n v="143.55000000000001"/>
    <n v="54260"/>
    <n v="28.71"/>
    <s v="P"/>
    <m/>
    <n v="8615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7126"/>
    <s v="P"/>
    <s v="1.5YD FEL Containers"/>
    <n v="10"/>
    <m/>
    <m/>
    <m/>
    <n v="0"/>
    <s v="CAPITAL INDUSTRIES INC"/>
    <m/>
    <s v="1.5 YD FEL/REL/SL Metal"/>
    <d v="2013-08-28T00:00:00"/>
    <d v="2013-08-28T00:00:00"/>
    <s v="2180-13-0013-1"/>
    <n v="1200"/>
    <n v="14050"/>
    <n v="4896"/>
    <n v="14056"/>
    <n v="3570"/>
    <n v="1326"/>
    <n v="170"/>
    <n v="54260"/>
    <n v="34"/>
    <s v="P"/>
    <m/>
    <n v="861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807"/>
    <s v="P"/>
    <s v="2YD FEL Containers"/>
    <n v="4"/>
    <m/>
    <m/>
    <m/>
    <n v="0"/>
    <s v="CAPITAL INDUSTRIES INC"/>
    <m/>
    <s v="2 YD FEL/REL/SL Metal"/>
    <d v="2013-08-20T00:00:00"/>
    <d v="2013-08-20T00:00:00"/>
    <s v="2180-13-0014-1"/>
    <n v="1200"/>
    <n v="14050"/>
    <n v="2067.1999999999998"/>
    <n v="14056"/>
    <n v="1507.36"/>
    <n v="559.83999999999992"/>
    <n v="71.78"/>
    <n v="54260"/>
    <n v="14.36"/>
    <s v="P"/>
    <m/>
    <n v="855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806"/>
    <s v="P"/>
    <s v="2YD FEL Containers"/>
    <n v="19"/>
    <m/>
    <m/>
    <m/>
    <n v="0"/>
    <s v="CAPITAL INDUSTRIES INC"/>
    <m/>
    <s v="2 YD FEL/REL/SL Metal"/>
    <d v="2013-08-20T00:00:00"/>
    <d v="2013-08-20T00:00:00"/>
    <s v="2180-13-0014-1"/>
    <n v="1200"/>
    <n v="14050"/>
    <n v="9819.2000000000007"/>
    <n v="14056"/>
    <n v="7159.87"/>
    <n v="2659.3300000000008"/>
    <n v="340.95"/>
    <n v="54260"/>
    <n v="68.19"/>
    <s v="P"/>
    <m/>
    <n v="8550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805"/>
    <s v="P"/>
    <s v="95 Gallon Carts"/>
    <n v="360"/>
    <m/>
    <m/>
    <m/>
    <n v="0"/>
    <s v="REHRIG PACIFIC COMPANY"/>
    <m/>
    <m/>
    <d v="2013-08-13T00:00:00"/>
    <d v="2013-08-13T00:00:00"/>
    <s v="2180-13-0006-1"/>
    <n v="700"/>
    <n v="14050"/>
    <n v="20639.8"/>
    <n v="14056"/>
    <n v="20639.8"/>
    <n v="0"/>
    <n v="0"/>
    <n v="54260"/>
    <n v="0"/>
    <s v="P"/>
    <m/>
    <s v="LA1804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804"/>
    <s v="P"/>
    <s v="95 Gallon Carts"/>
    <n v="400"/>
    <m/>
    <m/>
    <m/>
    <n v="0"/>
    <s v="REHRIG PACIFIC COMPANY"/>
    <m/>
    <m/>
    <d v="2013-08-20T00:00:00"/>
    <d v="2013-08-20T00:00:00"/>
    <s v="2180-13-0008-1"/>
    <n v="700"/>
    <n v="14050"/>
    <n v="22636.93"/>
    <n v="14056"/>
    <n v="22636.93"/>
    <n v="0"/>
    <n v="0"/>
    <n v="54260"/>
    <n v="0"/>
    <s v="P"/>
    <m/>
    <s v="LA1806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765"/>
    <s v="P"/>
    <s v="2010 Used F150 Supervisor Pickup Truck"/>
    <n v="0"/>
    <m/>
    <s v="1FTMF1EW1AKC08722"/>
    <m/>
    <n v="2010"/>
    <s v="FORD F150"/>
    <s v="Other"/>
    <s v="Pick Up Truck"/>
    <d v="2013-08-13T00:00:00"/>
    <d v="2013-08-13T00:00:00"/>
    <s v="2180-13-0002-1"/>
    <n v="300"/>
    <n v="14040"/>
    <n v="23110.11"/>
    <n v="14046"/>
    <n v="23110.11"/>
    <n v="0"/>
    <n v="0"/>
    <n v="51260"/>
    <n v="0"/>
    <s v="P"/>
    <m/>
    <s v="Stock No. 130571ED"/>
    <n v="604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627"/>
    <s v="P"/>
    <s v="Routeware Implementation"/>
    <n v="0"/>
    <m/>
    <m/>
    <m/>
    <n v="0"/>
    <m/>
    <m/>
    <m/>
    <d v="2013-08-31T00:00:00"/>
    <d v="2013-08-31T00:00:00"/>
    <s v="2180-13-0028-1"/>
    <n v="300"/>
    <n v="14110"/>
    <n v="538492.81000000006"/>
    <n v="14116"/>
    <n v="538492.81000000006"/>
    <n v="0"/>
    <n v="0"/>
    <n v="70260"/>
    <n v="0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304"/>
    <s v="P"/>
    <s v="95 Gal Recycle Carts"/>
    <n v="486"/>
    <m/>
    <m/>
    <m/>
    <n v="0"/>
    <s v="REHRIG PACIFIC COMPANY"/>
    <m/>
    <m/>
    <d v="2013-07-27T00:00:00"/>
    <d v="2013-07-27T00:00:00"/>
    <s v="2180-13-0007-1"/>
    <n v="700"/>
    <n v="14050"/>
    <n v="26930.76"/>
    <n v="14056"/>
    <n v="26930.76"/>
    <n v="0"/>
    <n v="0"/>
    <n v="54260"/>
    <n v="0"/>
    <s v="P"/>
    <m/>
    <s v="LA18004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6181"/>
    <s v="P"/>
    <s v="65 Gal Carts"/>
    <n v="648"/>
    <m/>
    <m/>
    <m/>
    <n v="0"/>
    <s v="REHRIG PACIFIC COMPANY"/>
    <m/>
    <m/>
    <d v="2013-07-27T00:00:00"/>
    <d v="2013-07-27T00:00:00"/>
    <s v="2180-13-0005-1"/>
    <n v="700"/>
    <n v="14050"/>
    <n v="30302.54"/>
    <n v="14056"/>
    <n v="30302.54"/>
    <n v="0"/>
    <n v="0"/>
    <n v="54260"/>
    <n v="0"/>
    <s v="P"/>
    <m/>
    <s v="LA18004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945"/>
    <s v="P"/>
    <s v="2014 Isuzu NPR Box Van"/>
    <n v="0"/>
    <m/>
    <s v="JALC4W166E7001898"/>
    <m/>
    <n v="2014"/>
    <s v="ISUZU NPR"/>
    <s v="Other"/>
    <s v="Container Delivery Truck"/>
    <d v="2013-07-30T00:00:00"/>
    <d v="2013-07-30T00:00:00"/>
    <s v="2180-13-0004-1"/>
    <n v="1000"/>
    <n v="14040"/>
    <n v="53720.41"/>
    <n v="14046"/>
    <n v="47453.02"/>
    <n v="6267.3900000000067"/>
    <n v="2238.35"/>
    <n v="51260"/>
    <n v="447.67"/>
    <s v="P"/>
    <m/>
    <s v="252594T"/>
    <n v="957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519"/>
    <s v="P"/>
    <s v="95 Gal Carts"/>
    <n v="486"/>
    <m/>
    <m/>
    <m/>
    <n v="0"/>
    <s v="REHRIG PACIFIC COMPANY"/>
    <m/>
    <m/>
    <d v="2013-06-27T00:00:00"/>
    <d v="2013-06-27T00:00:00"/>
    <s v="2180-13-0008-1"/>
    <n v="700"/>
    <n v="14050"/>
    <n v="26402"/>
    <n v="14056"/>
    <n v="26402"/>
    <n v="0"/>
    <n v="0"/>
    <n v="54260"/>
    <n v="0"/>
    <s v="P"/>
    <m/>
    <s v="LA17928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141"/>
    <s v="P"/>
    <s v="Panasonic Toughbook 53 (SN = %3FTSA83610)"/>
    <n v="0"/>
    <m/>
    <m/>
    <m/>
    <n v="0"/>
    <s v="CDW"/>
    <m/>
    <m/>
    <d v="2013-06-17T00:00:00"/>
    <d v="2013-06-17T00:00:00"/>
    <s v="2180-13-0030-1"/>
    <n v="300"/>
    <n v="14110"/>
    <n v="1688.87"/>
    <n v="14116"/>
    <n v="1688.87"/>
    <n v="0"/>
    <n v="0"/>
    <n v="70260"/>
    <n v="0"/>
    <s v="P"/>
    <m/>
    <s v="CT4595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076"/>
    <s v="P"/>
    <s v="6YD FEL Containers"/>
    <n v="7"/>
    <m/>
    <m/>
    <m/>
    <n v="0"/>
    <s v="CAPITAL INDUSTRIES INC"/>
    <m/>
    <s v="6 YD FEL/REL/SL Metal"/>
    <d v="2013-06-24T00:00:00"/>
    <d v="2013-06-24T00:00:00"/>
    <s v="2180-13-0017-1"/>
    <n v="1200"/>
    <n v="14050"/>
    <n v="6598.72"/>
    <n v="14056"/>
    <n v="4903.1899999999996"/>
    <n v="1695.5300000000007"/>
    <n v="229.12"/>
    <n v="54260"/>
    <n v="45.82"/>
    <s v="P"/>
    <m/>
    <n v="8333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075"/>
    <s v="P"/>
    <s v="6YD FEL Containers"/>
    <n v="11"/>
    <m/>
    <m/>
    <m/>
    <n v="0"/>
    <s v="CAPITAL INDUSTRIES INC"/>
    <m/>
    <s v="6 YD FEL/REL/SL Metal"/>
    <d v="2013-06-24T00:00:00"/>
    <d v="2013-06-24T00:00:00"/>
    <s v="2180-13-0017-1"/>
    <n v="1200"/>
    <n v="14050"/>
    <n v="8317.76"/>
    <n v="14056"/>
    <n v="6180.58"/>
    <n v="2137.1800000000003"/>
    <n v="288.81"/>
    <n v="54260"/>
    <n v="57.76"/>
    <s v="P"/>
    <m/>
    <n v="8333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074"/>
    <s v="P"/>
    <s v="6YD FEL Containers"/>
    <n v="11"/>
    <m/>
    <m/>
    <m/>
    <n v="0"/>
    <s v="CAPITAL INDUSTRIES INC"/>
    <m/>
    <s v="6 YD FEL/REL/SL Metal"/>
    <d v="2013-06-24T00:00:00"/>
    <d v="2013-06-24T00:00:00"/>
    <s v="2180-13-0017-1"/>
    <n v="1200"/>
    <n v="14050"/>
    <n v="8317.76"/>
    <n v="14056"/>
    <n v="6180.58"/>
    <n v="2137.1800000000003"/>
    <n v="288.81"/>
    <n v="54260"/>
    <n v="57.76"/>
    <s v="P"/>
    <m/>
    <n v="833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5073"/>
    <s v="P"/>
    <s v="6YD FEL Containers"/>
    <n v="11"/>
    <m/>
    <m/>
    <m/>
    <n v="0"/>
    <s v="CAPITAL INDUSTRIES INC"/>
    <m/>
    <s v="6 YD FEL/REL/SL Metal"/>
    <d v="2013-06-24T00:00:00"/>
    <d v="2013-06-24T00:00:00"/>
    <s v="2180-13-0017-1"/>
    <n v="1200"/>
    <n v="14050"/>
    <n v="8317.76"/>
    <n v="14056"/>
    <n v="6180.58"/>
    <n v="2137.1800000000003"/>
    <n v="288.81"/>
    <n v="54260"/>
    <n v="57.76"/>
    <s v="P"/>
    <m/>
    <n v="832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4869"/>
    <s v="P"/>
    <s v="96 Gal Carts"/>
    <n v="624"/>
    <m/>
    <m/>
    <m/>
    <n v="0"/>
    <s v="TOTER INCORPORATED"/>
    <m/>
    <m/>
    <d v="2013-06-03T00:00:00"/>
    <d v="2013-06-03T00:00:00"/>
    <s v="2180-13-0008-1"/>
    <n v="700"/>
    <n v="14050"/>
    <n v="33271.040000000001"/>
    <n v="14056"/>
    <n v="33271.040000000001"/>
    <n v="0"/>
    <n v="0"/>
    <n v="54260"/>
    <n v="0"/>
    <s v="P"/>
    <m/>
    <s v="KB 31848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4086"/>
    <s v="P"/>
    <s v="65 Gallon Green Refuse Carts"/>
    <n v="648"/>
    <m/>
    <m/>
    <m/>
    <n v="0"/>
    <s v="REHRIG PACIFIC COMPANY"/>
    <m/>
    <m/>
    <d v="2013-01-01T00:00:00"/>
    <d v="2013-01-01T00:00:00"/>
    <s v="2180-13-0031-1"/>
    <n v="700"/>
    <n v="14050"/>
    <n v="29689.23"/>
    <n v="14056"/>
    <n v="29689.23"/>
    <n v="0"/>
    <n v="0"/>
    <n v="54260"/>
    <n v="0"/>
    <s v="P"/>
    <m/>
    <s v="KE7451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4085"/>
    <s v="P"/>
    <s v="65 Gallon Green Refuse Carts"/>
    <n v="648"/>
    <m/>
    <m/>
    <m/>
    <n v="0"/>
    <s v="REHRIG PACIFIC COMPANY"/>
    <m/>
    <m/>
    <d v="2013-01-01T00:00:00"/>
    <d v="2013-01-01T00:00:00"/>
    <s v="2180-13-0031-1"/>
    <n v="700"/>
    <n v="14050"/>
    <n v="29689.23"/>
    <n v="14056"/>
    <n v="29689.23"/>
    <n v="0"/>
    <n v="0"/>
    <n v="54260"/>
    <n v="0"/>
    <s v="P"/>
    <m/>
    <s v="KE745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3617"/>
    <s v="P"/>
    <s v="HP Probook 6470b (SN = CNU31295LQ) and Docking Station (SN = CNU229X2ZP)"/>
    <n v="0"/>
    <m/>
    <m/>
    <m/>
    <n v="0"/>
    <s v="CDW"/>
    <m/>
    <m/>
    <d v="2013-04-15T00:00:00"/>
    <d v="2013-04-15T00:00:00"/>
    <s v="2180-13-0018-1"/>
    <n v="300"/>
    <n v="14110"/>
    <n v="1019.36"/>
    <n v="14116"/>
    <n v="1019.36"/>
    <n v="0"/>
    <n v="0"/>
    <n v="70260"/>
    <n v="0"/>
    <s v="P"/>
    <m/>
    <s v="BN965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3582"/>
    <s v="P"/>
    <s v="65 Gallon Refuse Carts"/>
    <n v="648"/>
    <m/>
    <m/>
    <m/>
    <n v="0"/>
    <s v="REHRIG PACIFIC COMPANY"/>
    <m/>
    <m/>
    <d v="2013-01-01T00:00:00"/>
    <d v="2013-01-01T00:00:00"/>
    <s v="2180-13-0008-1"/>
    <n v="700"/>
    <n v="14050"/>
    <n v="29526.41"/>
    <n v="14056"/>
    <n v="29526.41"/>
    <n v="0"/>
    <n v="0"/>
    <n v="54260"/>
    <n v="0"/>
    <s v="P"/>
    <m/>
    <s v="LA17419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3581"/>
    <s v="P"/>
    <s v="65 Gallon Refuse Carts"/>
    <n v="648"/>
    <m/>
    <m/>
    <m/>
    <n v="0"/>
    <s v="REHRIG PACIFIC COMPANY"/>
    <m/>
    <m/>
    <d v="2013-01-01T00:00:00"/>
    <d v="2013-01-01T00:00:00"/>
    <s v="2180-13-0006-1"/>
    <n v="700"/>
    <n v="14050"/>
    <n v="29526.41"/>
    <n v="14056"/>
    <n v="29526.41"/>
    <n v="0"/>
    <n v="0"/>
    <n v="54260"/>
    <n v="0"/>
    <s v="P"/>
    <m/>
    <s v="LA17425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3307"/>
    <s v="P"/>
    <s v="3 Yard Commercial Container-64716"/>
    <n v="11"/>
    <m/>
    <m/>
    <m/>
    <n v="0"/>
    <m/>
    <m/>
    <s v="3 YD FEL/REL/SL Metal"/>
    <d v="2008-11-03T00:00:00"/>
    <d v="2008-11-03T00:00:00"/>
    <m/>
    <n v="1200"/>
    <n v="14050"/>
    <n v="2034.57"/>
    <n v="14056"/>
    <n v="2034.57"/>
    <n v="0"/>
    <n v="0"/>
    <n v="54260"/>
    <n v="0"/>
    <s v="A"/>
    <s v="LeMay Enterprises"/>
    <m/>
    <m/>
    <s v="Internal"/>
    <s v="A"/>
    <s v="SL"/>
    <d v="2009-04-30T00:00:00"/>
    <s v="WCNX"/>
    <n v="6"/>
    <n v="84.54"/>
    <m/>
    <x v="13"/>
    <m/>
    <m/>
    <m/>
    <m/>
    <m/>
    <m/>
    <m/>
    <m/>
    <m/>
    <m/>
    <x v="1"/>
  </r>
  <r>
    <n v="2180"/>
    <n v="103263"/>
    <s v="P"/>
    <s v="2008 Ford F150"/>
    <n v="0"/>
    <m/>
    <s v="1FTPX14V18FA49481"/>
    <m/>
    <n v="2008"/>
    <s v="FORD F150"/>
    <s v="ford"/>
    <s v="Pick Up Truck"/>
    <d v="2013-04-01T00:00:00"/>
    <d v="2013-04-01T00:00:00"/>
    <s v="2180-13-0001-1"/>
    <n v="300"/>
    <n v="14040"/>
    <n v="25233.41"/>
    <n v="14046"/>
    <n v="25233.41"/>
    <n v="0"/>
    <n v="0"/>
    <n v="51260"/>
    <n v="0"/>
    <s v="P"/>
    <m/>
    <s v="HAR130322"/>
    <n v="604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2967"/>
    <s v="P"/>
    <s v="65 Gallon Refuse Carts"/>
    <n v="1"/>
    <m/>
    <m/>
    <m/>
    <n v="0"/>
    <s v="REHRIG PACIFIC COMPANY"/>
    <m/>
    <m/>
    <d v="2013-03-27T00:00:00"/>
    <d v="2013-03-27T00:00:00"/>
    <s v="2180-13-0005-1"/>
    <n v="700"/>
    <n v="14050"/>
    <n v="64"/>
    <n v="14056"/>
    <n v="64"/>
    <n v="0"/>
    <n v="0"/>
    <n v="54260"/>
    <n v="0"/>
    <s v="P"/>
    <m/>
    <s v="LA1770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2966"/>
    <s v="P"/>
    <s v="65 Gallon Refuse Carts"/>
    <n v="647"/>
    <m/>
    <m/>
    <m/>
    <n v="0"/>
    <s v="REHRIG PACIFIC COMPANY"/>
    <m/>
    <m/>
    <d v="2013-03-27T00:00:00"/>
    <d v="2013-03-27T00:00:00"/>
    <s v="2180-13-0005-1"/>
    <n v="700"/>
    <n v="14050"/>
    <n v="29477.119999999999"/>
    <n v="14056"/>
    <n v="29477.119999999999"/>
    <n v="0"/>
    <n v="0"/>
    <n v="54260"/>
    <n v="0"/>
    <s v="P"/>
    <m/>
    <s v="LA17709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2965"/>
    <s v="P"/>
    <s v="65 Gallon Refuse Carts"/>
    <n v="648"/>
    <m/>
    <m/>
    <m/>
    <n v="0"/>
    <s v="REHRIG PACIFIC COMPANY"/>
    <m/>
    <m/>
    <d v="2013-03-27T00:00:00"/>
    <d v="2013-03-27T00:00:00"/>
    <s v="2180-13-0005-1"/>
    <n v="700"/>
    <n v="14050"/>
    <n v="29541.119999999999"/>
    <n v="14056"/>
    <n v="29541.119999999999"/>
    <n v="0"/>
    <n v="0"/>
    <n v="54260"/>
    <n v="0"/>
    <s v="P"/>
    <m/>
    <s v="LA1770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2681"/>
    <s v="P"/>
    <s v="95 Gallon Recycle Carts"/>
    <n v="486"/>
    <m/>
    <m/>
    <m/>
    <n v="0"/>
    <s v="REHRIG PACIFIC COMPANY"/>
    <m/>
    <m/>
    <d v="2013-03-03T00:00:00"/>
    <d v="2013-03-03T00:00:00"/>
    <s v="2180-13-0007-1"/>
    <n v="700"/>
    <n v="14050"/>
    <n v="26158.76"/>
    <n v="14056"/>
    <n v="26158.76"/>
    <n v="0"/>
    <n v="0"/>
    <n v="54260"/>
    <n v="0"/>
    <s v="P"/>
    <m/>
    <s v="LA17656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2680"/>
    <s v="P"/>
    <s v="95 Gallon Recycle Carts"/>
    <n v="486"/>
    <m/>
    <m/>
    <m/>
    <n v="0"/>
    <s v="REHRIG PACIFIC COMPANY"/>
    <m/>
    <m/>
    <d v="2013-03-03T00:00:00"/>
    <d v="2013-03-03T00:00:00"/>
    <s v="2180-13-0007-1"/>
    <n v="700"/>
    <n v="14050"/>
    <n v="26158.76"/>
    <n v="14056"/>
    <n v="26158.76"/>
    <n v="0"/>
    <n v="0"/>
    <n v="54260"/>
    <n v="0"/>
    <s v="P"/>
    <m/>
    <s v="LA1765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1995"/>
    <s v="P"/>
    <s v="(1) Tricoder"/>
    <n v="0"/>
    <m/>
    <m/>
    <m/>
    <n v="0"/>
    <s v="Ron Turley Associates"/>
    <m/>
    <m/>
    <d v="2013-01-01T00:00:00"/>
    <d v="2013-01-01T00:00:00"/>
    <s v="1010-12-0021-1"/>
    <n v="300"/>
    <n v="14110"/>
    <n v="1066"/>
    <n v="14116"/>
    <n v="1066"/>
    <n v="0"/>
    <n v="0"/>
    <n v="70260"/>
    <n v="0"/>
    <s v="P"/>
    <m/>
    <n v="385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100113"/>
    <s v="P"/>
    <s v="(3) BinMaxx FEL fork scale systems"/>
    <n v="0"/>
    <m/>
    <m/>
    <m/>
    <n v="0"/>
    <s v="SOLID WASTE SYSTEMS INC"/>
    <m/>
    <m/>
    <d v="2012-12-31T00:00:00"/>
    <d v="2012-12-31T00:00:00"/>
    <s v="2180-12-0029-1"/>
    <n v="500"/>
    <n v="14070"/>
    <n v="16556.099999999999"/>
    <n v="14076"/>
    <n v="16556.099999999999"/>
    <n v="0"/>
    <n v="0"/>
    <n v="51260"/>
    <n v="0"/>
    <s v="P"/>
    <m/>
    <n v="12400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9962"/>
    <s v="P"/>
    <s v="40 Cubic Yard Roll-Off Metal Containers"/>
    <n v="3"/>
    <m/>
    <m/>
    <m/>
    <n v="0"/>
    <s v="CAPITAL INDUSTRIES INC"/>
    <m/>
    <s v="40 YD RO Box"/>
    <d v="2012-11-15T00:00:00"/>
    <d v="2012-11-15T00:00:00"/>
    <s v="2180-12-0003-1"/>
    <n v="1200"/>
    <n v="14050"/>
    <n v="19371.84"/>
    <n v="14056"/>
    <n v="15470.56"/>
    <n v="3901.2800000000007"/>
    <n v="672.63"/>
    <n v="54260"/>
    <n v="134.52000000000001"/>
    <s v="P"/>
    <m/>
    <n v="775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9961"/>
    <s v="P"/>
    <s v="40 Cubic Yard Roll-Off Metal Containers"/>
    <n v="3"/>
    <m/>
    <m/>
    <m/>
    <n v="0"/>
    <s v="CAPITAL INDUSTRIES INC"/>
    <m/>
    <s v="40 YD RO Box"/>
    <d v="2012-11-15T00:00:00"/>
    <d v="2012-11-15T00:00:00"/>
    <s v="2180-12-0003-1"/>
    <n v="1200"/>
    <n v="14050"/>
    <n v="19371.84"/>
    <n v="14056"/>
    <n v="15470.56"/>
    <n v="3901.2800000000007"/>
    <n v="672.63"/>
    <n v="54260"/>
    <n v="134.52000000000001"/>
    <s v="P"/>
    <m/>
    <n v="7754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9960"/>
    <s v="P"/>
    <s v="40 Cubic Yard Roll-Off Metal Containers"/>
    <n v="3"/>
    <m/>
    <m/>
    <m/>
    <n v="0"/>
    <s v="CAPITAL INDUSTRIES INC"/>
    <m/>
    <s v="40 YD RO Box"/>
    <d v="2012-11-15T00:00:00"/>
    <d v="2012-11-15T00:00:00"/>
    <s v="2180-12-0003-1"/>
    <n v="1200"/>
    <n v="14050"/>
    <n v="19371.84"/>
    <n v="14056"/>
    <n v="15470.56"/>
    <n v="3901.2800000000007"/>
    <n v="672.63"/>
    <n v="54260"/>
    <n v="134.52000000000001"/>
    <s v="P"/>
    <m/>
    <n v="775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9959"/>
    <s v="P"/>
    <s v="40 Cubic Yard Roll-Off Metal Containers"/>
    <n v="2"/>
    <m/>
    <m/>
    <m/>
    <n v="0"/>
    <s v="CAPITAL INDUSTRIES INC"/>
    <m/>
    <s v="40 YD RO Box"/>
    <d v="2012-11-15T00:00:00"/>
    <d v="2012-11-15T00:00:00"/>
    <s v="2180-12-0003-1"/>
    <n v="1200"/>
    <n v="14050"/>
    <n v="12914.56"/>
    <n v="14056"/>
    <n v="10313.68"/>
    <n v="2600.8799999999992"/>
    <n v="448.42"/>
    <n v="54260"/>
    <n v="89.68"/>
    <s v="P"/>
    <m/>
    <n v="7748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9010"/>
    <s v="P"/>
    <s v="40 Cubic Yard Roll-Off Metal Containers"/>
    <n v="3"/>
    <m/>
    <m/>
    <m/>
    <n v="0"/>
    <s v="CAPITAL INDUSTRIES INC"/>
    <m/>
    <s v="40 YD RO Box"/>
    <d v="2012-12-17T00:00:00"/>
    <d v="2012-12-17T00:00:00"/>
    <s v="2180-12-0003-1"/>
    <n v="1200"/>
    <n v="14050"/>
    <n v="19371.84"/>
    <n v="14056"/>
    <n v="15201.51"/>
    <n v="4170.33"/>
    <n v="672.63"/>
    <n v="54260"/>
    <n v="134.52000000000001"/>
    <s v="P"/>
    <m/>
    <n v="7755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8468"/>
    <n v="96423"/>
    <s v="DriveCam Unit for New ASL"/>
    <n v="0"/>
    <m/>
    <s v="3BPZL70XXDF187405"/>
    <m/>
    <n v="2013"/>
    <s v="Peterbilt 320"/>
    <s v="wayne"/>
    <s v="Automated Sideload"/>
    <d v="2012-09-21T00:00:00"/>
    <d v="2012-09-21T00:00:00"/>
    <s v="2180-12-0021-1"/>
    <n v="1000"/>
    <n v="14040"/>
    <n v="592.97"/>
    <n v="14046"/>
    <n v="573.16999999999996"/>
    <n v="19.800000000000068"/>
    <n v="24.72"/>
    <n v="51260"/>
    <n v="4.95"/>
    <s v="P"/>
    <m/>
    <n v="50088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8423"/>
    <s v="P"/>
    <s v="(2) New Diesel Pressure Washers"/>
    <n v="0"/>
    <m/>
    <m/>
    <m/>
    <n v="0"/>
    <s v="A.M.B. TOOLS &amp; EQUIPMENT"/>
    <m/>
    <m/>
    <d v="2012-11-30T00:00:00"/>
    <d v="2012-11-30T00:00:00"/>
    <s v="2180-12-0028-1"/>
    <n v="500"/>
    <n v="14070"/>
    <n v="11321.73"/>
    <n v="14076"/>
    <n v="11321.73"/>
    <n v="0"/>
    <n v="0"/>
    <n v="51260"/>
    <n v="0"/>
    <s v="P"/>
    <m/>
    <s v="T2948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8392"/>
    <s v="P"/>
    <s v="4 Yard FEL Plastic Contaienrs"/>
    <n v="20"/>
    <m/>
    <m/>
    <m/>
    <n v="0"/>
    <s v="REHRIG PACIFIC COMPANY"/>
    <m/>
    <s v="4 YD FEL/REL/SL Plastic"/>
    <d v="2012-10-24T00:00:00"/>
    <d v="2012-10-24T00:00:00"/>
    <s v="2180-12-0011-1"/>
    <n v="700"/>
    <n v="14050"/>
    <n v="15097.2"/>
    <n v="14056"/>
    <n v="15097.2"/>
    <n v="0"/>
    <n v="0"/>
    <n v="54260"/>
    <n v="0"/>
    <s v="P"/>
    <m/>
    <s v="AT13739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8391"/>
    <s v="P"/>
    <s v="4 Yard FEL Plastic Containers"/>
    <n v="4"/>
    <m/>
    <m/>
    <m/>
    <n v="0"/>
    <s v="REHRIG PACIFIC COMPANY"/>
    <m/>
    <s v="4 YD FEL/REL/SL Plastic"/>
    <d v="2012-10-24T00:00:00"/>
    <d v="2012-10-24T00:00:00"/>
    <s v="2180-12-0011-1"/>
    <n v="700"/>
    <n v="14050"/>
    <n v="2910.04"/>
    <n v="14056"/>
    <n v="2910.04"/>
    <n v="0"/>
    <n v="0"/>
    <n v="54260"/>
    <n v="0"/>
    <s v="P"/>
    <m/>
    <s v="AT1373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6"/>
    <s v="P"/>
    <s v="30 Yard Roll Off Boxes"/>
    <n v="3"/>
    <m/>
    <m/>
    <m/>
    <n v="0"/>
    <s v="CAPITAL INDUSTRIES INC"/>
    <m/>
    <s v="30 YD RO Box"/>
    <d v="2012-10-24T00:00:00"/>
    <d v="2012-10-24T00:00:00"/>
    <s v="2180-12-0004-1"/>
    <n v="1200"/>
    <n v="14050"/>
    <n v="17804.849999999999"/>
    <n v="14056"/>
    <n v="14219.18"/>
    <n v="3585.6699999999983"/>
    <n v="618.23"/>
    <n v="54260"/>
    <n v="123.65"/>
    <s v="P"/>
    <m/>
    <n v="761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5"/>
    <s v="P"/>
    <s v="30 Yard Roll Off Boxes"/>
    <n v="3"/>
    <m/>
    <m/>
    <m/>
    <n v="0"/>
    <s v="CAPITAL INDUSTRIES INC"/>
    <m/>
    <s v="30 YD RO Box"/>
    <d v="2012-10-24T00:00:00"/>
    <d v="2012-10-24T00:00:00"/>
    <s v="2180-12-0004-1"/>
    <n v="1200"/>
    <n v="14050"/>
    <n v="17804.849999999999"/>
    <n v="14056"/>
    <n v="14219.18"/>
    <n v="3585.6699999999983"/>
    <n v="618.23"/>
    <n v="54260"/>
    <n v="123.65"/>
    <s v="P"/>
    <m/>
    <n v="7612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4"/>
    <s v="P"/>
    <s v="30 Yard Roll Off Box"/>
    <n v="1"/>
    <m/>
    <m/>
    <m/>
    <n v="0"/>
    <s v="CAPITAL INDUSTRIES INC"/>
    <m/>
    <s v="30 YD RO Box"/>
    <d v="2012-10-24T00:00:00"/>
    <d v="2012-10-24T00:00:00"/>
    <s v="2180-12-0004-1"/>
    <n v="1200"/>
    <n v="14050"/>
    <n v="5934.95"/>
    <n v="14056"/>
    <n v="4739.7299999999996"/>
    <n v="1195.2200000000003"/>
    <n v="206.08"/>
    <n v="54260"/>
    <n v="41.22"/>
    <s v="P"/>
    <m/>
    <n v="7612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3"/>
    <s v="P"/>
    <s v="30 Yard R/O Boxes"/>
    <n v="3"/>
    <m/>
    <m/>
    <m/>
    <n v="0"/>
    <s v="CAPITAL INDUSTRIES INC"/>
    <m/>
    <s v="30 YD RO Box"/>
    <d v="2012-10-24T00:00:00"/>
    <d v="2012-10-24T00:00:00"/>
    <s v="2180-12-0004-1"/>
    <n v="1200"/>
    <n v="14050"/>
    <n v="17804.849999999999"/>
    <n v="14056"/>
    <n v="14219.18"/>
    <n v="3585.6699999999983"/>
    <n v="618.23"/>
    <n v="54260"/>
    <n v="123.65"/>
    <s v="P"/>
    <m/>
    <n v="761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2"/>
    <s v="P"/>
    <s v="30 Yard R/O Boxes"/>
    <n v="3"/>
    <m/>
    <m/>
    <m/>
    <n v="0"/>
    <s v="CAPITAL INDUSTRIES INC"/>
    <m/>
    <s v="30 YD RO Box"/>
    <d v="2012-10-24T00:00:00"/>
    <d v="2012-10-24T00:00:00"/>
    <s v="2180-12-0004-1"/>
    <n v="1200"/>
    <n v="14050"/>
    <n v="17804.849999999999"/>
    <n v="14056"/>
    <n v="14219.18"/>
    <n v="3585.6699999999983"/>
    <n v="618.23"/>
    <n v="54260"/>
    <n v="123.65"/>
    <s v="P"/>
    <m/>
    <n v="7612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31"/>
    <s v="P"/>
    <s v="30 Yard R/O Boxes"/>
    <n v="3"/>
    <m/>
    <m/>
    <m/>
    <n v="0"/>
    <s v="CAPITAL INDUSTRIES INC"/>
    <m/>
    <s v="30 YD RO Box"/>
    <d v="2012-10-24T00:00:00"/>
    <d v="2012-10-24T00:00:00"/>
    <s v="2180-12-0004-1"/>
    <n v="1200"/>
    <n v="14050"/>
    <n v="17804.849999999999"/>
    <n v="14056"/>
    <n v="14219.18"/>
    <n v="3585.6699999999983"/>
    <n v="618.23"/>
    <n v="54260"/>
    <n v="123.65"/>
    <s v="P"/>
    <m/>
    <n v="761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29"/>
    <s v="P"/>
    <s v="4 Yard Plastic Containers"/>
    <n v="10"/>
    <m/>
    <m/>
    <m/>
    <n v="0"/>
    <s v="REHRIG PACIFIC COMPANY"/>
    <m/>
    <s v="4 YD FEL/REL/SL Plastic"/>
    <d v="2012-10-18T00:00:00"/>
    <d v="2012-10-18T00:00:00"/>
    <s v="2180-12-0011-1"/>
    <n v="700"/>
    <n v="14050"/>
    <n v="7822.1"/>
    <n v="14056"/>
    <n v="7822.1"/>
    <n v="0"/>
    <n v="0"/>
    <n v="54260"/>
    <n v="0"/>
    <s v="P"/>
    <m/>
    <s v="AT13727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28"/>
    <s v="P"/>
    <s v="3 Yard Plastic Containers"/>
    <n v="23"/>
    <m/>
    <m/>
    <m/>
    <n v="0"/>
    <s v="REHRIG PACIFIC COMPANY"/>
    <m/>
    <s v="3 YD FEL/REL/SL Plastic"/>
    <d v="2012-10-18T00:00:00"/>
    <d v="2012-10-18T00:00:00"/>
    <s v="2180-12-0010-1"/>
    <n v="700"/>
    <n v="14050"/>
    <n v="14593.96"/>
    <n v="14056"/>
    <n v="14593.96"/>
    <n v="0"/>
    <n v="0"/>
    <n v="54260"/>
    <n v="0"/>
    <s v="P"/>
    <m/>
    <s v="AT1372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727"/>
    <s v="P"/>
    <s v="3 Yard Plastic Containers"/>
    <n v="13"/>
    <m/>
    <m/>
    <m/>
    <n v="0"/>
    <s v="REHRIG PACIFIC COMPANY"/>
    <m/>
    <s v="3 YD FEL/REL/SL Plastic"/>
    <d v="2012-10-18T00:00:00"/>
    <d v="2012-10-18T00:00:00"/>
    <s v="2180-12-0010-1"/>
    <n v="700"/>
    <n v="14050"/>
    <n v="8795.76"/>
    <n v="14056"/>
    <n v="8795.76"/>
    <n v="0"/>
    <n v="0"/>
    <n v="54260"/>
    <n v="0"/>
    <s v="P"/>
    <m/>
    <s v="AT13727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635"/>
    <n v="66265"/>
    <s v="Capital Repair Truck 9578"/>
    <n v="0"/>
    <m/>
    <m/>
    <m/>
    <n v="2001"/>
    <m/>
    <m/>
    <s v="Non-Rolling Stock"/>
    <d v="2009-07-31T00:00:00"/>
    <d v="2009-07-31T00:00:00"/>
    <s v="2182-9-0007-1"/>
    <n v="300"/>
    <n v="14040"/>
    <n v="6184.03"/>
    <n v="14046"/>
    <n v="6184.03"/>
    <n v="0"/>
    <n v="0"/>
    <n v="51260"/>
    <n v="0"/>
    <s v="P"/>
    <m/>
    <s v="C44256"/>
    <m/>
    <s v="Internal"/>
    <s v="A"/>
    <s v="SL"/>
    <d v="2012-10-31T00:00:00"/>
    <s v="WCNX"/>
    <n v="0"/>
    <n v="6184.03"/>
    <m/>
    <x v="13"/>
    <m/>
    <m/>
    <m/>
    <m/>
    <m/>
    <m/>
    <m/>
    <m/>
    <m/>
    <m/>
    <x v="1"/>
  </r>
  <r>
    <n v="2180"/>
    <n v="97423"/>
    <n v="96423"/>
    <s v="Overpayment of Truck LIcensing"/>
    <n v="0"/>
    <m/>
    <s v="3BPZL70XXDF187405"/>
    <m/>
    <n v="2013"/>
    <s v="Peterbilt 320"/>
    <s v="wayne"/>
    <s v="Automated Sideload"/>
    <d v="2012-09-21T00:00:00"/>
    <d v="2012-09-21T00:00:00"/>
    <s v="2180-12-0021-1"/>
    <n v="1000"/>
    <n v="14040"/>
    <n v="-62.5"/>
    <n v="14046"/>
    <n v="-60.42"/>
    <n v="-2.0799999999999983"/>
    <n v="-2.61"/>
    <n v="51260"/>
    <n v="-0.53"/>
    <s v="P"/>
    <m/>
    <s v="F2701XS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422"/>
    <n v="96422"/>
    <s v="Overpayment of Truck Licensing"/>
    <n v="0"/>
    <m/>
    <s v="3BPZL70X8DF187404"/>
    <m/>
    <n v="2013"/>
    <s v="Peterbilt 320"/>
    <s v="N/A"/>
    <s v="Automated Sideload"/>
    <d v="2012-09-21T00:00:00"/>
    <d v="2012-09-21T00:00:00"/>
    <s v="2180-12-0002-1"/>
    <n v="1000"/>
    <n v="14040"/>
    <n v="-62.5"/>
    <n v="14046"/>
    <n v="-60.42"/>
    <n v="-2.0799999999999983"/>
    <n v="-2.61"/>
    <n v="51260"/>
    <n v="-0.53"/>
    <s v="P"/>
    <m/>
    <s v="F2701XS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272"/>
    <s v="P"/>
    <s v="65 Gallon Refuse Carts - Forest Green"/>
    <n v="648"/>
    <m/>
    <m/>
    <m/>
    <n v="0"/>
    <s v="REHRIG PACIFIC CO"/>
    <m/>
    <m/>
    <d v="2012-06-24T00:00:00"/>
    <d v="2012-06-24T00:00:00"/>
    <s v="2180-12-0015-1"/>
    <n v="700"/>
    <n v="14050"/>
    <n v="29795.56"/>
    <n v="14056"/>
    <n v="29795.56"/>
    <n v="0"/>
    <n v="0"/>
    <n v="54260"/>
    <n v="0"/>
    <s v="P"/>
    <m/>
    <s v="LA17100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7271"/>
    <s v="P"/>
    <s v="65 Gallon Refuse Carts - Forest Green"/>
    <n v="648"/>
    <m/>
    <m/>
    <m/>
    <n v="0"/>
    <s v="REHRIG PACIFIC COMPANY"/>
    <m/>
    <m/>
    <d v="2012-06-24T00:00:00"/>
    <d v="2012-06-24T00:00:00"/>
    <s v="2180-12-0015-1"/>
    <n v="700"/>
    <n v="14050"/>
    <n v="29795.56"/>
    <n v="14056"/>
    <n v="29795.56"/>
    <n v="0"/>
    <n v="0"/>
    <n v="54260"/>
    <n v="0"/>
    <s v="P"/>
    <m/>
    <s v="LA1710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423"/>
    <s v="P"/>
    <s v="New 2013 Peterbilt 320 w/ Wayne Curtender body - ASL"/>
    <n v="0"/>
    <m/>
    <s v="3BPZL70XXDF187405"/>
    <m/>
    <n v="2013"/>
    <s v="Peterbilt 320"/>
    <s v="wayne"/>
    <s v="Automated Sideload"/>
    <d v="2012-09-21T00:00:00"/>
    <d v="2012-09-21T00:00:00"/>
    <s v="2180-12-0021-1"/>
    <n v="1000"/>
    <n v="14040"/>
    <n v="314011.90000000002"/>
    <n v="14046"/>
    <n v="303544.84000000003"/>
    <n v="10467.059999999998"/>
    <n v="13083.83"/>
    <n v="51260"/>
    <n v="2616.77"/>
    <s v="P"/>
    <m/>
    <n v="4101940"/>
    <n v="363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422"/>
    <s v="P"/>
    <s v="New 2013 Peterbilt 320 w/ Wayne Curtender body - ASL"/>
    <n v="0"/>
    <m/>
    <s v="3BPZL70X8DF187404"/>
    <m/>
    <n v="2013"/>
    <s v="Peterbilt 320"/>
    <s v="wayne"/>
    <s v="Automated Sideload"/>
    <d v="2012-09-21T00:00:00"/>
    <d v="2012-09-21T00:00:00"/>
    <s v="2180-12-0002-1"/>
    <n v="1000"/>
    <n v="14040"/>
    <n v="314011.90000000002"/>
    <n v="14046"/>
    <n v="303544.84000000003"/>
    <n v="10467.059999999998"/>
    <n v="13083.83"/>
    <n v="51260"/>
    <n v="2616.77"/>
    <s v="P"/>
    <m/>
    <n v="4101941"/>
    <n v="363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396"/>
    <s v="P"/>
    <s v="6 Yard FEL Containers"/>
    <n v="18"/>
    <m/>
    <m/>
    <m/>
    <n v="0"/>
    <s v="WASTEQUIP"/>
    <m/>
    <s v="6 YD FEL/REL/SL Metal"/>
    <d v="2012-07-13T00:00:00"/>
    <d v="2012-07-13T00:00:00"/>
    <s v="2180-12-0012-1"/>
    <n v="1200"/>
    <n v="14050"/>
    <n v="18055.38"/>
    <n v="14056"/>
    <n v="14920.82"/>
    <n v="3134.5600000000013"/>
    <n v="626.92999999999995"/>
    <n v="54260"/>
    <n v="125.39"/>
    <s v="P"/>
    <m/>
    <n v="3720495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395"/>
    <s v="P"/>
    <s v="6 Yard FEL Containers"/>
    <n v="8"/>
    <m/>
    <m/>
    <m/>
    <n v="0"/>
    <s v="WASTEQUIP"/>
    <m/>
    <s v="6 YD FEL/REL/SL Metal"/>
    <d v="2012-07-16T00:00:00"/>
    <d v="2012-07-16T00:00:00"/>
    <s v="2180-12-0012-1"/>
    <n v="1200"/>
    <n v="14050"/>
    <n v="8067.16"/>
    <n v="14056"/>
    <n v="6610.56"/>
    <n v="1456.5999999999995"/>
    <n v="280.11"/>
    <n v="54260"/>
    <n v="56.02"/>
    <s v="P"/>
    <m/>
    <n v="372049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314"/>
    <s v="P"/>
    <s v="95 Gallon Recycle Carts - ROC Grey"/>
    <n v="486"/>
    <m/>
    <m/>
    <m/>
    <n v="0"/>
    <s v="REHRIG PACIFIC COMPANY"/>
    <m/>
    <m/>
    <d v="2012-08-21T00:00:00"/>
    <d v="2012-08-21T00:00:00"/>
    <s v="2180-12-0016-1"/>
    <n v="700"/>
    <n v="14050"/>
    <n v="26015.29"/>
    <n v="14056"/>
    <n v="26015.29"/>
    <n v="0"/>
    <n v="0"/>
    <n v="54260"/>
    <n v="0"/>
    <s v="P"/>
    <m/>
    <s v="LA17222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6313"/>
    <s v="P"/>
    <s v="95 Gallon Recycle Carts - ROC Grey"/>
    <n v="486"/>
    <m/>
    <m/>
    <m/>
    <n v="0"/>
    <s v="REHRIG PACIFIC COMPANY"/>
    <m/>
    <m/>
    <d v="2012-08-21T00:00:00"/>
    <d v="2012-08-21T00:00:00"/>
    <s v="2180-12-0016-1"/>
    <n v="700"/>
    <n v="14050"/>
    <n v="26015.29"/>
    <n v="14056"/>
    <n v="26015.29"/>
    <n v="0"/>
    <n v="0"/>
    <n v="54260"/>
    <n v="0"/>
    <s v="P"/>
    <m/>
    <s v="LA17222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921"/>
    <s v="P"/>
    <s v="2  Yard FEL Slant Containers - LeMay Blue"/>
    <n v="27"/>
    <m/>
    <m/>
    <m/>
    <n v="0"/>
    <s v="WASTEQUIP"/>
    <m/>
    <s v="2 YD FEL/REL/SL Metal"/>
    <d v="2012-08-07T00:00:00"/>
    <d v="2012-08-07T00:00:00"/>
    <s v="2180-12-0009-1"/>
    <n v="1200"/>
    <n v="14050"/>
    <n v="13614.14"/>
    <n v="14056"/>
    <n v="11156.01"/>
    <n v="2458.1299999999992"/>
    <n v="472.71"/>
    <n v="54260"/>
    <n v="94.54"/>
    <s v="P"/>
    <m/>
    <n v="3720509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704"/>
    <s v="P"/>
    <s v="2 Yard Slant Top - LeMay Blue"/>
    <n v="15"/>
    <m/>
    <m/>
    <m/>
    <n v="0"/>
    <s v="WASTEQUIP"/>
    <m/>
    <s v="2 YD FEL/REL/SL Metal"/>
    <d v="2012-08-07T00:00:00"/>
    <d v="2012-08-07T00:00:00"/>
    <s v="2180-12-0009-1"/>
    <n v="1200"/>
    <n v="14050"/>
    <n v="7641.6"/>
    <n v="14056"/>
    <n v="6261.86"/>
    <n v="1379.7400000000007"/>
    <n v="265.33"/>
    <n v="54260"/>
    <n v="53.06"/>
    <s v="P"/>
    <m/>
    <n v="372050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598"/>
    <s v="P"/>
    <s v="(1) Tricoder"/>
    <n v="0"/>
    <m/>
    <m/>
    <m/>
    <n v="0"/>
    <s v="RON TURLEY ASSOCIATES INC"/>
    <m/>
    <m/>
    <d v="2012-08-02T00:00:00"/>
    <d v="2012-08-02T00:00:00"/>
    <s v="1010-12-0022-1"/>
    <n v="500"/>
    <n v="14110"/>
    <n v="1078.0999999999999"/>
    <n v="14116"/>
    <n v="1078.0999999999999"/>
    <n v="0"/>
    <n v="0"/>
    <n v="70260"/>
    <n v="0"/>
    <s v="P"/>
    <m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356"/>
    <s v="P"/>
    <s v="6 YARD SLANT TOP LIDS"/>
    <n v="9"/>
    <m/>
    <m/>
    <m/>
    <n v="0"/>
    <s v="WASTEQUIP"/>
    <m/>
    <m/>
    <d v="2012-07-13T00:00:00"/>
    <d v="2012-07-13T00:00:00"/>
    <s v="2180-12-0012-1"/>
    <n v="1200"/>
    <n v="14050"/>
    <n v="9027.69"/>
    <n v="14056"/>
    <n v="7460.4"/>
    <n v="1567.2900000000009"/>
    <n v="313.45999999999998"/>
    <n v="54260"/>
    <n v="62.69"/>
    <s v="P"/>
    <m/>
    <n v="3720494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320"/>
    <n v="94430"/>
    <s v="Vehicle Registration fees adjustment"/>
    <n v="0"/>
    <m/>
    <s v="5VCACLKF6BH211726"/>
    <m/>
    <n v="2011"/>
    <s v="Big Truck REntal"/>
    <s v="McNeilus"/>
    <s v="Non-Rolling Stock"/>
    <d v="2012-04-15T00:00:00"/>
    <d v="2012-04-15T00:00:00"/>
    <s v="2180-12-0025-1"/>
    <n v="900"/>
    <n v="14040"/>
    <n v="-47.17"/>
    <n v="14046"/>
    <n v="-47.17"/>
    <n v="0"/>
    <n v="0"/>
    <n v="51260"/>
    <n v="0"/>
    <s v="P"/>
    <m/>
    <s v="VO02989593; DB00097303; V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5093"/>
    <s v="P"/>
    <s v="RTA Equipment"/>
    <n v="0"/>
    <m/>
    <m/>
    <m/>
    <n v="0"/>
    <s v="CDW"/>
    <m/>
    <m/>
    <d v="2012-04-25T00:00:00"/>
    <d v="2012-04-25T00:00:00"/>
    <s v="1010-12-0021-1"/>
    <n v="300"/>
    <n v="14110"/>
    <n v="522.95000000000005"/>
    <n v="14116"/>
    <n v="522.95000000000005"/>
    <n v="0"/>
    <n v="0"/>
    <n v="70260"/>
    <n v="0"/>
    <s v="P"/>
    <m/>
    <s v="J454933"/>
    <m/>
    <s v="Internal"/>
    <s v="A"/>
    <s v="SL"/>
    <d v="2012-06-30T00:00:00"/>
    <s v="WCNX"/>
    <n v="0"/>
    <n v="29.05"/>
    <m/>
    <x v="13"/>
    <m/>
    <m/>
    <m/>
    <m/>
    <m/>
    <m/>
    <m/>
    <m/>
    <m/>
    <m/>
    <x v="1"/>
  </r>
  <r>
    <n v="2180"/>
    <n v="95092"/>
    <s v="P"/>
    <s v="RTA Equipment"/>
    <n v="0"/>
    <m/>
    <m/>
    <m/>
    <n v="0"/>
    <s v="CDW"/>
    <m/>
    <m/>
    <d v="2012-04-25T00:00:00"/>
    <d v="2012-04-25T00:00:00"/>
    <s v="1010-12-0021-1"/>
    <n v="300"/>
    <n v="14110"/>
    <n v="1045.9000000000001"/>
    <n v="14116"/>
    <n v="1045.9000000000001"/>
    <n v="0"/>
    <n v="0"/>
    <n v="70260"/>
    <n v="0"/>
    <s v="P"/>
    <m/>
    <s v="J454933"/>
    <m/>
    <s v="Internal"/>
    <s v="A"/>
    <s v="SL"/>
    <d v="2012-06-30T00:00:00"/>
    <s v="WCNX"/>
    <n v="0"/>
    <n v="58.11"/>
    <m/>
    <x v="13"/>
    <m/>
    <m/>
    <m/>
    <m/>
    <m/>
    <m/>
    <m/>
    <m/>
    <m/>
    <m/>
    <x v="1"/>
  </r>
  <r>
    <n v="2180"/>
    <n v="94768"/>
    <n v="94430"/>
    <s v="Tax and Licensing for new McNeilus front loader"/>
    <n v="0"/>
    <m/>
    <s v="5VCACLKF6BH211726"/>
    <m/>
    <n v="2011"/>
    <s v="Big Truck REntal"/>
    <s v="McNeilus"/>
    <s v="FEL Truck"/>
    <d v="2012-04-15T00:00:00"/>
    <d v="2012-04-15T00:00:00"/>
    <s v="2180-12-0025-1"/>
    <n v="900"/>
    <n v="14040"/>
    <n v="24205.87"/>
    <n v="14046"/>
    <n v="24205.87"/>
    <n v="0"/>
    <n v="0"/>
    <n v="51260"/>
    <n v="0"/>
    <s v="P"/>
    <m/>
    <d v="9488-11-01T00:00: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4430"/>
    <s v="P"/>
    <s v="Used 2011 Autocar ACX64 FEL"/>
    <n v="0"/>
    <m/>
    <s v="5VCACLKFXBH211728"/>
    <m/>
    <n v="2011"/>
    <s v="Autocar ACX64"/>
    <s v="McNeilus"/>
    <s v="FEL Truck"/>
    <d v="2012-04-15T00:00:00"/>
    <d v="2012-04-15T00:00:00"/>
    <s v="2180-12-0025-1"/>
    <n v="900"/>
    <n v="14040"/>
    <n v="244600"/>
    <n v="14046"/>
    <n v="244600"/>
    <n v="0"/>
    <n v="0"/>
    <n v="51260"/>
    <n v="0"/>
    <s v="P"/>
    <m/>
    <s v="RENT09979"/>
    <n v="203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4335"/>
    <s v="P"/>
    <s v="95 Gallon Carts - Forest Green"/>
    <n v="486"/>
    <m/>
    <s v="989821-990306"/>
    <m/>
    <n v="0"/>
    <s v="REHRIG PACIFIC COMPANY"/>
    <m/>
    <m/>
    <d v="2012-06-13T00:00:00"/>
    <d v="2012-06-13T00:00:00"/>
    <s v="2180-12-0014-1"/>
    <n v="700"/>
    <n v="14050"/>
    <n v="25058.26"/>
    <n v="14056"/>
    <n v="25058.26"/>
    <n v="0"/>
    <n v="0"/>
    <n v="54260"/>
    <n v="0"/>
    <s v="P"/>
    <m/>
    <s v="LA17080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3827"/>
    <s v="P"/>
    <s v="95 Gallon Carts - Gray"/>
    <n v="486"/>
    <m/>
    <s v="#A96019333 T0 A96019818"/>
    <m/>
    <n v="0"/>
    <s v="REHRIG PACIFIC COMPANY"/>
    <m/>
    <m/>
    <d v="2012-05-21T00:00:00"/>
    <d v="2012-05-21T00:00:00"/>
    <s v="2180-12-0016-1"/>
    <n v="700"/>
    <n v="14050"/>
    <n v="25589.94"/>
    <n v="14056"/>
    <n v="25589.94"/>
    <n v="0"/>
    <n v="0"/>
    <n v="54260"/>
    <n v="0"/>
    <s v="P"/>
    <m/>
    <s v="LA1703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3826"/>
    <s v="P"/>
    <s v="95 Gallon Carts - Gray"/>
    <n v="486"/>
    <m/>
    <s v="#A96019819 T0 A96020304"/>
    <m/>
    <n v="0"/>
    <s v="REHRIG PACIFIC COMPANY"/>
    <m/>
    <m/>
    <d v="2012-05-21T00:00:00"/>
    <d v="2012-05-21T00:00:00"/>
    <s v="2180-12-0016-1"/>
    <n v="700"/>
    <n v="14050"/>
    <n v="25589.94"/>
    <n v="14056"/>
    <n v="25589.94"/>
    <n v="0"/>
    <n v="0"/>
    <n v="54260"/>
    <n v="0"/>
    <s v="P"/>
    <m/>
    <s v="LA17030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3825"/>
    <s v="P"/>
    <s v="65 Gallon Forest Gree Carts"/>
    <n v="648"/>
    <m/>
    <s v="T057441 T0 T058088"/>
    <m/>
    <n v="0"/>
    <s v="REHRIG PACIFIC COMPANY"/>
    <m/>
    <m/>
    <d v="2012-05-09T00:00:00"/>
    <d v="2012-05-09T00:00:00"/>
    <s v="2180-12-0015-1"/>
    <n v="700"/>
    <n v="14050"/>
    <n v="28682.58"/>
    <n v="14056"/>
    <n v="28682.58"/>
    <n v="0"/>
    <n v="0"/>
    <n v="54260"/>
    <n v="0"/>
    <s v="P"/>
    <m/>
    <s v="LA17000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3455"/>
    <s v="P"/>
    <s v="HP Compaq Pro PC (SN = MXL2090LKB)"/>
    <n v="0"/>
    <m/>
    <m/>
    <m/>
    <n v="0"/>
    <s v="CDW"/>
    <m/>
    <m/>
    <d v="2012-04-02T00:00:00"/>
    <d v="2012-04-02T00:00:00"/>
    <s v="2180-12-0026-1"/>
    <n v="300"/>
    <n v="14110"/>
    <n v="743.32"/>
    <n v="14116"/>
    <n v="743.32"/>
    <n v="0"/>
    <n v="0"/>
    <n v="70260"/>
    <n v="0"/>
    <s v="P"/>
    <m/>
    <s v="H56699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1123"/>
    <s v="P"/>
    <s v="Winterms, Monitors and scanner for Shop"/>
    <n v="0"/>
    <m/>
    <m/>
    <m/>
    <n v="0"/>
    <s v="CDW"/>
    <m/>
    <m/>
    <d v="2012-02-15T00:00:00"/>
    <d v="2012-02-15T00:00:00"/>
    <s v="1010-12-0021-1"/>
    <n v="300"/>
    <n v="14110"/>
    <n v="804.21"/>
    <n v="14116"/>
    <n v="804.21"/>
    <n v="0"/>
    <n v="0"/>
    <n v="70260"/>
    <n v="0"/>
    <s v="P"/>
    <m/>
    <s v="F37457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90674"/>
    <s v="P"/>
    <s v="VA Hospital"/>
    <n v="0"/>
    <m/>
    <m/>
    <m/>
    <n v="0"/>
    <m/>
    <m/>
    <m/>
    <d v="2008-11-03T00:00:00"/>
    <d v="2008-11-03T00:00:00"/>
    <m/>
    <n v="300"/>
    <n v="15250"/>
    <n v="0.01"/>
    <n v="15256"/>
    <n v="0.01"/>
    <n v="0"/>
    <n v="0"/>
    <n v="70269"/>
    <n v="0"/>
    <s v="A"/>
    <s v="LeMay Enterprises"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73"/>
    <s v="P"/>
    <s v="1.5 Yard Commercial Containers"/>
    <n v="263"/>
    <m/>
    <m/>
    <m/>
    <n v="0"/>
    <m/>
    <m/>
    <s v="1.5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72"/>
    <s v="P"/>
    <s v="3 Yard Commercial Containers"/>
    <n v="144"/>
    <m/>
    <m/>
    <m/>
    <n v="0"/>
    <m/>
    <m/>
    <s v="3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71"/>
    <s v="P"/>
    <s v="5 Yard Commercial Containers"/>
    <n v="333"/>
    <m/>
    <m/>
    <m/>
    <n v="0"/>
    <m/>
    <m/>
    <s v="5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70"/>
    <s v="P"/>
    <s v="8 Yard Commercial Containers"/>
    <n v="347"/>
    <m/>
    <m/>
    <m/>
    <n v="0"/>
    <m/>
    <m/>
    <s v="8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67"/>
    <s v="P"/>
    <s v="6 Yard Commercial Containers"/>
    <n v="234"/>
    <m/>
    <m/>
    <m/>
    <n v="0"/>
    <m/>
    <m/>
    <s v="6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66"/>
    <s v="P"/>
    <s v="1 Yard Commercial Containers"/>
    <n v="881"/>
    <m/>
    <m/>
    <m/>
    <n v="0"/>
    <m/>
    <m/>
    <s v="1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65"/>
    <s v="P"/>
    <s v="10 Yard R/O Containers"/>
    <n v="3"/>
    <m/>
    <m/>
    <m/>
    <n v="0"/>
    <m/>
    <m/>
    <s v="10 YD RO Box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62"/>
    <s v="P"/>
    <s v="4 Yard Commercial Containers"/>
    <n v="182"/>
    <m/>
    <m/>
    <m/>
    <n v="0"/>
    <m/>
    <m/>
    <s v="4 YD FEL/REL/SL Metal"/>
    <d v="2011-01-01T00:00:00"/>
    <d v="2011-01-01T00:00:00"/>
    <m/>
    <n v="300"/>
    <n v="14050"/>
    <n v="0.01"/>
    <n v="14056"/>
    <n v="0.01"/>
    <n v="0"/>
    <n v="0"/>
    <n v="54260"/>
    <n v="0"/>
    <s v="P"/>
    <m/>
    <m/>
    <m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60"/>
    <s v="P"/>
    <s v="1990 Rosco RB38 - Non Op"/>
    <n v="0"/>
    <m/>
    <n v="31646"/>
    <m/>
    <n v="1990"/>
    <s v="Other"/>
    <s v="Other"/>
    <s v="Street Sweeper"/>
    <d v="2009-01-01T00:00:00"/>
    <d v="2009-01-01T00:00:00"/>
    <m/>
    <n v="300"/>
    <n v="14030"/>
    <n v="0.01"/>
    <n v="14036"/>
    <n v="0.01"/>
    <n v="0"/>
    <n v="0"/>
    <n v="51260"/>
    <n v="0"/>
    <s v="P"/>
    <m/>
    <m/>
    <n v="7809"/>
    <s v="Internal"/>
    <s v="A"/>
    <s v="SL"/>
    <d v="2012-01-31T00:00:00"/>
    <s v="WCNX"/>
    <n v="0"/>
    <n v="0"/>
    <m/>
    <x v="13"/>
    <m/>
    <m/>
    <m/>
    <m/>
    <m/>
    <m/>
    <m/>
    <m/>
    <m/>
    <m/>
    <x v="1"/>
  </r>
  <r>
    <n v="2180"/>
    <n v="90659"/>
    <s v="P"/>
    <s v="General Metals of Tacoma"/>
    <n v="0"/>
    <m/>
    <m/>
    <m/>
    <n v="0"/>
    <m/>
    <m/>
    <m/>
    <d v="2008-11-03T00:00:00"/>
    <d v="2008-11-03T00:00:00"/>
    <m/>
    <n v="2500"/>
    <n v="15250"/>
    <n v="3941167.7"/>
    <n v="15256"/>
    <n v="2141367.81"/>
    <n v="1799799.8900000001"/>
    <n v="65686.13"/>
    <n v="70269"/>
    <n v="13137.23"/>
    <s v="A"/>
    <s v="LeMay Enterprises"/>
    <m/>
    <m/>
    <s v="Internal"/>
    <s v="A"/>
    <s v="SL"/>
    <d v="2012-01-31T00:00:00"/>
    <s v="WCNX"/>
    <n v="0"/>
    <n v="512351.81"/>
    <m/>
    <x v="13"/>
    <m/>
    <m/>
    <m/>
    <m/>
    <m/>
    <m/>
    <m/>
    <m/>
    <m/>
    <m/>
    <x v="1"/>
  </r>
  <r>
    <n v="2180"/>
    <n v="90658"/>
    <s v="P"/>
    <s v="Fort Lewis"/>
    <n v="0"/>
    <m/>
    <m/>
    <m/>
    <n v="0"/>
    <m/>
    <m/>
    <m/>
    <d v="2008-11-03T00:00:00"/>
    <d v="2008-11-03T00:00:00"/>
    <m/>
    <n v="2500"/>
    <n v="15250"/>
    <n v="2647605.84"/>
    <n v="15256"/>
    <n v="1438532.46"/>
    <n v="1209073.3799999999"/>
    <n v="44126.76"/>
    <n v="70269"/>
    <n v="8825.35"/>
    <s v="A"/>
    <s v="LeMay Enterprises"/>
    <m/>
    <m/>
    <s v="Internal"/>
    <s v="A"/>
    <s v="SL"/>
    <d v="2012-01-31T00:00:00"/>
    <s v="WCNX"/>
    <n v="0"/>
    <n v="344188.75"/>
    <m/>
    <x v="13"/>
    <m/>
    <m/>
    <m/>
    <m/>
    <m/>
    <m/>
    <m/>
    <m/>
    <m/>
    <m/>
    <x v="1"/>
  </r>
  <r>
    <n v="2180"/>
    <n v="90657"/>
    <s v="P"/>
    <s v="Town of Eatonville"/>
    <n v="0"/>
    <m/>
    <m/>
    <m/>
    <n v="0"/>
    <m/>
    <m/>
    <m/>
    <d v="2008-11-03T00:00:00"/>
    <d v="2008-11-03T00:00:00"/>
    <m/>
    <n v="2000"/>
    <n v="15250"/>
    <n v="269672"/>
    <n v="15256"/>
    <n v="183152.12"/>
    <n v="86519.88"/>
    <n v="5618.17"/>
    <n v="70269"/>
    <n v="1123.6400000000001"/>
    <s v="A"/>
    <s v="LeMay Enterprises"/>
    <m/>
    <m/>
    <s v="Internal"/>
    <s v="A"/>
    <s v="SL"/>
    <d v="2012-01-31T00:00:00"/>
    <s v="WCNX"/>
    <n v="0"/>
    <n v="43821.67"/>
    <m/>
    <x v="13"/>
    <m/>
    <m/>
    <m/>
    <m/>
    <m/>
    <m/>
    <m/>
    <m/>
    <m/>
    <m/>
    <x v="1"/>
  </r>
  <r>
    <n v="2180"/>
    <n v="90656"/>
    <s v="P"/>
    <s v="McChord Airforce Base"/>
    <n v="0"/>
    <m/>
    <m/>
    <m/>
    <n v="0"/>
    <m/>
    <m/>
    <m/>
    <d v="2008-11-03T00:00:00"/>
    <d v="2008-11-03T00:00:00"/>
    <m/>
    <n v="500"/>
    <n v="15250"/>
    <n v="148324.34"/>
    <n v="15256"/>
    <n v="148324.34"/>
    <n v="0"/>
    <n v="0"/>
    <n v="70269"/>
    <n v="0"/>
    <s v="A"/>
    <s v="LeMay Enterprises"/>
    <m/>
    <m/>
    <s v="Internal"/>
    <s v="A"/>
    <s v="SL"/>
    <d v="2012-01-31T00:00:00"/>
    <s v="WCNX"/>
    <n v="0"/>
    <n v="96410.83"/>
    <m/>
    <x v="13"/>
    <m/>
    <m/>
    <m/>
    <m/>
    <m/>
    <m/>
    <m/>
    <m/>
    <m/>
    <m/>
    <x v="1"/>
  </r>
  <r>
    <n v="2180"/>
    <n v="90655"/>
    <s v="P"/>
    <s v="City of Lakewood"/>
    <n v="0"/>
    <m/>
    <m/>
    <m/>
    <n v="0"/>
    <m/>
    <m/>
    <m/>
    <d v="2008-11-03T00:00:00"/>
    <d v="2008-11-03T00:00:00"/>
    <m/>
    <n v="4000"/>
    <n v="15250"/>
    <n v="11217831.52"/>
    <n v="15256"/>
    <n v="3809388.65"/>
    <n v="7408442.8699999992"/>
    <n v="116852.41"/>
    <n v="70269"/>
    <n v="23370.48"/>
    <s v="A"/>
    <s v="LeMay Enterprises"/>
    <m/>
    <m/>
    <s v="Internal"/>
    <s v="A"/>
    <s v="SL"/>
    <d v="2012-01-31T00:00:00"/>
    <s v="WCNX"/>
    <n v="0"/>
    <n v="911448.82"/>
    <m/>
    <x v="13"/>
    <m/>
    <m/>
    <m/>
    <m/>
    <m/>
    <m/>
    <m/>
    <m/>
    <m/>
    <m/>
    <x v="1"/>
  </r>
  <r>
    <n v="2180"/>
    <n v="90654"/>
    <s v="P"/>
    <s v="City of Dupont"/>
    <n v="0"/>
    <m/>
    <m/>
    <m/>
    <n v="0"/>
    <m/>
    <m/>
    <m/>
    <d v="2008-11-03T00:00:00"/>
    <d v="2008-11-03T00:00:00"/>
    <m/>
    <n v="2500"/>
    <n v="15250"/>
    <n v="647940.97"/>
    <n v="15256"/>
    <n v="352047.82"/>
    <n v="295893.14999999997"/>
    <n v="10799.02"/>
    <n v="70269"/>
    <n v="2159.81"/>
    <s v="A"/>
    <s v="LeMay Enterprises"/>
    <m/>
    <m/>
    <s v="Internal"/>
    <s v="A"/>
    <s v="SL"/>
    <d v="2012-01-31T00:00:00"/>
    <s v="WCNX"/>
    <n v="0"/>
    <n v="84232.3"/>
    <m/>
    <x v="13"/>
    <m/>
    <m/>
    <m/>
    <m/>
    <m/>
    <m/>
    <m/>
    <m/>
    <m/>
    <m/>
    <x v="1"/>
  </r>
  <r>
    <n v="2180"/>
    <n v="90653"/>
    <s v="P"/>
    <s v="City of University Place"/>
    <n v="0"/>
    <m/>
    <m/>
    <m/>
    <n v="0"/>
    <m/>
    <m/>
    <m/>
    <d v="2008-11-03T00:00:00"/>
    <d v="2008-11-03T00:00:00"/>
    <m/>
    <n v="4000"/>
    <n v="15250"/>
    <n v="346545.29"/>
    <n v="15256"/>
    <n v="117680.98"/>
    <n v="228864.31"/>
    <n v="3609.85"/>
    <n v="70269"/>
    <n v="721.97"/>
    <s v="A"/>
    <s v="LeMay Enterprises"/>
    <m/>
    <m/>
    <s v="Internal"/>
    <s v="A"/>
    <s v="SL"/>
    <d v="2012-01-31T00:00:00"/>
    <s v="WCNX"/>
    <n v="0"/>
    <n v="28156.799999999999"/>
    <m/>
    <x v="13"/>
    <m/>
    <m/>
    <m/>
    <m/>
    <m/>
    <m/>
    <m/>
    <m/>
    <m/>
    <m/>
    <x v="1"/>
  </r>
  <r>
    <n v="2180"/>
    <n v="90652"/>
    <s v="P"/>
    <s v="Mount Rainer National Park"/>
    <n v="0"/>
    <m/>
    <m/>
    <m/>
    <n v="0"/>
    <m/>
    <m/>
    <m/>
    <d v="2008-11-03T00:00:00"/>
    <d v="2008-11-03T00:00:00"/>
    <m/>
    <n v="500"/>
    <n v="15250"/>
    <n v="21094.79"/>
    <n v="15256"/>
    <n v="21094.79"/>
    <n v="0"/>
    <n v="0"/>
    <n v="70269"/>
    <n v="0"/>
    <s v="A"/>
    <s v="LeMay Enterprises"/>
    <m/>
    <m/>
    <s v="Internal"/>
    <s v="A"/>
    <s v="SL"/>
    <d v="2012-01-31T00:00:00"/>
    <s v="WCNX"/>
    <n v="0"/>
    <n v="13711.62"/>
    <m/>
    <x v="13"/>
    <m/>
    <m/>
    <m/>
    <m/>
    <m/>
    <m/>
    <m/>
    <m/>
    <m/>
    <m/>
    <x v="1"/>
  </r>
  <r>
    <n v="2180"/>
    <n v="90651"/>
    <s v="P"/>
    <s v="Town of Steilacoom"/>
    <n v="0"/>
    <m/>
    <m/>
    <m/>
    <n v="0"/>
    <m/>
    <m/>
    <m/>
    <d v="2008-11-03T00:00:00"/>
    <d v="2008-11-03T00:00:00"/>
    <m/>
    <n v="2500"/>
    <n v="15250"/>
    <n v="563423.52"/>
    <n v="15256"/>
    <n v="306126.77"/>
    <n v="257296.75"/>
    <n v="9390.39"/>
    <n v="70269"/>
    <n v="1878.08"/>
    <s v="A"/>
    <s v="LeMay Enterprises"/>
    <m/>
    <m/>
    <s v="Internal"/>
    <s v="A"/>
    <s v="SL"/>
    <d v="2012-01-31T00:00:00"/>
    <s v="WCNX"/>
    <n v="0"/>
    <n v="73245.06"/>
    <m/>
    <x v="13"/>
    <m/>
    <m/>
    <m/>
    <m/>
    <m/>
    <m/>
    <m/>
    <m/>
    <m/>
    <m/>
    <x v="1"/>
  </r>
  <r>
    <n v="2180"/>
    <n v="90650"/>
    <s v="P"/>
    <s v="Goodwill Entries"/>
    <n v="0"/>
    <m/>
    <m/>
    <m/>
    <n v="0"/>
    <m/>
    <m/>
    <m/>
    <d v="2008-12-01T00:00:00"/>
    <d v="2008-12-01T00:00:00"/>
    <m/>
    <n v="0"/>
    <n v="15110"/>
    <n v="-2046212.52"/>
    <n v="15120"/>
    <n v="0"/>
    <n v="-2046212.52"/>
    <n v="0"/>
    <n v="0"/>
    <n v="0"/>
    <s v="A"/>
    <s v="LeMay"/>
    <m/>
    <m/>
    <s v="Internal"/>
    <s v="A"/>
    <s v="NO"/>
    <d v="2012-01-31T00:00:00"/>
    <s v="WCNX"/>
    <n v="0"/>
    <n v="0"/>
    <m/>
    <x v="13"/>
    <m/>
    <m/>
    <m/>
    <m/>
    <m/>
    <m/>
    <m/>
    <m/>
    <m/>
    <m/>
    <x v="1"/>
  </r>
  <r>
    <n v="2180"/>
    <n v="90649"/>
    <s v="P"/>
    <s v="Goodwil - LeMay Enterprises"/>
    <n v="0"/>
    <m/>
    <m/>
    <m/>
    <n v="0"/>
    <m/>
    <m/>
    <m/>
    <d v="2008-11-03T00:00:00"/>
    <d v="2008-11-03T00:00:00"/>
    <m/>
    <n v="0"/>
    <n v="15110"/>
    <n v="3420667.72"/>
    <n v="15120"/>
    <n v="0"/>
    <n v="3420667.72"/>
    <n v="0"/>
    <m/>
    <n v="0"/>
    <s v="A"/>
    <s v="LeMay Enterprises"/>
    <m/>
    <m/>
    <s v="Internal"/>
    <s v="A"/>
    <s v="NO"/>
    <d v="2012-01-31T00:00:00"/>
    <s v="WCNX"/>
    <n v="0"/>
    <n v="0"/>
    <m/>
    <x v="13"/>
    <m/>
    <m/>
    <m/>
    <m/>
    <m/>
    <m/>
    <m/>
    <m/>
    <m/>
    <m/>
    <x v="1"/>
  </r>
  <r>
    <n v="2180"/>
    <n v="90648"/>
    <s v="P"/>
    <s v="6 Acer 17&quot; Monitors"/>
    <n v="0"/>
    <m/>
    <m/>
    <m/>
    <n v="0"/>
    <s v="CDW"/>
    <m/>
    <m/>
    <d v="2009-11-30T00:00:00"/>
    <d v="2009-11-30T00:00:00"/>
    <s v="2181-9-0009-2"/>
    <n v="300"/>
    <n v="14110"/>
    <n v="674.37"/>
    <n v="14116"/>
    <n v="674.37"/>
    <n v="0"/>
    <n v="0"/>
    <n v="70260"/>
    <n v="0"/>
    <s v="P"/>
    <m/>
    <s v="QXZ5632"/>
    <m/>
    <s v="Internal"/>
    <s v="A"/>
    <s v="SL"/>
    <d v="2012-01-31T00:00:00"/>
    <s v="WCNX"/>
    <n v="0"/>
    <n v="487.04"/>
    <m/>
    <x v="13"/>
    <m/>
    <m/>
    <m/>
    <m/>
    <m/>
    <m/>
    <m/>
    <m/>
    <m/>
    <m/>
    <x v="1"/>
  </r>
  <r>
    <n v="2180"/>
    <n v="90647"/>
    <s v="P"/>
    <s v="HP ProBook 6460B (SN = CNU1294KL8)  and Docking Station (SN = CNU125ZVBC)"/>
    <n v="0"/>
    <m/>
    <m/>
    <m/>
    <n v="0"/>
    <s v="CDW"/>
    <m/>
    <m/>
    <d v="2011-09-11T00:00:00"/>
    <d v="2011-09-11T00:00:00"/>
    <s v="2181-11-0027-1"/>
    <n v="300"/>
    <n v="14110"/>
    <n v="986.21"/>
    <n v="14116"/>
    <n v="986.21"/>
    <n v="0"/>
    <n v="0"/>
    <n v="70260"/>
    <n v="0"/>
    <s v="P"/>
    <m/>
    <s v="ZPH8827"/>
    <m/>
    <s v="Internal"/>
    <s v="A"/>
    <s v="SL"/>
    <d v="2012-01-31T00:00:00"/>
    <s v="WCNX"/>
    <n v="0"/>
    <n v="136.97999999999999"/>
    <m/>
    <x v="13"/>
    <m/>
    <m/>
    <m/>
    <m/>
    <m/>
    <m/>
    <m/>
    <m/>
    <m/>
    <m/>
    <x v="1"/>
  </r>
  <r>
    <n v="2180"/>
    <n v="90646"/>
    <s v="P"/>
    <s v="6 Wyse Winterms S10"/>
    <n v="0"/>
    <m/>
    <m/>
    <m/>
    <n v="0"/>
    <s v="CDW"/>
    <m/>
    <m/>
    <d v="2009-11-30T00:00:00"/>
    <d v="2009-11-30T00:00:00"/>
    <s v="2181-9-0009-1"/>
    <n v="300"/>
    <n v="14110"/>
    <n v="1902"/>
    <n v="14116"/>
    <n v="1902"/>
    <n v="0"/>
    <n v="0"/>
    <n v="70260"/>
    <n v="0"/>
    <s v="P"/>
    <m/>
    <s v="QXZ5632"/>
    <m/>
    <s v="Internal"/>
    <s v="A"/>
    <s v="SL"/>
    <d v="2012-01-31T00:00:00"/>
    <s v="WCNX"/>
    <n v="0"/>
    <n v="1373.66"/>
    <m/>
    <x v="13"/>
    <m/>
    <m/>
    <m/>
    <m/>
    <m/>
    <m/>
    <m/>
    <m/>
    <m/>
    <m/>
    <x v="1"/>
  </r>
  <r>
    <n v="2180"/>
    <n v="90645"/>
    <s v="P"/>
    <s v="(1) Recore System"/>
    <n v="0"/>
    <m/>
    <m/>
    <m/>
    <n v="0"/>
    <m/>
    <m/>
    <m/>
    <d v="2011-11-15T00:00:00"/>
    <d v="2011-11-15T00:00:00"/>
    <s v="2181-11-0028-1"/>
    <n v="300"/>
    <n v="14110"/>
    <n v="6989.73"/>
    <n v="14116"/>
    <n v="6989.73"/>
    <n v="0"/>
    <n v="0"/>
    <n v="70260"/>
    <n v="0"/>
    <s v="P"/>
    <m/>
    <n v="93763"/>
    <m/>
    <s v="Internal"/>
    <s v="A"/>
    <s v="SL"/>
    <d v="2012-01-31T00:00:00"/>
    <s v="WCNX"/>
    <n v="0"/>
    <n v="582.48"/>
    <m/>
    <x v="13"/>
    <m/>
    <m/>
    <m/>
    <m/>
    <m/>
    <m/>
    <m/>
    <m/>
    <m/>
    <m/>
    <x v="1"/>
  </r>
  <r>
    <n v="2180"/>
    <n v="90644"/>
    <s v="P"/>
    <s v="Distribute Drive Cams Invoices (Onsite Technicians)"/>
    <n v="0"/>
    <m/>
    <m/>
    <m/>
    <n v="0"/>
    <s v="Drive Cam"/>
    <m/>
    <m/>
    <d v="2009-07-22T00:00:00"/>
    <d v="2009-07-22T00:00:00"/>
    <s v="2181-9-0006-1"/>
    <n v="500"/>
    <n v="14070"/>
    <n v="10913.06"/>
    <n v="14076"/>
    <n v="10913.06"/>
    <n v="0"/>
    <n v="0"/>
    <n v="51260"/>
    <n v="0"/>
    <s v="P"/>
    <m/>
    <s v="4073803-IN"/>
    <m/>
    <s v="Internal"/>
    <s v="A"/>
    <s v="SL"/>
    <d v="2012-01-31T00:00:00"/>
    <s v="WCNX"/>
    <n v="0"/>
    <n v="5456.52"/>
    <m/>
    <x v="13"/>
    <m/>
    <m/>
    <m/>
    <m/>
    <m/>
    <m/>
    <m/>
    <m/>
    <m/>
    <m/>
    <x v="1"/>
  </r>
  <r>
    <n v="2180"/>
    <n v="90643"/>
    <s v="P"/>
    <s v="Distribute Drive Cams Invoice (Subscription &amp; Installation)"/>
    <n v="0"/>
    <m/>
    <m/>
    <m/>
    <n v="0"/>
    <s v="Drive Cam"/>
    <m/>
    <m/>
    <d v="2009-07-08T00:00:00"/>
    <d v="2009-07-08T00:00:00"/>
    <s v="2181-9-0006-1"/>
    <n v="500"/>
    <n v="14070"/>
    <n v="1078.6500000000001"/>
    <n v="14076"/>
    <n v="1078.6500000000001"/>
    <n v="0"/>
    <n v="0"/>
    <n v="51260"/>
    <n v="0"/>
    <s v="P"/>
    <m/>
    <s v="4072680-IN"/>
    <m/>
    <s v="Internal"/>
    <s v="A"/>
    <s v="SL"/>
    <d v="2012-01-31T00:00:00"/>
    <s v="WCNX"/>
    <n v="0"/>
    <n v="557.30999999999995"/>
    <m/>
    <x v="13"/>
    <m/>
    <m/>
    <m/>
    <m/>
    <m/>
    <m/>
    <m/>
    <m/>
    <m/>
    <m/>
    <x v="1"/>
  </r>
  <r>
    <n v="2180"/>
    <n v="90642"/>
    <s v="P"/>
    <s v="(57) Drive Cam Units"/>
    <n v="0"/>
    <m/>
    <m/>
    <m/>
    <n v="0"/>
    <s v="Drive Cam"/>
    <m/>
    <m/>
    <d v="2009-06-22T00:00:00"/>
    <d v="2009-06-22T00:00:00"/>
    <s v="2181-9-0006-1"/>
    <n v="500"/>
    <n v="14070"/>
    <n v="32932.65"/>
    <n v="14076"/>
    <n v="32932.65"/>
    <n v="0"/>
    <n v="0"/>
    <n v="51260"/>
    <n v="0"/>
    <s v="P"/>
    <m/>
    <s v="4071795-IN"/>
    <m/>
    <s v="Internal"/>
    <s v="A"/>
    <s v="SL"/>
    <d v="2012-01-31T00:00:00"/>
    <s v="WCNX"/>
    <n v="0"/>
    <n v="17015.21"/>
    <m/>
    <x v="13"/>
    <m/>
    <m/>
    <m/>
    <m/>
    <m/>
    <m/>
    <m/>
    <m/>
    <m/>
    <m/>
    <x v="1"/>
  </r>
  <r>
    <n v="2180"/>
    <n v="90641"/>
    <s v="P"/>
    <s v="65 Gallon Carts - Forest Green"/>
    <n v="357"/>
    <m/>
    <m/>
    <m/>
    <n v="0"/>
    <s v="REHRIG PACIFIC COMPANY-LA"/>
    <m/>
    <m/>
    <d v="2010-05-15T00:00:00"/>
    <d v="2010-05-15T00:00:00"/>
    <s v="2181-10-0012-1"/>
    <n v="700"/>
    <n v="14050"/>
    <n v="19606"/>
    <n v="14056"/>
    <n v="19606"/>
    <n v="0"/>
    <n v="0"/>
    <n v="54260"/>
    <n v="0"/>
    <s v="P"/>
    <m/>
    <s v="LA155969"/>
    <m/>
    <s v="Internal"/>
    <s v="A"/>
    <s v="SL"/>
    <d v="2012-01-31T00:00:00"/>
    <s v="WCNX"/>
    <n v="0"/>
    <n v="4901.51"/>
    <m/>
    <x v="13"/>
    <m/>
    <m/>
    <m/>
    <m/>
    <m/>
    <m/>
    <m/>
    <m/>
    <m/>
    <m/>
    <x v="1"/>
  </r>
  <r>
    <n v="2180"/>
    <n v="90640"/>
    <s v="P"/>
    <s v="95 Gallon Carts &amp; Lids Roc Grey"/>
    <n v="486"/>
    <m/>
    <s v="A9515931 T0 A9516416"/>
    <m/>
    <n v="0"/>
    <s v="REHRIG PACIFIC COMPANY-LA"/>
    <m/>
    <m/>
    <d v="2010-06-25T00:00:00"/>
    <d v="2010-06-25T00:00:00"/>
    <s v="2181-10-0013-1"/>
    <n v="700"/>
    <n v="14050"/>
    <n v="25672.799999999999"/>
    <n v="14056"/>
    <n v="25672.799999999999"/>
    <n v="0"/>
    <n v="0"/>
    <n v="54260"/>
    <n v="0"/>
    <s v="P"/>
    <m/>
    <s v="LA156805"/>
    <m/>
    <s v="Internal"/>
    <s v="A"/>
    <s v="SL"/>
    <d v="2012-01-31T00:00:00"/>
    <s v="WCNX"/>
    <n v="0"/>
    <n v="5806.94"/>
    <m/>
    <x v="13"/>
    <m/>
    <m/>
    <m/>
    <m/>
    <m/>
    <m/>
    <m/>
    <m/>
    <m/>
    <m/>
    <x v="1"/>
  </r>
  <r>
    <n v="2180"/>
    <n v="90638"/>
    <s v="P"/>
    <s v="95 Gallon Carts - Blue"/>
    <n v="486"/>
    <m/>
    <s v="066535-067020"/>
    <m/>
    <n v="0"/>
    <s v="REHRIG PACIFIC COMPANY"/>
    <m/>
    <m/>
    <d v="2011-05-04T00:00:00"/>
    <d v="2011-05-04T00:00:00"/>
    <s v="2181-11-0018-1"/>
    <n v="700"/>
    <n v="14050"/>
    <n v="25210.65"/>
    <n v="14056"/>
    <n v="25210.65"/>
    <n v="0"/>
    <n v="0"/>
    <n v="54260"/>
    <n v="0"/>
    <s v="P"/>
    <m/>
    <s v="LA163015"/>
    <m/>
    <s v="Internal"/>
    <s v="A"/>
    <s v="SL"/>
    <d v="2012-01-31T00:00:00"/>
    <s v="WCNX"/>
    <n v="0"/>
    <n v="2701.15"/>
    <m/>
    <x v="13"/>
    <m/>
    <m/>
    <m/>
    <m/>
    <m/>
    <m/>
    <m/>
    <m/>
    <m/>
    <m/>
    <x v="1"/>
  </r>
  <r>
    <n v="2180"/>
    <n v="90637"/>
    <s v="P"/>
    <s v="95 Gallon Carts - Green"/>
    <n v="49"/>
    <m/>
    <m/>
    <m/>
    <n v="0"/>
    <s v="REHRIG PACIFIC COMPANY"/>
    <m/>
    <m/>
    <d v="2011-05-04T00:00:00"/>
    <d v="2011-05-04T00:00:00"/>
    <s v="2181-11-0018-1"/>
    <n v="700"/>
    <n v="14050"/>
    <n v="2541.8200000000002"/>
    <n v="14056"/>
    <n v="2541.8200000000002"/>
    <n v="0"/>
    <n v="0"/>
    <n v="54260"/>
    <n v="0"/>
    <s v="P"/>
    <m/>
    <s v="LA162956"/>
    <m/>
    <s v="Internal"/>
    <s v="A"/>
    <s v="SL"/>
    <d v="2012-01-31T00:00:00"/>
    <s v="WCNX"/>
    <n v="0"/>
    <n v="272.33999999999997"/>
    <m/>
    <x v="13"/>
    <m/>
    <m/>
    <m/>
    <m/>
    <m/>
    <m/>
    <m/>
    <m/>
    <m/>
    <m/>
    <x v="1"/>
  </r>
  <r>
    <n v="2180"/>
    <n v="90636"/>
    <s v="P"/>
    <s v="95 Gallon Carts - Green"/>
    <n v="486"/>
    <m/>
    <s v="986759 T0 987244"/>
    <m/>
    <n v="0"/>
    <s v="REHRIG PACIFIC COMPANY"/>
    <m/>
    <m/>
    <d v="2011-05-04T00:00:00"/>
    <d v="2011-05-04T00:00:00"/>
    <s v="2181-11-0018-1"/>
    <n v="700"/>
    <n v="14050"/>
    <n v="25210.65"/>
    <n v="14056"/>
    <n v="25210.65"/>
    <n v="0"/>
    <n v="0"/>
    <n v="54260"/>
    <n v="0"/>
    <s v="P"/>
    <m/>
    <s v="LA162955"/>
    <m/>
    <s v="Internal"/>
    <s v="A"/>
    <s v="SL"/>
    <d v="2012-01-31T00:00:00"/>
    <s v="WCNX"/>
    <n v="0"/>
    <n v="2701.15"/>
    <m/>
    <x v="13"/>
    <m/>
    <m/>
    <m/>
    <m/>
    <m/>
    <m/>
    <m/>
    <m/>
    <m/>
    <m/>
    <x v="1"/>
  </r>
  <r>
    <n v="2180"/>
    <n v="90635"/>
    <s v="P"/>
    <s v="35 Gallon Carts - Green"/>
    <n v="440"/>
    <m/>
    <s v="035041611 T0 035042050"/>
    <m/>
    <n v="0"/>
    <s v="REHRIG PACIFIC COMPANY"/>
    <m/>
    <m/>
    <d v="2011-04-18T00:00:00"/>
    <d v="2011-04-18T00:00:00"/>
    <s v="2181-11-0017-1"/>
    <n v="700"/>
    <n v="14050"/>
    <n v="15548.14"/>
    <n v="14056"/>
    <n v="15548.14"/>
    <n v="0"/>
    <n v="0"/>
    <n v="54260"/>
    <n v="0"/>
    <s v="P"/>
    <m/>
    <s v="LA162837"/>
    <m/>
    <s v="Internal"/>
    <s v="A"/>
    <s v="SL"/>
    <d v="2012-01-31T00:00:00"/>
    <s v="WCNX"/>
    <n v="0"/>
    <n v="1665.88"/>
    <m/>
    <x v="13"/>
    <m/>
    <m/>
    <m/>
    <m/>
    <m/>
    <m/>
    <m/>
    <m/>
    <m/>
    <m/>
    <x v="1"/>
  </r>
  <r>
    <n v="2180"/>
    <n v="90634"/>
    <s v="P"/>
    <s v="95 Gallon Carts &amp; Lids Roc Grey"/>
    <n v="486"/>
    <m/>
    <s v="A9515931 T0 A9516416"/>
    <m/>
    <n v="0"/>
    <s v="REHRIG PACIFIC COMPANY-LA"/>
    <m/>
    <m/>
    <d v="2010-09-25T00:00:00"/>
    <d v="2010-09-25T00:00:00"/>
    <s v="2181-10-0013-1"/>
    <n v="700"/>
    <n v="14050"/>
    <n v="24169.51"/>
    <n v="14056"/>
    <n v="24169.51"/>
    <n v="0"/>
    <n v="0"/>
    <n v="54260"/>
    <n v="0"/>
    <s v="P"/>
    <m/>
    <s v="LA158955"/>
    <m/>
    <s v="Internal"/>
    <s v="A"/>
    <s v="SL"/>
    <d v="2012-01-31T00:00:00"/>
    <s v="WCNX"/>
    <n v="0"/>
    <n v="4603.72"/>
    <m/>
    <x v="13"/>
    <m/>
    <m/>
    <m/>
    <m/>
    <m/>
    <m/>
    <m/>
    <m/>
    <m/>
    <m/>
    <x v="1"/>
  </r>
  <r>
    <n v="2180"/>
    <n v="90633"/>
    <s v="P"/>
    <s v="50 Yard R/O Containers"/>
    <n v="2"/>
    <m/>
    <m/>
    <m/>
    <n v="0"/>
    <m/>
    <m/>
    <s v="50 YD RO Box"/>
    <d v="2008-11-03T00:00:00"/>
    <d v="2008-11-03T00:00:00"/>
    <m/>
    <n v="700"/>
    <n v="14050"/>
    <n v="5000"/>
    <n v="14056"/>
    <n v="5000"/>
    <n v="0"/>
    <n v="0"/>
    <n v="54260"/>
    <n v="0"/>
    <s v="A"/>
    <s v="LeMay Enterprises"/>
    <m/>
    <m/>
    <s v="Internal"/>
    <s v="A"/>
    <s v="SL"/>
    <d v="2012-01-31T00:00:00"/>
    <s v="WCNX"/>
    <n v="0"/>
    <n v="2321.4299999999998"/>
    <m/>
    <x v="13"/>
    <m/>
    <m/>
    <m/>
    <m/>
    <m/>
    <m/>
    <m/>
    <m/>
    <m/>
    <m/>
    <x v="1"/>
  </r>
  <r>
    <n v="2180"/>
    <n v="90632"/>
    <s v="P"/>
    <s v="65 Gallon Carts - Green T53329 TO T53976"/>
    <n v="648"/>
    <m/>
    <m/>
    <m/>
    <n v="0"/>
    <s v="REHRIG PACIFIC COMPANY-LA"/>
    <m/>
    <m/>
    <d v="2010-09-13T00:00:00"/>
    <d v="2010-09-13T00:00:00"/>
    <s v="2181-10-0014-1"/>
    <n v="700"/>
    <n v="14050"/>
    <n v="27714.37"/>
    <n v="14056"/>
    <n v="27714.37"/>
    <n v="0"/>
    <n v="0"/>
    <n v="54260"/>
    <n v="0"/>
    <s v="P"/>
    <m/>
    <s v="LA158696"/>
    <m/>
    <s v="Internal"/>
    <s v="A"/>
    <s v="SL"/>
    <d v="2012-01-31T00:00:00"/>
    <s v="WCNX"/>
    <n v="0"/>
    <n v="5608.86"/>
    <m/>
    <x v="13"/>
    <m/>
    <m/>
    <m/>
    <m/>
    <m/>
    <m/>
    <m/>
    <m/>
    <m/>
    <m/>
    <x v="1"/>
  </r>
  <r>
    <n v="2180"/>
    <n v="90631"/>
    <s v="P"/>
    <s v="2 Yard REL Containers"/>
    <n v="13"/>
    <m/>
    <m/>
    <m/>
    <n v="0"/>
    <s v="RULE STEEL TANKS INC"/>
    <m/>
    <s v="2 YD FEL/REL/SL Metal"/>
    <d v="2010-06-03T00:00:00"/>
    <d v="2010-06-03T00:00:00"/>
    <s v="2181-10-0011-1"/>
    <n v="1200"/>
    <n v="14050"/>
    <n v="6771.14"/>
    <n v="14056"/>
    <n v="6771.14"/>
    <n v="0"/>
    <n v="235.13"/>
    <n v="54260"/>
    <n v="47.03"/>
    <s v="P"/>
    <m/>
    <s v="0003852IN"/>
    <m/>
    <s v="Internal"/>
    <s v="A"/>
    <s v="SL"/>
    <d v="2012-01-31T00:00:00"/>
    <s v="WCNX"/>
    <n v="0"/>
    <n v="940.43"/>
    <m/>
    <x v="13"/>
    <m/>
    <m/>
    <m/>
    <m/>
    <m/>
    <m/>
    <m/>
    <m/>
    <m/>
    <m/>
    <x v="1"/>
  </r>
  <r>
    <n v="2180"/>
    <n v="90630"/>
    <s v="P"/>
    <s v="6 Yard FEL Containers"/>
    <n v="11"/>
    <m/>
    <m/>
    <m/>
    <n v="0"/>
    <s v="CAPITAL INDUSTRIES, INC."/>
    <m/>
    <s v="6 YD FEL/REL/SL Metal"/>
    <d v="2010-09-30T00:00:00"/>
    <d v="2010-09-30T00:00:00"/>
    <s v="2182-10-0016-1"/>
    <n v="1200"/>
    <n v="14050"/>
    <n v="8897.02"/>
    <n v="14056"/>
    <n v="8649.85"/>
    <n v="247.17000000000007"/>
    <n v="308.97000000000003"/>
    <n v="54260"/>
    <n v="61.79"/>
    <s v="P"/>
    <m/>
    <n v="50478"/>
    <m/>
    <s v="Internal"/>
    <s v="A"/>
    <s v="SL"/>
    <d v="2012-01-31T00:00:00"/>
    <s v="WCNX"/>
    <n v="0"/>
    <n v="988.56"/>
    <m/>
    <x v="13"/>
    <m/>
    <m/>
    <m/>
    <m/>
    <m/>
    <m/>
    <m/>
    <m/>
    <m/>
    <m/>
    <x v="1"/>
  </r>
  <r>
    <n v="2180"/>
    <n v="90629"/>
    <s v="P"/>
    <s v="65 Gallon Carts - Forest Green"/>
    <n v="357"/>
    <m/>
    <m/>
    <m/>
    <n v="0"/>
    <s v="REHRIG PACIFIC COMPANY-LA"/>
    <m/>
    <m/>
    <d v="2010-05-15T00:00:00"/>
    <d v="2010-05-15T00:00:00"/>
    <s v="2181-10-0012-1"/>
    <n v="700"/>
    <n v="14050"/>
    <n v="12578.06"/>
    <n v="14056"/>
    <n v="12578.06"/>
    <n v="0"/>
    <n v="0"/>
    <n v="54260"/>
    <n v="0"/>
    <s v="P"/>
    <m/>
    <s v="LA155970"/>
    <m/>
    <s v="Internal"/>
    <s v="A"/>
    <s v="SL"/>
    <d v="2012-01-31T00:00:00"/>
    <s v="WCNX"/>
    <n v="0"/>
    <n v="3144.52"/>
    <m/>
    <x v="13"/>
    <m/>
    <m/>
    <m/>
    <m/>
    <m/>
    <m/>
    <m/>
    <m/>
    <m/>
    <m/>
    <x v="1"/>
  </r>
  <r>
    <n v="2180"/>
    <n v="90628"/>
    <s v="P"/>
    <s v="95 Gallon Grey Recycle Carts"/>
    <n v="486"/>
    <m/>
    <m/>
    <m/>
    <n v="0"/>
    <s v="REHRIG PACIFIC COMPANY-LA"/>
    <m/>
    <m/>
    <d v="2009-09-02T00:00:00"/>
    <d v="2009-09-02T00:00:00"/>
    <s v="2181-9-0005-1"/>
    <n v="700"/>
    <n v="14050"/>
    <n v="23308.959999999999"/>
    <n v="14056"/>
    <n v="23308.959999999999"/>
    <n v="0"/>
    <n v="0"/>
    <n v="54260"/>
    <n v="0"/>
    <s v="P"/>
    <m/>
    <s v="LA150807"/>
    <m/>
    <s v="Internal"/>
    <s v="A"/>
    <s v="SL"/>
    <d v="2012-01-31T00:00:00"/>
    <s v="WCNX"/>
    <n v="0"/>
    <n v="8047.14"/>
    <m/>
    <x v="13"/>
    <m/>
    <m/>
    <m/>
    <m/>
    <m/>
    <m/>
    <m/>
    <m/>
    <m/>
    <m/>
    <x v="1"/>
  </r>
  <r>
    <n v="2180"/>
    <n v="90627"/>
    <s v="P"/>
    <s v="95 Gallon Carts - Grey"/>
    <n v="486"/>
    <m/>
    <m/>
    <m/>
    <n v="0"/>
    <s v="REHRIG PACIFIC COMPANY-LA"/>
    <m/>
    <m/>
    <d v="2009-09-02T00:00:00"/>
    <d v="2009-09-02T00:00:00"/>
    <s v="2181-9-0005-1"/>
    <n v="700"/>
    <n v="14050"/>
    <n v="23308.959999999999"/>
    <n v="14056"/>
    <n v="23308.959999999999"/>
    <n v="0"/>
    <n v="0"/>
    <n v="54260"/>
    <n v="0"/>
    <s v="P"/>
    <m/>
    <s v="LA150806"/>
    <m/>
    <s v="Internal"/>
    <s v="A"/>
    <s v="SL"/>
    <d v="2012-01-31T00:00:00"/>
    <s v="WCNX"/>
    <n v="0"/>
    <n v="8047.14"/>
    <m/>
    <x v="13"/>
    <m/>
    <m/>
    <m/>
    <m/>
    <m/>
    <m/>
    <m/>
    <m/>
    <m/>
    <m/>
    <x v="1"/>
  </r>
  <r>
    <n v="2180"/>
    <n v="90626"/>
    <s v="P"/>
    <s v="95 Gal Grey Recycle Carts"/>
    <n v="486"/>
    <m/>
    <m/>
    <m/>
    <n v="0"/>
    <s v="REHRIG PACIFIC COMPANY-LA"/>
    <m/>
    <m/>
    <d v="2009-11-09T00:00:00"/>
    <d v="2009-11-09T00:00:00"/>
    <s v="2181-9-0008-1"/>
    <n v="700"/>
    <n v="14050"/>
    <n v="23622.38"/>
    <n v="14056"/>
    <n v="23622.38"/>
    <n v="0"/>
    <n v="0"/>
    <n v="54260"/>
    <n v="0"/>
    <s v="P"/>
    <m/>
    <s v="LA152283"/>
    <m/>
    <s v="Internal"/>
    <s v="A"/>
    <s v="SL"/>
    <d v="2012-01-31T00:00:00"/>
    <s v="WCNX"/>
    <n v="0"/>
    <n v="7592.92"/>
    <m/>
    <x v="13"/>
    <m/>
    <m/>
    <m/>
    <m/>
    <m/>
    <m/>
    <m/>
    <m/>
    <m/>
    <m/>
    <x v="1"/>
  </r>
  <r>
    <n v="2180"/>
    <n v="90625"/>
    <s v="P"/>
    <s v="95 Gallon Grey Recycle Carts"/>
    <n v="486"/>
    <m/>
    <m/>
    <m/>
    <n v="0"/>
    <s v="REHRIG PACIFIC COMPANY-LA"/>
    <m/>
    <m/>
    <d v="2009-11-06T00:00:00"/>
    <d v="2009-11-06T00:00:00"/>
    <s v="2181-9-0008-1"/>
    <n v="700"/>
    <n v="14050"/>
    <n v="23622.38"/>
    <n v="14056"/>
    <n v="23622.38"/>
    <n v="0"/>
    <n v="0"/>
    <n v="54260"/>
    <n v="0"/>
    <s v="P"/>
    <m/>
    <s v="LA152222"/>
    <m/>
    <s v="Internal"/>
    <s v="A"/>
    <s v="SL"/>
    <d v="2012-01-31T00:00:00"/>
    <s v="WCNX"/>
    <n v="0"/>
    <n v="7592.92"/>
    <m/>
    <x v="13"/>
    <m/>
    <m/>
    <m/>
    <m/>
    <m/>
    <m/>
    <m/>
    <m/>
    <m/>
    <m/>
    <x v="1"/>
  </r>
  <r>
    <n v="2180"/>
    <n v="90624"/>
    <s v="P"/>
    <s v="95 Gallon Grey Recycle Carts"/>
    <n v="486"/>
    <m/>
    <m/>
    <m/>
    <n v="0"/>
    <s v="REHRIG PACIFIC COMPANY-LA"/>
    <m/>
    <m/>
    <d v="2009-11-06T00:00:00"/>
    <d v="2009-11-06T00:00:00"/>
    <s v="2181-9-0008-1"/>
    <n v="700"/>
    <n v="14050"/>
    <n v="23622.38"/>
    <n v="14056"/>
    <n v="23622.38"/>
    <n v="0"/>
    <n v="0"/>
    <n v="54260"/>
    <n v="0"/>
    <s v="P"/>
    <m/>
    <s v="LA152223"/>
    <m/>
    <s v="Internal"/>
    <s v="A"/>
    <s v="SL"/>
    <d v="2012-01-31T00:00:00"/>
    <s v="WCNX"/>
    <n v="0"/>
    <n v="7592.92"/>
    <m/>
    <x v="13"/>
    <m/>
    <m/>
    <m/>
    <m/>
    <m/>
    <m/>
    <m/>
    <m/>
    <m/>
    <m/>
    <x v="1"/>
  </r>
  <r>
    <n v="2180"/>
    <n v="90623"/>
    <s v="P"/>
    <s v="95 Gallon Carts - Grey"/>
    <n v="486"/>
    <m/>
    <m/>
    <m/>
    <n v="0"/>
    <s v="REHRIG PACIFIC COMPANY-LA"/>
    <m/>
    <m/>
    <d v="2009-07-07T00:00:00"/>
    <d v="2009-07-07T00:00:00"/>
    <s v="2181-9-0003-1"/>
    <n v="700"/>
    <n v="14050"/>
    <n v="23117.72"/>
    <n v="14056"/>
    <n v="23117.72"/>
    <n v="0"/>
    <n v="0"/>
    <n v="54260"/>
    <n v="0"/>
    <s v="P"/>
    <m/>
    <s v="LA149563"/>
    <m/>
    <s v="Internal"/>
    <s v="A"/>
    <s v="SL"/>
    <d v="2012-01-31T00:00:00"/>
    <s v="WCNX"/>
    <n v="0"/>
    <n v="8531.39"/>
    <m/>
    <x v="13"/>
    <m/>
    <m/>
    <m/>
    <m/>
    <m/>
    <m/>
    <m/>
    <m/>
    <m/>
    <m/>
    <x v="1"/>
  </r>
  <r>
    <n v="2180"/>
    <n v="90622"/>
    <s v="P"/>
    <s v="1 Yard FEL Caster Plast Container"/>
    <n v="1"/>
    <m/>
    <m/>
    <m/>
    <n v="0"/>
    <s v="CAPITAL INDUSTRIES, INC."/>
    <m/>
    <s v="1 YD FEL/REL/SL Metal"/>
    <d v="2011-10-26T00:00:00"/>
    <d v="2011-10-26T00:00:00"/>
    <s v="2181-11-0024-1"/>
    <n v="1200"/>
    <n v="14050"/>
    <n v="435.01"/>
    <n v="14056"/>
    <n v="383.55"/>
    <n v="51.45999999999998"/>
    <n v="15.1"/>
    <n v="54260"/>
    <n v="3.02"/>
    <s v="P"/>
    <m/>
    <n v="63210"/>
    <m/>
    <s v="Internal"/>
    <s v="A"/>
    <s v="SL"/>
    <d v="2012-01-31T00:00:00"/>
    <s v="WCNX"/>
    <n v="0"/>
    <n v="9.06"/>
    <m/>
    <x v="13"/>
    <m/>
    <m/>
    <m/>
    <m/>
    <m/>
    <m/>
    <m/>
    <m/>
    <m/>
    <m/>
    <x v="1"/>
  </r>
  <r>
    <n v="2180"/>
    <n v="90621"/>
    <s v="P"/>
    <s v="95 Gallon Carts &amp; Lids Roc Grey"/>
    <n v="49"/>
    <m/>
    <s v="#9516417 - A9516465"/>
    <m/>
    <n v="0"/>
    <s v="REHRIG PACIFIC COMPANY-LA"/>
    <m/>
    <m/>
    <d v="2010-06-25T00:00:00"/>
    <d v="2010-06-25T00:00:00"/>
    <s v="2181-10-0013-1"/>
    <n v="700"/>
    <n v="14050"/>
    <n v="2588.4"/>
    <n v="14056"/>
    <n v="2588.4"/>
    <n v="0"/>
    <n v="0"/>
    <n v="54260"/>
    <n v="0"/>
    <s v="P"/>
    <m/>
    <s v="LA156806"/>
    <m/>
    <s v="Internal"/>
    <s v="A"/>
    <s v="SL"/>
    <d v="2012-01-31T00:00:00"/>
    <s v="WCNX"/>
    <n v="0"/>
    <n v="585.47"/>
    <m/>
    <x v="13"/>
    <m/>
    <m/>
    <m/>
    <m/>
    <m/>
    <m/>
    <m/>
    <m/>
    <m/>
    <m/>
    <x v="1"/>
  </r>
  <r>
    <n v="2180"/>
    <n v="90620"/>
    <s v="P"/>
    <s v="95 Gallon Carts - Dark Blue"/>
    <n v="418"/>
    <m/>
    <m/>
    <m/>
    <n v="0"/>
    <s v="REHRIG PACIFIC COMPANY"/>
    <m/>
    <m/>
    <d v="2011-08-27T00:00:00"/>
    <d v="2011-08-27T00:00:00"/>
    <s v="2181-11-0031-1"/>
    <n v="700"/>
    <n v="14050"/>
    <n v="23780.3"/>
    <n v="14056"/>
    <n v="23780.3"/>
    <n v="0"/>
    <n v="0"/>
    <n v="54260"/>
    <n v="0"/>
    <s v="P"/>
    <m/>
    <s v="KA92177"/>
    <m/>
    <s v="Internal"/>
    <s v="A"/>
    <s v="SL"/>
    <d v="2012-01-31T00:00:00"/>
    <s v="WCNX"/>
    <n v="0"/>
    <n v="1415.5"/>
    <m/>
    <x v="13"/>
    <m/>
    <m/>
    <m/>
    <m/>
    <m/>
    <m/>
    <m/>
    <m/>
    <m/>
    <m/>
    <x v="1"/>
  </r>
  <r>
    <n v="2180"/>
    <n v="90619"/>
    <s v="P"/>
    <s v="1 Yard REL Containers - LeMay Blue"/>
    <n v="3"/>
    <m/>
    <m/>
    <m/>
    <n v="0"/>
    <s v="CAPITAL INDUSTRIES, INC."/>
    <m/>
    <s v="1 YD FEL/REL/SL Metal"/>
    <d v="2011-09-30T00:00:00"/>
    <d v="2011-09-30T00:00:00"/>
    <s v="2181-11-0022-1"/>
    <n v="1200"/>
    <n v="14050"/>
    <n v="1442.76"/>
    <n v="14056"/>
    <n v="1282.46"/>
    <n v="160.29999999999995"/>
    <n v="50.1"/>
    <n v="54260"/>
    <n v="10.02"/>
    <s v="P"/>
    <m/>
    <n v="62455"/>
    <m/>
    <s v="Internal"/>
    <s v="A"/>
    <s v="SL"/>
    <d v="2012-01-31T00:00:00"/>
    <s v="WCNX"/>
    <n v="0"/>
    <n v="40.08"/>
    <m/>
    <x v="13"/>
    <m/>
    <m/>
    <m/>
    <m/>
    <m/>
    <m/>
    <m/>
    <m/>
    <m/>
    <m/>
    <x v="1"/>
  </r>
  <r>
    <n v="2180"/>
    <n v="90618"/>
    <s v="P"/>
    <s v="40 Yard R/O Containers"/>
    <n v="50"/>
    <m/>
    <m/>
    <m/>
    <n v="0"/>
    <m/>
    <m/>
    <s v="40 YD RO Box"/>
    <d v="2008-11-03T00:00:00"/>
    <d v="2008-11-03T00:00:00"/>
    <m/>
    <n v="700"/>
    <n v="14050"/>
    <n v="98896.04"/>
    <n v="14056"/>
    <n v="98896.04"/>
    <n v="0"/>
    <n v="0"/>
    <n v="54260"/>
    <n v="0"/>
    <s v="A"/>
    <s v="LeMay Enterprises"/>
    <m/>
    <m/>
    <s v="Internal"/>
    <s v="A"/>
    <s v="SL"/>
    <d v="2012-01-31T00:00:00"/>
    <s v="WCNX"/>
    <n v="4"/>
    <n v="45916.02"/>
    <m/>
    <x v="13"/>
    <m/>
    <m/>
    <m/>
    <m/>
    <m/>
    <m/>
    <m/>
    <m/>
    <m/>
    <m/>
    <x v="1"/>
  </r>
  <r>
    <n v="2180"/>
    <n v="90617"/>
    <s v="P"/>
    <s v="95 Gallon Carts NB &amp; Lids Aqua Blue"/>
    <n v="418"/>
    <m/>
    <s v="068528-068945"/>
    <m/>
    <n v="0"/>
    <s v="REHRIG PACIFIC COMPANY"/>
    <m/>
    <m/>
    <d v="2011-09-10T00:00:00"/>
    <d v="2011-09-10T00:00:00"/>
    <s v="2181-11-0023-1"/>
    <n v="700"/>
    <n v="14050"/>
    <n v="23780.3"/>
    <n v="14056"/>
    <n v="23780.3"/>
    <n v="0"/>
    <n v="0"/>
    <n v="54260"/>
    <n v="0"/>
    <s v="P"/>
    <m/>
    <s v="LA165650"/>
    <m/>
    <s v="Internal"/>
    <s v="A"/>
    <s v="SL"/>
    <d v="2012-01-31T00:00:00"/>
    <s v="WCNX"/>
    <n v="0"/>
    <n v="1415.5"/>
    <m/>
    <x v="13"/>
    <m/>
    <m/>
    <m/>
    <m/>
    <m/>
    <m/>
    <m/>
    <m/>
    <m/>
    <m/>
    <x v="1"/>
  </r>
  <r>
    <n v="2180"/>
    <n v="90616"/>
    <s v="P"/>
    <s v="95 Gallon Carts NB &amp; Lids Aqua Blue"/>
    <n v="423"/>
    <m/>
    <s v="A96018991-A96019413"/>
    <m/>
    <n v="0"/>
    <s v="REHRIG PACIFIC COMPANY"/>
    <m/>
    <m/>
    <d v="2011-09-24T00:00:00"/>
    <d v="2011-09-24T00:00:00"/>
    <s v="2181-11-0026-1"/>
    <n v="700"/>
    <n v="14050"/>
    <n v="24527.09"/>
    <n v="14056"/>
    <n v="24527.09"/>
    <n v="0"/>
    <n v="0"/>
    <n v="54260"/>
    <n v="0"/>
    <s v="P"/>
    <m/>
    <s v="LA165934"/>
    <m/>
    <s v="Internal"/>
    <s v="A"/>
    <s v="SL"/>
    <d v="2012-01-31T00:00:00"/>
    <s v="WCNX"/>
    <n v="0"/>
    <n v="1167.96"/>
    <m/>
    <x v="13"/>
    <m/>
    <m/>
    <m/>
    <m/>
    <m/>
    <m/>
    <m/>
    <m/>
    <m/>
    <m/>
    <x v="1"/>
  </r>
  <r>
    <n v="2180"/>
    <n v="90615"/>
    <s v="P"/>
    <s v="12 Yard R/O Containers"/>
    <n v="2"/>
    <m/>
    <m/>
    <m/>
    <n v="0"/>
    <m/>
    <m/>
    <s v="12 YD RO Box"/>
    <d v="2008-11-03T00:00:00"/>
    <d v="2008-11-03T00:00:00"/>
    <m/>
    <n v="700"/>
    <n v="14050"/>
    <n v="2266.67"/>
    <n v="14056"/>
    <n v="2266.67"/>
    <n v="0"/>
    <n v="0"/>
    <n v="54260"/>
    <n v="0"/>
    <s v="A"/>
    <s v="LeMay Enterprises"/>
    <m/>
    <m/>
    <s v="Internal"/>
    <s v="A"/>
    <s v="SL"/>
    <d v="2012-01-31T00:00:00"/>
    <s v="WCNX"/>
    <n v="2"/>
    <n v="1052.3800000000001"/>
    <m/>
    <x v="13"/>
    <m/>
    <m/>
    <m/>
    <m/>
    <m/>
    <m/>
    <m/>
    <m/>
    <m/>
    <m/>
    <x v="1"/>
  </r>
  <r>
    <n v="2180"/>
    <n v="90614"/>
    <s v="P"/>
    <s v="2 Yard REL Containers"/>
    <n v="45"/>
    <m/>
    <m/>
    <m/>
    <n v="0"/>
    <s v="CAPITAL INDUSTRIES, INC."/>
    <m/>
    <s v="2 YD FEL/REL/SL Metal"/>
    <d v="2011-10-31T00:00:00"/>
    <d v="2011-10-31T00:00:00"/>
    <s v="2181-11-0025-1"/>
    <n v="1200"/>
    <n v="14050"/>
    <n v="23953.1"/>
    <n v="14056"/>
    <n v="21125.279999999999"/>
    <n v="2827.8199999999997"/>
    <n v="831.7"/>
    <n v="54260"/>
    <n v="166.34"/>
    <s v="P"/>
    <m/>
    <n v="63400"/>
    <m/>
    <s v="Internal"/>
    <s v="A"/>
    <s v="SL"/>
    <d v="2012-01-31T00:00:00"/>
    <s v="WCNX"/>
    <n v="0"/>
    <n v="499.02"/>
    <m/>
    <x v="13"/>
    <m/>
    <m/>
    <m/>
    <m/>
    <m/>
    <m/>
    <m/>
    <m/>
    <m/>
    <m/>
    <x v="1"/>
  </r>
  <r>
    <n v="2180"/>
    <n v="90613"/>
    <s v="P"/>
    <s v="95 Gallon Carts - Grey"/>
    <n v="49"/>
    <m/>
    <s v="A96017875-A96017923"/>
    <m/>
    <n v="0"/>
    <s v="REHRIG PACIFIC COMPANY"/>
    <m/>
    <m/>
    <d v="2011-04-18T00:00:00"/>
    <d v="2011-04-18T00:00:00"/>
    <s v="2181-11-0017-1"/>
    <n v="700"/>
    <n v="14050"/>
    <n v="2595.37"/>
    <n v="14056"/>
    <n v="2595.37"/>
    <n v="0"/>
    <n v="0"/>
    <n v="54260"/>
    <n v="0"/>
    <s v="P"/>
    <m/>
    <s v="LA162725"/>
    <m/>
    <s v="Internal"/>
    <s v="A"/>
    <s v="SL"/>
    <d v="2012-01-31T00:00:00"/>
    <s v="WCNX"/>
    <n v="0"/>
    <n v="278.08"/>
    <m/>
    <x v="13"/>
    <m/>
    <m/>
    <m/>
    <m/>
    <m/>
    <m/>
    <m/>
    <m/>
    <m/>
    <m/>
    <x v="1"/>
  </r>
  <r>
    <n v="2180"/>
    <n v="90612"/>
    <s v="P"/>
    <s v="4 Yard Commercial Containers"/>
    <n v="17"/>
    <m/>
    <m/>
    <m/>
    <n v="0"/>
    <s v="REHRIG PACIFIC COMPANY"/>
    <m/>
    <s v="4 YD FEL/REL/SL Metal"/>
    <d v="2011-06-08T00:00:00"/>
    <d v="2011-06-08T00:00:00"/>
    <s v="2181-11-0019-1"/>
    <n v="700"/>
    <n v="14050"/>
    <n v="12054.44"/>
    <n v="14056"/>
    <n v="12054.44"/>
    <n v="0"/>
    <n v="0"/>
    <n v="54260"/>
    <n v="0"/>
    <s v="P"/>
    <m/>
    <s v="AT130967"/>
    <m/>
    <s v="Internal"/>
    <s v="A"/>
    <s v="SL"/>
    <d v="2012-01-31T00:00:00"/>
    <s v="WCNX"/>
    <n v="0"/>
    <n v="1148.05"/>
    <m/>
    <x v="13"/>
    <m/>
    <m/>
    <m/>
    <m/>
    <m/>
    <m/>
    <m/>
    <m/>
    <m/>
    <m/>
    <x v="1"/>
  </r>
  <r>
    <n v="2180"/>
    <n v="90611"/>
    <s v="P"/>
    <s v="65 Gallon Carts - Forest Green"/>
    <n v="557"/>
    <m/>
    <s v="T055364-T055920"/>
    <m/>
    <n v="0"/>
    <s v="REHRIG PACIFIC COMPANY"/>
    <m/>
    <m/>
    <d v="2011-05-30T00:00:00"/>
    <d v="2011-05-30T00:00:00"/>
    <s v="2181-11-0020-1"/>
    <n v="700"/>
    <n v="14050"/>
    <n v="27249.94"/>
    <n v="14056"/>
    <n v="27249.94"/>
    <n v="0"/>
    <n v="0"/>
    <n v="54260"/>
    <n v="0"/>
    <s v="P"/>
    <m/>
    <s v="LA163452"/>
    <m/>
    <s v="Internal"/>
    <s v="A"/>
    <s v="SL"/>
    <d v="2012-01-31T00:00:00"/>
    <s v="WCNX"/>
    <n v="0"/>
    <n v="2595.2199999999998"/>
    <m/>
    <x v="13"/>
    <m/>
    <m/>
    <m/>
    <m/>
    <m/>
    <m/>
    <m/>
    <m/>
    <m/>
    <m/>
    <x v="1"/>
  </r>
  <r>
    <n v="2180"/>
    <n v="90610"/>
    <s v="P"/>
    <s v="6 Yard FEL Containers - LeMay Blue"/>
    <n v="9"/>
    <m/>
    <m/>
    <m/>
    <n v="0"/>
    <s v="CAPITAL INDUSTRIES, INC."/>
    <m/>
    <s v="6 YD FEL/REL/SL Metal"/>
    <d v="2011-09-30T00:00:00"/>
    <d v="2011-09-30T00:00:00"/>
    <s v="2181-11-0021-1"/>
    <n v="1200"/>
    <n v="14050"/>
    <n v="7358.08"/>
    <n v="14056"/>
    <n v="6540.48"/>
    <n v="817.60000000000036"/>
    <n v="255.49"/>
    <n v="54260"/>
    <n v="51.1"/>
    <s v="P"/>
    <m/>
    <n v="62438"/>
    <m/>
    <s v="Internal"/>
    <s v="A"/>
    <s v="SL"/>
    <d v="2012-01-31T00:00:00"/>
    <s v="WCNX"/>
    <n v="0"/>
    <n v="204.39"/>
    <m/>
    <x v="13"/>
    <m/>
    <m/>
    <m/>
    <m/>
    <m/>
    <m/>
    <m/>
    <m/>
    <m/>
    <m/>
    <x v="1"/>
  </r>
  <r>
    <n v="2180"/>
    <n v="90609"/>
    <s v="P"/>
    <s v="95 Gallon Carts - Grey"/>
    <n v="486"/>
    <m/>
    <s v="A96017389-A96017874"/>
    <m/>
    <n v="0"/>
    <s v="REHRIG PACIFIC COMPANY"/>
    <m/>
    <m/>
    <d v="2011-04-18T00:00:00"/>
    <d v="2011-04-18T00:00:00"/>
    <s v="2181-11-0017-1"/>
    <n v="700"/>
    <n v="14050"/>
    <n v="25741.84"/>
    <n v="14056"/>
    <n v="25741.84"/>
    <n v="0"/>
    <n v="0"/>
    <n v="54260"/>
    <n v="0"/>
    <s v="P"/>
    <m/>
    <s v="LA162726"/>
    <m/>
    <s v="Internal"/>
    <s v="A"/>
    <s v="SL"/>
    <d v="2012-01-31T00:00:00"/>
    <s v="WCNX"/>
    <n v="0"/>
    <n v="2758.05"/>
    <m/>
    <x v="13"/>
    <m/>
    <m/>
    <m/>
    <m/>
    <m/>
    <m/>
    <m/>
    <m/>
    <m/>
    <m/>
    <x v="1"/>
  </r>
  <r>
    <n v="2180"/>
    <n v="90608"/>
    <s v="P"/>
    <s v="4 Yard Commercial Containers"/>
    <n v="10"/>
    <m/>
    <m/>
    <m/>
    <n v="0"/>
    <s v="REHRIG PACIFIC COMPANY"/>
    <m/>
    <s v="4 YD FEL/REL/SL Metal"/>
    <d v="2011-06-08T00:00:00"/>
    <d v="2011-06-08T00:00:00"/>
    <s v="2181-11-0019-1"/>
    <n v="700"/>
    <n v="14050"/>
    <n v="7090.84"/>
    <n v="14056"/>
    <n v="7090.84"/>
    <n v="0"/>
    <n v="0"/>
    <n v="54260"/>
    <n v="0"/>
    <s v="P"/>
    <m/>
    <s v="AT130981"/>
    <m/>
    <s v="Internal"/>
    <s v="A"/>
    <s v="SL"/>
    <d v="2012-01-31T00:00:00"/>
    <s v="WCNX"/>
    <n v="0"/>
    <n v="675.32"/>
    <m/>
    <x v="13"/>
    <m/>
    <m/>
    <m/>
    <m/>
    <m/>
    <m/>
    <m/>
    <m/>
    <m/>
    <m/>
    <x v="1"/>
  </r>
  <r>
    <n v="2180"/>
    <n v="90607"/>
    <s v="P"/>
    <s v="3 Yard Containers"/>
    <n v="20"/>
    <m/>
    <m/>
    <m/>
    <n v="0"/>
    <s v="REHRIG PACIFIC COMPANY"/>
    <m/>
    <s v="3 YD FEL/REL/SL Metal"/>
    <d v="2011-06-08T00:00:00"/>
    <d v="2011-06-08T00:00:00"/>
    <s v="2181-11-0019-1"/>
    <n v="700"/>
    <n v="14050"/>
    <n v="12881.01"/>
    <n v="14056"/>
    <n v="12881.01"/>
    <n v="0"/>
    <n v="0"/>
    <n v="54260"/>
    <n v="0"/>
    <s v="P"/>
    <m/>
    <s v="AT130980"/>
    <m/>
    <s v="Internal"/>
    <s v="A"/>
    <s v="SL"/>
    <d v="2012-01-31T00:00:00"/>
    <s v="WCNX"/>
    <n v="0"/>
    <n v="1226.77"/>
    <m/>
    <x v="13"/>
    <m/>
    <m/>
    <m/>
    <m/>
    <m/>
    <m/>
    <m/>
    <m/>
    <m/>
    <m/>
    <x v="1"/>
  </r>
  <r>
    <n v="2180"/>
    <n v="90606"/>
    <s v="P"/>
    <s v="3 Yard Commercial Containers"/>
    <n v="7"/>
    <m/>
    <m/>
    <m/>
    <n v="0"/>
    <s v="REHRIG PACIFIC COMPANY"/>
    <m/>
    <s v="3 YD FEL/REL/SL Metal"/>
    <d v="2011-06-08T00:00:00"/>
    <d v="2011-06-08T00:00:00"/>
    <s v="2181-11-0019-1"/>
    <n v="700"/>
    <n v="14050"/>
    <n v="4508.37"/>
    <n v="14056"/>
    <n v="4508.37"/>
    <n v="0"/>
    <n v="0"/>
    <n v="54260"/>
    <n v="0"/>
    <s v="P"/>
    <m/>
    <s v="AT130982"/>
    <m/>
    <s v="Internal"/>
    <s v="A"/>
    <s v="SL"/>
    <d v="2012-01-31T00:00:00"/>
    <s v="WCNX"/>
    <n v="0"/>
    <n v="429.36"/>
    <m/>
    <x v="13"/>
    <m/>
    <m/>
    <m/>
    <m/>
    <m/>
    <m/>
    <m/>
    <m/>
    <m/>
    <m/>
    <x v="1"/>
  </r>
  <r>
    <n v="2180"/>
    <n v="90605"/>
    <s v="P"/>
    <s v="6 Yard FEL Containers"/>
    <n v="11"/>
    <m/>
    <m/>
    <m/>
    <n v="0"/>
    <s v="CAPITAL INDUSTRIES, INC."/>
    <m/>
    <s v="6 YD FEL/REL/SL Metal"/>
    <d v="2010-09-30T00:00:00"/>
    <d v="2010-09-30T00:00:00"/>
    <s v="2182-10-0016-1"/>
    <n v="1200"/>
    <n v="14050"/>
    <n v="8897.02"/>
    <n v="14056"/>
    <n v="8649.85"/>
    <n v="247.17000000000007"/>
    <n v="308.97000000000003"/>
    <n v="54260"/>
    <n v="61.79"/>
    <s v="P"/>
    <m/>
    <n v="50466"/>
    <m/>
    <s v="Internal"/>
    <s v="A"/>
    <s v="SL"/>
    <d v="2012-01-31T00:00:00"/>
    <s v="WCNX"/>
    <n v="0"/>
    <n v="988.56"/>
    <m/>
    <x v="13"/>
    <m/>
    <m/>
    <m/>
    <m/>
    <m/>
    <m/>
    <m/>
    <m/>
    <m/>
    <m/>
    <x v="1"/>
  </r>
  <r>
    <n v="2180"/>
    <n v="90604"/>
    <s v="P"/>
    <s v="30 Yard R/O Containers"/>
    <n v="43"/>
    <m/>
    <m/>
    <m/>
    <n v="0"/>
    <m/>
    <m/>
    <s v="30 YD RO Box"/>
    <d v="2008-11-03T00:00:00"/>
    <d v="2008-11-03T00:00:00"/>
    <m/>
    <n v="700"/>
    <n v="14050"/>
    <n v="75250.77"/>
    <n v="14056"/>
    <n v="75250.77"/>
    <n v="0"/>
    <n v="0"/>
    <n v="54260"/>
    <n v="0"/>
    <s v="A"/>
    <s v="LeMay Enterprises"/>
    <m/>
    <m/>
    <s v="Internal"/>
    <s v="A"/>
    <s v="SL"/>
    <d v="2012-01-31T00:00:00"/>
    <s v="WCNX"/>
    <n v="6"/>
    <n v="34937.86"/>
    <m/>
    <x v="13"/>
    <m/>
    <m/>
    <m/>
    <m/>
    <m/>
    <m/>
    <m/>
    <m/>
    <m/>
    <m/>
    <x v="1"/>
  </r>
  <r>
    <n v="2180"/>
    <n v="90603"/>
    <s v="P"/>
    <s v="1 Yard REL Containers - LeMay Blue"/>
    <n v="17"/>
    <m/>
    <m/>
    <m/>
    <n v="0"/>
    <s v="CAPITAL INDUSTRIES, INC."/>
    <m/>
    <s v="1 YD FEL/REL/SL Metal"/>
    <d v="2011-09-30T00:00:00"/>
    <d v="2011-09-30T00:00:00"/>
    <s v="2181-11-0022-1"/>
    <n v="1200"/>
    <n v="14050"/>
    <n v="8175.64"/>
    <n v="14056"/>
    <n v="7267.21"/>
    <n v="908.43000000000029"/>
    <n v="283.88"/>
    <n v="54260"/>
    <n v="56.78"/>
    <s v="P"/>
    <m/>
    <n v="62437"/>
    <m/>
    <s v="Internal"/>
    <s v="A"/>
    <s v="SL"/>
    <d v="2012-01-31T00:00:00"/>
    <s v="WCNX"/>
    <n v="0"/>
    <n v="227.11"/>
    <m/>
    <x v="13"/>
    <m/>
    <m/>
    <m/>
    <m/>
    <m/>
    <m/>
    <m/>
    <m/>
    <m/>
    <m/>
    <x v="1"/>
  </r>
  <r>
    <n v="2180"/>
    <n v="90602"/>
    <s v="P"/>
    <s v="95 Gallon Carts - Grey"/>
    <n v="486"/>
    <m/>
    <m/>
    <m/>
    <n v="0"/>
    <s v="REHRIG PACIFIC COMPANY-LA"/>
    <m/>
    <m/>
    <d v="2009-04-27T00:00:00"/>
    <d v="2009-04-27T00:00:00"/>
    <s v="2181-9-0001-1"/>
    <n v="700"/>
    <n v="14050"/>
    <n v="25794.99"/>
    <n v="14056"/>
    <n v="25794.99"/>
    <n v="0"/>
    <n v="0"/>
    <n v="54260"/>
    <n v="0"/>
    <s v="P"/>
    <m/>
    <s v="LA148175"/>
    <m/>
    <s v="Internal"/>
    <s v="A"/>
    <s v="SL"/>
    <d v="2012-01-31T00:00:00"/>
    <s v="WCNX"/>
    <n v="0"/>
    <n v="10133.75"/>
    <m/>
    <x v="13"/>
    <m/>
    <m/>
    <m/>
    <m/>
    <m/>
    <m/>
    <m/>
    <m/>
    <m/>
    <m/>
    <x v="1"/>
  </r>
  <r>
    <n v="2180"/>
    <n v="90601"/>
    <s v="P"/>
    <s v="6 Yard FEL Containers - LeMay Blue"/>
    <n v="1"/>
    <m/>
    <m/>
    <m/>
    <n v="0"/>
    <s v="CAPITAL INDUSTRIES, INC."/>
    <m/>
    <s v="6 YD FEL/REL/SL Metal"/>
    <d v="2011-09-30T00:00:00"/>
    <d v="2011-09-30T00:00:00"/>
    <s v="2181-11-0021-1"/>
    <n v="1200"/>
    <n v="14050"/>
    <n v="817.56"/>
    <n v="14056"/>
    <n v="726.72"/>
    <n v="90.839999999999918"/>
    <n v="28.39"/>
    <n v="54260"/>
    <n v="5.68"/>
    <s v="P"/>
    <m/>
    <n v="62456"/>
    <m/>
    <s v="Internal"/>
    <s v="A"/>
    <s v="SL"/>
    <d v="2012-01-31T00:00:00"/>
    <s v="WCNX"/>
    <n v="0"/>
    <n v="22.71"/>
    <m/>
    <x v="13"/>
    <m/>
    <m/>
    <m/>
    <m/>
    <m/>
    <m/>
    <m/>
    <m/>
    <m/>
    <m/>
    <x v="1"/>
  </r>
  <r>
    <n v="2180"/>
    <n v="90600"/>
    <s v="P"/>
    <s v="1 Yard FEL Caster Plast Containers"/>
    <n v="19"/>
    <m/>
    <m/>
    <m/>
    <n v="0"/>
    <s v="CAPITAL INDUSTRIES, INC."/>
    <m/>
    <s v="1 YD FEL/REL/SL Plastic"/>
    <d v="2011-10-26T00:00:00"/>
    <d v="2011-10-26T00:00:00"/>
    <s v="2181-11-0024-1"/>
    <n v="1200"/>
    <n v="14050"/>
    <n v="8265.27"/>
    <n v="14056"/>
    <n v="7289.49"/>
    <n v="975.78000000000065"/>
    <n v="286.99"/>
    <n v="54260"/>
    <n v="57.4"/>
    <s v="P"/>
    <m/>
    <n v="63148"/>
    <m/>
    <s v="Internal"/>
    <s v="A"/>
    <s v="SL"/>
    <d v="2012-01-31T00:00:00"/>
    <s v="WCNX"/>
    <n v="0"/>
    <n v="172.2"/>
    <m/>
    <x v="13"/>
    <m/>
    <m/>
    <m/>
    <m/>
    <m/>
    <m/>
    <m/>
    <m/>
    <m/>
    <m/>
    <x v="1"/>
  </r>
  <r>
    <n v="2180"/>
    <n v="90599"/>
    <s v="P"/>
    <s v="6 Yard FEL Containers"/>
    <n v="11"/>
    <m/>
    <m/>
    <m/>
    <n v="0"/>
    <s v="CAPITAL INDUSTRIES, INC."/>
    <m/>
    <s v="6 YD FEL/REL/SL Metal"/>
    <d v="2010-09-30T00:00:00"/>
    <d v="2010-09-30T00:00:00"/>
    <s v="2182-10-0016-1"/>
    <n v="1200"/>
    <n v="14050"/>
    <n v="8897.02"/>
    <n v="14056"/>
    <n v="8649.85"/>
    <n v="247.17000000000007"/>
    <n v="308.97000000000003"/>
    <n v="54260"/>
    <n v="61.79"/>
    <s v="P"/>
    <m/>
    <n v="50477"/>
    <m/>
    <s v="Internal"/>
    <s v="A"/>
    <s v="SL"/>
    <d v="2012-01-31T00:00:00"/>
    <s v="WCNX"/>
    <n v="0"/>
    <n v="988.56"/>
    <m/>
    <x v="13"/>
    <m/>
    <m/>
    <m/>
    <m/>
    <m/>
    <m/>
    <m/>
    <m/>
    <m/>
    <m/>
    <x v="1"/>
  </r>
  <r>
    <n v="2180"/>
    <n v="90598"/>
    <s v="P"/>
    <s v="6 Yard FEL Containers"/>
    <n v="3"/>
    <m/>
    <m/>
    <m/>
    <n v="0"/>
    <s v="CAPITAL INDUSTRIES, INC."/>
    <m/>
    <s v="6 YD FEL/REL/SL Metal"/>
    <d v="2010-09-30T00:00:00"/>
    <d v="2010-09-30T00:00:00"/>
    <s v="2182-10-0016-1"/>
    <n v="1200"/>
    <n v="14050"/>
    <n v="2426.46"/>
    <n v="14056"/>
    <n v="2358.96"/>
    <n v="67.5"/>
    <n v="84.4"/>
    <n v="54260"/>
    <n v="16.88"/>
    <s v="P"/>
    <m/>
    <n v="50479"/>
    <m/>
    <s v="Internal"/>
    <s v="A"/>
    <s v="SL"/>
    <d v="2012-01-31T00:00:00"/>
    <s v="WCNX"/>
    <n v="0"/>
    <n v="269.58"/>
    <m/>
    <x v="13"/>
    <m/>
    <m/>
    <m/>
    <m/>
    <m/>
    <m/>
    <m/>
    <m/>
    <m/>
    <m/>
    <x v="1"/>
  </r>
  <r>
    <n v="2180"/>
    <n v="90597"/>
    <s v="P"/>
    <s v="95 Gallon Carts - Dark Aqua Blue"/>
    <n v="49"/>
    <m/>
    <s v="067021 T0 067069"/>
    <m/>
    <n v="0"/>
    <s v="REHRIG PACIFIC COMPANY"/>
    <m/>
    <m/>
    <d v="2011-05-04T00:00:00"/>
    <d v="2011-05-04T00:00:00"/>
    <s v="2181-11-0018-1"/>
    <n v="700"/>
    <n v="14050"/>
    <n v="2541.8200000000002"/>
    <n v="14056"/>
    <n v="2541.8200000000002"/>
    <n v="0"/>
    <n v="0"/>
    <n v="54260"/>
    <n v="0"/>
    <s v="P"/>
    <m/>
    <s v="LA163016"/>
    <m/>
    <s v="Internal"/>
    <s v="A"/>
    <s v="SL"/>
    <d v="2012-01-31T00:00:00"/>
    <s v="WCNX"/>
    <n v="0"/>
    <n v="272.33999999999997"/>
    <m/>
    <x v="13"/>
    <m/>
    <m/>
    <m/>
    <m/>
    <m/>
    <m/>
    <m/>
    <m/>
    <m/>
    <m/>
    <x v="1"/>
  </r>
  <r>
    <n v="2180"/>
    <n v="90596"/>
    <s v="P"/>
    <s v="Residential Customers ($10 each)"/>
    <n v="43065"/>
    <m/>
    <m/>
    <m/>
    <n v="0"/>
    <m/>
    <m/>
    <m/>
    <d v="2008-11-03T00:00:00"/>
    <d v="2008-11-03T00:00:00"/>
    <m/>
    <n v="500"/>
    <n v="14050"/>
    <n v="430650"/>
    <n v="14056"/>
    <n v="430650"/>
    <n v="0"/>
    <n v="0"/>
    <n v="54260"/>
    <n v="0"/>
    <s v="A"/>
    <s v="LeMay Enterprises"/>
    <m/>
    <m/>
    <s v="Internal"/>
    <s v="A"/>
    <s v="SL"/>
    <d v="2012-01-31T00:00:00"/>
    <s v="WCNX"/>
    <n v="0"/>
    <n v="279922.5"/>
    <m/>
    <x v="13"/>
    <m/>
    <m/>
    <m/>
    <m/>
    <m/>
    <m/>
    <m/>
    <m/>
    <m/>
    <m/>
    <x v="1"/>
  </r>
  <r>
    <n v="2180"/>
    <n v="90595"/>
    <s v="P"/>
    <s v="35 Gallon Carts - Green"/>
    <n v="500"/>
    <m/>
    <m/>
    <m/>
    <n v="0"/>
    <s v="REHRIG PACIFIC COMPANY-LA"/>
    <m/>
    <m/>
    <d v="2009-04-27T00:00:00"/>
    <d v="2009-04-27T00:00:00"/>
    <s v="2181-9-0001-1"/>
    <n v="700"/>
    <n v="14050"/>
    <n v="17214.75"/>
    <n v="14056"/>
    <n v="17214.75"/>
    <n v="0"/>
    <n v="0"/>
    <n v="54260"/>
    <n v="0"/>
    <s v="P"/>
    <m/>
    <s v="LA148230"/>
    <m/>
    <s v="Internal"/>
    <s v="A"/>
    <s v="SL"/>
    <d v="2012-01-31T00:00:00"/>
    <s v="WCNX"/>
    <n v="0"/>
    <n v="6762.94"/>
    <m/>
    <x v="13"/>
    <m/>
    <m/>
    <m/>
    <m/>
    <m/>
    <m/>
    <m/>
    <m/>
    <m/>
    <m/>
    <x v="1"/>
  </r>
  <r>
    <n v="2180"/>
    <n v="90594"/>
    <s v="P"/>
    <s v="65 Gallon Green Carts"/>
    <n v="648"/>
    <m/>
    <m/>
    <m/>
    <n v="0"/>
    <s v="REHRIG PACIFIC COMPANY-LA"/>
    <m/>
    <m/>
    <d v="2009-06-23T00:00:00"/>
    <d v="2009-06-23T00:00:00"/>
    <s v="2181-9-0003-1"/>
    <n v="700"/>
    <n v="14050"/>
    <n v="26659.040000000001"/>
    <n v="14056"/>
    <n v="26659.040000000001"/>
    <n v="0"/>
    <n v="0"/>
    <n v="54260"/>
    <n v="0"/>
    <s v="P"/>
    <m/>
    <s v="LA149476"/>
    <m/>
    <s v="Internal"/>
    <s v="A"/>
    <s v="SL"/>
    <d v="2012-01-31T00:00:00"/>
    <s v="WCNX"/>
    <n v="0"/>
    <n v="9838.4699999999993"/>
    <m/>
    <x v="13"/>
    <m/>
    <m/>
    <m/>
    <m/>
    <m/>
    <m/>
    <m/>
    <m/>
    <m/>
    <m/>
    <x v="1"/>
  </r>
  <r>
    <n v="2180"/>
    <n v="90593"/>
    <s v="P"/>
    <s v="95 Gallon Dark Aqua Blue NB Carts"/>
    <n v="486"/>
    <m/>
    <m/>
    <m/>
    <n v="0"/>
    <s v="REHRIG PACIFIC COMPANY-LA"/>
    <m/>
    <m/>
    <d v="2009-07-16T00:00:00"/>
    <d v="2009-07-16T00:00:00"/>
    <s v="2181-9-0004-1"/>
    <n v="700"/>
    <n v="14050"/>
    <n v="22586.55"/>
    <n v="14056"/>
    <n v="22586.55"/>
    <n v="0"/>
    <n v="0"/>
    <n v="54260"/>
    <n v="0"/>
    <s v="P"/>
    <m/>
    <s v="LA149849"/>
    <m/>
    <s v="Internal"/>
    <s v="A"/>
    <s v="SL"/>
    <d v="2012-01-31T00:00:00"/>
    <s v="WCNX"/>
    <n v="0"/>
    <n v="8066.63"/>
    <m/>
    <x v="13"/>
    <m/>
    <m/>
    <m/>
    <m/>
    <m/>
    <m/>
    <m/>
    <m/>
    <m/>
    <m/>
    <x v="1"/>
  </r>
  <r>
    <n v="2180"/>
    <n v="90592"/>
    <s v="P"/>
    <s v="95 Gallon Carts - Forest Green"/>
    <n v="486"/>
    <m/>
    <m/>
    <m/>
    <n v="0"/>
    <s v="REHRIG PACIFIC COMPANY-LA"/>
    <m/>
    <m/>
    <d v="2009-07-07T00:00:00"/>
    <d v="2009-07-07T00:00:00"/>
    <s v="2181-9-0003-1"/>
    <n v="700"/>
    <n v="14050"/>
    <n v="22586.53"/>
    <n v="14056"/>
    <n v="22586.53"/>
    <n v="0"/>
    <n v="0"/>
    <n v="54260"/>
    <n v="0"/>
    <s v="P"/>
    <m/>
    <s v="LA149559"/>
    <m/>
    <s v="Internal"/>
    <s v="A"/>
    <s v="SL"/>
    <d v="2012-01-31T00:00:00"/>
    <s v="WCNX"/>
    <n v="0"/>
    <n v="8335.51"/>
    <m/>
    <x v="13"/>
    <m/>
    <m/>
    <m/>
    <m/>
    <m/>
    <m/>
    <m/>
    <m/>
    <m/>
    <m/>
    <x v="1"/>
  </r>
  <r>
    <n v="2180"/>
    <n v="90591"/>
    <s v="P"/>
    <s v="95 Gallon Dark Aqua Blue NB Carts"/>
    <n v="486"/>
    <m/>
    <m/>
    <m/>
    <n v="0"/>
    <s v="REHRIG PACIFIC COMPANY-LA"/>
    <m/>
    <m/>
    <d v="2009-07-16T00:00:00"/>
    <d v="2009-07-16T00:00:00"/>
    <s v="2181-9-0004-1"/>
    <n v="700"/>
    <n v="14050"/>
    <n v="22586.55"/>
    <n v="14056"/>
    <n v="22586.55"/>
    <n v="0"/>
    <n v="0"/>
    <n v="54260"/>
    <n v="0"/>
    <s v="P"/>
    <m/>
    <s v="LA149850"/>
    <m/>
    <s v="Internal"/>
    <s v="A"/>
    <s v="SL"/>
    <d v="2012-01-31T00:00:00"/>
    <s v="WCNX"/>
    <n v="0"/>
    <n v="8066.63"/>
    <m/>
    <x v="13"/>
    <m/>
    <m/>
    <m/>
    <m/>
    <m/>
    <m/>
    <m/>
    <m/>
    <m/>
    <m/>
    <x v="1"/>
  </r>
  <r>
    <n v="2180"/>
    <n v="90590"/>
    <s v="P"/>
    <s v="95 Gallon Yard Waste Carts - Dark Blue"/>
    <n v="486"/>
    <m/>
    <m/>
    <m/>
    <n v="0"/>
    <s v="REHRIG PACIFIC COMPANY-LA"/>
    <m/>
    <m/>
    <d v="2009-06-02T00:00:00"/>
    <d v="2009-06-02T00:00:00"/>
    <s v="2181-9-0003-1"/>
    <n v="700"/>
    <n v="14050"/>
    <n v="22586.55"/>
    <n v="14056"/>
    <n v="22586.55"/>
    <n v="0"/>
    <n v="0"/>
    <n v="54260"/>
    <n v="0"/>
    <s v="P"/>
    <m/>
    <s v="LA149039"/>
    <m/>
    <s v="Internal"/>
    <s v="A"/>
    <s v="SL"/>
    <d v="2012-01-31T00:00:00"/>
    <s v="WCNX"/>
    <n v="0"/>
    <n v="8604.4"/>
    <m/>
    <x v="13"/>
    <m/>
    <m/>
    <m/>
    <m/>
    <m/>
    <m/>
    <m/>
    <m/>
    <m/>
    <m/>
    <x v="1"/>
  </r>
  <r>
    <n v="2180"/>
    <n v="90589"/>
    <s v="P"/>
    <s v="20 Yard R/O Containers"/>
    <n v="45"/>
    <m/>
    <m/>
    <m/>
    <n v="0"/>
    <m/>
    <m/>
    <s v="20 YD RO Box"/>
    <d v="2008-11-03T00:00:00"/>
    <d v="2008-11-03T00:00:00"/>
    <m/>
    <n v="700"/>
    <n v="14050"/>
    <n v="58500"/>
    <n v="14056"/>
    <n v="58500"/>
    <n v="0"/>
    <n v="0"/>
    <n v="54260"/>
    <n v="0"/>
    <s v="A"/>
    <s v="LeMay Enterprises"/>
    <m/>
    <m/>
    <s v="Internal"/>
    <s v="A"/>
    <s v="SL"/>
    <d v="2012-01-31T00:00:00"/>
    <s v="WCNX"/>
    <n v="2"/>
    <n v="27160.720000000001"/>
    <m/>
    <x v="13"/>
    <m/>
    <m/>
    <m/>
    <m/>
    <m/>
    <m/>
    <m/>
    <m/>
    <m/>
    <m/>
    <x v="1"/>
  </r>
  <r>
    <n v="2180"/>
    <n v="90588"/>
    <s v="P"/>
    <s v="1 YD Containers"/>
    <n v="128"/>
    <m/>
    <m/>
    <m/>
    <n v="0"/>
    <m/>
    <m/>
    <m/>
    <d v="2008-11-03T00:00:00"/>
    <d v="2008-11-03T00:00:00"/>
    <m/>
    <n v="1200"/>
    <n v="14050"/>
    <n v="46832.98"/>
    <n v="14056"/>
    <n v="46832.98"/>
    <n v="0"/>
    <n v="0"/>
    <n v="54260"/>
    <n v="0"/>
    <s v="A"/>
    <s v="LeMay Enterprises"/>
    <m/>
    <m/>
    <s v="Internal"/>
    <s v="A"/>
    <s v="SL"/>
    <d v="2012-01-31T00:00:00"/>
    <s v="WCNX"/>
    <n v="2"/>
    <n v="12683.92"/>
    <m/>
    <x v="13"/>
    <m/>
    <m/>
    <m/>
    <m/>
    <m/>
    <m/>
    <m/>
    <m/>
    <m/>
    <m/>
    <x v="1"/>
  </r>
  <r>
    <n v="2180"/>
    <n v="90587"/>
    <s v="P"/>
    <s v="6 YD Commercial Customers ($100 each)"/>
    <n v="449"/>
    <m/>
    <m/>
    <m/>
    <n v="0"/>
    <m/>
    <m/>
    <m/>
    <d v="2008-11-03T00:00:00"/>
    <d v="2008-11-03T00:00:00"/>
    <m/>
    <n v="700"/>
    <n v="14050"/>
    <n v="39100.93"/>
    <n v="14056"/>
    <n v="39100.93"/>
    <n v="0"/>
    <n v="0"/>
    <n v="54260"/>
    <n v="0"/>
    <s v="A"/>
    <s v="LeMay Enterprises"/>
    <m/>
    <m/>
    <s v="Internal"/>
    <s v="A"/>
    <s v="SL"/>
    <d v="2022-04-30T00:00:00"/>
    <s v="WCNX"/>
    <n v="52"/>
    <n v="39100.93"/>
    <m/>
    <x v="13"/>
    <m/>
    <m/>
    <m/>
    <m/>
    <m/>
    <m/>
    <m/>
    <m/>
    <m/>
    <m/>
    <x v="1"/>
  </r>
  <r>
    <n v="2180"/>
    <n v="90586"/>
    <s v="P"/>
    <s v="Residential Containers in Yard (New Prices)"/>
    <n v="923"/>
    <m/>
    <m/>
    <m/>
    <n v="0"/>
    <m/>
    <m/>
    <m/>
    <d v="2008-11-03T00:00:00"/>
    <d v="2008-11-03T00:00:00"/>
    <m/>
    <n v="700"/>
    <n v="14050"/>
    <n v="40800"/>
    <n v="14056"/>
    <n v="40800"/>
    <n v="0"/>
    <n v="0"/>
    <n v="54260"/>
    <n v="0"/>
    <s v="A"/>
    <s v="LeMay Enterprises"/>
    <m/>
    <m/>
    <s v="Internal"/>
    <s v="A"/>
    <s v="SL"/>
    <d v="2012-01-31T00:00:00"/>
    <s v="WCNX"/>
    <n v="0"/>
    <n v="18942.849999999999"/>
    <m/>
    <x v="13"/>
    <m/>
    <m/>
    <m/>
    <m/>
    <m/>
    <m/>
    <m/>
    <m/>
    <m/>
    <m/>
    <x v="1"/>
  </r>
  <r>
    <n v="2180"/>
    <n v="90584"/>
    <s v="P"/>
    <s v="2006 Type H Ttrac Tr"/>
    <n v="0"/>
    <m/>
    <s v="2FWNA3CKX6AV83367"/>
    <m/>
    <n v="2006"/>
    <s v=" Sterling "/>
    <s v="N/A"/>
    <s v="Road Tractor"/>
    <d v="2008-11-03T00:00:00"/>
    <d v="2008-11-03T00:00:00"/>
    <m/>
    <n v="700"/>
    <n v="14040"/>
    <n v="43500"/>
    <n v="14046"/>
    <n v="43500"/>
    <n v="0"/>
    <n v="0"/>
    <n v="51260"/>
    <n v="0"/>
    <s v="A"/>
    <s v="LeMay Enterprises"/>
    <m/>
    <n v="5594"/>
    <s v="Internal"/>
    <s v="A"/>
    <s v="SL"/>
    <d v="2012-01-31T00:00:00"/>
    <s v="WCNX"/>
    <n v="0"/>
    <n v="20196.45"/>
    <m/>
    <x v="13"/>
    <m/>
    <m/>
    <m/>
    <m/>
    <m/>
    <m/>
    <m/>
    <m/>
    <m/>
    <m/>
    <x v="1"/>
  </r>
  <r>
    <n v="2180"/>
    <n v="90579"/>
    <s v="P"/>
    <s v="1997 Type M Fork Other"/>
    <n v="0"/>
    <m/>
    <s v="1GBJ8W103148"/>
    <m/>
    <n v="1997"/>
    <s v=" GMC "/>
    <s v="Other"/>
    <s v="Container Delivery Truck"/>
    <d v="2008-11-03T00:00:00"/>
    <d v="2008-11-03T00:00:00"/>
    <m/>
    <n v="300"/>
    <n v="14040"/>
    <n v="2500"/>
    <n v="14046"/>
    <n v="2500"/>
    <n v="0"/>
    <n v="0"/>
    <n v="51260"/>
    <n v="0"/>
    <s v="A"/>
    <s v="LeMay Enterprises"/>
    <m/>
    <n v="9981"/>
    <s v="Internal"/>
    <s v="A"/>
    <s v="SL"/>
    <d v="2012-01-31T00:00:00"/>
    <s v="WCNX"/>
    <n v="0"/>
    <n v="2500"/>
    <m/>
    <x v="13"/>
    <m/>
    <m/>
    <m/>
    <m/>
    <m/>
    <m/>
    <m/>
    <m/>
    <m/>
    <m/>
    <x v="1"/>
  </r>
  <r>
    <n v="2180"/>
    <n v="90564"/>
    <s v="P"/>
    <s v="2009 Type H Drop R/O"/>
    <n v="0"/>
    <m/>
    <s v="4V5M99EH59N277267"/>
    <m/>
    <n v="2009"/>
    <s v="Volvo"/>
    <s v="Helm"/>
    <s v="R/O Truck"/>
    <d v="2008-11-03T00:00:00"/>
    <d v="2008-11-03T00:00:00"/>
    <m/>
    <n v="1000"/>
    <n v="14040"/>
    <n v="165486.5"/>
    <n v="14046"/>
    <n v="165486.5"/>
    <n v="0"/>
    <n v="0"/>
    <n v="51260"/>
    <n v="0"/>
    <s v="A"/>
    <s v="LeMay Enterprises"/>
    <m/>
    <n v="4067"/>
    <s v="Internal"/>
    <s v="A"/>
    <s v="SL"/>
    <d v="2012-01-31T00:00:00"/>
    <s v="WCNX"/>
    <n v="0"/>
    <n v="53783.11"/>
    <m/>
    <x v="13"/>
    <m/>
    <m/>
    <m/>
    <m/>
    <m/>
    <m/>
    <m/>
    <m/>
    <m/>
    <m/>
    <x v="1"/>
  </r>
  <r>
    <n v="2180"/>
    <n v="90563"/>
    <s v="P"/>
    <s v="2006 Type H Ttrac Tr"/>
    <n v="0"/>
    <m/>
    <s v="2FWNA3CK16AV83368"/>
    <m/>
    <n v="2006"/>
    <s v=" Sterling "/>
    <s v="N/A"/>
    <s v="Road Tractor"/>
    <d v="2008-11-03T00:00:00"/>
    <d v="2008-11-03T00:00:00"/>
    <m/>
    <n v="700"/>
    <n v="14040"/>
    <n v="43500"/>
    <n v="14046"/>
    <n v="43500"/>
    <n v="0"/>
    <n v="0"/>
    <n v="51260"/>
    <n v="0"/>
    <s v="A"/>
    <s v="LeMay Enterprises"/>
    <m/>
    <n v="5595"/>
    <s v="Internal"/>
    <s v="A"/>
    <s v="SL"/>
    <d v="2012-01-31T00:00:00"/>
    <s v="WCNX"/>
    <n v="0"/>
    <n v="20196.45"/>
    <m/>
    <x v="13"/>
    <m/>
    <m/>
    <m/>
    <m/>
    <m/>
    <m/>
    <m/>
    <m/>
    <m/>
    <m/>
    <x v="1"/>
  </r>
  <r>
    <n v="2180"/>
    <n v="90558"/>
    <s v="P"/>
    <s v="2012 Type M Side SL"/>
    <n v="0"/>
    <m/>
    <s v="JALE5W167C7300335"/>
    <m/>
    <n v="2012"/>
    <s v="Isuzu NRR"/>
    <s v="wayne"/>
    <s v="Automated Sideload"/>
    <d v="2011-11-15T00:00:00"/>
    <d v="2011-11-15T00:00:00"/>
    <s v="2181-11-0013-1"/>
    <n v="1000"/>
    <n v="14040"/>
    <n v="117533.59"/>
    <n v="14046"/>
    <n v="117533.59"/>
    <n v="0"/>
    <n v="0"/>
    <n v="51260"/>
    <n v="0"/>
    <s v="P"/>
    <m/>
    <s v="0052977-IN"/>
    <n v="3305"/>
    <s v="Internal"/>
    <s v="A"/>
    <s v="SL"/>
    <d v="2012-01-31T00:00:00"/>
    <s v="WCNX"/>
    <n v="0"/>
    <n v="2938.34"/>
    <m/>
    <x v="13"/>
    <m/>
    <m/>
    <m/>
    <m/>
    <m/>
    <m/>
    <m/>
    <m/>
    <m/>
    <m/>
    <x v="1"/>
  </r>
  <r>
    <n v="2180"/>
    <n v="90551"/>
    <s v="P"/>
    <s v="2007 Type H Rear REL"/>
    <n v="0"/>
    <m/>
    <s v="1HTWCAAN47J408428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48"/>
    <s v="Internal"/>
    <s v="A"/>
    <s v="SL"/>
    <d v="2012-01-31T00:00:00"/>
    <s v="WCNX"/>
    <n v="0"/>
    <n v="54234.38"/>
    <m/>
    <x v="13"/>
    <m/>
    <m/>
    <m/>
    <m/>
    <m/>
    <m/>
    <m/>
    <m/>
    <m/>
    <m/>
    <x v="1"/>
  </r>
  <r>
    <n v="2180"/>
    <n v="90550"/>
    <s v="P"/>
    <s v="2007 Type H Ttrac Tr"/>
    <n v="0"/>
    <m/>
    <s v="4VM99GH67N481932"/>
    <m/>
    <n v="2007"/>
    <s v="Volvo"/>
    <s v="N/A"/>
    <s v="Road Tractor"/>
    <d v="2008-11-03T00:00:00"/>
    <d v="2008-11-03T00:00:00"/>
    <m/>
    <n v="800"/>
    <n v="14040"/>
    <n v="58500"/>
    <n v="14046"/>
    <n v="58500"/>
    <n v="0"/>
    <n v="0"/>
    <n v="51260"/>
    <n v="0"/>
    <s v="A"/>
    <s v="LeMay Enterprises"/>
    <m/>
    <n v="5617"/>
    <s v="Internal"/>
    <s v="A"/>
    <s v="SL"/>
    <d v="2012-01-31T00:00:00"/>
    <s v="WCNX"/>
    <n v="0"/>
    <n v="23765.63"/>
    <m/>
    <x v="13"/>
    <m/>
    <m/>
    <m/>
    <m/>
    <m/>
    <m/>
    <m/>
    <m/>
    <m/>
    <m/>
    <x v="1"/>
  </r>
  <r>
    <n v="2180"/>
    <n v="90549"/>
    <s v="P"/>
    <s v="2007 Type H TSide ASL"/>
    <n v="0"/>
    <m/>
    <s v="3BPZLD9X37F717686"/>
    <m/>
    <n v="2007"/>
    <s v="Peterbilt"/>
    <s v="Curbtender"/>
    <s v="Automated Sideload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3618"/>
    <s v="Internal"/>
    <s v="A"/>
    <s v="SL"/>
    <d v="2012-01-31T00:00:00"/>
    <s v="WCNX"/>
    <n v="0"/>
    <n v="54234.38"/>
    <m/>
    <x v="13"/>
    <m/>
    <m/>
    <m/>
    <m/>
    <m/>
    <m/>
    <m/>
    <m/>
    <m/>
    <m/>
    <x v="1"/>
  </r>
  <r>
    <n v="2180"/>
    <n v="90542"/>
    <s v="P"/>
    <s v="2008 Type H Ttrac Tr"/>
    <n v="0"/>
    <m/>
    <s v="4V4M99EJ78N487455"/>
    <m/>
    <n v="2008"/>
    <s v="Volvo"/>
    <s v="N/A"/>
    <s v="Road Tractor"/>
    <d v="2008-11-03T00:00:00"/>
    <d v="2008-11-03T00:00:00"/>
    <m/>
    <n v="900"/>
    <n v="14040"/>
    <n v="73500"/>
    <n v="14046"/>
    <n v="73500"/>
    <n v="0"/>
    <n v="0"/>
    <n v="51260"/>
    <n v="0"/>
    <s v="A"/>
    <s v="LeMay Enterprises"/>
    <m/>
    <n v="5621"/>
    <s v="Internal"/>
    <s v="A"/>
    <s v="SL"/>
    <d v="2012-01-31T00:00:00"/>
    <s v="WCNX"/>
    <n v="0"/>
    <n v="26541.68"/>
    <m/>
    <x v="13"/>
    <m/>
    <m/>
    <m/>
    <m/>
    <m/>
    <m/>
    <m/>
    <m/>
    <m/>
    <m/>
    <x v="1"/>
  </r>
  <r>
    <n v="2180"/>
    <n v="90541"/>
    <s v="P"/>
    <s v="2009 Type H TSide ASL"/>
    <n v="0"/>
    <m/>
    <s v="3BPZL50X19F719300"/>
    <m/>
    <n v="2009"/>
    <s v="Peterbilt"/>
    <s v="Curbtender"/>
    <s v="Automated Sideload"/>
    <d v="2008-11-03T00:00:00"/>
    <d v="2008-11-03T00:00:00"/>
    <m/>
    <n v="1000"/>
    <n v="14040"/>
    <n v="132128.6"/>
    <n v="14046"/>
    <n v="132128.6"/>
    <n v="0"/>
    <n v="0"/>
    <n v="51260"/>
    <n v="0"/>
    <s v="A"/>
    <s v="LeMay Enterprises"/>
    <m/>
    <n v="3626"/>
    <s v="Internal"/>
    <s v="A"/>
    <s v="SL"/>
    <d v="2012-01-31T00:00:00"/>
    <s v="WCNX"/>
    <n v="0"/>
    <n v="42941.79"/>
    <m/>
    <x v="13"/>
    <m/>
    <m/>
    <m/>
    <m/>
    <m/>
    <m/>
    <m/>
    <m/>
    <m/>
    <m/>
    <x v="1"/>
  </r>
  <r>
    <n v="2180"/>
    <n v="90536"/>
    <s v="P"/>
    <s v="2007 Type H Ttrac Tr"/>
    <n v="0"/>
    <m/>
    <s v="4VM99GHX7N481934"/>
    <m/>
    <n v="2007"/>
    <s v="volvo"/>
    <s v="N/A"/>
    <s v="Road Tractor"/>
    <d v="2008-11-03T00:00:00"/>
    <d v="2008-11-03T00:00:00"/>
    <m/>
    <n v="800"/>
    <n v="14040"/>
    <n v="58500"/>
    <n v="14046"/>
    <n v="58500"/>
    <n v="0"/>
    <n v="0"/>
    <n v="51260"/>
    <n v="0"/>
    <s v="A"/>
    <s v="LeMay Enterprises"/>
    <m/>
    <n v="5614"/>
    <s v="Internal"/>
    <s v="A"/>
    <s v="SL"/>
    <d v="2012-01-31T00:00:00"/>
    <s v="WCNX"/>
    <n v="0"/>
    <n v="23765.63"/>
    <m/>
    <x v="13"/>
    <m/>
    <m/>
    <m/>
    <m/>
    <m/>
    <m/>
    <m/>
    <m/>
    <m/>
    <m/>
    <x v="1"/>
  </r>
  <r>
    <n v="2180"/>
    <n v="90535"/>
    <s v="P"/>
    <s v="2008 Type H Drop R/O"/>
    <n v="0"/>
    <m/>
    <s v="4V5M99EH28N487372"/>
    <m/>
    <n v="2008"/>
    <s v="Volvo"/>
    <s v="Helm"/>
    <s v="R/O Truck"/>
    <d v="2008-11-03T00:00:00"/>
    <d v="2008-11-03T00:00:00"/>
    <m/>
    <n v="900"/>
    <n v="14040"/>
    <n v="106500"/>
    <n v="14046"/>
    <n v="106500"/>
    <n v="0"/>
    <n v="0"/>
    <n v="51260"/>
    <n v="0"/>
    <s v="A"/>
    <s v="LeMay Enterprises"/>
    <m/>
    <n v="4063"/>
    <s v="Internal"/>
    <s v="A"/>
    <s v="SL"/>
    <d v="2012-01-31T00:00:00"/>
    <s v="WCNX"/>
    <n v="0"/>
    <n v="38458.32"/>
    <m/>
    <x v="13"/>
    <m/>
    <m/>
    <m/>
    <m/>
    <m/>
    <m/>
    <m/>
    <m/>
    <m/>
    <m/>
    <x v="1"/>
  </r>
  <r>
    <n v="2180"/>
    <n v="90533"/>
    <n v="90532"/>
    <s v="Freight to Move Autocar Chassis"/>
    <n v="0"/>
    <m/>
    <s v="5VCACRKF5AH210389"/>
    <m/>
    <n v="2010"/>
    <s v="Solid Waste System"/>
    <m/>
    <s v="Automated Sideload"/>
    <d v="2010-08-31T00:00:00"/>
    <d v="2010-08-31T00:00:00"/>
    <s v="2181-10-0009-1"/>
    <n v="900"/>
    <n v="14040"/>
    <n v="463.13"/>
    <n v="14046"/>
    <n v="463.13"/>
    <n v="0"/>
    <n v="0"/>
    <n v="51260"/>
    <n v="0"/>
    <s v="P"/>
    <m/>
    <s v="T5491a"/>
    <m/>
    <s v="Internal"/>
    <s v="A"/>
    <s v="SL"/>
    <d v="2012-01-31T00:00:00"/>
    <s v="WCNX"/>
    <n v="0"/>
    <n v="72.900000000000006"/>
    <m/>
    <x v="13"/>
    <m/>
    <m/>
    <m/>
    <m/>
    <m/>
    <m/>
    <m/>
    <m/>
    <m/>
    <m/>
    <x v="1"/>
  </r>
  <r>
    <n v="2180"/>
    <n v="90532"/>
    <s v="P"/>
    <s v="New 2010 Autocar ACX ASL"/>
    <n v="0"/>
    <m/>
    <s v=" 5VCACRJF5AH210389"/>
    <m/>
    <n v="2010"/>
    <s v="Autocar ACX"/>
    <s v="wayne"/>
    <s v="Automated Sideload"/>
    <d v="2010-08-31T00:00:00"/>
    <d v="2010-08-31T00:00:00"/>
    <s v="2181-10-0009-1"/>
    <n v="900"/>
    <n v="14040"/>
    <n v="279344.96999999997"/>
    <n v="14046"/>
    <n v="279344.96999999997"/>
    <n v="0"/>
    <n v="0"/>
    <n v="51260"/>
    <n v="0"/>
    <s v="P"/>
    <m/>
    <s v="0045374IN"/>
    <n v="3630"/>
    <s v="Internal"/>
    <s v="A"/>
    <s v="SL"/>
    <d v="2012-01-31T00:00:00"/>
    <s v="WCNX"/>
    <n v="0"/>
    <n v="43970.97"/>
    <m/>
    <x v="13"/>
    <m/>
    <m/>
    <m/>
    <m/>
    <m/>
    <m/>
    <m/>
    <m/>
    <m/>
    <m/>
    <x v="1"/>
  </r>
  <r>
    <n v="2180"/>
    <n v="90531"/>
    <s v="P"/>
    <s v="2002 Used Ryder Aluminum Van Truck"/>
    <n v="0"/>
    <m/>
    <s v="JALC4B14327001053"/>
    <m/>
    <n v="2002"/>
    <s v="ISUZ NPR/NF3"/>
    <s v="Other"/>
    <s v="Container Delivery Truck"/>
    <d v="2010-12-31T00:00:00"/>
    <d v="2010-12-31T00:00:00"/>
    <s v="2181-10-0008-1"/>
    <n v="300"/>
    <n v="14040"/>
    <n v="15751.58"/>
    <n v="14046"/>
    <n v="15751.58"/>
    <n v="0"/>
    <n v="0"/>
    <n v="51260"/>
    <n v="0"/>
    <s v="P"/>
    <m/>
    <n v="943496"/>
    <n v="9572"/>
    <s v="Internal"/>
    <s v="A"/>
    <s v="SL"/>
    <d v="2012-01-31T00:00:00"/>
    <s v="WCNX"/>
    <n v="0"/>
    <n v="5688.07"/>
    <m/>
    <x v="13"/>
    <m/>
    <m/>
    <m/>
    <m/>
    <m/>
    <m/>
    <m/>
    <m/>
    <m/>
    <m/>
    <x v="1"/>
  </r>
  <r>
    <n v="2180"/>
    <n v="90529"/>
    <s v="P"/>
    <s v="2008 Type H Drop R/O"/>
    <n v="0"/>
    <m/>
    <s v="4V5M99GH38N487359"/>
    <m/>
    <n v="2008"/>
    <s v="Volvo"/>
    <s v="Helm"/>
    <s v="R/O Truck"/>
    <d v="2008-11-03T00:00:00"/>
    <d v="2008-11-03T00:00:00"/>
    <m/>
    <n v="900"/>
    <n v="14040"/>
    <n v="106500"/>
    <n v="14046"/>
    <n v="106500"/>
    <n v="0"/>
    <n v="0"/>
    <n v="51260"/>
    <n v="0"/>
    <s v="A"/>
    <s v="LeMay Enterprises"/>
    <m/>
    <n v="4060"/>
    <s v="Internal"/>
    <s v="A"/>
    <s v="SL"/>
    <d v="2012-01-31T00:00:00"/>
    <s v="WCNX"/>
    <n v="0"/>
    <n v="38458.32"/>
    <m/>
    <x v="13"/>
    <m/>
    <m/>
    <m/>
    <m/>
    <m/>
    <m/>
    <m/>
    <m/>
    <m/>
    <m/>
    <x v="1"/>
  </r>
  <r>
    <n v="2180"/>
    <n v="90528"/>
    <s v="P"/>
    <s v="2009 Type H TSide ASL"/>
    <n v="0"/>
    <m/>
    <s v="3BPZL50X89F719195"/>
    <m/>
    <n v="2009"/>
    <s v=" Peterbilt "/>
    <s v="Curbtender"/>
    <s v="Automated Sideload"/>
    <d v="2008-11-03T00:00:00"/>
    <d v="2008-11-03T00:00:00"/>
    <m/>
    <n v="1000"/>
    <n v="14040"/>
    <n v="132129"/>
    <n v="14046"/>
    <n v="132129"/>
    <n v="0"/>
    <n v="0"/>
    <n v="51260"/>
    <n v="0"/>
    <s v="A"/>
    <s v="LeMay Enterprises"/>
    <m/>
    <n v="3624"/>
    <s v="Internal"/>
    <s v="A"/>
    <s v="SL"/>
    <d v="2012-01-31T00:00:00"/>
    <s v="WCNX"/>
    <n v="0"/>
    <n v="42941.93"/>
    <m/>
    <x v="13"/>
    <m/>
    <m/>
    <m/>
    <m/>
    <m/>
    <m/>
    <m/>
    <m/>
    <m/>
    <m/>
    <x v="1"/>
  </r>
  <r>
    <n v="2180"/>
    <n v="90526"/>
    <s v="P"/>
    <s v="Used 1995 Ford Truck L8000 w/ New Container Carrier"/>
    <n v="0"/>
    <m/>
    <s v="1FDXR82E2SVA63307"/>
    <m/>
    <n v="1995"/>
    <s v="FORD L8000"/>
    <s v="Container Delivery Truck"/>
    <s v="Container Delivery Truck"/>
    <d v="2010-01-01T00:00:00"/>
    <d v="2010-01-01T00:00:00"/>
    <s v="2181-10-0007-1"/>
    <n v="300"/>
    <n v="14040"/>
    <n v="46051.39"/>
    <n v="14046"/>
    <n v="46051.39"/>
    <n v="0"/>
    <n v="0"/>
    <n v="51260"/>
    <n v="0"/>
    <s v="P"/>
    <m/>
    <s v="0072225-IN"/>
    <n v="9984"/>
    <s v="Internal"/>
    <s v="A"/>
    <s v="SL"/>
    <d v="2012-01-31T00:00:00"/>
    <s v="WCNX"/>
    <n v="0"/>
    <n v="31980.11"/>
    <m/>
    <x v="13"/>
    <m/>
    <m/>
    <m/>
    <m/>
    <m/>
    <m/>
    <m/>
    <m/>
    <m/>
    <m/>
    <x v="1"/>
  </r>
  <r>
    <n v="2180"/>
    <n v="90524"/>
    <n v="90541"/>
    <s v="2009 Peterbilt 320 Body"/>
    <n v="0"/>
    <m/>
    <n v="719300"/>
    <m/>
    <n v="2009"/>
    <s v=" Peterbilt"/>
    <s v="Other"/>
    <s v="Automated Sideload"/>
    <d v="2008-12-05T00:00:00"/>
    <d v="2008-12-05T00:00:00"/>
    <s v="2180-8-0004-1"/>
    <n v="1000"/>
    <n v="14040"/>
    <n v="100569.69"/>
    <n v="14046"/>
    <n v="100569.69"/>
    <n v="0"/>
    <n v="0"/>
    <n v="51260"/>
    <n v="0"/>
    <s v="P"/>
    <m/>
    <s v="0036468-IN"/>
    <s v=" 3626C"/>
    <s v="Internal"/>
    <s v="A"/>
    <s v="SL"/>
    <d v="2012-01-31T00:00:00"/>
    <s v="WCNX"/>
    <n v="0"/>
    <n v="31847.07"/>
    <m/>
    <x v="13"/>
    <m/>
    <m/>
    <m/>
    <m/>
    <m/>
    <m/>
    <m/>
    <m/>
    <m/>
    <m/>
    <x v="1"/>
  </r>
  <r>
    <n v="2180"/>
    <n v="90521"/>
    <s v="P"/>
    <s v="2007 Type H Rear REL"/>
    <n v="0"/>
    <m/>
    <s v="1HTWCAAN47J411765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53"/>
    <s v="Internal"/>
    <s v="A"/>
    <s v="SL"/>
    <d v="2012-01-31T00:00:00"/>
    <s v="WCNX"/>
    <n v="0"/>
    <n v="54234.38"/>
    <m/>
    <x v="13"/>
    <m/>
    <m/>
    <m/>
    <m/>
    <m/>
    <m/>
    <m/>
    <m/>
    <m/>
    <m/>
    <x v="1"/>
  </r>
  <r>
    <n v="2180"/>
    <n v="90520"/>
    <s v="P"/>
    <s v="2007 Type H Rear REL"/>
    <n v="0"/>
    <m/>
    <s v="1HTWCAAN27J411764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58"/>
    <s v="Internal"/>
    <s v="A"/>
    <s v="SL"/>
    <d v="2012-01-31T00:00:00"/>
    <s v="WCNX"/>
    <n v="0"/>
    <n v="54234.38"/>
    <m/>
    <x v="13"/>
    <m/>
    <m/>
    <m/>
    <m/>
    <m/>
    <m/>
    <m/>
    <m/>
    <m/>
    <m/>
    <x v="1"/>
  </r>
  <r>
    <n v="2180"/>
    <n v="90518"/>
    <s v="P"/>
    <s v="1990 Type M Forklift"/>
    <n v="0"/>
    <m/>
    <s v="H177B17035X"/>
    <m/>
    <n v="2000"/>
    <s v=" Hyster "/>
    <s v=" Hyster "/>
    <s v="Forklift"/>
    <d v="2008-11-03T00:00:00"/>
    <d v="2008-11-03T00:00:00"/>
    <m/>
    <n v="300"/>
    <n v="14030"/>
    <n v="2500"/>
    <n v="14036"/>
    <n v="2500"/>
    <n v="0"/>
    <n v="0"/>
    <n v="51260"/>
    <n v="0"/>
    <s v="A"/>
    <s v="LeMay Enterprises"/>
    <m/>
    <n v="7030"/>
    <s v="Internal"/>
    <s v="A"/>
    <s v="SL"/>
    <d v="2012-01-31T00:00:00"/>
    <s v="WCNX"/>
    <n v="0"/>
    <n v="2500"/>
    <m/>
    <x v="13"/>
    <m/>
    <m/>
    <m/>
    <m/>
    <m/>
    <m/>
    <m/>
    <m/>
    <m/>
    <m/>
    <x v="1"/>
  </r>
  <r>
    <n v="2180"/>
    <n v="90464"/>
    <s v="P"/>
    <s v="Sony Internet TV (SN = P18264700A)"/>
    <n v="0"/>
    <m/>
    <m/>
    <m/>
    <n v="0"/>
    <s v="cdw"/>
    <m/>
    <m/>
    <d v="2012-01-25T00:00:00"/>
    <d v="2012-01-25T00:00:00"/>
    <s v="1010-12-0018-1"/>
    <n v="500"/>
    <n v="14110"/>
    <n v="564.44000000000005"/>
    <n v="14116"/>
    <n v="564.44000000000005"/>
    <n v="0"/>
    <n v="0"/>
    <n v="70260"/>
    <n v="0"/>
    <s v="P"/>
    <m/>
    <s v="D50661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9282"/>
    <s v="P"/>
    <s v="65 Gallon Carts &amp; Lids - Forrest Green"/>
    <n v="648"/>
    <m/>
    <m/>
    <m/>
    <n v="0"/>
    <s v="REHRIG PACIFIC COMPANY"/>
    <m/>
    <m/>
    <d v="2012-01-01T00:00:00"/>
    <d v="2012-01-01T00:00:00"/>
    <s v="2180-11-0029-1"/>
    <n v="700"/>
    <n v="14050"/>
    <n v="29237.14"/>
    <n v="14056"/>
    <n v="29237.14"/>
    <n v="0"/>
    <n v="0"/>
    <n v="54260"/>
    <n v="0"/>
    <s v="P"/>
    <m/>
    <s v="LA1676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8248"/>
    <s v="P"/>
    <s v="2 Route Manager Users Licenses"/>
    <n v="0"/>
    <m/>
    <m/>
    <m/>
    <n v="0"/>
    <s v="WESTERN MICROSYSTEMS"/>
    <m/>
    <m/>
    <d v="2011-12-01T00:00:00"/>
    <d v="2011-12-01T00:00:00"/>
    <s v="2180-11-0031-1"/>
    <n v="300"/>
    <n v="14110"/>
    <n v="1750"/>
    <n v="14116"/>
    <n v="1750"/>
    <n v="0"/>
    <n v="0"/>
    <n v="70260"/>
    <n v="0"/>
    <s v="P"/>
    <m/>
    <n v="1289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8132"/>
    <s v="P"/>
    <s v="95 Gallon Carts - Dark Blue"/>
    <n v="486"/>
    <m/>
    <m/>
    <m/>
    <n v="0"/>
    <s v="REHRIG PACIFIC COMPANY"/>
    <m/>
    <m/>
    <d v="2011-09-10T00:00:00"/>
    <d v="2011-09-10T00:00:00"/>
    <s v="2180-11-0030-1"/>
    <n v="700"/>
    <n v="14050"/>
    <n v="3868.85"/>
    <n v="14056"/>
    <n v="3868.85"/>
    <n v="0"/>
    <n v="0"/>
    <n v="54260"/>
    <n v="0"/>
    <s v="P"/>
    <m/>
    <s v="KA921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8131"/>
    <s v="P"/>
    <s v="95 Gallon Carts - Dark Blue"/>
    <n v="486"/>
    <m/>
    <m/>
    <m/>
    <n v="0"/>
    <s v="REHRIG PACIFIC COMPANY"/>
    <m/>
    <m/>
    <d v="2011-09-10T00:00:00"/>
    <d v="2011-09-10T00:00:00"/>
    <s v="2180-11-0021-1"/>
    <n v="700"/>
    <n v="14050"/>
    <n v="23780"/>
    <n v="14056"/>
    <n v="23780"/>
    <n v="0"/>
    <n v="0"/>
    <n v="54260"/>
    <n v="0"/>
    <s v="P"/>
    <m/>
    <s v="KA921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8130"/>
    <s v="P"/>
    <s v="95 Gallon Carts - Dark Blue"/>
    <n v="486"/>
    <m/>
    <m/>
    <m/>
    <n v="0"/>
    <s v="REHRIG PACIFIC COMPANY"/>
    <m/>
    <m/>
    <d v="2011-09-10T00:00:00"/>
    <d v="2011-09-10T00:00:00"/>
    <s v="2180-11-0030-1"/>
    <n v="700"/>
    <n v="14050"/>
    <n v="27648.85"/>
    <n v="14056"/>
    <n v="27648.85"/>
    <n v="0"/>
    <n v="0"/>
    <n v="54260"/>
    <n v="0"/>
    <s v="P"/>
    <m/>
    <s v="LA1656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7413"/>
    <s v="P"/>
    <s v="1 Yard FEL Caster Plast Containers"/>
    <n v="20"/>
    <m/>
    <m/>
    <m/>
    <n v="0"/>
    <s v="CAPITAL INDUSTRIES, INC."/>
    <m/>
    <s v="1 YD FEL/REL/SL Plastic"/>
    <d v="2011-10-26T00:00:00"/>
    <d v="2011-10-26T00:00:00"/>
    <s v="2180-11-0023-1"/>
    <n v="1200"/>
    <n v="14050"/>
    <n v="8700.2800000000007"/>
    <n v="14056"/>
    <n v="7673.13"/>
    <n v="1027.1500000000005"/>
    <n v="302.08999999999997"/>
    <n v="54260"/>
    <n v="60.42"/>
    <s v="P"/>
    <m/>
    <n v="6314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7412"/>
    <s v="P"/>
    <s v="6 Yard FEL Containers"/>
    <n v="6"/>
    <m/>
    <m/>
    <m/>
    <n v="0"/>
    <s v="CAPITAL INDUSTRIES, INC."/>
    <m/>
    <s v="6 YD FEL/REL/SL Metal"/>
    <d v="2011-10-21T00:00:00"/>
    <d v="2011-10-21T00:00:00"/>
    <s v="2180-11-0019-1"/>
    <n v="1200"/>
    <n v="14050"/>
    <n v="4905.38"/>
    <n v="14056"/>
    <n v="4326.17"/>
    <n v="579.21"/>
    <n v="170.33"/>
    <n v="54260"/>
    <n v="34.07"/>
    <s v="P"/>
    <m/>
    <n v="6305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7411"/>
    <s v="P"/>
    <s v="6 Yard FEL Containers"/>
    <n v="8"/>
    <m/>
    <m/>
    <m/>
    <n v="0"/>
    <s v="CAPITAL INDUSTRIES, INC."/>
    <m/>
    <s v="6 YD FEL/REL/SL Metal"/>
    <d v="2011-10-21T00:00:00"/>
    <d v="2011-10-21T00:00:00"/>
    <s v="2180-11-0019-1"/>
    <n v="1200"/>
    <n v="14050"/>
    <n v="6540.51"/>
    <n v="14056"/>
    <n v="5768.34"/>
    <n v="772.17000000000007"/>
    <n v="227.1"/>
    <n v="54260"/>
    <n v="45.42"/>
    <s v="P"/>
    <m/>
    <n v="6301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7203"/>
    <s v="P"/>
    <s v="Panasonic Toughbook 53 (SN = %1ITSA30845)"/>
    <n v="0"/>
    <m/>
    <m/>
    <m/>
    <n v="0"/>
    <s v="CDW"/>
    <m/>
    <m/>
    <d v="2011-10-10T00:00:00"/>
    <d v="2011-10-10T00:00:00"/>
    <s v="2180-11-0028-1"/>
    <n v="300"/>
    <n v="14110"/>
    <n v="1549.26"/>
    <n v="14116"/>
    <n v="1549.26"/>
    <n v="0"/>
    <n v="0"/>
    <n v="70260"/>
    <n v="0"/>
    <s v="P"/>
    <m/>
    <s v="ZWR26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7092"/>
    <s v="P"/>
    <s v="USED HYSTER FORKLIFT"/>
    <n v="0"/>
    <m/>
    <s v="H177B9269B"/>
    <m/>
    <n v="2005"/>
    <s v=" Hyster "/>
    <s v=" Hyster "/>
    <s v="Forklift"/>
    <d v="2011-09-24T00:00:00"/>
    <d v="2011-09-24T00:00:00"/>
    <s v="2180-11-0027-1"/>
    <n v="600"/>
    <n v="14030"/>
    <n v="6230.1"/>
    <n v="14036"/>
    <n v="6230.1"/>
    <n v="0"/>
    <n v="0"/>
    <n v="51260"/>
    <n v="0"/>
    <s v="P"/>
    <m/>
    <s v="183338S"/>
    <n v="703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876"/>
    <s v="P"/>
    <s v="95 Gallon Carts - ROC Grey SERIAL"/>
    <n v="63"/>
    <m/>
    <s v="#A96018847-A96018909"/>
    <m/>
    <n v="0"/>
    <s v="REHRIG PACIFIC COMPANY"/>
    <m/>
    <m/>
    <d v="2011-09-24T00:00:00"/>
    <d v="2011-09-24T00:00:00"/>
    <s v="2180-11-0025-1"/>
    <n v="700"/>
    <n v="14050"/>
    <n v="3652.99"/>
    <n v="14056"/>
    <n v="3652.99"/>
    <n v="0"/>
    <n v="0"/>
    <n v="54260"/>
    <n v="0"/>
    <s v="P"/>
    <m/>
    <s v="LA1659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875"/>
    <s v="P"/>
    <s v="95 Gallon Carts - ROC Grey SERIAL"/>
    <n v="486"/>
    <m/>
    <s v="#A96018361-A96018846"/>
    <m/>
    <n v="0"/>
    <s v="REHRIG PACIFIC COMPANY"/>
    <m/>
    <m/>
    <d v="2011-09-24T00:00:00"/>
    <d v="2011-09-24T00:00:00"/>
    <s v="2180-11-0025-1"/>
    <n v="700"/>
    <n v="14050"/>
    <n v="28180.04"/>
    <n v="14056"/>
    <n v="28180.04"/>
    <n v="0"/>
    <n v="0"/>
    <n v="54260"/>
    <n v="0"/>
    <s v="P"/>
    <m/>
    <s v="LA1659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848"/>
    <n v="86844"/>
    <s v="New 2010 Excavator 135D - Final Drives"/>
    <n v="0"/>
    <m/>
    <m/>
    <m/>
    <n v="2010"/>
    <s v="Pape Machinery"/>
    <m/>
    <s v="Excavator"/>
    <d v="2011-01-01T00:00:00"/>
    <d v="2011-01-01T00:00:00"/>
    <s v="2182-10-0018-1"/>
    <n v="300"/>
    <n v="14030"/>
    <n v="13553.2"/>
    <n v="14036"/>
    <n v="13553.2"/>
    <n v="0"/>
    <n v="0"/>
    <n v="51260"/>
    <n v="0"/>
    <s v="P"/>
    <m/>
    <s v="131958S"/>
    <m/>
    <s v="Internal"/>
    <s v="A"/>
    <s v="SL"/>
    <d v="2011-09-30T00:00:00"/>
    <s v="WCNX"/>
    <n v="0"/>
    <n v="3388.3"/>
    <m/>
    <x v="13"/>
    <m/>
    <m/>
    <m/>
    <m/>
    <m/>
    <m/>
    <m/>
    <m/>
    <m/>
    <m/>
    <x v="1"/>
  </r>
  <r>
    <n v="2180"/>
    <n v="86847"/>
    <n v="86844"/>
    <s v="New 2010 Excavator 135D - Undercarriage"/>
    <n v="0"/>
    <m/>
    <m/>
    <m/>
    <n v="2010"/>
    <s v="Pape Machinery"/>
    <m/>
    <s v="Excavator"/>
    <d v="2011-01-01T00:00:00"/>
    <d v="2011-01-01T00:00:00"/>
    <s v="2182-10-0018-1"/>
    <n v="300"/>
    <n v="14030"/>
    <n v="20329.8"/>
    <n v="14036"/>
    <n v="20329.8"/>
    <n v="0"/>
    <n v="0"/>
    <n v="51260"/>
    <n v="0"/>
    <s v="P"/>
    <m/>
    <s v="131958S"/>
    <m/>
    <s v="Internal"/>
    <s v="A"/>
    <s v="SL"/>
    <d v="2011-09-30T00:00:00"/>
    <s v="WCNX"/>
    <n v="0"/>
    <n v="5082.45"/>
    <m/>
    <x v="13"/>
    <m/>
    <m/>
    <m/>
    <m/>
    <m/>
    <m/>
    <m/>
    <m/>
    <m/>
    <m/>
    <x v="1"/>
  </r>
  <r>
    <n v="2180"/>
    <n v="86846"/>
    <n v="86844"/>
    <s v="New 2010 Excavator 135D - Transmission"/>
    <n v="0"/>
    <m/>
    <m/>
    <m/>
    <n v="2010"/>
    <s v="Pape Machinery"/>
    <m/>
    <s v="Non-Rolling Stock"/>
    <d v="2011-01-01T00:00:00"/>
    <d v="2011-01-01T00:00:00"/>
    <s v="2182-10-0018-1"/>
    <n v="300"/>
    <n v="14030"/>
    <n v="16941.5"/>
    <n v="14036"/>
    <n v="16941.5"/>
    <n v="0"/>
    <n v="0"/>
    <n v="51260"/>
    <n v="0"/>
    <s v="P"/>
    <m/>
    <s v="131958S"/>
    <m/>
    <s v="Internal"/>
    <s v="A"/>
    <s v="SL"/>
    <d v="2011-09-30T00:00:00"/>
    <s v="WCNX"/>
    <n v="0"/>
    <n v="4235.38"/>
    <m/>
    <x v="13"/>
    <m/>
    <m/>
    <m/>
    <m/>
    <m/>
    <m/>
    <m/>
    <m/>
    <m/>
    <m/>
    <x v="1"/>
  </r>
  <r>
    <n v="2180"/>
    <n v="86845"/>
    <n v="86844"/>
    <s v="New 2010 Excavator 135D - Engine"/>
    <n v="0"/>
    <m/>
    <m/>
    <m/>
    <n v="2010"/>
    <s v="Pape Machinery"/>
    <m/>
    <s v="Non-Rolling Stock"/>
    <d v="2011-01-01T00:00:00"/>
    <d v="2011-01-01T00:00:00"/>
    <s v="2182-10-0018-1"/>
    <n v="300"/>
    <n v="14030"/>
    <n v="13553.2"/>
    <n v="14036"/>
    <n v="13553.2"/>
    <n v="0"/>
    <n v="0"/>
    <n v="51260"/>
    <n v="0"/>
    <s v="P"/>
    <m/>
    <s v="131958S"/>
    <m/>
    <s v="Internal"/>
    <s v="A"/>
    <s v="SL"/>
    <d v="2011-09-30T00:00:00"/>
    <s v="WCNX"/>
    <n v="0"/>
    <n v="3388.3"/>
    <m/>
    <x v="13"/>
    <m/>
    <m/>
    <m/>
    <m/>
    <m/>
    <m/>
    <m/>
    <m/>
    <m/>
    <m/>
    <x v="1"/>
  </r>
  <r>
    <n v="2180"/>
    <n v="86844"/>
    <s v="P"/>
    <s v="2010 John Deere 135D Wxcavator"/>
    <n v="0"/>
    <m/>
    <s v="1FF135DXLA0302412"/>
    <m/>
    <n v="2010"/>
    <s v=" John Deere "/>
    <s v=" John Deere "/>
    <s v="Excavator"/>
    <d v="2011-01-01T00:00:00"/>
    <d v="2011-01-01T00:00:00"/>
    <s v="2182-10-0018-1"/>
    <n v="1100"/>
    <n v="14030"/>
    <n v="105037.3"/>
    <n v="14036"/>
    <n v="105037.3"/>
    <n v="0"/>
    <n v="0"/>
    <n v="51260"/>
    <n v="0"/>
    <s v="P"/>
    <m/>
    <s v="131958S"/>
    <n v="7411"/>
    <s v="Internal"/>
    <s v="A"/>
    <s v="SL"/>
    <d v="2011-09-30T00:00:00"/>
    <s v="WCNX"/>
    <n v="0"/>
    <n v="7161.64"/>
    <m/>
    <x v="13"/>
    <m/>
    <m/>
    <m/>
    <m/>
    <m/>
    <m/>
    <m/>
    <m/>
    <m/>
    <m/>
    <x v="1"/>
  </r>
  <r>
    <n v="2180"/>
    <n v="86841"/>
    <s v="P"/>
    <s v="2004 Type M Hook HL"/>
    <n v="0"/>
    <m/>
    <s v="1HTMMAAL64H664897"/>
    <m/>
    <n v="2004"/>
    <s v="International"/>
    <s v="Multilift"/>
    <s v="Hook Lift Truck"/>
    <d v="2008-11-03T00:00:00"/>
    <d v="2008-11-03T00:00:00"/>
    <m/>
    <n v="500"/>
    <n v="14040"/>
    <n v="46500"/>
    <n v="14046"/>
    <n v="46500"/>
    <n v="0"/>
    <n v="0"/>
    <n v="51260"/>
    <n v="0"/>
    <s v="A"/>
    <s v="LeMay Enterprises"/>
    <m/>
    <n v="4517"/>
    <s v="Internal"/>
    <s v="A"/>
    <s v="SL"/>
    <d v="2011-09-30T00:00:00"/>
    <s v="WCNX"/>
    <n v="0"/>
    <n v="27125"/>
    <m/>
    <x v="13"/>
    <m/>
    <m/>
    <m/>
    <m/>
    <m/>
    <m/>
    <m/>
    <m/>
    <m/>
    <m/>
    <x v="1"/>
  </r>
  <r>
    <n v="2180"/>
    <n v="86840"/>
    <s v="P"/>
    <s v="Pressure Washer (Shop Equipment)"/>
    <n v="0"/>
    <m/>
    <m/>
    <m/>
    <n v="0"/>
    <m/>
    <m/>
    <m/>
    <d v="2008-11-03T00:00:00"/>
    <d v="2008-11-03T00:00:00"/>
    <m/>
    <n v="300"/>
    <n v="14070"/>
    <n v="1000"/>
    <n v="14076"/>
    <n v="1000"/>
    <n v="0"/>
    <n v="0"/>
    <n v="51260"/>
    <n v="0"/>
    <s v="A"/>
    <s v="LeMay Enterprises"/>
    <m/>
    <m/>
    <s v="Internal"/>
    <s v="A"/>
    <s v="SL"/>
    <d v="2011-09-30T00:00:00"/>
    <s v="WCNX"/>
    <n v="0"/>
    <n v="972.22"/>
    <m/>
    <x v="13"/>
    <m/>
    <m/>
    <m/>
    <m/>
    <m/>
    <m/>
    <m/>
    <m/>
    <m/>
    <m/>
    <x v="1"/>
  </r>
  <r>
    <n v="2180"/>
    <n v="86839"/>
    <s v="P"/>
    <s v="Welder (Shop Equipment)"/>
    <n v="0"/>
    <m/>
    <m/>
    <m/>
    <n v="0"/>
    <m/>
    <m/>
    <m/>
    <d v="2008-11-03T00:00:00"/>
    <d v="2008-11-03T00:00:00"/>
    <m/>
    <n v="300"/>
    <n v="14070"/>
    <n v="1000"/>
    <n v="14076"/>
    <n v="1000"/>
    <n v="0"/>
    <n v="0"/>
    <n v="51260"/>
    <n v="0"/>
    <s v="A"/>
    <s v="LeMay Enterprises"/>
    <m/>
    <m/>
    <s v="Internal"/>
    <s v="A"/>
    <s v="SL"/>
    <d v="2011-09-30T00:00:00"/>
    <s v="WCNX"/>
    <n v="0"/>
    <n v="972.22"/>
    <m/>
    <x v="13"/>
    <m/>
    <m/>
    <m/>
    <m/>
    <m/>
    <m/>
    <m/>
    <m/>
    <m/>
    <m/>
    <x v="1"/>
  </r>
  <r>
    <n v="2180"/>
    <n v="86836"/>
    <n v="86835"/>
    <s v="FLUP-Truck 7407"/>
    <n v="0"/>
    <m/>
    <m/>
    <m/>
    <n v="1992"/>
    <m/>
    <m/>
    <s v="Non-Rolling Stock"/>
    <d v="2009-05-03T00:00:00"/>
    <d v="2009-05-03T00:00:00"/>
    <s v="2182-9-0005-1"/>
    <n v="300"/>
    <n v="14040"/>
    <n v="10496.91"/>
    <n v="14046"/>
    <n v="10496.91"/>
    <n v="0"/>
    <n v="0"/>
    <n v="51260"/>
    <n v="0"/>
    <s v="P"/>
    <m/>
    <n v="2123506"/>
    <n v="7407"/>
    <s v="Internal"/>
    <s v="A"/>
    <s v="SL"/>
    <d v="2011-09-30T00:00:00"/>
    <s v="WCNX"/>
    <n v="0"/>
    <n v="8455.85"/>
    <m/>
    <x v="13"/>
    <m/>
    <m/>
    <m/>
    <m/>
    <m/>
    <m/>
    <m/>
    <m/>
    <m/>
    <m/>
    <x v="1"/>
  </r>
  <r>
    <n v="2180"/>
    <n v="86835"/>
    <s v="P"/>
    <s v="1992 Type H Trac H Other"/>
    <n v="0"/>
    <m/>
    <s v="10E-01193"/>
    <m/>
    <n v="1992"/>
    <s v="Other"/>
    <s v="Other"/>
    <s v="Excavator"/>
    <d v="2008-11-03T00:00:00"/>
    <d v="2008-11-03T00:00:00"/>
    <m/>
    <n v="300"/>
    <n v="14030"/>
    <n v="2500"/>
    <n v="14036"/>
    <n v="2500"/>
    <n v="0"/>
    <n v="0"/>
    <n v="51260"/>
    <n v="0"/>
    <s v="A"/>
    <s v="LeMay Enterprises"/>
    <m/>
    <n v="7407"/>
    <s v="Internal"/>
    <s v="A"/>
    <s v="SL"/>
    <d v="2011-09-30T00:00:00"/>
    <s v="WCNX"/>
    <n v="0"/>
    <n v="2430.56"/>
    <m/>
    <x v="13"/>
    <m/>
    <m/>
    <m/>
    <m/>
    <m/>
    <m/>
    <m/>
    <m/>
    <m/>
    <m/>
    <x v="1"/>
  </r>
  <r>
    <n v="2180"/>
    <n v="86829"/>
    <s v="P"/>
    <s v="1993 Type H Ttrac Tr"/>
    <n v="0"/>
    <m/>
    <s v="2HSFHDZR3PC066077"/>
    <m/>
    <n v="1993"/>
    <s v="International"/>
    <s v="N/A"/>
    <s v="Road Tractor"/>
    <d v="2008-11-03T00:00:00"/>
    <d v="2008-11-03T00:00:00"/>
    <m/>
    <n v="300"/>
    <n v="14040"/>
    <n v="2500"/>
    <n v="14046"/>
    <n v="2500"/>
    <n v="0"/>
    <n v="0"/>
    <n v="51260"/>
    <n v="0"/>
    <s v="A"/>
    <s v="LeMay Enterprises"/>
    <m/>
    <n v="5555"/>
    <s v="Internal"/>
    <s v="A"/>
    <s v="SL"/>
    <d v="2011-09-30T00:00:00"/>
    <s v="WCNX"/>
    <n v="0"/>
    <n v="2430.56"/>
    <m/>
    <x v="13"/>
    <m/>
    <m/>
    <m/>
    <m/>
    <m/>
    <m/>
    <m/>
    <m/>
    <m/>
    <m/>
    <x v="1"/>
  </r>
  <r>
    <n v="2180"/>
    <n v="86828"/>
    <n v="86827"/>
    <s v="FLUP-Truck 5554"/>
    <n v="0"/>
    <m/>
    <n v="66072"/>
    <m/>
    <n v="1993"/>
    <m/>
    <m/>
    <s v="Non-Rolling Stock"/>
    <d v="2009-05-03T00:00:00"/>
    <d v="2009-05-03T00:00:00"/>
    <s v="2182-9-0001-1"/>
    <n v="300"/>
    <n v="14040"/>
    <n v="4394.9799999999996"/>
    <n v="14046"/>
    <n v="4394.9799999999996"/>
    <n v="0"/>
    <n v="0"/>
    <n v="51260"/>
    <n v="0"/>
    <s v="P"/>
    <m/>
    <s v="01-75611"/>
    <n v="5554"/>
    <s v="Internal"/>
    <s v="A"/>
    <s v="SL"/>
    <d v="2011-09-30T00:00:00"/>
    <s v="WCNX"/>
    <n v="0"/>
    <n v="3540.39"/>
    <m/>
    <x v="13"/>
    <m/>
    <m/>
    <m/>
    <m/>
    <m/>
    <m/>
    <m/>
    <m/>
    <m/>
    <m/>
    <x v="1"/>
  </r>
  <r>
    <n v="2180"/>
    <n v="86827"/>
    <s v="P"/>
    <s v="1993 Type H Ttrac Tr"/>
    <n v="0"/>
    <m/>
    <s v=" 2HSFHDZR4PCC066072"/>
    <m/>
    <n v="1993"/>
    <s v="International"/>
    <s v="N/A"/>
    <s v="Road Tractor"/>
    <d v="2008-11-03T00:00:00"/>
    <d v="2008-11-03T00:00:00"/>
    <m/>
    <n v="300"/>
    <n v="14040"/>
    <n v="2500"/>
    <n v="14046"/>
    <n v="2500"/>
    <n v="0"/>
    <n v="0"/>
    <n v="51260"/>
    <n v="0"/>
    <s v="A"/>
    <s v="LeMay Enterprises"/>
    <m/>
    <n v="5554"/>
    <s v="Internal"/>
    <s v="A"/>
    <s v="SL"/>
    <d v="2011-09-30T00:00:00"/>
    <s v="WCNX"/>
    <n v="0"/>
    <n v="2430.56"/>
    <m/>
    <x v="13"/>
    <m/>
    <m/>
    <m/>
    <m/>
    <m/>
    <m/>
    <m/>
    <m/>
    <m/>
    <m/>
    <x v="1"/>
  </r>
  <r>
    <n v="2180"/>
    <n v="86801"/>
    <s v="P"/>
    <s v="95 Gallon Carts NB &amp; Lids Aqua Blue"/>
    <n v="68"/>
    <m/>
    <s v="068042-068109"/>
    <m/>
    <n v="0"/>
    <s v="REHRIG PACIFIC COMPANY"/>
    <m/>
    <m/>
    <d v="2011-09-10T00:00:00"/>
    <d v="2011-09-10T00:00:00"/>
    <s v="2180-11-0021-1"/>
    <n v="700"/>
    <n v="14050"/>
    <n v="3868.57"/>
    <n v="14056"/>
    <n v="3868.57"/>
    <n v="0"/>
    <n v="0"/>
    <n v="54260"/>
    <n v="0"/>
    <s v="P"/>
    <m/>
    <s v="KA921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800"/>
    <s v="P"/>
    <s v="95 Gallon Carts NB &amp; Lids Aqua Blue"/>
    <n v="68"/>
    <m/>
    <s v="0684946-069013"/>
    <m/>
    <n v="0"/>
    <s v="REHRIG PACIFIC COMPANY"/>
    <m/>
    <m/>
    <d v="2011-09-10T00:00:00"/>
    <d v="2011-09-10T00:00:00"/>
    <s v="2180-11-0021-1"/>
    <n v="700"/>
    <n v="14050"/>
    <n v="3868.57"/>
    <n v="14056"/>
    <n v="3868.57"/>
    <n v="0"/>
    <n v="0"/>
    <n v="54260"/>
    <n v="0"/>
    <s v="P"/>
    <m/>
    <s v="LA16565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524"/>
    <s v="P"/>
    <s v="HP ProBook 6460B (SN = CNU1294J4V)  and Docking Station (SN = CNU125ZV5K)"/>
    <n v="0"/>
    <m/>
    <m/>
    <m/>
    <n v="0"/>
    <s v="CDW"/>
    <m/>
    <m/>
    <d v="2011-09-01T00:00:00"/>
    <d v="2011-09-01T00:00:00"/>
    <s v="2180-11-0024-1"/>
    <n v="300"/>
    <n v="14110"/>
    <n v="1006.03"/>
    <n v="14116"/>
    <n v="1006.03"/>
    <n v="0"/>
    <n v="0"/>
    <n v="70260"/>
    <n v="0"/>
    <s v="P"/>
    <m/>
    <s v="ZLN195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470"/>
    <s v="P"/>
    <s v="1 Yard REL Containers"/>
    <n v="1"/>
    <m/>
    <m/>
    <m/>
    <n v="0"/>
    <s v="CAPITAL INDUSTRIES"/>
    <m/>
    <s v="1 YD FEL/REL/SL Metal"/>
    <d v="2011-09-08T00:00:00"/>
    <d v="2011-09-08T00:00:00"/>
    <s v="2180-11-0020-1"/>
    <n v="1200"/>
    <n v="14050"/>
    <n v="538.63"/>
    <n v="14056"/>
    <n v="482.55"/>
    <n v="56.079999999999984"/>
    <n v="18.7"/>
    <n v="54260"/>
    <n v="3.74"/>
    <s v="P"/>
    <m/>
    <n v="61221"/>
    <m/>
    <s v="Internal"/>
    <s v="A"/>
    <s v="SL"/>
    <d v="2014-02-28T00:00:00"/>
    <s v="WCNX"/>
    <n v="1"/>
    <n v="112.21"/>
    <m/>
    <x v="13"/>
    <m/>
    <m/>
    <m/>
    <m/>
    <m/>
    <m/>
    <m/>
    <m/>
    <m/>
    <m/>
    <x v="1"/>
  </r>
  <r>
    <n v="2180"/>
    <n v="86469"/>
    <s v="P"/>
    <s v="1 Yard REL Containers"/>
    <n v="4"/>
    <m/>
    <m/>
    <m/>
    <n v="0"/>
    <s v="CAPITAL INDUSTRIES"/>
    <m/>
    <s v="1 YD FEL/REL/SL Metal"/>
    <d v="2011-09-08T00:00:00"/>
    <d v="2011-09-08T00:00:00"/>
    <s v="2180-11-0020-1"/>
    <n v="1200"/>
    <n v="14050"/>
    <n v="1923.68"/>
    <n v="14056"/>
    <n v="1723.34"/>
    <n v="200.34000000000015"/>
    <n v="66.8"/>
    <n v="54260"/>
    <n v="13.36"/>
    <s v="P"/>
    <m/>
    <n v="612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148"/>
    <n v="85917"/>
    <s v="Truck Painted WCI Blue - Waste Expo"/>
    <n v="0"/>
    <m/>
    <s v="3BPZL70X8CF142090"/>
    <m/>
    <n v="2012"/>
    <m/>
    <m/>
    <s v="Automated Sideload"/>
    <d v="2011-08-05T00:00:00"/>
    <d v="2011-08-05T00:00:00"/>
    <s v="2180-11-0012-1"/>
    <n v="1000"/>
    <n v="14040"/>
    <n v="2451.19"/>
    <n v="14046"/>
    <n v="2451.19"/>
    <n v="0"/>
    <n v="0"/>
    <n v="51260"/>
    <n v="0"/>
    <s v="P"/>
    <m/>
    <s v="0051411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6147"/>
    <n v="85917"/>
    <s v="New Wayne Curbtender 27 Yard - Body"/>
    <n v="0"/>
    <m/>
    <s v="3BPZL70X8CF142090"/>
    <m/>
    <n v="2012"/>
    <m/>
    <m/>
    <s v="Automated Sideload"/>
    <d v="2011-08-05T00:00:00"/>
    <d v="2011-08-05T00:00:00"/>
    <s v="2180-11-0012-1"/>
    <n v="1000"/>
    <n v="14040"/>
    <n v="137814.17000000001"/>
    <n v="14046"/>
    <n v="137814.17000000001"/>
    <n v="0"/>
    <n v="0"/>
    <n v="51260"/>
    <n v="0"/>
    <s v="P"/>
    <m/>
    <s v="0050503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5917"/>
    <s v="P"/>
    <s v="New 2012 Peterbilt 320 ASL"/>
    <n v="0"/>
    <m/>
    <s v="3BPZL70X8CF142090"/>
    <m/>
    <n v="2012"/>
    <s v="Peterbilt 320"/>
    <s v="wayne"/>
    <s v="Automated Sideload"/>
    <d v="2011-08-05T00:00:00"/>
    <d v="2011-08-05T00:00:00"/>
    <s v="2180-11-0012-1"/>
    <n v="1000"/>
    <n v="14040"/>
    <n v="156624.20000000001"/>
    <n v="14046"/>
    <n v="156624.20000000001"/>
    <n v="0"/>
    <n v="0"/>
    <n v="51260"/>
    <n v="0"/>
    <s v="P"/>
    <m/>
    <s v="P142090"/>
    <n v="3631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5654"/>
    <s v="P"/>
    <s v="New RCore Unit, GPS Modem &amp; Software for Truck# 3631"/>
    <n v="0"/>
    <m/>
    <m/>
    <m/>
    <n v="0"/>
    <s v="ROUTEWARE INC"/>
    <m/>
    <m/>
    <d v="2011-08-02T00:00:00"/>
    <d v="2011-08-02T00:00:00"/>
    <s v="2180-11-0022-1"/>
    <n v="300"/>
    <n v="14110"/>
    <n v="7261.89"/>
    <n v="14116"/>
    <n v="7261.89"/>
    <n v="0"/>
    <n v="0"/>
    <n v="70260"/>
    <n v="0"/>
    <s v="P"/>
    <m/>
    <n v="936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5005"/>
    <s v="P"/>
    <s v="LEMAY Industrial Project"/>
    <n v="0"/>
    <m/>
    <m/>
    <m/>
    <n v="0"/>
    <s v="RUSH COMMERCIAL CONSTRUCT"/>
    <m/>
    <m/>
    <d v="2011-03-31T00:00:00"/>
    <d v="2011-03-31T00:00:00"/>
    <s v="2180-11-0007-1"/>
    <n v="2000"/>
    <n v="14080"/>
    <n v="23372.76"/>
    <n v="14086"/>
    <n v="13049.81"/>
    <n v="10322.949999999999"/>
    <n v="486.93"/>
    <n v="57260"/>
    <n v="97.38"/>
    <s v="P"/>
    <m/>
    <n v="1235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5004"/>
    <s v="P"/>
    <s v="LEMAY Industrial Project"/>
    <n v="0"/>
    <m/>
    <m/>
    <m/>
    <n v="0"/>
    <s v="RUSH COMMERCIAL CONSTRUCT"/>
    <m/>
    <m/>
    <d v="2011-03-31T00:00:00"/>
    <d v="2011-03-31T00:00:00"/>
    <s v="2180-11-0007-1"/>
    <n v="2000"/>
    <n v="14080"/>
    <n v="2133.77"/>
    <n v="14086"/>
    <n v="1191.3699999999999"/>
    <n v="942.40000000000009"/>
    <n v="44.45"/>
    <n v="57260"/>
    <n v="8.89"/>
    <s v="P"/>
    <m/>
    <n v="12351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734"/>
    <n v="80461"/>
    <s v="Furniture for Frederickson Office"/>
    <n v="0"/>
    <m/>
    <m/>
    <m/>
    <n v="0"/>
    <s v="BUSINESS INTERIORS NW"/>
    <m/>
    <m/>
    <d v="2011-03-31T00:00:00"/>
    <d v="2011-03-31T00:00:00"/>
    <s v="2180-10-0026-1"/>
    <n v="1000"/>
    <n v="14100"/>
    <n v="1695.95"/>
    <n v="14106"/>
    <n v="1695.95"/>
    <n v="0"/>
    <n v="0"/>
    <n v="70260"/>
    <n v="0"/>
    <s v="P"/>
    <m/>
    <n v="2017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732"/>
    <n v="80461"/>
    <s v="Phone system install Charges"/>
    <n v="0"/>
    <m/>
    <m/>
    <m/>
    <n v="0"/>
    <s v="CDW"/>
    <m/>
    <m/>
    <d v="2011-03-31T00:00:00"/>
    <d v="2011-03-31T00:00:00"/>
    <s v="2180-11-0007-1"/>
    <n v="500"/>
    <n v="14100"/>
    <n v="3960.18"/>
    <n v="14106"/>
    <n v="3960.18"/>
    <n v="0"/>
    <n v="0"/>
    <n v="70260"/>
    <n v="0"/>
    <s v="P"/>
    <m/>
    <n v="1778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730"/>
    <n v="80461"/>
    <s v="Gutter Installation"/>
    <n v="0"/>
    <m/>
    <m/>
    <m/>
    <n v="0"/>
    <s v="ABOVE THE REST"/>
    <m/>
    <m/>
    <d v="2011-03-31T00:00:00"/>
    <d v="2011-03-31T00:00:00"/>
    <s v="2180-11-0007-1"/>
    <n v="2000"/>
    <n v="14080"/>
    <n v="2240.65"/>
    <n v="14086"/>
    <n v="1251.01"/>
    <n v="989.6400000000001"/>
    <n v="46.68"/>
    <n v="57260"/>
    <n v="9.34"/>
    <s v="P"/>
    <m/>
    <n v="428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654"/>
    <s v="P"/>
    <s v="Used 2006 Model H60FT Forklift"/>
    <n v="0"/>
    <m/>
    <s v="L177B10511D"/>
    <m/>
    <n v="2006"/>
    <s v="Hyster"/>
    <s v="hyster"/>
    <s v="Forklift"/>
    <d v="2011-05-25T00:00:00"/>
    <d v="2011-05-25T00:00:00"/>
    <s v="2180-11-0009-1"/>
    <n v="500"/>
    <n v="14030"/>
    <n v="21323.33"/>
    <n v="14036"/>
    <n v="21323.33"/>
    <n v="0"/>
    <n v="0"/>
    <n v="51260"/>
    <n v="0"/>
    <s v="P"/>
    <m/>
    <s v="180705S"/>
    <n v="703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7"/>
    <n v="80461"/>
    <s v="Striping Services"/>
    <n v="0"/>
    <m/>
    <m/>
    <m/>
    <n v="0"/>
    <s v="PIERCE COUNTY BUDGET &amp; FI"/>
    <m/>
    <m/>
    <d v="2011-03-31T00:00:00"/>
    <d v="2011-03-31T00:00:00"/>
    <s v="2180-11-0007-1"/>
    <n v="2000"/>
    <n v="14080"/>
    <n v="3166.67"/>
    <n v="14086"/>
    <n v="1768.02"/>
    <n v="1398.65"/>
    <n v="65.97"/>
    <n v="57260"/>
    <n v="13.19"/>
    <s v="P"/>
    <m/>
    <s v="AR1220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6"/>
    <n v="80461"/>
    <s v="Professional Services"/>
    <n v="0"/>
    <m/>
    <m/>
    <m/>
    <n v="0"/>
    <s v="PACLAND"/>
    <m/>
    <m/>
    <d v="2011-03-31T00:00:00"/>
    <d v="2011-03-31T00:00:00"/>
    <s v="2180-11-0007-1"/>
    <n v="2000"/>
    <n v="14080"/>
    <n v="555"/>
    <n v="14086"/>
    <n v="309.87"/>
    <n v="245.13"/>
    <n v="11.56"/>
    <n v="57260"/>
    <n v="2.31"/>
    <s v="P"/>
    <m/>
    <n v="2536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5"/>
    <n v="80461"/>
    <s v="Professional Services"/>
    <n v="0"/>
    <m/>
    <m/>
    <m/>
    <n v="0"/>
    <s v="PACLAND"/>
    <m/>
    <m/>
    <d v="2011-03-31T00:00:00"/>
    <d v="2011-03-31T00:00:00"/>
    <s v="2180-11-0007-1"/>
    <n v="2000"/>
    <n v="14080"/>
    <n v="8571.02"/>
    <n v="14086"/>
    <n v="4785.47"/>
    <n v="3785.55"/>
    <n v="178.56"/>
    <n v="57260"/>
    <n v="35.71"/>
    <s v="P"/>
    <m/>
    <n v="246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4"/>
    <n v="80461"/>
    <s v="Professional Services"/>
    <n v="0"/>
    <m/>
    <m/>
    <m/>
    <n v="0"/>
    <s v="PACLAND"/>
    <m/>
    <m/>
    <d v="2011-03-31T00:00:00"/>
    <d v="2011-03-31T00:00:00"/>
    <s v="2180-11-0007-1"/>
    <n v="2000"/>
    <n v="14080"/>
    <n v="2739.6"/>
    <n v="14086"/>
    <n v="1529.53"/>
    <n v="1210.07"/>
    <n v="57.08"/>
    <n v="57260"/>
    <n v="11.42"/>
    <s v="P"/>
    <m/>
    <n v="244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3"/>
    <n v="80461"/>
    <s v="Professional Services"/>
    <n v="0"/>
    <m/>
    <m/>
    <m/>
    <n v="0"/>
    <s v="PACLAND"/>
    <m/>
    <m/>
    <d v="2011-03-31T00:00:00"/>
    <d v="2011-03-31T00:00:00"/>
    <s v="2180-11-0007-1"/>
    <n v="2000"/>
    <n v="14080"/>
    <n v="1676.81"/>
    <n v="14086"/>
    <n v="936.21"/>
    <n v="740.59999999999991"/>
    <n v="34.93"/>
    <n v="57260"/>
    <n v="6.98"/>
    <s v="P"/>
    <m/>
    <n v="2489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2"/>
    <n v="80461"/>
    <s v="Professional Services"/>
    <n v="0"/>
    <m/>
    <m/>
    <m/>
    <n v="0"/>
    <s v="ENVIRONMENTAL INFORMATION"/>
    <m/>
    <m/>
    <d v="2011-03-31T00:00:00"/>
    <d v="2011-03-31T00:00:00"/>
    <s v="2180-11-0007-1"/>
    <n v="2000"/>
    <n v="14080"/>
    <n v="673"/>
    <n v="14086"/>
    <n v="375.76"/>
    <n v="297.24"/>
    <n v="14.02"/>
    <n v="57260"/>
    <n v="2.8"/>
    <s v="P"/>
    <m/>
    <n v="10003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1"/>
    <n v="80461"/>
    <s v="Change Sink"/>
    <n v="0"/>
    <m/>
    <m/>
    <m/>
    <n v="0"/>
    <s v="CORNELL PLUMBING AND HEAT"/>
    <m/>
    <m/>
    <d v="2011-03-31T00:00:00"/>
    <d v="2011-03-31T00:00:00"/>
    <s v="2180-11-0007-1"/>
    <n v="2000"/>
    <n v="14080"/>
    <n v="2011.12"/>
    <n v="14086"/>
    <n v="1122.92"/>
    <n v="888.19999999999982"/>
    <n v="41.9"/>
    <n v="57260"/>
    <n v="8.3800000000000008"/>
    <s v="P"/>
    <m/>
    <n v="1996.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90"/>
    <n v="80461"/>
    <s v="Sercurity System - Last 10% Down"/>
    <n v="0"/>
    <m/>
    <m/>
    <m/>
    <n v="0"/>
    <s v="BOONE ELECTRIC CONSTRUCTI"/>
    <m/>
    <m/>
    <d v="2011-03-31T00:00:00"/>
    <d v="2011-03-31T00:00:00"/>
    <s v="2180-11-0007-1"/>
    <n v="2000"/>
    <n v="14080"/>
    <n v="7370.54"/>
    <n v="14086"/>
    <n v="4115.0600000000004"/>
    <n v="3255.4799999999996"/>
    <n v="153.55000000000001"/>
    <n v="57260"/>
    <n v="30.71"/>
    <s v="P"/>
    <m/>
    <n v="1259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70"/>
    <s v="P"/>
    <s v="65 Gallon Carts - Forest Green"/>
    <n v="91"/>
    <m/>
    <s v="T055273-T055363"/>
    <m/>
    <n v="0"/>
    <s v="REHRIG PACIFIC COMPANY"/>
    <m/>
    <m/>
    <d v="2011-05-29T00:00:00"/>
    <d v="2011-05-29T00:00:00"/>
    <s v="2180-11-0018-1"/>
    <n v="700"/>
    <n v="14050"/>
    <n v="4451.96"/>
    <n v="14056"/>
    <n v="4451.96"/>
    <n v="0"/>
    <n v="0"/>
    <n v="54260"/>
    <n v="0"/>
    <s v="P"/>
    <m/>
    <s v="LA16345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9"/>
    <s v="P"/>
    <s v="4 Yard Commercial Containers"/>
    <n v="20"/>
    <m/>
    <m/>
    <m/>
    <n v="0"/>
    <s v="REHRIG PACIFIC COMPANY"/>
    <m/>
    <s v="4 YD FEL/REL/SL Metal"/>
    <d v="2011-06-08T00:00:00"/>
    <d v="2011-06-08T00:00:00"/>
    <s v="2180-11-0017-1"/>
    <n v="700"/>
    <n v="14050"/>
    <n v="14181.68"/>
    <n v="14056"/>
    <n v="14181.68"/>
    <n v="0"/>
    <n v="0"/>
    <n v="54260"/>
    <n v="0"/>
    <s v="P"/>
    <m/>
    <s v="AT1309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8"/>
    <s v="P"/>
    <s v="65 Gallon Carts - Forest Green"/>
    <n v="648"/>
    <m/>
    <s v="T054625-T055272"/>
    <m/>
    <n v="0"/>
    <s v="REHRIG PACIFIC COMPANY"/>
    <m/>
    <m/>
    <d v="2011-05-29T00:00:00"/>
    <d v="2011-05-29T00:00:00"/>
    <s v="2180-11-0018-1"/>
    <n v="700"/>
    <n v="14050"/>
    <n v="31701.91"/>
    <n v="14056"/>
    <n v="31701.91"/>
    <n v="0"/>
    <n v="0"/>
    <n v="54260"/>
    <n v="0"/>
    <s v="P"/>
    <m/>
    <s v="LA16345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7"/>
    <s v="P"/>
    <s v="4 Yard Commercial Containers"/>
    <n v="3"/>
    <m/>
    <m/>
    <m/>
    <n v="0"/>
    <s v="REHRIG PACIFIC COMPANY"/>
    <m/>
    <s v="4 YD FEL/REL/SL Metal"/>
    <d v="2011-06-08T00:00:00"/>
    <d v="2011-06-08T00:00:00"/>
    <s v="2180-11-0017-1"/>
    <n v="700"/>
    <n v="14050"/>
    <n v="2127.27"/>
    <n v="14056"/>
    <n v="2127.27"/>
    <n v="0"/>
    <n v="0"/>
    <n v="54260"/>
    <n v="0"/>
    <s v="P"/>
    <m/>
    <s v="AT1309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6"/>
    <s v="P"/>
    <s v="3 Yard Commercial Containers"/>
    <n v="10"/>
    <m/>
    <m/>
    <m/>
    <n v="0"/>
    <s v="REHRIG PACIFIC COMPANY"/>
    <m/>
    <s v="3 YD FEL/REL/SL Metal"/>
    <d v="2011-06-08T00:00:00"/>
    <d v="2011-06-08T00:00:00"/>
    <s v="2180-11-0017-1"/>
    <n v="700"/>
    <n v="14050"/>
    <n v="6440.5"/>
    <n v="14056"/>
    <n v="6440.5"/>
    <n v="0"/>
    <n v="0"/>
    <n v="54260"/>
    <n v="0"/>
    <s v="P"/>
    <m/>
    <s v="AT130963R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5"/>
    <s v="P"/>
    <s v="3 Yard Commercial Containers"/>
    <n v="10"/>
    <m/>
    <m/>
    <m/>
    <n v="0"/>
    <s v="REHRIG PACIFIC COMPANY"/>
    <m/>
    <s v="3 YD FEL/REL/SL Metal"/>
    <d v="2011-06-08T00:00:00"/>
    <d v="2011-06-08T00:00:00"/>
    <s v="2180-11-0017-1"/>
    <n v="700"/>
    <n v="14050"/>
    <n v="6440.5"/>
    <n v="14056"/>
    <n v="6440.5"/>
    <n v="0"/>
    <n v="0"/>
    <n v="54260"/>
    <n v="0"/>
    <s v="P"/>
    <m/>
    <s v="AT1309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564"/>
    <s v="P"/>
    <s v="3 Yard Commercial Containers"/>
    <n v="3"/>
    <m/>
    <m/>
    <m/>
    <n v="0"/>
    <s v="REHRIG PACIFIC COMPANY"/>
    <m/>
    <s v="3 YD FEL/REL/SL Metal"/>
    <d v="2011-06-08T00:00:00"/>
    <d v="2011-06-08T00:00:00"/>
    <s v="2180-11-0017-1"/>
    <n v="700"/>
    <n v="14050"/>
    <n v="1932.17"/>
    <n v="14056"/>
    <n v="1932.17"/>
    <n v="0"/>
    <n v="0"/>
    <n v="54260"/>
    <n v="0"/>
    <s v="P"/>
    <m/>
    <s v="AT13097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9"/>
    <n v="80461"/>
    <s v="Professional Services"/>
    <n v="0"/>
    <m/>
    <m/>
    <m/>
    <n v="0"/>
    <s v="PACLAND"/>
    <m/>
    <m/>
    <d v="2011-03-31T00:00:00"/>
    <d v="2011-03-31T00:00:00"/>
    <s v="2180-11-0007-1"/>
    <n v="2000"/>
    <n v="14080"/>
    <n v="216.12"/>
    <n v="14086"/>
    <n v="120.71"/>
    <n v="95.410000000000011"/>
    <n v="4.5"/>
    <n v="57260"/>
    <n v="0.9"/>
    <s v="P"/>
    <m/>
    <n v="2516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8"/>
    <n v="80461"/>
    <s v="Welder Outlet &amp; Circuit for Hose Machine"/>
    <n v="0"/>
    <m/>
    <m/>
    <m/>
    <n v="0"/>
    <s v="MB ELECTRIC LLC"/>
    <m/>
    <m/>
    <d v="2011-03-31T00:00:00"/>
    <d v="2011-03-31T00:00:00"/>
    <s v="2180-11-0007-1"/>
    <n v="2000"/>
    <n v="14080"/>
    <n v="3673.77"/>
    <n v="14086"/>
    <n v="2051.21"/>
    <n v="1622.56"/>
    <n v="76.540000000000006"/>
    <n v="57260"/>
    <n v="15.31"/>
    <s v="P"/>
    <m/>
    <n v="174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7"/>
    <n v="80461"/>
    <s v="Buckboost Transformer for Tire Machine"/>
    <n v="0"/>
    <m/>
    <m/>
    <m/>
    <n v="0"/>
    <s v="MB ELECTRIC LLC"/>
    <m/>
    <m/>
    <d v="2011-03-31T00:00:00"/>
    <d v="2011-03-31T00:00:00"/>
    <s v="2180-11-0007-1"/>
    <n v="2000"/>
    <n v="14080"/>
    <n v="636.66999999999996"/>
    <n v="14086"/>
    <n v="355.44"/>
    <n v="281.22999999999996"/>
    <n v="13.26"/>
    <n v="57260"/>
    <n v="2.65"/>
    <s v="P"/>
    <m/>
    <n v="17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6"/>
    <n v="80461"/>
    <s v="Install  Above Ground Fuel Storage Tanks"/>
    <n v="0"/>
    <m/>
    <m/>
    <m/>
    <n v="0"/>
    <s v="ESE CORPORATION"/>
    <m/>
    <m/>
    <d v="2011-03-31T00:00:00"/>
    <d v="2011-03-31T00:00:00"/>
    <s v="2180-11-0007-1"/>
    <n v="2000"/>
    <n v="14080"/>
    <n v="59592"/>
    <n v="14086"/>
    <n v="33272.199999999997"/>
    <n v="26319.800000000003"/>
    <n v="1241.5"/>
    <n v="57260"/>
    <n v="248.3"/>
    <s v="P"/>
    <m/>
    <n v="1807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5"/>
    <n v="80461"/>
    <s v="New Fueling Facility - Remaining Payments"/>
    <n v="0"/>
    <m/>
    <m/>
    <m/>
    <n v="0"/>
    <s v="ESE CORPORATION"/>
    <m/>
    <m/>
    <d v="2011-03-31T00:00:00"/>
    <d v="2011-03-31T00:00:00"/>
    <s v="2180-10-0003-1"/>
    <n v="2000"/>
    <n v="14080"/>
    <n v="20568.07"/>
    <n v="14086"/>
    <n v="11483.8"/>
    <n v="9084.27"/>
    <n v="428.5"/>
    <n v="57260"/>
    <n v="85.7"/>
    <s v="P"/>
    <m/>
    <n v="1804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4"/>
    <n v="80461"/>
    <s v="Installation of underground fueling canopy drain system"/>
    <n v="0"/>
    <m/>
    <m/>
    <m/>
    <n v="0"/>
    <s v="ESE CORPORATION"/>
    <m/>
    <m/>
    <d v="2011-03-31T00:00:00"/>
    <d v="2011-03-31T00:00:00"/>
    <s v="2180-10-0003-1"/>
    <n v="2000"/>
    <n v="14080"/>
    <n v="6062.87"/>
    <n v="14086"/>
    <n v="3385.07"/>
    <n v="2677.7999999999997"/>
    <n v="126.31"/>
    <n v="57260"/>
    <n v="25.26"/>
    <s v="P"/>
    <m/>
    <n v="180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3"/>
    <n v="80461"/>
    <s v="Permit procurement services for Fueling System"/>
    <n v="0"/>
    <m/>
    <m/>
    <m/>
    <n v="0"/>
    <s v="ESE CORPORATION"/>
    <m/>
    <m/>
    <d v="2011-03-31T00:00:00"/>
    <d v="2011-03-31T00:00:00"/>
    <s v="2180-10-0003-1"/>
    <n v="2000"/>
    <n v="14080"/>
    <n v="4618.55"/>
    <n v="14086"/>
    <n v="2578.7199999999998"/>
    <n v="2039.8300000000004"/>
    <n v="96.22"/>
    <n v="57260"/>
    <n v="19.239999999999998"/>
    <s v="P"/>
    <m/>
    <n v="1804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2"/>
    <n v="80461"/>
    <s v="New Fueling Facility"/>
    <n v="0"/>
    <m/>
    <m/>
    <m/>
    <n v="0"/>
    <s v="ESE CORPORATION"/>
    <m/>
    <m/>
    <d v="2011-03-31T00:00:00"/>
    <d v="2011-03-31T00:00:00"/>
    <s v="2180-10-0003-1"/>
    <n v="2000"/>
    <n v="14080"/>
    <n v="6693.53"/>
    <n v="14086"/>
    <n v="3737.26"/>
    <n v="2956.2699999999995"/>
    <n v="139.44999999999999"/>
    <n v="57260"/>
    <n v="27.89"/>
    <s v="P"/>
    <m/>
    <n v="180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1"/>
    <n v="80461"/>
    <s v="Diesel Cardlock System - Final Payment"/>
    <n v="0"/>
    <m/>
    <m/>
    <m/>
    <n v="0"/>
    <s v="DON SMALL &amp; SONS OIL DIST"/>
    <m/>
    <m/>
    <d v="2011-03-31T00:00:00"/>
    <d v="2011-03-31T00:00:00"/>
    <s v="2180-11-0007-1"/>
    <n v="2000"/>
    <n v="14080"/>
    <n v="31000.84"/>
    <n v="14086"/>
    <n v="17308.78"/>
    <n v="13692.060000000001"/>
    <n v="645.85"/>
    <n v="57260"/>
    <n v="129.16999999999999"/>
    <s v="P"/>
    <m/>
    <n v="1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30"/>
    <n v="80461"/>
    <s v="Diesel Cardlock System - Additional Payment"/>
    <n v="0"/>
    <m/>
    <m/>
    <m/>
    <n v="0"/>
    <s v="DON SMALL &amp; SONS OIL DIST"/>
    <m/>
    <m/>
    <d v="2011-03-31T00:00:00"/>
    <d v="2011-03-31T00:00:00"/>
    <s v="2180-10-0003-1"/>
    <n v="2000"/>
    <n v="14080"/>
    <n v="245.11"/>
    <n v="14086"/>
    <n v="136.9"/>
    <n v="108.21000000000001"/>
    <n v="5.1100000000000003"/>
    <n v="57260"/>
    <n v="1.02"/>
    <s v="P"/>
    <m/>
    <n v="1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29"/>
    <n v="80461"/>
    <s v="Diesel Cardlock System"/>
    <n v="0"/>
    <m/>
    <m/>
    <m/>
    <n v="0"/>
    <s v="DON SMALL &amp; SONS OIL DIST"/>
    <m/>
    <m/>
    <d v="2011-03-31T00:00:00"/>
    <d v="2011-03-31T00:00:00"/>
    <s v="2180-10-0003-1"/>
    <n v="2000"/>
    <n v="14080"/>
    <n v="80823.8"/>
    <n v="14086"/>
    <n v="45126.62"/>
    <n v="35697.18"/>
    <n v="1683.83"/>
    <n v="57260"/>
    <n v="336.77"/>
    <s v="P"/>
    <m/>
    <n v="1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28"/>
    <n v="80461"/>
    <s v="New Lubrucation System - Remaining Payment"/>
    <n v="0"/>
    <m/>
    <m/>
    <m/>
    <n v="0"/>
    <s v="DON SMALL &amp; SONS OIL DIST"/>
    <m/>
    <m/>
    <d v="2011-03-31T00:00:00"/>
    <d v="2011-03-31T00:00:00"/>
    <s v="2180-10-0003-1"/>
    <n v="2000"/>
    <n v="14080"/>
    <n v="68923.28"/>
    <n v="14086"/>
    <n v="38482.120000000003"/>
    <n v="30441.159999999996"/>
    <n v="1435.9"/>
    <n v="57260"/>
    <n v="287.18"/>
    <s v="P"/>
    <m/>
    <n v="16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4014"/>
    <s v="P"/>
    <s v="95 Gallon Carts - Green"/>
    <n v="437"/>
    <m/>
    <s v="066098 T0 066534"/>
    <m/>
    <n v="0"/>
    <s v="REHRIG PACIFIC COMPANY"/>
    <m/>
    <m/>
    <d v="2011-05-04T00:00:00"/>
    <d v="2011-05-04T00:00:00"/>
    <s v="2180-11-0016-1"/>
    <n v="700"/>
    <n v="14050"/>
    <n v="22668.84"/>
    <n v="14056"/>
    <n v="22668.84"/>
    <n v="0"/>
    <n v="0"/>
    <n v="54260"/>
    <n v="0"/>
    <s v="P"/>
    <m/>
    <s v="LA16301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748"/>
    <n v="80461"/>
    <s v="Refund for traffic Impact Fee Permit 689407"/>
    <n v="0"/>
    <m/>
    <m/>
    <m/>
    <n v="0"/>
    <s v="PIERCE COUNTY PUBLIC WORK"/>
    <m/>
    <m/>
    <d v="2011-03-31T00:00:00"/>
    <d v="2011-03-31T00:00:00"/>
    <s v="2180-11-0007-1"/>
    <n v="2000"/>
    <n v="14080"/>
    <n v="-114.39"/>
    <n v="14086"/>
    <n v="-63.87"/>
    <n v="-50.52"/>
    <n v="-2.38"/>
    <n v="57260"/>
    <n v="-0.47"/>
    <s v="P"/>
    <m/>
    <n v="6894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336"/>
    <n v="80461"/>
    <s v="Display Case &amp; Cubby Holes in Lobby"/>
    <n v="0"/>
    <m/>
    <m/>
    <m/>
    <n v="0"/>
    <s v="GOODELL WOOD FURNISHING"/>
    <m/>
    <m/>
    <d v="2011-03-31T00:00:00"/>
    <d v="2011-03-31T00:00:00"/>
    <s v="2180-11-0007-1"/>
    <n v="2000"/>
    <n v="14080"/>
    <n v="8580.16"/>
    <n v="14086"/>
    <n v="4790.6099999999997"/>
    <n v="3789.55"/>
    <n v="178.75"/>
    <n v="57260"/>
    <n v="35.75"/>
    <s v="P"/>
    <m/>
    <s v="0574 0504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335"/>
    <n v="80461"/>
    <s v="REPUBLIC LOCKERS FOR SHOP"/>
    <n v="0"/>
    <m/>
    <m/>
    <m/>
    <n v="0"/>
    <s v="NW HANDLING"/>
    <m/>
    <m/>
    <d v="2011-03-31T00:00:00"/>
    <d v="2011-03-31T00:00:00"/>
    <s v="2180-11-0007-1"/>
    <n v="2000"/>
    <n v="14080"/>
    <n v="5668.3"/>
    <n v="14086"/>
    <n v="3164.85"/>
    <n v="2503.4500000000003"/>
    <n v="118.09"/>
    <n v="57260"/>
    <n v="23.62"/>
    <s v="P"/>
    <m/>
    <s v="01E453866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334"/>
    <n v="80461"/>
    <s v="SHELVING FOR NEW OFFICE"/>
    <n v="0"/>
    <m/>
    <m/>
    <m/>
    <n v="0"/>
    <s v="NW HANDLING"/>
    <m/>
    <m/>
    <d v="2011-03-31T00:00:00"/>
    <d v="2011-03-31T00:00:00"/>
    <s v="2180-10-0003-1"/>
    <n v="2000"/>
    <n v="14080"/>
    <n v="2278.91"/>
    <n v="14086"/>
    <n v="1272.44"/>
    <n v="1006.4699999999998"/>
    <n v="47.48"/>
    <n v="57260"/>
    <n v="9.5"/>
    <s v="P"/>
    <m/>
    <s v="01E46970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331"/>
    <s v="P"/>
    <s v="SPANCO 1 Tone Freestanding JIB"/>
    <n v="0"/>
    <m/>
    <m/>
    <m/>
    <n v="0"/>
    <s v="CRANE TECHNOLOGY"/>
    <m/>
    <m/>
    <d v="2011-03-31T00:00:00"/>
    <d v="2011-03-31T00:00:00"/>
    <s v="2180-10-0027-1"/>
    <n v="500"/>
    <n v="14070"/>
    <n v="7305.94"/>
    <n v="14076"/>
    <n v="7305.94"/>
    <n v="0"/>
    <n v="0"/>
    <n v="51260"/>
    <n v="0"/>
    <s v="P"/>
    <m/>
    <n v="160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069"/>
    <s v="P"/>
    <s v="95 Gallon Carts - Green"/>
    <n v="437"/>
    <m/>
    <s v="986322 T0 986758"/>
    <m/>
    <n v="0"/>
    <s v="REHRIG PACIFIC COMPANY"/>
    <m/>
    <m/>
    <d v="2011-05-04T00:00:00"/>
    <d v="2011-05-04T00:00:00"/>
    <s v="2180-11-0016-1"/>
    <n v="700"/>
    <n v="14050"/>
    <n v="22668.84"/>
    <n v="14056"/>
    <n v="22668.84"/>
    <n v="0"/>
    <n v="0"/>
    <n v="54260"/>
    <n v="0"/>
    <s v="P"/>
    <m/>
    <s v="LA1629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2068"/>
    <s v="P"/>
    <s v="35 Gallon Carts - Green"/>
    <n v="360"/>
    <m/>
    <s v="035042051-035042410"/>
    <m/>
    <n v="0"/>
    <s v="REHRIG PACIFIC COMPANY"/>
    <m/>
    <m/>
    <d v="2011-04-18T00:00:00"/>
    <d v="2011-04-18T00:00:00"/>
    <s v="2180-11-0015-1"/>
    <n v="700"/>
    <n v="14050"/>
    <n v="12721.21"/>
    <n v="14056"/>
    <n v="12721.21"/>
    <n v="0"/>
    <n v="0"/>
    <n v="54260"/>
    <n v="0"/>
    <s v="P"/>
    <m/>
    <s v="LA16283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531"/>
    <n v="80461"/>
    <s v="Construction of Frederickson Site"/>
    <n v="0"/>
    <m/>
    <m/>
    <m/>
    <n v="0"/>
    <s v="RUSH COMMERCIAL CONSTRUCT"/>
    <m/>
    <m/>
    <d v="2011-03-31T00:00:00"/>
    <d v="2011-03-31T00:00:00"/>
    <s v="2180-10-0003-1"/>
    <n v="2000"/>
    <n v="14080"/>
    <n v="20661.47"/>
    <n v="14086"/>
    <n v="11535.96"/>
    <n v="9125.510000000002"/>
    <n v="430.45"/>
    <n v="57260"/>
    <n v="86.09"/>
    <s v="P"/>
    <m/>
    <n v="12348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530"/>
    <n v="80461"/>
    <s v="Construction Testing &amp; Inspection Services"/>
    <n v="0"/>
    <m/>
    <m/>
    <m/>
    <n v="0"/>
    <s v="KRAZAN &amp; ASSOCIATES"/>
    <m/>
    <m/>
    <d v="2011-03-31T00:00:00"/>
    <d v="2011-03-31T00:00:00"/>
    <s v="2180-11-0007-1"/>
    <n v="2000"/>
    <n v="14080"/>
    <n v="301"/>
    <n v="14086"/>
    <n v="168.05"/>
    <n v="132.94999999999999"/>
    <n v="6.27"/>
    <n v="57260"/>
    <n v="1.25"/>
    <s v="P"/>
    <m/>
    <s v="0667849-173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529"/>
    <n v="80461"/>
    <s v="Security System Additions"/>
    <n v="0"/>
    <m/>
    <m/>
    <m/>
    <n v="0"/>
    <s v="BOONE ELECTRIC CONSTRUCTI"/>
    <m/>
    <m/>
    <d v="2011-03-31T00:00:00"/>
    <d v="2011-03-31T00:00:00"/>
    <s v="2180-11-0007-1"/>
    <n v="2000"/>
    <n v="14080"/>
    <n v="8812.86"/>
    <n v="14086"/>
    <n v="4920.4799999999996"/>
    <n v="3892.380000000001"/>
    <n v="183.6"/>
    <n v="57260"/>
    <n v="36.72"/>
    <s v="P"/>
    <m/>
    <n v="1268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513"/>
    <s v="P"/>
    <s v="95 Gallon Carts - Grey"/>
    <n v="437"/>
    <m/>
    <s v="A96017924-A96018360"/>
    <m/>
    <n v="0"/>
    <s v="REHRIG PACIFIC COMPANY"/>
    <m/>
    <m/>
    <d v="2011-04-18T00:00:00"/>
    <d v="2011-04-18T00:00:00"/>
    <s v="2180-11-0015-1"/>
    <n v="700"/>
    <n v="14050"/>
    <n v="23146.47"/>
    <n v="14056"/>
    <n v="23146.47"/>
    <n v="0"/>
    <n v="0"/>
    <n v="54260"/>
    <n v="0"/>
    <s v="P"/>
    <m/>
    <s v="LA1627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108"/>
    <n v="80461"/>
    <s v="Display Case for Lobby"/>
    <n v="0"/>
    <m/>
    <m/>
    <m/>
    <n v="0"/>
    <s v="GOODELL WOOD FURNISHINGS"/>
    <m/>
    <m/>
    <d v="2011-03-31T00:00:00"/>
    <d v="2011-03-31T00:00:00"/>
    <s v="2180-11-0007-1"/>
    <n v="2000"/>
    <n v="14080"/>
    <n v="8580.17"/>
    <n v="14086"/>
    <n v="4790.6099999999997"/>
    <n v="3789.5600000000004"/>
    <n v="178.75"/>
    <n v="57260"/>
    <n v="35.75"/>
    <s v="P"/>
    <m/>
    <s v="0572 04181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107"/>
    <n v="80461"/>
    <s v="Paint Curbs Yellow in Customer Parking Lot"/>
    <n v="0"/>
    <m/>
    <m/>
    <m/>
    <n v="0"/>
    <s v="ROAD RUNNER"/>
    <m/>
    <m/>
    <d v="2011-03-31T00:00:00"/>
    <d v="2011-03-31T00:00:00"/>
    <s v="2180-11-0007-1"/>
    <n v="2000"/>
    <n v="14080"/>
    <n v="835.05"/>
    <n v="14086"/>
    <n v="466.22"/>
    <n v="368.82999999999993"/>
    <n v="17.399999999999999"/>
    <n v="57260"/>
    <n v="3.48"/>
    <s v="P"/>
    <m/>
    <n v="1100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1106"/>
    <n v="80461"/>
    <s v="Shop Signs"/>
    <n v="0"/>
    <m/>
    <m/>
    <m/>
    <n v="0"/>
    <s v="SIGNS BY TOMORROW"/>
    <m/>
    <m/>
    <d v="2011-03-31T00:00:00"/>
    <d v="2011-03-31T00:00:00"/>
    <s v="2180-10-0003-1"/>
    <n v="1000"/>
    <n v="14080"/>
    <n v="1955.1"/>
    <n v="14086"/>
    <n v="1955.1"/>
    <n v="0"/>
    <n v="0"/>
    <n v="57260"/>
    <n v="0"/>
    <s v="P"/>
    <m/>
    <n v="1483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943"/>
    <n v="80461"/>
    <s v="Professional Services"/>
    <n v="0"/>
    <m/>
    <m/>
    <m/>
    <n v="0"/>
    <s v="ENVIRONMENTAL INFORMATION"/>
    <m/>
    <m/>
    <d v="2011-03-31T00:00:00"/>
    <d v="2011-03-31T00:00:00"/>
    <s v="2180-10-0003-1"/>
    <n v="2000"/>
    <n v="14080"/>
    <n v="5427.5"/>
    <n v="14086"/>
    <n v="3030.41"/>
    <n v="2397.09"/>
    <n v="113.08"/>
    <n v="57260"/>
    <n v="22.62"/>
    <s v="P"/>
    <m/>
    <n v="9995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942"/>
    <n v="80461"/>
    <s v="Professional Services"/>
    <n v="0"/>
    <m/>
    <m/>
    <m/>
    <n v="0"/>
    <s v="ENVIRONMENTAL INFORMATION"/>
    <m/>
    <m/>
    <d v="2011-03-31T00:00:00"/>
    <d v="2011-03-31T00:00:00"/>
    <s v="2180-10-0003-1"/>
    <n v="2000"/>
    <n v="14080"/>
    <n v="5255"/>
    <n v="14086"/>
    <n v="2934.04"/>
    <n v="2320.96"/>
    <n v="109.48"/>
    <n v="57260"/>
    <n v="21.9"/>
    <s v="P"/>
    <m/>
    <n v="99978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941"/>
    <n v="80461"/>
    <s v="Installed New Cabling for Frederickson Site"/>
    <n v="0"/>
    <m/>
    <m/>
    <m/>
    <n v="0"/>
    <s v="INTRACOMMUNICATION NETWOR"/>
    <m/>
    <m/>
    <d v="2011-03-31T00:00:00"/>
    <d v="2011-03-31T00:00:00"/>
    <s v="2180-11-0007-1"/>
    <n v="2000"/>
    <n v="14080"/>
    <n v="23823.03"/>
    <n v="14086"/>
    <n v="13301.17"/>
    <n v="10521.859999999999"/>
    <n v="496.31"/>
    <n v="57260"/>
    <n v="99.26"/>
    <s v="P"/>
    <m/>
    <s v="M743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940"/>
    <n v="80461"/>
    <s v="Professional Services"/>
    <n v="0"/>
    <m/>
    <m/>
    <m/>
    <n v="0"/>
    <s v="ENVIRONMENTAL INFORMATION"/>
    <m/>
    <m/>
    <d v="2011-03-31T00:00:00"/>
    <d v="2011-03-31T00:00:00"/>
    <s v="2180-10-0003-1"/>
    <n v="2000"/>
    <n v="14080"/>
    <n v="4566.5"/>
    <n v="14086"/>
    <n v="2549.6799999999998"/>
    <n v="2016.8200000000002"/>
    <n v="95.14"/>
    <n v="57260"/>
    <n v="19.03"/>
    <s v="P"/>
    <m/>
    <n v="100005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86"/>
    <n v="80461"/>
    <s v="Construction of Frederickson Site"/>
    <n v="0"/>
    <m/>
    <m/>
    <m/>
    <n v="0"/>
    <s v="RUSH COMMERCIAL CONSTRUCT"/>
    <m/>
    <m/>
    <d v="2011-03-31T00:00:00"/>
    <d v="2011-03-31T00:00:00"/>
    <s v="2180-11-0007-1"/>
    <n v="2000"/>
    <n v="14080"/>
    <n v="118437"/>
    <n v="14086"/>
    <n v="66127.33"/>
    <n v="52309.67"/>
    <n v="2467.44"/>
    <n v="57260"/>
    <n v="493.49"/>
    <s v="P"/>
    <m/>
    <n v="1234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85"/>
    <n v="80461"/>
    <s v="Construction of Frederickson Site"/>
    <n v="0"/>
    <m/>
    <m/>
    <m/>
    <n v="0"/>
    <s v="RUSH COMMERCIAL CONSTRUCT"/>
    <m/>
    <m/>
    <d v="2011-03-31T00:00:00"/>
    <d v="2011-03-31T00:00:00"/>
    <s v="2180-10-0003-1"/>
    <n v="2000"/>
    <n v="14080"/>
    <n v="138250.85"/>
    <n v="14086"/>
    <n v="77190.03"/>
    <n v="61060.820000000007"/>
    <n v="2880.23"/>
    <n v="57260"/>
    <n v="576.04999999999995"/>
    <s v="P"/>
    <m/>
    <n v="12345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84"/>
    <n v="80461"/>
    <s v="Construction  Cost for Frederickson Site"/>
    <n v="0"/>
    <m/>
    <m/>
    <m/>
    <n v="0"/>
    <s v="RUSH COMMERCIAL CONSTRUCT"/>
    <m/>
    <m/>
    <d v="2011-03-31T00:00:00"/>
    <d v="2011-03-31T00:00:00"/>
    <s v="2180-10-0003-1"/>
    <n v="2000"/>
    <n v="14080"/>
    <n v="71579.83"/>
    <n v="14086"/>
    <n v="39965.39"/>
    <n v="31614.440000000002"/>
    <n v="1491.25"/>
    <n v="57260"/>
    <n v="298.25"/>
    <s v="P"/>
    <m/>
    <n v="12344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83"/>
    <n v="80461"/>
    <s v="Sewer Line Inspection"/>
    <n v="0"/>
    <m/>
    <m/>
    <m/>
    <n v="0"/>
    <s v="PIERCE COUNTY BUDGET &amp; FI"/>
    <m/>
    <m/>
    <d v="2011-03-31T00:00:00"/>
    <d v="2011-03-31T00:00:00"/>
    <s v="2180-10-0003-1"/>
    <n v="2000"/>
    <n v="14080"/>
    <n v="553.12"/>
    <n v="14086"/>
    <n v="308.87"/>
    <n v="244.25"/>
    <n v="11.53"/>
    <n v="57260"/>
    <n v="2.31"/>
    <s v="P"/>
    <m/>
    <s v="AR11966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82"/>
    <n v="80461"/>
    <s v="Architectural &amp; Engineering Services"/>
    <n v="0"/>
    <m/>
    <m/>
    <m/>
    <n v="0"/>
    <s v="KMB DESIGN GROUPS INC"/>
    <m/>
    <m/>
    <d v="2011-03-31T00:00:00"/>
    <d v="2011-03-31T00:00:00"/>
    <s v="2180-10-0003-1"/>
    <n v="2000"/>
    <n v="14080"/>
    <n v="8499.35"/>
    <n v="14086"/>
    <n v="4745.3999999999996"/>
    <n v="3753.9500000000007"/>
    <n v="177.07"/>
    <n v="57260"/>
    <n v="35.409999999999997"/>
    <s v="P"/>
    <m/>
    <n v="1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808"/>
    <n v="80461"/>
    <s v="Installation of Security System"/>
    <n v="0"/>
    <m/>
    <m/>
    <m/>
    <n v="0"/>
    <s v="BOONE ELECTRIC CONSTRUCTI"/>
    <m/>
    <m/>
    <d v="2011-03-31T00:00:00"/>
    <d v="2011-03-31T00:00:00"/>
    <s v="2180-10-0003-1"/>
    <n v="2000"/>
    <n v="14080"/>
    <n v="42012.06"/>
    <n v="14086"/>
    <n v="23456.7"/>
    <n v="18555.359999999997"/>
    <n v="875.25"/>
    <n v="57260"/>
    <n v="175.05"/>
    <s v="P"/>
    <m/>
    <n v="12556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55"/>
    <n v="80468"/>
    <s v="Re-Install Cubicles in Main Office"/>
    <n v="0"/>
    <m/>
    <m/>
    <m/>
    <n v="0"/>
    <s v="BUSINESS INTERIORS NW"/>
    <m/>
    <m/>
    <d v="2011-03-31T00:00:00"/>
    <d v="2011-03-31T00:00:00"/>
    <s v="2180-10-0026-1"/>
    <n v="1000"/>
    <n v="14100"/>
    <n v="1039.45"/>
    <n v="14106"/>
    <n v="1039.45"/>
    <n v="0"/>
    <n v="0"/>
    <n v="70260"/>
    <n v="0"/>
    <s v="P"/>
    <m/>
    <n v="29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54"/>
    <n v="80468"/>
    <s v="Re-Install Cubicles in Main Office"/>
    <n v="0"/>
    <m/>
    <m/>
    <m/>
    <n v="0"/>
    <s v="BUSINESS INTERIORS"/>
    <m/>
    <m/>
    <d v="2011-03-31T00:00:00"/>
    <d v="2011-03-31T00:00:00"/>
    <s v="2180-10-0026-1"/>
    <n v="1000"/>
    <n v="14100"/>
    <n v="1695.95"/>
    <n v="14106"/>
    <n v="1695.95"/>
    <n v="0"/>
    <n v="0"/>
    <n v="70260"/>
    <n v="0"/>
    <s v="P"/>
    <m/>
    <n v="300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47"/>
    <n v="80461"/>
    <s v="Metal Carports For Parking Lot"/>
    <n v="0"/>
    <m/>
    <m/>
    <m/>
    <n v="0"/>
    <s v="WEST COAST METAL BUILDING"/>
    <m/>
    <m/>
    <d v="2011-03-31T00:00:00"/>
    <d v="2011-03-31T00:00:00"/>
    <s v="2180-10-0003-1"/>
    <n v="2000"/>
    <n v="14080"/>
    <n v="841.06"/>
    <n v="14086"/>
    <n v="469.56"/>
    <n v="371.49999999999994"/>
    <n v="17.52"/>
    <n v="57260"/>
    <n v="3.5"/>
    <s v="P"/>
    <m/>
    <n v="1297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46"/>
    <n v="80461"/>
    <s v="Metal Carports For Parking Lot"/>
    <n v="0"/>
    <m/>
    <m/>
    <m/>
    <n v="0"/>
    <s v="WEST COAST METAL BUILDING"/>
    <m/>
    <m/>
    <d v="2011-03-31T00:00:00"/>
    <d v="2011-03-31T00:00:00"/>
    <s v="2180-10-0003-1"/>
    <n v="2000"/>
    <n v="14080"/>
    <n v="841.06"/>
    <n v="14086"/>
    <n v="469.56"/>
    <n v="371.49999999999994"/>
    <n v="17.52"/>
    <n v="57260"/>
    <n v="3.5"/>
    <s v="P"/>
    <m/>
    <n v="1297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45"/>
    <n v="80461"/>
    <s v="Sun Screen Office Windows"/>
    <n v="0"/>
    <m/>
    <m/>
    <m/>
    <n v="0"/>
    <s v="ABC SUN CONTROL"/>
    <m/>
    <m/>
    <d v="2011-03-31T00:00:00"/>
    <d v="2011-03-31T00:00:00"/>
    <s v="2180-10-0003-1"/>
    <n v="2000"/>
    <n v="14080"/>
    <n v="9964.8799999999992"/>
    <n v="14086"/>
    <n v="5563.68"/>
    <n v="4401.1999999999989"/>
    <n v="207.6"/>
    <n v="57260"/>
    <n v="41.52"/>
    <s v="P"/>
    <m/>
    <n v="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6"/>
    <n v="80461"/>
    <s v="Installation of Radio System into Maintenance Building"/>
    <n v="0"/>
    <m/>
    <m/>
    <m/>
    <n v="0"/>
    <s v="OLYMPIC RADIO"/>
    <m/>
    <m/>
    <d v="2011-03-31T00:00:00"/>
    <d v="2011-03-31T00:00:00"/>
    <s v="2180-10-0003-1"/>
    <n v="2000"/>
    <n v="14080"/>
    <n v="2711.89"/>
    <n v="14086"/>
    <n v="1514.2"/>
    <n v="1197.6899999999998"/>
    <n v="56.5"/>
    <n v="57260"/>
    <n v="11.3"/>
    <s v="P"/>
    <m/>
    <s v="10-401364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5"/>
    <n v="80461"/>
    <s v="Installation of Radio System into Maintenance Building"/>
    <n v="0"/>
    <m/>
    <m/>
    <m/>
    <n v="0"/>
    <s v="OLYMPIC RADIO"/>
    <m/>
    <m/>
    <d v="2011-03-31T00:00:00"/>
    <d v="2011-03-31T00:00:00"/>
    <s v="2180-10-0003-1"/>
    <n v="2000"/>
    <n v="14080"/>
    <n v="5574.14"/>
    <n v="14086"/>
    <n v="3112.26"/>
    <n v="2461.88"/>
    <n v="116.13"/>
    <n v="57260"/>
    <n v="23.23"/>
    <s v="P"/>
    <m/>
    <s v="10-401367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4"/>
    <n v="80461"/>
    <s v="Caution CORO Signs"/>
    <n v="0"/>
    <m/>
    <m/>
    <m/>
    <n v="0"/>
    <s v="PIERCE COUNTY PLANNING AN"/>
    <m/>
    <m/>
    <d v="2011-03-31T00:00:00"/>
    <d v="2011-03-31T00:00:00"/>
    <s v="2180-10-0003-1"/>
    <n v="1000"/>
    <n v="14080"/>
    <n v="1867.48"/>
    <n v="14086"/>
    <n v="1867.48"/>
    <n v="0"/>
    <n v="0"/>
    <n v="57260"/>
    <n v="0"/>
    <s v="P"/>
    <m/>
    <s v="704426, 70442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3"/>
    <n v="80461"/>
    <s v="Signs for New Frederickson Site"/>
    <n v="0"/>
    <m/>
    <m/>
    <m/>
    <n v="0"/>
    <s v="SIGNS BY TOMORROW"/>
    <m/>
    <m/>
    <d v="2011-03-31T00:00:00"/>
    <d v="2011-03-31T00:00:00"/>
    <s v="2180-10-0003-1"/>
    <n v="1000"/>
    <n v="14080"/>
    <n v="4357.5200000000004"/>
    <n v="14086"/>
    <n v="4357.5200000000004"/>
    <n v="0"/>
    <n v="0"/>
    <n v="57260"/>
    <n v="0"/>
    <s v="P"/>
    <m/>
    <n v="1460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2"/>
    <n v="80461"/>
    <s v="Caution CORO Signs"/>
    <n v="0"/>
    <m/>
    <m/>
    <m/>
    <n v="0"/>
    <s v="SIGNS BY TOMORROW"/>
    <m/>
    <m/>
    <d v="2011-03-31T00:00:00"/>
    <d v="2011-03-31T00:00:00"/>
    <s v="2180-10-0003-1"/>
    <n v="1000"/>
    <n v="14080"/>
    <n v="394.57"/>
    <n v="14086"/>
    <n v="394.57"/>
    <n v="0"/>
    <n v="0"/>
    <n v="57260"/>
    <n v="0"/>
    <s v="P"/>
    <m/>
    <n v="1459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1"/>
    <n v="80461"/>
    <s v="Decals for existing signs at Recycle Site"/>
    <n v="0"/>
    <m/>
    <m/>
    <m/>
    <n v="0"/>
    <s v="SIGNS BY TOMORROW"/>
    <m/>
    <m/>
    <d v="2011-03-31T00:00:00"/>
    <d v="2011-03-31T00:00:00"/>
    <s v="2180-10-0003-1"/>
    <n v="1000"/>
    <n v="14080"/>
    <n v="25.62"/>
    <n v="14086"/>
    <n v="25.62"/>
    <n v="0"/>
    <n v="0"/>
    <n v="57260"/>
    <n v="0"/>
    <s v="P"/>
    <m/>
    <n v="1434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700"/>
    <n v="80461"/>
    <s v="Yard Traffic Signs"/>
    <n v="0"/>
    <m/>
    <m/>
    <m/>
    <n v="0"/>
    <s v="SIGNS BY TOMORROW"/>
    <m/>
    <m/>
    <d v="2011-03-31T00:00:00"/>
    <d v="2011-03-31T00:00:00"/>
    <s v="2180-10-0003-1"/>
    <n v="1000"/>
    <n v="14080"/>
    <n v="247.56"/>
    <n v="14086"/>
    <n v="247.56"/>
    <n v="0"/>
    <n v="0"/>
    <n v="57260"/>
    <n v="0"/>
    <s v="P"/>
    <m/>
    <n v="1467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9"/>
    <n v="80461"/>
    <s v="Parking Signs"/>
    <n v="0"/>
    <m/>
    <m/>
    <m/>
    <n v="0"/>
    <s v="SIGNS BY TOMORROW"/>
    <m/>
    <m/>
    <d v="2011-03-31T00:00:00"/>
    <d v="2011-03-31T00:00:00"/>
    <s v="2180-10-0003-1"/>
    <n v="1000"/>
    <n v="14080"/>
    <n v="1108.8499999999999"/>
    <n v="14086"/>
    <n v="1108.8499999999999"/>
    <n v="0"/>
    <n v="0"/>
    <n v="57260"/>
    <n v="0"/>
    <s v="P"/>
    <m/>
    <n v="146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8"/>
    <n v="80461"/>
    <s v="Building Numbers"/>
    <n v="0"/>
    <m/>
    <m/>
    <m/>
    <n v="0"/>
    <s v="SIGNS BY TOMORROW"/>
    <m/>
    <m/>
    <d v="2011-03-31T00:00:00"/>
    <d v="2011-03-31T00:00:00"/>
    <s v="2180-10-0003-1"/>
    <n v="1000"/>
    <n v="14080"/>
    <n v="938.88"/>
    <n v="14086"/>
    <n v="938.88"/>
    <n v="0"/>
    <n v="0"/>
    <n v="57260"/>
    <n v="0"/>
    <s v="P"/>
    <m/>
    <n v="1466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7"/>
    <n v="80461"/>
    <s v="Signs for Frederickson Building"/>
    <n v="0"/>
    <m/>
    <m/>
    <m/>
    <n v="0"/>
    <s v="SIGNS BY TOMORROW"/>
    <m/>
    <m/>
    <d v="2011-03-31T00:00:00"/>
    <d v="2011-03-31T00:00:00"/>
    <s v="2180-10-0003-1"/>
    <n v="1000"/>
    <n v="14080"/>
    <n v="196.74"/>
    <n v="14086"/>
    <n v="196.74"/>
    <n v="0"/>
    <n v="0"/>
    <n v="57260"/>
    <n v="0"/>
    <s v="P"/>
    <m/>
    <n v="1472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6"/>
    <n v="80461"/>
    <s v="Refund for Waterline Work"/>
    <n v="0"/>
    <m/>
    <m/>
    <m/>
    <n v="0"/>
    <s v="CITY OF TACOMA"/>
    <m/>
    <m/>
    <d v="2011-03-31T00:00:00"/>
    <d v="2011-03-31T00:00:00"/>
    <s v="2180-10-0003-1"/>
    <n v="2000"/>
    <n v="14080"/>
    <n v="-11853.59"/>
    <n v="14086"/>
    <n v="-6618.26"/>
    <n v="-5235.33"/>
    <n v="-246.95"/>
    <n v="57260"/>
    <n v="-49.39"/>
    <s v="P"/>
    <m/>
    <n v="707671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5"/>
    <n v="80461"/>
    <s v="Paint 6 Concrete Columns"/>
    <n v="0"/>
    <m/>
    <m/>
    <m/>
    <n v="0"/>
    <s v="ROAD RUNNER STRIPING"/>
    <m/>
    <m/>
    <d v="2011-03-31T00:00:00"/>
    <d v="2011-03-31T00:00:00"/>
    <s v="2180-10-0003-1"/>
    <n v="2000"/>
    <n v="14080"/>
    <n v="3836.43"/>
    <n v="14086"/>
    <n v="2141.91"/>
    <n v="1694.52"/>
    <n v="79.930000000000007"/>
    <n v="57260"/>
    <n v="15.99"/>
    <s v="P"/>
    <m/>
    <n v="11002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92"/>
    <n v="80460"/>
    <s v="Balance Remaining on Chain Hoist Installation"/>
    <n v="0"/>
    <m/>
    <m/>
    <m/>
    <n v="0"/>
    <s v="CRANE TECHNOLOGY"/>
    <m/>
    <m/>
    <d v="2011-03-31T00:00:00"/>
    <d v="2011-03-31T00:00:00"/>
    <s v="2180-10-0027-1"/>
    <n v="500"/>
    <n v="14070"/>
    <n v="1737.87"/>
    <n v="14076"/>
    <n v="1737.87"/>
    <n v="0"/>
    <n v="0"/>
    <n v="51260"/>
    <n v="0"/>
    <s v="P"/>
    <m/>
    <n v="1572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669"/>
    <s v="P"/>
    <s v="Used 2007 Ford F-150 Pickup"/>
    <n v="0"/>
    <m/>
    <s v=" 1FTPZ14V07FB70808"/>
    <m/>
    <n v="2007"/>
    <s v="FORD F-150"/>
    <s v="Pickup"/>
    <s v="Pick Up Truck"/>
    <d v="2011-03-14T00:00:00"/>
    <d v="2011-03-14T00:00:00"/>
    <s v="2180-11-0014-1"/>
    <n v="300"/>
    <n v="14040"/>
    <n v="20000"/>
    <n v="14046"/>
    <n v="20000"/>
    <n v="0"/>
    <n v="0"/>
    <n v="51260"/>
    <n v="0"/>
    <s v="P"/>
    <m/>
    <n v="275040"/>
    <n v="604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599"/>
    <n v="80461"/>
    <s v="Geotechnical Services"/>
    <n v="0"/>
    <m/>
    <m/>
    <m/>
    <n v="0"/>
    <s v="KRAZAN &amp; ASSOCIATES"/>
    <m/>
    <m/>
    <d v="2011-03-31T00:00:00"/>
    <d v="2011-03-31T00:00:00"/>
    <s v="2180-10-0003-1"/>
    <n v="2000"/>
    <n v="14080"/>
    <n v="345"/>
    <n v="14086"/>
    <n v="192.63"/>
    <n v="152.37"/>
    <n v="7.19"/>
    <n v="57260"/>
    <n v="1.44"/>
    <s v="P"/>
    <m/>
    <s v="926417-173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598"/>
    <n v="80461"/>
    <s v="Construction Testing (Sample Pick Up)"/>
    <n v="0"/>
    <m/>
    <m/>
    <m/>
    <n v="0"/>
    <s v="KRAZAN &amp; ASSOCIATES"/>
    <m/>
    <m/>
    <d v="2011-03-31T00:00:00"/>
    <d v="2011-03-31T00:00:00"/>
    <s v="2180-10-0003-1"/>
    <n v="2000"/>
    <n v="14080"/>
    <n v="45"/>
    <n v="14086"/>
    <n v="25.13"/>
    <n v="19.87"/>
    <n v="0.94"/>
    <n v="57260"/>
    <n v="0.19"/>
    <s v="P"/>
    <m/>
    <s v="667761-173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8"/>
    <s v="P"/>
    <s v="Office Furniture for Frederickson Shop"/>
    <n v="0"/>
    <m/>
    <m/>
    <m/>
    <n v="0"/>
    <m/>
    <m/>
    <m/>
    <d v="2011-03-31T00:00:00"/>
    <d v="2011-03-31T00:00:00"/>
    <s v="2180-10-0026-1"/>
    <n v="1000"/>
    <n v="14100"/>
    <n v="188184.69"/>
    <n v="14106"/>
    <n v="188184.69"/>
    <n v="0"/>
    <n v="0"/>
    <n v="70260"/>
    <n v="0"/>
    <s v="P"/>
    <m/>
    <n v="15953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7"/>
    <s v="P"/>
    <s v="Phone system for Pierce County"/>
    <n v="0"/>
    <m/>
    <m/>
    <m/>
    <n v="0"/>
    <s v="Gaynor Telesystems"/>
    <m/>
    <m/>
    <d v="2011-03-31T00:00:00"/>
    <d v="2011-03-31T00:00:00"/>
    <s v="2180-10-0014-1"/>
    <n v="500"/>
    <n v="14100"/>
    <n v="97999.12"/>
    <n v="14106"/>
    <n v="97999.12"/>
    <n v="0"/>
    <n v="0"/>
    <n v="70260"/>
    <n v="0"/>
    <s v="P"/>
    <m/>
    <n v="15588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3"/>
    <n v="80461"/>
    <s v="2010 Funds for Frederickson Shop/Office Completion"/>
    <n v="0"/>
    <m/>
    <m/>
    <m/>
    <n v="0"/>
    <m/>
    <m/>
    <m/>
    <d v="2011-03-31T00:00:00"/>
    <d v="2011-03-31T00:00:00"/>
    <s v="2180-10-0003-1"/>
    <n v="2000"/>
    <n v="14080"/>
    <n v="6424143.0099999998"/>
    <n v="14086"/>
    <n v="3586813.17"/>
    <n v="2837329.84"/>
    <n v="133836.31"/>
    <n v="57260"/>
    <n v="26767.26"/>
    <s v="P"/>
    <m/>
    <n v="123432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2"/>
    <n v="80461"/>
    <s v="Remaining 2009 Funds for Frederickson Shop"/>
    <n v="0"/>
    <m/>
    <m/>
    <m/>
    <n v="0"/>
    <m/>
    <m/>
    <m/>
    <d v="2011-03-31T00:00:00"/>
    <d v="2011-03-31T00:00:00"/>
    <s v="2180-9-0032-1"/>
    <n v="2000"/>
    <n v="14080"/>
    <n v="210612.12"/>
    <n v="14086"/>
    <n v="117591.81"/>
    <n v="93020.31"/>
    <n v="4387.75"/>
    <n v="57260"/>
    <n v="877.55"/>
    <s v="P"/>
    <m/>
    <n v="66329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1"/>
    <s v="P"/>
    <s v="Frederickson Shop/ Office"/>
    <n v="0"/>
    <m/>
    <m/>
    <m/>
    <n v="0"/>
    <m/>
    <m/>
    <m/>
    <d v="2011-03-31T00:00:00"/>
    <d v="2011-03-31T00:00:00"/>
    <s v="2180-9-0001-1"/>
    <n v="2000"/>
    <n v="14080"/>
    <n v="269528.37"/>
    <n v="14086"/>
    <n v="150486.69"/>
    <n v="119041.68"/>
    <n v="5615.18"/>
    <n v="57260"/>
    <n v="1123.04"/>
    <s v="P"/>
    <m/>
    <s v="U3556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80460"/>
    <s v="P"/>
    <s v="Shop Equipment for Frederickson"/>
    <n v="0"/>
    <m/>
    <m/>
    <m/>
    <n v="0"/>
    <s v="Tennant"/>
    <m/>
    <m/>
    <d v="2011-03-31T00:00:00"/>
    <d v="2011-03-31T00:00:00"/>
    <s v="2180-10-0027-1"/>
    <n v="500"/>
    <n v="14070"/>
    <n v="121878.12"/>
    <n v="14076"/>
    <n v="121878.12"/>
    <n v="0"/>
    <n v="0"/>
    <n v="51260"/>
    <n v="0"/>
    <s v="P"/>
    <m/>
    <n v="91017857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8221"/>
    <s v="P"/>
    <s v="4 Yard FEL (Plastic) &amp; (40) Drain Plugs"/>
    <n v="20"/>
    <m/>
    <m/>
    <m/>
    <n v="0"/>
    <s v="REHRIG PACIFIC COMPANY-LA"/>
    <m/>
    <s v="4 YD FEL/REL/SL Plastic"/>
    <d v="2010-10-18T00:00:00"/>
    <d v="2010-10-18T00:00:00"/>
    <s v="2180-10-0024-1"/>
    <n v="700"/>
    <n v="14050"/>
    <n v="14298.63"/>
    <n v="14056"/>
    <n v="14298.63"/>
    <n v="0"/>
    <n v="0"/>
    <n v="54260"/>
    <n v="0"/>
    <s v="P"/>
    <m/>
    <s v="AT12850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7833"/>
    <n v="75160"/>
    <s v="Installation ( Routware 5000)"/>
    <n v="0"/>
    <m/>
    <m/>
    <m/>
    <n v="0"/>
    <s v="ROUTEWARE INC"/>
    <m/>
    <m/>
    <d v="2010-06-15T00:00:00"/>
    <d v="2010-06-15T00:00:00"/>
    <s v="2180-10-0006-1"/>
    <n v="500"/>
    <n v="14070"/>
    <n v="1836.24"/>
    <n v="14076"/>
    <n v="1836.24"/>
    <n v="0"/>
    <n v="0"/>
    <n v="51260"/>
    <n v="0"/>
    <s v="P"/>
    <m/>
    <n v="9273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7832"/>
    <n v="75160"/>
    <s v="Freight (Routeware 5000)"/>
    <n v="0"/>
    <m/>
    <m/>
    <m/>
    <n v="0"/>
    <s v="ROUTEWARE INC"/>
    <m/>
    <m/>
    <d v="2010-06-15T00:00:00"/>
    <d v="2010-06-15T00:00:00"/>
    <s v="2180-10-0006-1"/>
    <n v="500"/>
    <n v="14070"/>
    <n v="18.2"/>
    <n v="14076"/>
    <n v="18.2"/>
    <n v="0"/>
    <n v="0"/>
    <n v="51260"/>
    <n v="0"/>
    <s v="P"/>
    <m/>
    <n v="9258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7831"/>
    <n v="75160"/>
    <s v="Reimbursable Travel Expenses (Routeware)"/>
    <n v="0"/>
    <m/>
    <m/>
    <m/>
    <n v="0"/>
    <s v="ROUTEWARE INC"/>
    <m/>
    <m/>
    <d v="2010-06-15T00:00:00"/>
    <d v="2010-06-15T00:00:00"/>
    <s v="2180-10-0006-1"/>
    <n v="500"/>
    <n v="14070"/>
    <n v="628"/>
    <n v="14076"/>
    <n v="628"/>
    <n v="0"/>
    <n v="0"/>
    <n v="51260"/>
    <n v="0"/>
    <s v="P"/>
    <m/>
    <n v="9273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7554"/>
    <s v="P"/>
    <s v="1 Yard FEL Containers"/>
    <n v="20"/>
    <m/>
    <m/>
    <m/>
    <n v="0"/>
    <s v="CAPITAL INDUSTRIES, INC."/>
    <m/>
    <s v="1 YD FEL/REL/SL Metal"/>
    <d v="2010-09-30T00:00:00"/>
    <d v="2010-09-30T00:00:00"/>
    <s v="2180-10-0025-1"/>
    <n v="1200"/>
    <n v="14050"/>
    <n v="7541.7"/>
    <n v="14056"/>
    <n v="7332.23"/>
    <n v="209.47000000000025"/>
    <n v="261.87"/>
    <n v="54260"/>
    <n v="52.38"/>
    <s v="P"/>
    <m/>
    <n v="50467"/>
    <m/>
    <s v="Internal"/>
    <s v="A"/>
    <s v="SL"/>
    <m/>
    <s v="WCNX"/>
    <n v="2"/>
    <n v="0"/>
    <m/>
    <x v="13"/>
    <m/>
    <m/>
    <m/>
    <m/>
    <m/>
    <m/>
    <m/>
    <m/>
    <m/>
    <m/>
    <x v="1"/>
  </r>
  <r>
    <n v="2180"/>
    <n v="77551"/>
    <s v="P"/>
    <s v="95 Gallon Carts &amp; Lids Forest Green"/>
    <n v="486"/>
    <m/>
    <s v="#984747 T0 #985232"/>
    <m/>
    <n v="0"/>
    <s v="REHRIG PACIFIC COMPANY-LA"/>
    <m/>
    <m/>
    <d v="2010-09-21T00:00:00"/>
    <d v="2010-09-21T00:00:00"/>
    <s v="2180-10-0022-1"/>
    <n v="700"/>
    <n v="14050"/>
    <n v="23638.32"/>
    <n v="14056"/>
    <n v="23638.32"/>
    <n v="0"/>
    <n v="0"/>
    <n v="54260"/>
    <n v="0"/>
    <s v="P"/>
    <m/>
    <s v="LA1588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6637"/>
    <s v="P"/>
    <s v="Shelving for Frederickson File Archive"/>
    <n v="0"/>
    <m/>
    <m/>
    <m/>
    <n v="0"/>
    <s v="Grainger"/>
    <m/>
    <m/>
    <d v="2010-08-15T00:00:00"/>
    <d v="2010-08-15T00:00:00"/>
    <s v="2180-10-0023-1"/>
    <n v="1000"/>
    <n v="14100"/>
    <n v="2684.4"/>
    <n v="14106"/>
    <n v="2684.4"/>
    <n v="0"/>
    <n v="0"/>
    <n v="70260"/>
    <n v="0"/>
    <s v="P"/>
    <m/>
    <s v="2180-10-001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6468"/>
    <s v="P"/>
    <s v="95 Gallon Cart &amp; Lid Roc Grey"/>
    <n v="437"/>
    <m/>
    <s v="A9616466 - A9616902"/>
    <m/>
    <n v="0"/>
    <s v="REHRIG PACIFIC COMPANY-LA"/>
    <m/>
    <m/>
    <d v="2010-06-25T00:00:00"/>
    <d v="2010-06-25T00:00:00"/>
    <s v="2180-10-0021-1"/>
    <n v="700"/>
    <n v="14050"/>
    <n v="23084.39"/>
    <n v="14056"/>
    <n v="23084.39"/>
    <n v="0"/>
    <n v="0"/>
    <n v="54260"/>
    <n v="0"/>
    <s v="P"/>
    <m/>
    <s v="LA15680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5722"/>
    <s v="P"/>
    <s v="3 Yard Commercial Containers (plastic)"/>
    <n v="15"/>
    <m/>
    <m/>
    <m/>
    <n v="0"/>
    <s v="REHRIG PACIFIC COMPANY-LA"/>
    <m/>
    <s v="3 YD FEL/REL/SL Plastic"/>
    <d v="2010-06-17T00:00:00"/>
    <d v="2010-06-17T00:00:00"/>
    <s v="2180-10-0015-1"/>
    <n v="700"/>
    <n v="14050"/>
    <n v="10520"/>
    <n v="14056"/>
    <n v="10520"/>
    <n v="0"/>
    <n v="0"/>
    <n v="54260"/>
    <n v="0"/>
    <s v="P"/>
    <m/>
    <s v="LA12695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5721"/>
    <s v="P"/>
    <s v="2 Yard Commercial  Containers (plastic)"/>
    <n v="25"/>
    <m/>
    <m/>
    <m/>
    <n v="0"/>
    <s v="REHRIG PACIFIC COMPANY-LA"/>
    <m/>
    <s v="2 YD FEL/REL/SL Plastic"/>
    <d v="2010-06-17T00:00:00"/>
    <d v="2010-06-17T00:00:00"/>
    <s v="2180-10-0015-1"/>
    <n v="700"/>
    <n v="14050"/>
    <n v="6853.97"/>
    <n v="14056"/>
    <n v="6853.97"/>
    <n v="0"/>
    <n v="0"/>
    <n v="54260"/>
    <n v="0"/>
    <s v="P"/>
    <m/>
    <s v="AT126950"/>
    <m/>
    <s v="Internal"/>
    <s v="A"/>
    <s v="SL"/>
    <m/>
    <s v="WCNX"/>
    <n v="2"/>
    <n v="0"/>
    <m/>
    <x v="13"/>
    <m/>
    <m/>
    <m/>
    <m/>
    <m/>
    <m/>
    <m/>
    <m/>
    <m/>
    <m/>
    <x v="1"/>
  </r>
  <r>
    <n v="2180"/>
    <n v="75160"/>
    <s v="P"/>
    <s v="Route Ware 5000"/>
    <n v="0"/>
    <m/>
    <m/>
    <m/>
    <n v="0"/>
    <m/>
    <m/>
    <m/>
    <d v="2010-06-15T00:00:00"/>
    <d v="2010-06-15T00:00:00"/>
    <s v="2180-10-0006-1"/>
    <n v="500"/>
    <n v="14070"/>
    <n v="14289.88"/>
    <n v="14076"/>
    <n v="14289.88"/>
    <n v="0"/>
    <n v="0"/>
    <n v="51260"/>
    <n v="0"/>
    <s v="P"/>
    <m/>
    <n v="92441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5009"/>
    <s v="P"/>
    <s v="2 Yard REL Containers"/>
    <n v="13"/>
    <m/>
    <m/>
    <m/>
    <n v="0"/>
    <s v="RULE STEEL TANKS INC"/>
    <m/>
    <s v="2 YD FEL/REL/SL Metal"/>
    <d v="2010-06-03T00:00:00"/>
    <d v="2010-06-03T00:00:00"/>
    <s v="2180-10-0018-1"/>
    <n v="1200"/>
    <n v="14050"/>
    <n v="6771.14"/>
    <n v="14056"/>
    <n v="6771.14"/>
    <n v="0"/>
    <n v="235.13"/>
    <n v="54260"/>
    <n v="47.03"/>
    <s v="P"/>
    <m/>
    <s v="0003852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4451"/>
    <s v="P"/>
    <s v="2 Cisco SRW248G4P Switchs SN=WPY0WJC00745 SN=WPY0WJC00948"/>
    <n v="0"/>
    <m/>
    <m/>
    <m/>
    <n v="0"/>
    <s v="CDW"/>
    <m/>
    <m/>
    <d v="2010-05-10T00:00:00"/>
    <d v="2010-05-10T00:00:00"/>
    <s v="2180-10-0017-1"/>
    <n v="300"/>
    <n v="14110"/>
    <n v="1574.93"/>
    <n v="14116"/>
    <n v="1574.93"/>
    <n v="0"/>
    <n v="0"/>
    <n v="70260"/>
    <n v="0"/>
    <s v="P"/>
    <m/>
    <s v="SMP752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4350"/>
    <s v="P"/>
    <s v="65 Gallon Carts - Forest Green"/>
    <n v="291"/>
    <m/>
    <m/>
    <m/>
    <n v="0"/>
    <s v="REHRIG PACIFIC COMPANY-LA"/>
    <m/>
    <m/>
    <d v="2010-05-15T00:00:00"/>
    <d v="2010-05-15T00:00:00"/>
    <s v="2180-10-0019-1"/>
    <n v="700"/>
    <n v="14050"/>
    <n v="9645.31"/>
    <n v="14056"/>
    <n v="9645.31"/>
    <n v="0"/>
    <n v="0"/>
    <n v="54260"/>
    <n v="0"/>
    <s v="P"/>
    <m/>
    <s v="LA15596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4347"/>
    <s v="P"/>
    <s v="(291) 65 Gallon Carts - Forest Green"/>
    <n v="291"/>
    <m/>
    <m/>
    <m/>
    <n v="0"/>
    <s v="REHRIG PACIFIC COMPANY-LA"/>
    <m/>
    <m/>
    <d v="2010-05-15T00:00:00"/>
    <d v="2010-05-15T00:00:00"/>
    <s v="2180-10-0019-1"/>
    <n v="700"/>
    <n v="14050"/>
    <n v="16673.25"/>
    <n v="14056"/>
    <n v="16673.25"/>
    <n v="0"/>
    <n v="0"/>
    <n v="54260"/>
    <n v="0"/>
    <s v="P"/>
    <m/>
    <s v="LA15597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3834"/>
    <s v="P"/>
    <s v="Used 2007 Ford F150 Pickup  (unit 6043)"/>
    <n v="0"/>
    <m/>
    <s v="1FTVX125X7NA48537"/>
    <m/>
    <n v="2007"/>
    <s v="FORD F-150"/>
    <s v="Pickup"/>
    <s v="Pick Up Truck"/>
    <d v="2010-04-16T00:00:00"/>
    <d v="2010-04-16T00:00:00"/>
    <s v="2180-10-0007-1"/>
    <n v="300"/>
    <n v="14040"/>
    <n v="14999.99"/>
    <n v="14046"/>
    <n v="14999.99"/>
    <n v="0"/>
    <n v="0"/>
    <n v="51260"/>
    <n v="0"/>
    <s v="P"/>
    <m/>
    <n v="271807"/>
    <n v="604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3815"/>
    <s v="P"/>
    <s v="3 RouteManager Licenses for 2180 LeMay Pierce County"/>
    <n v="0"/>
    <m/>
    <m/>
    <m/>
    <n v="0"/>
    <s v="DESERT MICRO"/>
    <m/>
    <m/>
    <d v="2010-04-01T00:00:00"/>
    <d v="2010-04-01T00:00:00"/>
    <s v="2180-10-0009-1"/>
    <n v="300"/>
    <n v="14110"/>
    <n v="2625"/>
    <n v="14116"/>
    <n v="2625"/>
    <n v="0"/>
    <n v="0"/>
    <n v="70260"/>
    <n v="0"/>
    <s v="P"/>
    <m/>
    <n v="1103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3806"/>
    <n v="60738"/>
    <s v="Capital Repair for Truck 1033"/>
    <n v="0"/>
    <m/>
    <m/>
    <m/>
    <n v="0"/>
    <m/>
    <m/>
    <s v="Non-Rolling Stock"/>
    <d v="2010-05-03T00:00:00"/>
    <d v="2010-05-03T00:00:00"/>
    <s v="2180-10-0016-1"/>
    <n v="300"/>
    <n v="14040"/>
    <n v="12083.88"/>
    <n v="14046"/>
    <n v="12083.88"/>
    <n v="0"/>
    <n v="0"/>
    <n v="51260"/>
    <n v="0"/>
    <s v="P"/>
    <m/>
    <n v="8195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3374"/>
    <s v="P"/>
    <s v="HP Notebook 6730b (SN=SCNU0060KGQ) and Docking Station (SN=CNU002XTZ9) plus moni"/>
    <n v="0"/>
    <m/>
    <m/>
    <m/>
    <n v="0"/>
    <s v="CDW"/>
    <m/>
    <m/>
    <d v="2010-03-10T00:00:00"/>
    <d v="2010-03-10T00:00:00"/>
    <s v="2180-10-0010-1"/>
    <n v="300"/>
    <n v="14110"/>
    <n v="1558.9"/>
    <n v="14116"/>
    <n v="1558.9"/>
    <n v="0"/>
    <n v="0"/>
    <n v="70260"/>
    <n v="0"/>
    <s v="P"/>
    <m/>
    <s v="RWM7009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2871"/>
    <s v="P"/>
    <s v="Route Manager Site License and 21 Users"/>
    <n v="0"/>
    <m/>
    <m/>
    <m/>
    <n v="0"/>
    <s v="DESERT MICRO"/>
    <m/>
    <m/>
    <d v="2010-03-01T00:00:00"/>
    <d v="2010-03-01T00:00:00"/>
    <s v="2180-10-0009-1"/>
    <n v="300"/>
    <n v="14110"/>
    <n v="20775"/>
    <n v="14116"/>
    <n v="20775"/>
    <n v="0"/>
    <n v="0"/>
    <n v="70260"/>
    <n v="0"/>
    <s v="P"/>
    <m/>
    <n v="1091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71789"/>
    <s v="P"/>
    <s v="Fire damage from Thurston MRF"/>
    <n v="0"/>
    <m/>
    <m/>
    <m/>
    <n v="0"/>
    <m/>
    <m/>
    <m/>
    <d v="2009-12-01T00:00:00"/>
    <d v="2009-12-01T00:00:00"/>
    <m/>
    <n v="100"/>
    <n v="15110"/>
    <n v="-123224.73"/>
    <n v="15120"/>
    <n v="0"/>
    <n v="-123224.73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71788"/>
    <s v="P"/>
    <s v="Severance as Acqusition RIF"/>
    <n v="0"/>
    <m/>
    <m/>
    <m/>
    <n v="0"/>
    <m/>
    <m/>
    <m/>
    <d v="2009-12-01T00:00:00"/>
    <d v="2009-12-01T00:00:00"/>
    <m/>
    <n v="100"/>
    <n v="15110"/>
    <n v="401256.6"/>
    <n v="15120"/>
    <n v="0"/>
    <n v="401256.6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70549"/>
    <s v="P"/>
    <s v="37 Microsoft MapPoint Licenses for LeMay"/>
    <n v="0"/>
    <m/>
    <m/>
    <m/>
    <n v="0"/>
    <s v="CDW"/>
    <m/>
    <m/>
    <d v="2009-11-01T00:00:00"/>
    <d v="2009-11-01T00:00:00"/>
    <s v="2180-9-0033-1"/>
    <n v="300"/>
    <n v="14110"/>
    <n v="7580.56"/>
    <n v="14116"/>
    <n v="7580.56"/>
    <n v="0"/>
    <n v="0"/>
    <n v="70260"/>
    <n v="0"/>
    <s v="P"/>
    <m/>
    <s v="QRG1797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9179"/>
    <s v="P"/>
    <s v="(1) Robinair Machine ($2,700/each)"/>
    <n v="0"/>
    <m/>
    <m/>
    <m/>
    <n v="0"/>
    <s v="A.M.B. TOOLS &amp; EQUIPMENT"/>
    <m/>
    <m/>
    <d v="2009-10-13T00:00:00"/>
    <d v="2009-10-13T00:00:00"/>
    <s v="2180-9-0026-1"/>
    <n v="500"/>
    <n v="14070"/>
    <n v="2951.1"/>
    <n v="14076"/>
    <n v="2951.1"/>
    <n v="0"/>
    <n v="0"/>
    <n v="51260"/>
    <n v="0"/>
    <s v="P"/>
    <m/>
    <n v="281544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9178"/>
    <s v="P"/>
    <s v="(1) 20 Ton Norco Jack 72230a ($2,778/each)"/>
    <n v="0"/>
    <m/>
    <m/>
    <m/>
    <n v="0"/>
    <s v="A.M.B. TOOLS &amp; EQUIPMENT"/>
    <m/>
    <m/>
    <d v="2009-10-13T00:00:00"/>
    <d v="2009-10-13T00:00:00"/>
    <s v="2180-9-0024-1"/>
    <n v="500"/>
    <n v="14070"/>
    <n v="3036.35"/>
    <n v="14076"/>
    <n v="3036.35"/>
    <n v="0"/>
    <n v="0"/>
    <n v="51260"/>
    <n v="0"/>
    <s v="P"/>
    <m/>
    <n v="2815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8609"/>
    <s v="P"/>
    <s v="Distribute Drive Cams Invoices (Onsite Technicians)"/>
    <n v="0"/>
    <m/>
    <m/>
    <m/>
    <n v="0"/>
    <s v="Drive Cam"/>
    <m/>
    <m/>
    <d v="2009-07-22T00:00:00"/>
    <d v="2009-07-22T00:00:00"/>
    <s v="2180-9-0029-1"/>
    <n v="500"/>
    <n v="14070"/>
    <n v="14225.95"/>
    <n v="14076"/>
    <n v="14225.95"/>
    <n v="0"/>
    <n v="0"/>
    <n v="51260"/>
    <n v="0"/>
    <s v="P"/>
    <m/>
    <s v="4073803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7780"/>
    <s v="P"/>
    <s v="2004 Type HT C-C Trailer"/>
    <n v="0"/>
    <m/>
    <s v="1H9CC53454T347062"/>
    <m/>
    <n v="2004"/>
    <s v="Other"/>
    <s v="Other"/>
    <s v="Trailer"/>
    <d v="2008-11-03T00:00:00"/>
    <d v="2008-11-03T00:00:00"/>
    <m/>
    <n v="300"/>
    <n v="14040"/>
    <n v="13000"/>
    <n v="14046"/>
    <n v="13000"/>
    <n v="0"/>
    <n v="0"/>
    <n v="51260"/>
    <n v="0"/>
    <s v="A"/>
    <s v="LeMay Enterprises"/>
    <m/>
    <n v="8880"/>
    <s v="Internal"/>
    <s v="A"/>
    <s v="SL"/>
    <d v="2009-08-31T00:00:00"/>
    <s v="WCNX"/>
    <n v="0"/>
    <n v="3611.11"/>
    <m/>
    <x v="13"/>
    <m/>
    <m/>
    <m/>
    <m/>
    <m/>
    <m/>
    <m/>
    <m/>
    <m/>
    <m/>
    <x v="1"/>
  </r>
  <r>
    <n v="2180"/>
    <n v="67762"/>
    <s v="P"/>
    <s v="2006 Type M Van Box"/>
    <n v="0"/>
    <m/>
    <s v="J8DB4B16467007852"/>
    <m/>
    <n v="2006"/>
    <s v="Other"/>
    <s v="Other"/>
    <s v="Container Delivery Truck"/>
    <d v="2008-11-03T00:00:00"/>
    <d v="2008-11-03T00:00:00"/>
    <m/>
    <n v="300"/>
    <n v="14040"/>
    <n v="2500"/>
    <n v="14046"/>
    <n v="2500"/>
    <n v="0"/>
    <n v="0"/>
    <n v="51260"/>
    <n v="0"/>
    <s v="A"/>
    <s v="LeMay Enterprises"/>
    <m/>
    <n v="9575"/>
    <s v="Internal"/>
    <s v="A"/>
    <s v="SL"/>
    <d v="2009-08-31T00:00:00"/>
    <s v="WCNX"/>
    <n v="0"/>
    <n v="694.44"/>
    <m/>
    <x v="13"/>
    <m/>
    <m/>
    <m/>
    <m/>
    <m/>
    <m/>
    <m/>
    <m/>
    <m/>
    <m/>
    <x v="1"/>
  </r>
  <r>
    <n v="2180"/>
    <n v="67761"/>
    <s v="P"/>
    <s v="2002 Type M Van Box"/>
    <n v="0"/>
    <m/>
    <s v="JALB4B14927009668"/>
    <m/>
    <n v="2002"/>
    <s v="Other"/>
    <s v="Other"/>
    <s v="Container Delivery Truck"/>
    <d v="2008-11-03T00:00:00"/>
    <d v="2008-11-03T00:00:00"/>
    <m/>
    <n v="300"/>
    <n v="14040"/>
    <n v="13000"/>
    <n v="14046"/>
    <n v="13000"/>
    <n v="0"/>
    <n v="0"/>
    <n v="51260"/>
    <n v="0"/>
    <s v="A"/>
    <s v="LeMay Enterprises"/>
    <m/>
    <n v="9580"/>
    <s v="Internal"/>
    <s v="A"/>
    <s v="SL"/>
    <d v="2009-08-31T00:00:00"/>
    <s v="WCNX"/>
    <n v="0"/>
    <n v="3611.11"/>
    <m/>
    <x v="13"/>
    <m/>
    <m/>
    <m/>
    <m/>
    <m/>
    <m/>
    <m/>
    <m/>
    <m/>
    <m/>
    <x v="1"/>
  </r>
  <r>
    <n v="2180"/>
    <n v="67759"/>
    <s v="P"/>
    <s v="2001 Type M Van Box"/>
    <n v="0"/>
    <m/>
    <s v=" JALC4B14317008342"/>
    <m/>
    <n v="2001"/>
    <s v="Other"/>
    <s v="Other"/>
    <s v="Container Delivery Truck"/>
    <d v="2008-11-03T00:00:00"/>
    <d v="2008-11-03T00:00:00"/>
    <m/>
    <n v="300"/>
    <n v="14040"/>
    <n v="10000"/>
    <n v="14046"/>
    <n v="10000"/>
    <n v="0"/>
    <n v="0"/>
    <n v="51260"/>
    <n v="0"/>
    <s v="A"/>
    <s v="LeMay Enterprises"/>
    <m/>
    <n v="9578"/>
    <s v="Internal"/>
    <s v="A"/>
    <s v="SL"/>
    <d v="2009-08-31T00:00:00"/>
    <s v="WCNX"/>
    <n v="0"/>
    <n v="2777.78"/>
    <m/>
    <x v="13"/>
    <m/>
    <m/>
    <m/>
    <m/>
    <m/>
    <m/>
    <m/>
    <m/>
    <m/>
    <m/>
    <x v="1"/>
  </r>
  <r>
    <n v="2180"/>
    <n v="67428"/>
    <s v="P"/>
    <s v="AR GW Adjustment"/>
    <n v="0"/>
    <m/>
    <m/>
    <m/>
    <n v="0"/>
    <m/>
    <m/>
    <m/>
    <d v="2009-08-01T00:00:00"/>
    <d v="2009-08-01T00:00:00"/>
    <m/>
    <n v="0"/>
    <n v="15110"/>
    <n v="-5910"/>
    <n v="0"/>
    <n v="0"/>
    <n v="-5910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7427"/>
    <s v="P"/>
    <s v="Accrued Payables GW Adjustment"/>
    <n v="0"/>
    <m/>
    <m/>
    <m/>
    <n v="0"/>
    <m/>
    <m/>
    <m/>
    <d v="2009-08-01T00:00:00"/>
    <d v="2009-08-01T00:00:00"/>
    <m/>
    <n v="0"/>
    <n v="15110"/>
    <n v="-6356"/>
    <n v="0"/>
    <n v="0"/>
    <n v="-6356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7426"/>
    <s v="P"/>
    <s v="Accruals Goodwill Adjustment"/>
    <n v="0"/>
    <m/>
    <m/>
    <m/>
    <n v="0"/>
    <m/>
    <m/>
    <m/>
    <d v="2009-08-01T00:00:00"/>
    <d v="2009-08-01T00:00:00"/>
    <m/>
    <n v="0"/>
    <n v="15110"/>
    <n v="-7164.02"/>
    <n v="0"/>
    <n v="0"/>
    <n v="-7164.02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7425"/>
    <s v="P"/>
    <s v="Inventory GW adjustment"/>
    <n v="0"/>
    <m/>
    <m/>
    <m/>
    <n v="0"/>
    <m/>
    <m/>
    <m/>
    <d v="2009-08-01T00:00:00"/>
    <d v="2009-08-01T00:00:00"/>
    <m/>
    <n v="0"/>
    <n v="15110"/>
    <n v="-34701"/>
    <n v="0"/>
    <n v="0"/>
    <n v="-34701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7203"/>
    <s v="P"/>
    <s v="Distribute Drive Cams Invoice (Subscription &amp; Installation)"/>
    <n v="0"/>
    <m/>
    <m/>
    <m/>
    <n v="0"/>
    <s v="Drive Cam"/>
    <m/>
    <m/>
    <d v="2009-07-08T00:00:00"/>
    <d v="2009-07-08T00:00:00"/>
    <s v="2180-9-0029-1"/>
    <n v="500"/>
    <n v="14070"/>
    <n v="1194.22"/>
    <n v="14076"/>
    <n v="1194.22"/>
    <n v="0"/>
    <n v="0"/>
    <n v="51260"/>
    <n v="0"/>
    <s v="P"/>
    <m/>
    <s v="4072680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7202"/>
    <s v="P"/>
    <s v="Distribute Drive Cams Invoice (132 - Event Recorders)"/>
    <n v="0"/>
    <m/>
    <m/>
    <m/>
    <n v="0"/>
    <s v="Drive Cam"/>
    <m/>
    <m/>
    <d v="2009-07-08T00:00:00"/>
    <d v="2009-07-08T00:00:00"/>
    <s v="2180-9-0029-1"/>
    <n v="500"/>
    <n v="14070"/>
    <n v="641.30999999999995"/>
    <n v="14076"/>
    <n v="641.30999999999995"/>
    <n v="0"/>
    <n v="0"/>
    <n v="51260"/>
    <n v="0"/>
    <s v="P"/>
    <m/>
    <s v="4072338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7196"/>
    <s v="P"/>
    <s v="Distribute Drive Cams Invoice (Installation)"/>
    <n v="0"/>
    <m/>
    <m/>
    <m/>
    <n v="0"/>
    <s v="Drive Cam"/>
    <m/>
    <m/>
    <d v="2009-06-22T00:00:00"/>
    <d v="2009-06-22T00:00:00"/>
    <s v="2180-9-0029-1"/>
    <n v="500"/>
    <n v="14070"/>
    <n v="38653.29"/>
    <n v="14076"/>
    <n v="38653.29"/>
    <n v="0"/>
    <n v="0"/>
    <n v="51260"/>
    <n v="0"/>
    <s v="P"/>
    <m/>
    <s v="4071795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7195"/>
    <s v="P"/>
    <s v="Distribute Drive Cams Invoice (55 - Drive Cams &amp; Subscription)"/>
    <n v="0"/>
    <m/>
    <m/>
    <m/>
    <n v="0"/>
    <s v="Drive Cam"/>
    <m/>
    <m/>
    <d v="2009-06-15T00:00:00"/>
    <d v="2009-06-15T00:00:00"/>
    <s v="2180-9-0029-1"/>
    <n v="500"/>
    <n v="14070"/>
    <n v="6722.48"/>
    <n v="14076"/>
    <n v="6722.48"/>
    <n v="0"/>
    <n v="0"/>
    <n v="51260"/>
    <n v="0"/>
    <s v="P"/>
    <m/>
    <s v="4071239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6927"/>
    <s v="P"/>
    <s v="2004 Type HT C-C Trailer"/>
    <n v="0"/>
    <m/>
    <s v="1H9CC53434T347061"/>
    <m/>
    <n v="2004"/>
    <s v="Other"/>
    <s v="Other"/>
    <s v="Trailer"/>
    <d v="2008-11-03T00:00:00"/>
    <d v="2008-11-03T00:00:00"/>
    <m/>
    <n v="300"/>
    <n v="14040"/>
    <n v="13000"/>
    <n v="14046"/>
    <n v="13000"/>
    <n v="0"/>
    <n v="0"/>
    <n v="51260"/>
    <n v="0"/>
    <s v="A"/>
    <s v="LeMay Enterprises"/>
    <m/>
    <n v="8879"/>
    <s v="Internal"/>
    <s v="A"/>
    <s v="SL"/>
    <d v="2009-07-31T00:00:00"/>
    <s v="WCNX"/>
    <n v="0"/>
    <n v="3250"/>
    <m/>
    <x v="13"/>
    <m/>
    <m/>
    <m/>
    <m/>
    <m/>
    <m/>
    <m/>
    <m/>
    <m/>
    <m/>
    <x v="1"/>
  </r>
  <r>
    <n v="2180"/>
    <n v="66926"/>
    <s v="P"/>
    <s v="2003 Type HT C-C Trailer"/>
    <n v="0"/>
    <m/>
    <s v="1H9CC53463T347053"/>
    <m/>
    <n v="2003"/>
    <s v="Other"/>
    <s v="Other"/>
    <s v="Trailer"/>
    <d v="2008-11-03T00:00:00"/>
    <d v="2008-11-03T00:00:00"/>
    <m/>
    <n v="300"/>
    <n v="14040"/>
    <n v="12000"/>
    <n v="14046"/>
    <n v="12000"/>
    <n v="0"/>
    <n v="0"/>
    <n v="51260"/>
    <n v="0"/>
    <s v="A"/>
    <s v="LeMay Enterprises"/>
    <m/>
    <n v="8876"/>
    <s v="Internal"/>
    <s v="A"/>
    <s v="SL"/>
    <d v="2009-07-31T00:00:00"/>
    <s v="WCNX"/>
    <n v="0"/>
    <n v="3000"/>
    <m/>
    <x v="13"/>
    <m/>
    <m/>
    <m/>
    <m/>
    <m/>
    <m/>
    <m/>
    <m/>
    <m/>
    <m/>
    <x v="1"/>
  </r>
  <r>
    <n v="2180"/>
    <n v="66925"/>
    <s v="P"/>
    <s v="2003 Type HT C-C Trailer"/>
    <n v="0"/>
    <m/>
    <s v="1H9CC53443T347052"/>
    <m/>
    <n v="2003"/>
    <s v="Other"/>
    <s v="Other"/>
    <s v="Trailer"/>
    <d v="2008-11-03T00:00:00"/>
    <d v="2008-11-03T00:00:00"/>
    <m/>
    <n v="300"/>
    <n v="14040"/>
    <n v="12000"/>
    <n v="14046"/>
    <n v="12000"/>
    <n v="0"/>
    <n v="0"/>
    <n v="51260"/>
    <n v="0"/>
    <s v="A"/>
    <s v="LeMay Enterprises"/>
    <m/>
    <n v="8875"/>
    <s v="Internal"/>
    <s v="A"/>
    <s v="SL"/>
    <d v="2009-07-31T00:00:00"/>
    <s v="WCNX"/>
    <n v="0"/>
    <n v="3000"/>
    <m/>
    <x v="13"/>
    <m/>
    <m/>
    <m/>
    <m/>
    <m/>
    <m/>
    <m/>
    <m/>
    <m/>
    <m/>
    <x v="1"/>
  </r>
  <r>
    <n v="2180"/>
    <n v="66924"/>
    <s v="P"/>
    <s v="2003 Type HT C-C Trailer"/>
    <n v="0"/>
    <m/>
    <s v="1H9CC53423T347051"/>
    <m/>
    <n v="2003"/>
    <s v="Other"/>
    <s v="Other"/>
    <s v="Trailer"/>
    <d v="2008-11-03T00:00:00"/>
    <d v="2008-11-03T00:00:00"/>
    <m/>
    <n v="300"/>
    <n v="14040"/>
    <n v="12000"/>
    <n v="14046"/>
    <n v="12000"/>
    <n v="0"/>
    <n v="0"/>
    <n v="51260"/>
    <n v="0"/>
    <s v="A"/>
    <s v="LeMay Enterprises"/>
    <m/>
    <n v="8874"/>
    <s v="Internal"/>
    <s v="A"/>
    <s v="SL"/>
    <d v="2009-07-31T00:00:00"/>
    <s v="WCNX"/>
    <n v="0"/>
    <n v="3000"/>
    <m/>
    <x v="13"/>
    <m/>
    <m/>
    <m/>
    <m/>
    <m/>
    <m/>
    <m/>
    <m/>
    <m/>
    <m/>
    <x v="1"/>
  </r>
  <r>
    <n v="2180"/>
    <n v="66922"/>
    <s v="P"/>
    <s v="2000 Type HT C-C Trailer"/>
    <n v="0"/>
    <m/>
    <s v="1H9CS5646YT347026"/>
    <m/>
    <n v="2000"/>
    <s v="Other"/>
    <s v="Other"/>
    <s v="Trailer"/>
    <d v="2008-11-03T00:00:00"/>
    <d v="2008-11-03T00:00:00"/>
    <m/>
    <n v="300"/>
    <n v="14040"/>
    <n v="9000"/>
    <n v="14046"/>
    <n v="9000"/>
    <n v="0"/>
    <n v="0"/>
    <n v="51260"/>
    <n v="0"/>
    <s v="A"/>
    <s v="LeMay Enterprises"/>
    <m/>
    <n v="8867"/>
    <s v="Internal"/>
    <s v="A"/>
    <s v="SL"/>
    <d v="2009-07-31T00:00:00"/>
    <s v="WCNX"/>
    <n v="0"/>
    <n v="2250"/>
    <m/>
    <x v="13"/>
    <m/>
    <m/>
    <m/>
    <m/>
    <m/>
    <m/>
    <m/>
    <m/>
    <m/>
    <m/>
    <x v="1"/>
  </r>
  <r>
    <n v="2180"/>
    <n v="66920"/>
    <s v="P"/>
    <s v="1999 Type HT C-C Trailer"/>
    <n v="0"/>
    <m/>
    <s v="1H9CC5343XT347002"/>
    <m/>
    <n v="1999"/>
    <s v="Other"/>
    <s v="Other"/>
    <s v="Trailer"/>
    <d v="2008-11-03T00:00:00"/>
    <d v="2008-11-03T00:00:00"/>
    <m/>
    <n v="300"/>
    <n v="14040"/>
    <n v="7000"/>
    <n v="14046"/>
    <n v="7000"/>
    <n v="0"/>
    <n v="0"/>
    <n v="51260"/>
    <n v="0"/>
    <s v="A"/>
    <s v="LeMay Enterprises"/>
    <m/>
    <n v="8855"/>
    <s v="Internal"/>
    <s v="A"/>
    <s v="SL"/>
    <d v="2009-07-31T00:00:00"/>
    <s v="WCNX"/>
    <n v="0"/>
    <n v="1750"/>
    <m/>
    <x v="13"/>
    <m/>
    <m/>
    <m/>
    <m/>
    <m/>
    <m/>
    <m/>
    <m/>
    <m/>
    <m/>
    <x v="1"/>
  </r>
  <r>
    <n v="2180"/>
    <n v="66916"/>
    <s v="P"/>
    <s v="1998 Type HT C-C Trailer"/>
    <n v="0"/>
    <m/>
    <s v="1D9CS5341WT360028"/>
    <m/>
    <n v="1998"/>
    <s v="Other"/>
    <s v="Other"/>
    <s v="Trailer"/>
    <d v="2008-11-03T00:00:00"/>
    <d v="2008-11-03T00:00:00"/>
    <m/>
    <n v="300"/>
    <n v="14040"/>
    <n v="7000"/>
    <n v="14046"/>
    <n v="7000"/>
    <n v="0"/>
    <n v="0"/>
    <n v="51260"/>
    <n v="0"/>
    <s v="A"/>
    <s v="LeMay Enterprises"/>
    <m/>
    <n v="8837"/>
    <s v="Internal"/>
    <s v="A"/>
    <s v="SL"/>
    <d v="2009-07-31T00:00:00"/>
    <s v="WCNX"/>
    <n v="0"/>
    <n v="1750"/>
    <m/>
    <x v="13"/>
    <m/>
    <m/>
    <m/>
    <m/>
    <m/>
    <m/>
    <m/>
    <m/>
    <m/>
    <m/>
    <x v="1"/>
  </r>
  <r>
    <n v="2180"/>
    <n v="66913"/>
    <s v="P"/>
    <s v="1997 Type HT C-C Trailer"/>
    <n v="0"/>
    <m/>
    <s v="1G9CH5345V1109059"/>
    <m/>
    <n v="1997"/>
    <s v="Other"/>
    <s v="Other"/>
    <s v="Trailer"/>
    <d v="2008-11-03T00:00:00"/>
    <d v="2008-11-03T00:00:00"/>
    <m/>
    <n v="300"/>
    <n v="14040"/>
    <n v="7000"/>
    <n v="14046"/>
    <n v="7000"/>
    <n v="0"/>
    <n v="0"/>
    <n v="51260"/>
    <n v="0"/>
    <s v="A"/>
    <s v="LeMay Enterprises"/>
    <m/>
    <n v="8833"/>
    <s v="Internal"/>
    <s v="A"/>
    <s v="SL"/>
    <d v="2009-07-31T00:00:00"/>
    <s v="WCNX"/>
    <n v="0"/>
    <n v="1750"/>
    <m/>
    <x v="13"/>
    <m/>
    <m/>
    <m/>
    <m/>
    <m/>
    <m/>
    <m/>
    <m/>
    <m/>
    <m/>
    <x v="1"/>
  </r>
  <r>
    <n v="2180"/>
    <n v="66912"/>
    <s v="P"/>
    <s v="1997 Type HT C-C Trailer"/>
    <n v="0"/>
    <m/>
    <s v="1G9CH5343V1109058"/>
    <m/>
    <n v="1997"/>
    <s v="Other"/>
    <s v="Other"/>
    <s v="Trailer"/>
    <d v="2008-11-03T00:00:00"/>
    <d v="2008-11-03T00:00:00"/>
    <m/>
    <n v="300"/>
    <n v="14040"/>
    <n v="7000"/>
    <n v="14046"/>
    <n v="7000"/>
    <n v="0"/>
    <n v="0"/>
    <n v="51260"/>
    <n v="0"/>
    <s v="A"/>
    <s v="LeMay Enterprises"/>
    <m/>
    <n v="8832"/>
    <s v="Internal"/>
    <s v="A"/>
    <s v="SL"/>
    <d v="2009-07-31T00:00:00"/>
    <s v="WCNX"/>
    <n v="0"/>
    <n v="1750"/>
    <m/>
    <x v="13"/>
    <m/>
    <m/>
    <m/>
    <m/>
    <m/>
    <m/>
    <m/>
    <m/>
    <m/>
    <m/>
    <x v="1"/>
  </r>
  <r>
    <n v="2180"/>
    <n v="66899"/>
    <s v="P"/>
    <s v="2006 Type H Rear REL"/>
    <n v="0"/>
    <m/>
    <s v="1HTWCAAN36J265115"/>
    <m/>
    <n v="2006"/>
    <s v="International"/>
    <s v="McNeilus"/>
    <s v="REL Truck"/>
    <d v="2008-11-03T00:00:00"/>
    <d v="2008-11-03T00:00:00"/>
    <m/>
    <n v="700"/>
    <n v="14040"/>
    <n v="123500"/>
    <n v="14046"/>
    <n v="123500"/>
    <n v="0"/>
    <n v="0"/>
    <n v="51260"/>
    <n v="0"/>
    <s v="A"/>
    <s v="LeMay Enterprises"/>
    <m/>
    <n v="1044"/>
    <s v="Internal"/>
    <s v="A"/>
    <s v="SL"/>
    <d v="2009-07-31T00:00:00"/>
    <s v="WCNX"/>
    <n v="0"/>
    <n v="13232.15"/>
    <m/>
    <x v="13"/>
    <m/>
    <m/>
    <m/>
    <m/>
    <m/>
    <m/>
    <m/>
    <m/>
    <m/>
    <m/>
    <x v="1"/>
  </r>
  <r>
    <n v="2180"/>
    <n v="66832"/>
    <s v="P"/>
    <s v="1987 Pete Tanker Water Truck - Non Op"/>
    <n v="0"/>
    <m/>
    <s v="1XPZL50X3HD702888"/>
    <m/>
    <n v="1987"/>
    <s v="Peterbilt"/>
    <s v="Other"/>
    <s v="Water Truck"/>
    <d v="2009-01-01T00:00:00"/>
    <d v="2009-01-01T00:00:00"/>
    <m/>
    <n v="100"/>
    <n v="14040"/>
    <n v="0"/>
    <n v="14046"/>
    <n v="0"/>
    <n v="0"/>
    <n v="0"/>
    <n v="51260"/>
    <n v="0"/>
    <s v="P"/>
    <m/>
    <m/>
    <n v="9995"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6628"/>
    <s v="P"/>
    <s v="Nancy Legal Exp reimbursement"/>
    <n v="0"/>
    <m/>
    <m/>
    <m/>
    <n v="0"/>
    <m/>
    <m/>
    <m/>
    <d v="2009-07-31T00:00:00"/>
    <d v="2009-07-31T00:00:00"/>
    <m/>
    <n v="100"/>
    <n v="15110"/>
    <n v="-1912.95"/>
    <n v="0"/>
    <n v="0"/>
    <n v="-1912.95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6627"/>
    <s v="P"/>
    <s v="B&amp; O tax audit resolution"/>
    <n v="0"/>
    <m/>
    <m/>
    <m/>
    <n v="0"/>
    <m/>
    <m/>
    <m/>
    <d v="2009-07-31T00:00:00"/>
    <d v="2009-07-31T00:00:00"/>
    <m/>
    <n v="100"/>
    <n v="15110"/>
    <n v="96176"/>
    <n v="0"/>
    <n v="0"/>
    <n v="96176"/>
    <n v="0"/>
    <n v="0"/>
    <n v="0"/>
    <s v="P"/>
    <m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5578"/>
    <n v="60827"/>
    <s v="FLUP - Truck 1569"/>
    <n v="0"/>
    <m/>
    <n v="712770"/>
    <m/>
    <n v="2000"/>
    <m/>
    <m/>
    <s v="Non-Rolling Stock"/>
    <d v="2009-06-01T00:00:00"/>
    <d v="2009-06-01T00:00:00"/>
    <s v="2180-8-0012-1"/>
    <n v="300"/>
    <n v="14040"/>
    <n v="10968.4"/>
    <n v="14046"/>
    <n v="10968.4"/>
    <n v="0"/>
    <n v="0"/>
    <n v="51260"/>
    <n v="0"/>
    <s v="P"/>
    <m/>
    <n v="7136"/>
    <n v="156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4720"/>
    <s v="P"/>
    <s v="4 Yard Commercial Containers"/>
    <n v="30"/>
    <m/>
    <m/>
    <m/>
    <n v="0"/>
    <m/>
    <m/>
    <s v="4 YD FEL/REL/SL Metal"/>
    <d v="2008-11-03T00:00:00"/>
    <d v="2008-11-03T00:00:00"/>
    <m/>
    <n v="1200"/>
    <n v="14050"/>
    <n v="6670.5"/>
    <n v="14056"/>
    <n v="6670.5"/>
    <n v="0"/>
    <n v="0"/>
    <n v="54260"/>
    <n v="0"/>
    <s v="A"/>
    <s v="LeMay Enterprises"/>
    <m/>
    <m/>
    <s v="Internal"/>
    <s v="A"/>
    <s v="SL"/>
    <d v="2009-04-30T00:00:00"/>
    <s v="WCNX"/>
    <n v="4"/>
    <n v="277.94"/>
    <m/>
    <x v="13"/>
    <m/>
    <m/>
    <m/>
    <m/>
    <m/>
    <m/>
    <m/>
    <m/>
    <m/>
    <m/>
    <x v="1"/>
  </r>
  <r>
    <n v="2180"/>
    <n v="64713"/>
    <s v="P"/>
    <s v="1.5 Yard Commercial Containers"/>
    <n v="129"/>
    <m/>
    <m/>
    <m/>
    <n v="0"/>
    <m/>
    <m/>
    <s v="1.5 YD FEL/REL/SL Metal"/>
    <d v="2008-11-03T00:00:00"/>
    <d v="2008-11-03T00:00:00"/>
    <m/>
    <n v="1200"/>
    <n v="14050"/>
    <n v="14183.58"/>
    <n v="14056"/>
    <n v="14183.58"/>
    <n v="0"/>
    <n v="0"/>
    <n v="54260"/>
    <n v="0"/>
    <s v="A"/>
    <s v="LeMay Enterprises"/>
    <m/>
    <m/>
    <s v="Internal"/>
    <s v="A"/>
    <s v="SL"/>
    <d v="2014-02-28T00:00:00"/>
    <s v="WCNX"/>
    <n v="9"/>
    <n v="6303.83"/>
    <m/>
    <x v="13"/>
    <m/>
    <m/>
    <m/>
    <m/>
    <m/>
    <m/>
    <m/>
    <m/>
    <m/>
    <m/>
    <x v="1"/>
  </r>
  <r>
    <n v="2180"/>
    <n v="64710"/>
    <s v="P"/>
    <s v="50 Yard R/O Containers"/>
    <n v="2"/>
    <m/>
    <m/>
    <m/>
    <n v="0"/>
    <m/>
    <m/>
    <s v="50 YD RO Box"/>
    <d v="2008-11-03T00:00:00"/>
    <d v="2008-11-03T00:00:00"/>
    <m/>
    <n v="700"/>
    <n v="14050"/>
    <n v="6000"/>
    <n v="14056"/>
    <n v="6000"/>
    <n v="0"/>
    <n v="0"/>
    <n v="54260"/>
    <n v="0"/>
    <s v="A"/>
    <s v="LeMay Enterprises"/>
    <m/>
    <m/>
    <s v="Internal"/>
    <s v="A"/>
    <s v="SL"/>
    <d v="2011-05-31T00:00:00"/>
    <s v="WCNX"/>
    <n v="2"/>
    <n v="2214.3000000000002"/>
    <m/>
    <x v="13"/>
    <m/>
    <m/>
    <m/>
    <m/>
    <m/>
    <m/>
    <m/>
    <m/>
    <m/>
    <m/>
    <x v="1"/>
  </r>
  <r>
    <n v="2180"/>
    <n v="64697"/>
    <s v="P"/>
    <s v="20 Yard R/O Containers"/>
    <n v="50"/>
    <m/>
    <m/>
    <m/>
    <n v="0"/>
    <m/>
    <m/>
    <s v="20 YD RO Box"/>
    <d v="2008-11-03T00:00:00"/>
    <d v="2008-11-03T00:00:00"/>
    <m/>
    <n v="700"/>
    <n v="14050"/>
    <n v="63502.92"/>
    <n v="14056"/>
    <n v="63502.92"/>
    <n v="0"/>
    <n v="0"/>
    <n v="54260"/>
    <n v="0"/>
    <s v="A"/>
    <s v="LeMay Enterprises"/>
    <m/>
    <m/>
    <s v="Internal"/>
    <s v="A"/>
    <s v="SL"/>
    <d v="2009-04-30T00:00:00"/>
    <s v="WCNX"/>
    <n v="6"/>
    <n v="4535.93"/>
    <m/>
    <x v="13"/>
    <m/>
    <m/>
    <m/>
    <m/>
    <m/>
    <m/>
    <m/>
    <m/>
    <m/>
    <m/>
    <x v="1"/>
  </r>
  <r>
    <n v="2180"/>
    <n v="64690"/>
    <s v="P"/>
    <s v="6 Yard Commercial Containers"/>
    <n v="64"/>
    <m/>
    <m/>
    <m/>
    <n v="0"/>
    <m/>
    <m/>
    <s v="6 YD FEL/REL/SL Metal"/>
    <d v="2008-11-03T00:00:00"/>
    <d v="2008-11-03T00:00:00"/>
    <m/>
    <n v="1200"/>
    <n v="14050"/>
    <n v="20478.96"/>
    <n v="14056"/>
    <n v="20478.96"/>
    <n v="0"/>
    <n v="0"/>
    <n v="54260"/>
    <n v="0"/>
    <s v="A"/>
    <s v="LeMay Enterprises"/>
    <m/>
    <m/>
    <s v="Internal"/>
    <s v="A"/>
    <s v="SL"/>
    <d v="2009-04-30T00:00:00"/>
    <s v="WCNX"/>
    <n v="4"/>
    <n v="853.29"/>
    <m/>
    <x v="13"/>
    <m/>
    <m/>
    <m/>
    <m/>
    <m/>
    <m/>
    <m/>
    <m/>
    <m/>
    <m/>
    <x v="1"/>
  </r>
  <r>
    <n v="2180"/>
    <n v="64680"/>
    <s v="P"/>
    <s v="30 Yard R/O Containers"/>
    <n v="8"/>
    <m/>
    <m/>
    <m/>
    <n v="0"/>
    <m/>
    <m/>
    <s v="30 YD RO Box"/>
    <d v="2008-11-03T00:00:00"/>
    <d v="2008-11-03T00:00:00"/>
    <m/>
    <n v="700"/>
    <n v="14050"/>
    <n v="122000"/>
    <n v="14056"/>
    <n v="122000"/>
    <n v="0"/>
    <n v="0"/>
    <n v="54260"/>
    <n v="0"/>
    <s v="A"/>
    <s v="LeMay Enterprises"/>
    <m/>
    <m/>
    <s v="Internal"/>
    <s v="A"/>
    <s v="SL"/>
    <d v="2009-04-30T00:00:00"/>
    <s v="WCNX"/>
    <n v="2"/>
    <n v="8714.2800000000007"/>
    <m/>
    <x v="13"/>
    <m/>
    <m/>
    <m/>
    <m/>
    <m/>
    <m/>
    <m/>
    <m/>
    <m/>
    <m/>
    <x v="1"/>
  </r>
  <r>
    <n v="2180"/>
    <n v="64668"/>
    <s v="P"/>
    <s v="35 Yard R/O Containers"/>
    <n v="2"/>
    <m/>
    <m/>
    <m/>
    <n v="0"/>
    <m/>
    <m/>
    <s v="35 YD RO Box"/>
    <d v="2008-11-03T00:00:00"/>
    <d v="2008-11-03T00:00:00"/>
    <m/>
    <n v="700"/>
    <n v="14050"/>
    <n v="34714"/>
    <n v="14056"/>
    <n v="34714"/>
    <n v="0"/>
    <n v="0"/>
    <n v="54260"/>
    <n v="0"/>
    <s v="A"/>
    <s v="LeMay Enterprises"/>
    <m/>
    <m/>
    <s v="Internal"/>
    <s v="A"/>
    <s v="SL"/>
    <d v="2009-04-30T00:00:00"/>
    <s v="WCNX"/>
    <n v="0"/>
    <n v="2479.5700000000002"/>
    <m/>
    <x v="13"/>
    <m/>
    <m/>
    <m/>
    <m/>
    <m/>
    <m/>
    <m/>
    <m/>
    <m/>
    <m/>
    <x v="1"/>
  </r>
  <r>
    <n v="2180"/>
    <n v="63721"/>
    <s v="P"/>
    <s v="Adjust Int Payable &amp; Health"/>
    <n v="0"/>
    <m/>
    <m/>
    <m/>
    <n v="0"/>
    <m/>
    <m/>
    <m/>
    <d v="2009-03-31T00:00:00"/>
    <d v="2009-03-31T00:00:00"/>
    <m/>
    <n v="0"/>
    <n v="15110"/>
    <n v="63519.55"/>
    <n v="15120"/>
    <n v="0"/>
    <n v="63519.55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3214"/>
    <s v="P"/>
    <s v="LeMay Opening Entry Adjustment"/>
    <n v="0"/>
    <m/>
    <m/>
    <m/>
    <n v="0"/>
    <m/>
    <m/>
    <m/>
    <d v="2009-02-28T00:00:00"/>
    <d v="2009-02-28T00:00:00"/>
    <m/>
    <n v="0"/>
    <n v="15110"/>
    <n v="140030.07999999999"/>
    <n v="15120"/>
    <n v="0"/>
    <n v="140030.07999999999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2945"/>
    <s v="P"/>
    <s v="Inventory Pysical count Write Down"/>
    <n v="0"/>
    <m/>
    <m/>
    <m/>
    <n v="0"/>
    <m/>
    <m/>
    <m/>
    <d v="2009-01-31T00:00:00"/>
    <d v="2009-01-31T00:00:00"/>
    <m/>
    <n v="0"/>
    <n v="15110"/>
    <n v="118625.91"/>
    <n v="15120"/>
    <n v="0"/>
    <n v="118625.91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2796"/>
    <n v="60751"/>
    <s v="FLUP - 6034 - P-CARD (Joes to Lemay's)"/>
    <n v="0"/>
    <m/>
    <m/>
    <m/>
    <n v="0"/>
    <m/>
    <m/>
    <s v="Non-Rolling Stock"/>
    <d v="2009-01-01T00:00:00"/>
    <d v="2009-01-01T00:00:00"/>
    <s v="2180-8-0005-1"/>
    <n v="300"/>
    <n v="14040"/>
    <n v="4355.1400000000003"/>
    <n v="14046"/>
    <n v="4355.1400000000003"/>
    <n v="0"/>
    <n v="0"/>
    <n v="51260"/>
    <n v="0"/>
    <s v="P"/>
    <m/>
    <n v="6253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2783"/>
    <s v="P"/>
    <s v="Shop Jacks"/>
    <n v="0"/>
    <m/>
    <m/>
    <m/>
    <n v="0"/>
    <s v="ARI HETRA"/>
    <m/>
    <m/>
    <d v="2009-01-01T00:00:00"/>
    <d v="2009-01-01T00:00:00"/>
    <s v="2180-8-0014-1"/>
    <n v="411"/>
    <n v="14070"/>
    <n v="2847.76"/>
    <n v="14076"/>
    <n v="2847.76"/>
    <n v="0"/>
    <n v="0"/>
    <n v="51260"/>
    <n v="0"/>
    <s v="P"/>
    <m/>
    <s v="0030881-IN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2499"/>
    <s v="P"/>
    <s v="Goodwill Adjustment - LeMay"/>
    <n v="0"/>
    <m/>
    <m/>
    <m/>
    <n v="0"/>
    <m/>
    <m/>
    <m/>
    <d v="2008-12-01T00:00:00"/>
    <d v="2008-12-01T00:00:00"/>
    <m/>
    <n v="0"/>
    <n v="15110"/>
    <n v="287171.49"/>
    <n v="15120"/>
    <n v="0"/>
    <n v="287171.49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2484"/>
    <s v="P"/>
    <s v="Goodwill Entries"/>
    <n v="0"/>
    <m/>
    <m/>
    <m/>
    <n v="0"/>
    <m/>
    <m/>
    <m/>
    <d v="2008-12-01T00:00:00"/>
    <d v="2008-12-01T00:00:00"/>
    <m/>
    <n v="0"/>
    <n v="15110"/>
    <n v="584477.31999999995"/>
    <n v="15120"/>
    <n v="0"/>
    <n v="584477.31999999995"/>
    <n v="0"/>
    <n v="0"/>
    <n v="0"/>
    <s v="A"/>
    <s v="LeMay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1979"/>
    <n v="61977"/>
    <s v="4 PIX501 Firewall Routers"/>
    <n v="0"/>
    <m/>
    <m/>
    <m/>
    <n v="0"/>
    <s v="Network Liquidators"/>
    <m/>
    <m/>
    <d v="2008-10-31T00:00:00"/>
    <d v="2008-10-31T00:00:00"/>
    <s v="2180-8-0002-1"/>
    <n v="300"/>
    <n v="14110"/>
    <n v="900.9"/>
    <n v="14116"/>
    <n v="900.9"/>
    <n v="0"/>
    <n v="0"/>
    <n v="70260"/>
    <n v="0"/>
    <s v="P"/>
    <m/>
    <s v="INV7604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978"/>
    <n v="61977"/>
    <s v="(3) PIX501 Firewall Routers"/>
    <n v="0"/>
    <m/>
    <m/>
    <m/>
    <n v="0"/>
    <s v="Network Liquidators"/>
    <m/>
    <m/>
    <d v="2008-10-31T00:00:00"/>
    <d v="2008-10-31T00:00:00"/>
    <s v="2180-8-0002-1"/>
    <n v="300"/>
    <n v="14110"/>
    <n v="845.68"/>
    <n v="14116"/>
    <n v="845.68"/>
    <n v="0"/>
    <n v="0"/>
    <n v="70260"/>
    <n v="0"/>
    <s v="P"/>
    <m/>
    <s v="INV7593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977"/>
    <s v="P"/>
    <s v="HP LTO4 Tape Drive SN SHU18393DW3"/>
    <n v="0"/>
    <m/>
    <m/>
    <m/>
    <n v="0"/>
    <s v="CDW"/>
    <m/>
    <m/>
    <d v="2008-10-31T00:00:00"/>
    <d v="2008-10-31T00:00:00"/>
    <s v="2180-8-0002-1"/>
    <n v="300"/>
    <n v="14110"/>
    <n v="3309.76"/>
    <n v="14116"/>
    <n v="3309.76"/>
    <n v="0"/>
    <n v="0"/>
    <n v="70260"/>
    <n v="0"/>
    <s v="P"/>
    <m/>
    <s v="MGG2666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976"/>
    <s v="P"/>
    <s v="MS Licenses (175 Office Standard 2007) (175 Windows Server Cals 2008) (175 Excha"/>
    <n v="0"/>
    <m/>
    <m/>
    <m/>
    <n v="0"/>
    <s v="CDW"/>
    <m/>
    <m/>
    <d v="2008-12-08T00:00:00"/>
    <d v="2008-12-08T00:00:00"/>
    <s v="2180-8-0001-1"/>
    <n v="300"/>
    <n v="14110"/>
    <n v="82410.94"/>
    <n v="14116"/>
    <n v="82410.94"/>
    <n v="0"/>
    <n v="0"/>
    <n v="70260"/>
    <n v="0"/>
    <s v="P"/>
    <m/>
    <s v="MPR6035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685"/>
    <s v="P"/>
    <s v="(150) Citrix Server Licenses"/>
    <n v="0"/>
    <m/>
    <m/>
    <m/>
    <n v="0"/>
    <s v="QUEST"/>
    <m/>
    <m/>
    <d v="2008-12-05T00:00:00"/>
    <d v="2008-12-05T00:00:00"/>
    <s v="2180-8-0001-1"/>
    <n v="300"/>
    <n v="14110"/>
    <n v="36600"/>
    <n v="14116"/>
    <n v="36600"/>
    <n v="0"/>
    <n v="0"/>
    <n v="70260"/>
    <n v="0"/>
    <s v="P"/>
    <m/>
    <n v="351230"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477"/>
    <s v="P"/>
    <s v="Pierce County G Certificate"/>
    <n v="0"/>
    <m/>
    <m/>
    <m/>
    <n v="0"/>
    <m/>
    <m/>
    <m/>
    <d v="2008-11-03T00:00:00"/>
    <d v="2008-11-03T00:00:00"/>
    <m/>
    <n v="0"/>
    <n v="15260"/>
    <n v="23804343"/>
    <n v="15266"/>
    <n v="0"/>
    <n v="23804343"/>
    <n v="0"/>
    <m/>
    <n v="0"/>
    <s v="A"/>
    <s v="LeMay Enterprises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1476"/>
    <s v="P"/>
    <s v="Frederickson Buildings"/>
    <m/>
    <m/>
    <m/>
    <m/>
    <n v="0"/>
    <m/>
    <m/>
    <m/>
    <d v="2008-11-03T00:00:00"/>
    <d v="2008-11-03T00:00:00"/>
    <m/>
    <n v="2000"/>
    <n v="14080"/>
    <n v="3530000"/>
    <n v="14086"/>
    <n v="2397458.33"/>
    <n v="1132541.67"/>
    <n v="73541.67"/>
    <n v="57260"/>
    <n v="14708.34"/>
    <s v="A"/>
    <s v="LeMay Enterprises"/>
    <m/>
    <m/>
    <s v="Internal"/>
    <s v="A"/>
    <s v="SL"/>
    <d v="2013-12-31T00:00:00"/>
    <s v="WCNX"/>
    <n v="1"/>
    <n v="911916.66"/>
    <m/>
    <x v="13"/>
    <m/>
    <m/>
    <m/>
    <m/>
    <m/>
    <m/>
    <m/>
    <m/>
    <m/>
    <m/>
    <x v="1"/>
  </r>
  <r>
    <n v="2180"/>
    <n v="61475"/>
    <s v="P"/>
    <s v="2 Yard"/>
    <n v="42"/>
    <m/>
    <m/>
    <m/>
    <n v="0"/>
    <m/>
    <m/>
    <s v="2 YD FEL/REL/SL Metal"/>
    <d v="2008-11-03T00:00:00"/>
    <d v="2008-11-03T00:00:00"/>
    <m/>
    <n v="1200"/>
    <n v="14050"/>
    <n v="10437.969999999999"/>
    <n v="14056"/>
    <n v="10437.969999999999"/>
    <n v="0"/>
    <n v="0"/>
    <n v="54260"/>
    <n v="0"/>
    <s v="A"/>
    <s v="LeMay Enterprises"/>
    <m/>
    <m/>
    <s v="Internal"/>
    <s v="A"/>
    <s v="SL"/>
    <d v="2009-04-30T00:00:00"/>
    <s v="WCNX"/>
    <n v="22"/>
    <n v="434.91"/>
    <m/>
    <x v="13"/>
    <m/>
    <m/>
    <m/>
    <m/>
    <m/>
    <m/>
    <m/>
    <m/>
    <m/>
    <m/>
    <x v="1"/>
  </r>
  <r>
    <n v="2180"/>
    <n v="61473"/>
    <s v="P"/>
    <s v="Residential Containers in Yard (New Prices)"/>
    <n v="2151"/>
    <m/>
    <m/>
    <m/>
    <n v="0"/>
    <m/>
    <m/>
    <m/>
    <d v="2008-11-03T00:00:00"/>
    <d v="2008-11-03T00:00:00"/>
    <m/>
    <n v="700"/>
    <n v="14050"/>
    <n v="95070"/>
    <n v="14056"/>
    <n v="95070"/>
    <n v="0"/>
    <n v="0"/>
    <n v="54260"/>
    <n v="0"/>
    <s v="A"/>
    <s v="LeMay Enterprises"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472"/>
    <s v="P"/>
    <s v="(100,486) Residential Customers ($10 each)"/>
    <n v="100486"/>
    <m/>
    <m/>
    <m/>
    <n v="0"/>
    <m/>
    <m/>
    <m/>
    <d v="2008-11-03T00:00:00"/>
    <d v="2008-11-03T00:00:00"/>
    <m/>
    <n v="500"/>
    <n v="14050"/>
    <n v="1004860"/>
    <n v="14056"/>
    <n v="1004860"/>
    <n v="0"/>
    <n v="0"/>
    <n v="54260"/>
    <n v="0"/>
    <s v="A"/>
    <s v="LeMay Enterprises"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1471"/>
    <s v="P"/>
    <s v="40 Yard R/O Containers"/>
    <n v="3"/>
    <m/>
    <m/>
    <m/>
    <n v="0"/>
    <m/>
    <m/>
    <s v="40 YD RO Box"/>
    <d v="2008-11-03T00:00:00"/>
    <d v="2008-11-03T00:00:00"/>
    <m/>
    <n v="700"/>
    <n v="14050"/>
    <n v="32906.25"/>
    <n v="14056"/>
    <n v="32906.25"/>
    <n v="0"/>
    <n v="0"/>
    <n v="54260"/>
    <n v="0"/>
    <s v="A"/>
    <s v="LeMay Enterprises"/>
    <m/>
    <m/>
    <s v="Internal"/>
    <s v="A"/>
    <s v="SL"/>
    <d v="2022-04-30T00:00:00"/>
    <s v="WCNX"/>
    <n v="9"/>
    <n v="32906.25"/>
    <m/>
    <x v="13"/>
    <m/>
    <m/>
    <m/>
    <m/>
    <m/>
    <m/>
    <m/>
    <m/>
    <m/>
    <m/>
    <x v="1"/>
  </r>
  <r>
    <n v="2180"/>
    <n v="61469"/>
    <s v="P"/>
    <s v="Frederickson Building Improvements"/>
    <n v="0"/>
    <m/>
    <m/>
    <m/>
    <n v="0"/>
    <m/>
    <m/>
    <m/>
    <d v="2008-11-03T00:00:00"/>
    <d v="2008-11-03T00:00:00"/>
    <m/>
    <n v="2000"/>
    <n v="14010"/>
    <n v="450000"/>
    <n v="14016"/>
    <n v="305625"/>
    <n v="144375"/>
    <n v="9375"/>
    <n v="57260"/>
    <n v="1875"/>
    <s v="A"/>
    <s v="LeMay Enterprises"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807"/>
    <s v="P"/>
    <s v="Goodwil - LeMay Enterprises"/>
    <n v="0"/>
    <m/>
    <m/>
    <m/>
    <n v="0"/>
    <m/>
    <m/>
    <m/>
    <d v="2008-11-03T00:00:00"/>
    <d v="2008-11-03T00:00:00"/>
    <m/>
    <n v="0"/>
    <n v="15110"/>
    <n v="3228855.86"/>
    <n v="15120"/>
    <n v="0"/>
    <n v="3228855.86"/>
    <n v="0"/>
    <m/>
    <n v="0"/>
    <s v="A"/>
    <s v="LeMay Enterprises"/>
    <m/>
    <m/>
    <s v="Internal"/>
    <s v="A"/>
    <s v="NO"/>
    <m/>
    <s v="WCNX"/>
    <n v="0"/>
    <n v="0"/>
    <m/>
    <x v="13"/>
    <m/>
    <m/>
    <m/>
    <m/>
    <m/>
    <m/>
    <m/>
    <m/>
    <m/>
    <m/>
    <x v="1"/>
  </r>
  <r>
    <n v="2180"/>
    <n v="60806"/>
    <s v="P"/>
    <s v="Pump (Shop Equipment)"/>
    <n v="0"/>
    <m/>
    <m/>
    <m/>
    <n v="0"/>
    <m/>
    <m/>
    <m/>
    <d v="2008-11-03T00:00:00"/>
    <d v="2008-11-03T00:00:00"/>
    <m/>
    <n v="300"/>
    <n v="14070"/>
    <n v="1000"/>
    <n v="14076"/>
    <n v="1000"/>
    <n v="0"/>
    <n v="0"/>
    <n v="51260"/>
    <n v="0"/>
    <s v="A"/>
    <s v="LeMay Enterprises"/>
    <m/>
    <m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804"/>
    <s v="P"/>
    <s v="1990 Type M Lift Other"/>
    <n v="0"/>
    <m/>
    <n v="3015080598"/>
    <m/>
    <n v="1990"/>
    <s v="Other"/>
    <s v="Other"/>
    <s v="Forklift"/>
    <d v="2008-11-03T00:00:00"/>
    <d v="2008-11-03T00:00:00"/>
    <m/>
    <n v="300"/>
    <n v="14030"/>
    <n v="2500"/>
    <n v="14036"/>
    <n v="2500"/>
    <n v="0"/>
    <n v="0"/>
    <n v="51260"/>
    <n v="0"/>
    <s v="A"/>
    <s v="LeMay Enterprises"/>
    <m/>
    <n v="7988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90"/>
    <s v="P"/>
    <s v="2007 Type H TSide ASL"/>
    <n v="0"/>
    <m/>
    <s v="3BPZLD9X77F717688"/>
    <m/>
    <n v="2007"/>
    <s v="Peterbilt"/>
    <s v="Curbtender"/>
    <s v="Automated Sideload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3620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89"/>
    <s v="P"/>
    <s v="2007 Type H TSide ASL"/>
    <n v="0"/>
    <m/>
    <s v="3BPZLD9X57F717687"/>
    <m/>
    <n v="2007"/>
    <s v="Peterbilt"/>
    <s v="Curbtender"/>
    <s v="Automated Sideload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3619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87"/>
    <s v="P"/>
    <s v="2007 Type H TSide ASL"/>
    <n v="0"/>
    <m/>
    <s v="3BPZLD9X17F717685"/>
    <m/>
    <n v="2007"/>
    <s v="Peterbilt"/>
    <s v="Curbtender"/>
    <s v="Automated Sideload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3617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86"/>
    <s v="P"/>
    <s v="2007 Type H TSide ASL"/>
    <n v="0"/>
    <m/>
    <s v="3BPZLD9XX7F717684"/>
    <m/>
    <n v="2007"/>
    <s v="Peterbilt"/>
    <s v="Curbtender"/>
    <s v="Automated Sideload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361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80"/>
    <s v="P"/>
    <s v="2007 Type H Rear REL"/>
    <n v="0"/>
    <m/>
    <s v="1HTWCAANX7J411768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66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79"/>
    <s v="P"/>
    <s v="2007 Type H Rear REL"/>
    <n v="0"/>
    <m/>
    <s v="1HTWCAAN77J411761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6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78"/>
    <s v="P"/>
    <s v="2007 Type H Rear REL"/>
    <n v="0"/>
    <m/>
    <s v="1HTWCAAN87J411770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6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77"/>
    <s v="P"/>
    <s v="2007 Type H Rear REL"/>
    <n v="0"/>
    <m/>
    <s v="1HTWCAAN97J471895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63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75"/>
    <s v="P"/>
    <s v="2007 Type H Rear REL"/>
    <n v="0"/>
    <m/>
    <s v="1HTWCAAN57J411757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5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73"/>
    <s v="P"/>
    <s v="2007 Type H Rear REL"/>
    <n v="0"/>
    <m/>
    <s v="1HTWCAAN67J408432"/>
    <m/>
    <n v="2007"/>
    <s v="International"/>
    <s v="McNeilus"/>
    <s v="REL Truck"/>
    <d v="2008-11-03T00:00:00"/>
    <d v="2008-11-03T00:00:00"/>
    <m/>
    <n v="800"/>
    <n v="14040"/>
    <n v="133500"/>
    <n v="14046"/>
    <n v="133500"/>
    <n v="0"/>
    <n v="0"/>
    <n v="51260"/>
    <n v="0"/>
    <s v="A"/>
    <s v="LeMay Enterprises"/>
    <m/>
    <n v="105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55"/>
    <s v="P"/>
    <s v="2005 Type M Service"/>
    <n v="0"/>
    <m/>
    <s v="J8DC4B16157016219"/>
    <m/>
    <n v="2005"/>
    <s v="Other"/>
    <s v="Other"/>
    <s v="Service Truck"/>
    <d v="2008-11-03T00:00:00"/>
    <d v="2008-11-03T00:00:00"/>
    <m/>
    <n v="600"/>
    <n v="14040"/>
    <n v="22500"/>
    <n v="14046"/>
    <n v="22500"/>
    <n v="0"/>
    <n v="0"/>
    <n v="51260"/>
    <n v="0"/>
    <s v="A"/>
    <s v="LeMay Enterprises"/>
    <m/>
    <n v="9222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52"/>
    <s v="P"/>
    <s v="2005 Type S Pick Up Car"/>
    <n v="0"/>
    <m/>
    <s v="1D7HW48N65S262194"/>
    <m/>
    <n v="2005"/>
    <s v="dodge"/>
    <s v="Other"/>
    <s v="Pick Up Truck"/>
    <d v="2008-11-03T00:00:00"/>
    <d v="2008-11-03T00:00:00"/>
    <m/>
    <n v="300"/>
    <n v="14040"/>
    <n v="13000"/>
    <n v="14046"/>
    <n v="13000"/>
    <n v="0"/>
    <n v="0"/>
    <n v="51260"/>
    <n v="0"/>
    <s v="A"/>
    <s v="LeMay Enterprises"/>
    <m/>
    <n v="6035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721"/>
    <s v="P"/>
    <s v="2000 Type M Service"/>
    <n v="0"/>
    <m/>
    <s v="1GBKC34F5YF482431"/>
    <m/>
    <n v="2000"/>
    <s v="Other"/>
    <s v="Other"/>
    <s v="Pick Up Truck"/>
    <d v="2008-11-03T00:00:00"/>
    <d v="2008-11-03T00:00:00"/>
    <m/>
    <n v="300"/>
    <n v="14040"/>
    <n v="8500"/>
    <n v="14046"/>
    <n v="8500"/>
    <n v="0"/>
    <n v="0"/>
    <n v="51260"/>
    <n v="0"/>
    <s v="A"/>
    <s v="LeMay Enterprises"/>
    <m/>
    <n v="9214"/>
    <s v="Internal"/>
    <s v="A"/>
    <s v="SL"/>
    <m/>
    <s v="WCNX"/>
    <n v="0"/>
    <n v="0"/>
    <m/>
    <x v="13"/>
    <m/>
    <m/>
    <m/>
    <m/>
    <m/>
    <m/>
    <m/>
    <m/>
    <m/>
    <m/>
    <x v="1"/>
  </r>
  <r>
    <n v="2180"/>
    <n v="60675"/>
    <s v="P"/>
    <s v="Fredrickson Land"/>
    <n v="0"/>
    <m/>
    <m/>
    <m/>
    <n v="0"/>
    <m/>
    <m/>
    <m/>
    <d v="2008-11-03T00:00:00"/>
    <d v="2008-11-03T00:00:00"/>
    <m/>
    <n v="0"/>
    <n v="14000"/>
    <n v="9148000"/>
    <n v="14016"/>
    <n v="0"/>
    <n v="9148000"/>
    <n v="0"/>
    <n v="57260"/>
    <n v="0"/>
    <s v="A"/>
    <s v="LeMay Enterprises"/>
    <m/>
    <m/>
    <s v="Internal"/>
    <s v="A"/>
    <s v="NO"/>
    <m/>
    <s v="WCNX"/>
    <n v="0"/>
    <n v="0"/>
    <m/>
    <x v="13"/>
    <m/>
    <m/>
    <m/>
    <m/>
    <m/>
    <m/>
    <m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0" cacheId="1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F17" firstHeaderRow="0" firstDataRow="1" firstDataCol="1" rowPageCount="1" colPageCount="1"/>
  <pivotFields count="4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71" showAll="0"/>
    <pivotField numFmtId="171" showAll="0"/>
    <pivotField showAll="0"/>
    <pivotField showAll="0"/>
    <pivotField showAll="0"/>
    <pivotField dataField="1" numFmtId="43" showAll="0"/>
    <pivotField showAll="0"/>
    <pivotField numFmtId="43" showAll="0"/>
    <pivotField numFmtId="43" showAll="0"/>
    <pivotField numFmtId="1" showAll="0"/>
    <pivotField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12"/>
        <item x="11"/>
        <item x="0"/>
        <item x="10"/>
        <item x="13"/>
        <item x="3"/>
        <item x="5"/>
        <item x="7"/>
        <item x="8"/>
        <item x="9"/>
        <item x="4"/>
        <item m="1" x="15"/>
        <item m="1" x="14"/>
        <item x="6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axis="axisPage" multipleItemSelectionAllowed="1" showAll="0">
      <items count="3">
        <item x="0"/>
        <item h="1" x="1"/>
        <item t="default"/>
      </items>
    </pivotField>
  </pivotFields>
  <rowFields count="1">
    <field x="36"/>
  </rowFields>
  <rowItems count="14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3"/>
    </i>
    <i>
      <x v="14"/>
    </i>
    <i>
      <x v="1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47" hier="-1"/>
  </pageFields>
  <dataFields count="5">
    <dataField name="Sum of Cost" fld="17" baseField="0" baseItem="0"/>
    <dataField name="Sum of Test Year Dep" fld="43" baseField="0" baseItem="0"/>
    <dataField name="Sum of BOY Accum" fld="44" baseField="0" baseItem="0"/>
    <dataField name="Sum of EOY Accum" fld="45" baseField="0" baseItem="0"/>
    <dataField name="Sum of EOY Average Investment" fld="46" baseField="0" baseItem="0"/>
  </dataFields>
  <formats count="7">
    <format dxfId="6">
      <pivotArea outline="0" collapsedLevelsAreSubtotals="1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36" type="button" dataOnly="0" labelOnly="1" outline="0" axis="axisRow" fieldPosition="0"/>
    </format>
    <format dxfId="2">
      <pivotArea dataOnly="0" labelOnly="1" fieldPosition="0">
        <references count="1">
          <reference field="36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2" dT="2020-03-17T17:11:52.43" personId="{4EB45659-C22A-4F20-8658-C9439038E659}" id="{4EA49F9C-2BFC-4A7E-837F-06654ABCAE34}">
    <text>Going back to prior cases, we had agreed on a two year life for these.</text>
  </threadedComment>
  <threadedComment ref="S155" dT="2020-03-16T18:30:29.42" personId="{4EB45659-C22A-4F20-8658-C9439038E659}" id="{60BD7FE5-F617-4032-ABD2-09F01B98583D}">
    <text>Removed - fully depreciated</text>
  </threadedComment>
  <threadedComment ref="K222" dT="2020-03-16T18:32:13.39" personId="{4EB45659-C22A-4F20-8658-C9439038E659}" id="{A11EA3C4-64B5-45F4-8179-A001CBD1E394}">
    <text>Changed lived to 10 years to match other trucks added since last GRC</text>
  </threadedComment>
  <threadedComment ref="S275" dT="2020-03-16T18:38:45.10" personId="{4EB45659-C22A-4F20-8658-C9439038E659}" id="{C99C10F7-FA6B-4504-8053-A1DFB9F41416}">
    <text>Remove - fully depreciated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A11" dT="2020-03-12T17:05:07.15" personId="{4EB45659-C22A-4F20-8658-C9439038E659}" id="{9B8E169B-4A1E-4A2E-AB57-6F28791E19A8}">
    <text>These variances are the result of changing the calculation of average investment to book value as of the year 2020.</text>
  </threadedComment>
  <threadedComment ref="Z77" dT="2020-03-13T15:45:35.00" personId="{4EB45659-C22A-4F20-8658-C9439038E659}" id="{2A5A5F87-2249-48CD-9F57-D3748BDDD999}">
    <text>Removed because fully depreciating in rate year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A11" dT="2020-03-12T17:05:07.15" personId="{4EB45659-C22A-4F20-8658-C9439038E659}" id="{365F1050-2059-49CB-829B-13A1841656A8}">
    <text>These variances are the result of changing the calculation of average investment to book value as of the year 2020.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59999389629810485"/>
    <pageSetUpPr fitToPage="1"/>
  </sheetPr>
  <dimension ref="A1:BQ1064"/>
  <sheetViews>
    <sheetView showGridLines="0" tabSelected="1" view="pageBreakPreview" topLeftCell="A7" zoomScale="60" zoomScaleNormal="80" workbookViewId="0">
      <pane xSplit="5" ySplit="7" topLeftCell="F14" activePane="bottomRight" state="frozen"/>
      <selection activeCell="AS6" sqref="AS6:BQ86"/>
      <selection pane="topRight" activeCell="AS6" sqref="AS6:BQ86"/>
      <selection pane="bottomLeft" activeCell="AS6" sqref="AS6:BQ86"/>
      <selection pane="bottomRight" activeCell="AS6" sqref="AS6:BQ86"/>
    </sheetView>
  </sheetViews>
  <sheetFormatPr defaultRowHeight="15" outlineLevelRow="1" outlineLevelCol="1"/>
  <cols>
    <col min="1" max="1" width="3.5703125" style="17" customWidth="1"/>
    <col min="2" max="4" width="9.140625" style="17"/>
    <col min="5" max="5" width="38.42578125" style="17" customWidth="1"/>
    <col min="6" max="6" width="10" style="17" customWidth="1"/>
    <col min="7" max="7" width="3" style="17" hidden="1" customWidth="1" outlineLevel="1"/>
    <col min="8" max="8" width="13.5703125" style="17" hidden="1" customWidth="1" outlineLevel="1"/>
    <col min="9" max="9" width="10.5703125" style="17" hidden="1" customWidth="1" outlineLevel="1"/>
    <col min="10" max="10" width="9.140625" style="17" hidden="1" customWidth="1" outlineLevel="1"/>
    <col min="11" max="11" width="15.42578125" style="17" hidden="1" customWidth="1" outlineLevel="1"/>
    <col min="12" max="12" width="9.140625" style="17" hidden="1" customWidth="1" outlineLevel="1"/>
    <col min="13" max="13" width="20.28515625" style="17" hidden="1" customWidth="1" outlineLevel="1"/>
    <col min="14" max="14" width="9.140625" style="17" collapsed="1"/>
    <col min="15" max="15" width="9.140625" style="17" customWidth="1" outlineLevel="1"/>
    <col min="16" max="16" width="19.140625" style="17" customWidth="1" outlineLevel="1"/>
    <col min="17" max="17" width="9.140625" style="17" customWidth="1" outlineLevel="1"/>
    <col min="18" max="18" width="9.140625" style="17"/>
    <col min="19" max="19" width="15.42578125" style="17" customWidth="1"/>
    <col min="20" max="20" width="10.85546875" style="17" customWidth="1"/>
    <col min="21" max="22" width="14.42578125" style="17" customWidth="1"/>
    <col min="23" max="23" width="10" style="201" customWidth="1"/>
    <col min="24" max="24" width="9.140625" style="17"/>
    <col min="25" max="25" width="13" style="17" customWidth="1"/>
    <col min="26" max="26" width="9.140625" style="17"/>
    <col min="27" max="36" width="0" style="17" hidden="1" customWidth="1" outlineLevel="1"/>
    <col min="37" max="37" width="17.85546875" style="17" bestFit="1" customWidth="1" collapsed="1"/>
    <col min="38" max="38" width="20.85546875" style="17" bestFit="1" customWidth="1"/>
    <col min="39" max="39" width="9.85546875" style="17" bestFit="1" customWidth="1"/>
    <col min="40" max="40" width="10.7109375" style="17" bestFit="1" customWidth="1"/>
    <col min="41" max="41" width="17.140625" style="17" bestFit="1" customWidth="1"/>
    <col min="42" max="42" width="20.85546875" style="17" bestFit="1" customWidth="1"/>
    <col min="43" max="43" width="15.5703125" style="17" bestFit="1" customWidth="1"/>
    <col min="44" max="44" width="14.28515625" style="17" bestFit="1" customWidth="1"/>
    <col min="45" max="45" width="16.42578125" style="17" bestFit="1" customWidth="1"/>
    <col min="46" max="46" width="14.28515625" style="17" bestFit="1" customWidth="1"/>
    <col min="47" max="47" width="14.140625" style="17" bestFit="1" customWidth="1"/>
    <col min="48" max="48" width="26.5703125" style="17" bestFit="1" customWidth="1"/>
    <col min="49" max="49" width="19.85546875" style="17" bestFit="1" customWidth="1"/>
    <col min="50" max="16384" width="9.140625" style="17"/>
  </cols>
  <sheetData>
    <row r="1" spans="1:69" hidden="1" outlineLevel="1">
      <c r="B1" s="17" t="s">
        <v>3179</v>
      </c>
      <c r="C1" s="17" t="s">
        <v>3178</v>
      </c>
      <c r="D1" s="17" t="s">
        <v>3177</v>
      </c>
      <c r="E1" s="17" t="s">
        <v>3176</v>
      </c>
      <c r="F1" s="17" t="s">
        <v>3175</v>
      </c>
      <c r="H1" s="17" t="s">
        <v>3174</v>
      </c>
      <c r="I1" s="17" t="s">
        <v>3173</v>
      </c>
      <c r="J1" s="17" t="s">
        <v>3172</v>
      </c>
      <c r="K1" s="17" t="s">
        <v>3171</v>
      </c>
      <c r="L1" s="17" t="s">
        <v>3170</v>
      </c>
      <c r="M1" s="17" t="s">
        <v>3169</v>
      </c>
      <c r="N1" s="17" t="s">
        <v>3168</v>
      </c>
      <c r="O1" s="17" t="s">
        <v>3167</v>
      </c>
      <c r="P1" s="17" t="s">
        <v>3166</v>
      </c>
      <c r="Q1" s="17" t="s">
        <v>3165</v>
      </c>
      <c r="R1" s="17" t="s">
        <v>3164</v>
      </c>
      <c r="S1" s="17" t="s">
        <v>3163</v>
      </c>
      <c r="T1" s="17" t="s">
        <v>3162</v>
      </c>
      <c r="U1" s="17" t="s">
        <v>3161</v>
      </c>
      <c r="W1" s="201" t="s">
        <v>3160</v>
      </c>
      <c r="X1" s="17" t="s">
        <v>3159</v>
      </c>
      <c r="Y1" s="17" t="s">
        <v>3158</v>
      </c>
      <c r="Z1" s="17" t="s">
        <v>3157</v>
      </c>
      <c r="AA1" s="17" t="s">
        <v>3156</v>
      </c>
      <c r="AB1" s="17" t="s">
        <v>3155</v>
      </c>
      <c r="AC1" s="17" t="s">
        <v>3154</v>
      </c>
      <c r="AD1" s="17" t="s">
        <v>3093</v>
      </c>
      <c r="AE1" s="17" t="s">
        <v>3153</v>
      </c>
      <c r="AF1" s="17" t="s">
        <v>3152</v>
      </c>
      <c r="AG1" s="17" t="s">
        <v>3151</v>
      </c>
      <c r="AH1" s="17" t="s">
        <v>3150</v>
      </c>
      <c r="AI1" s="17" t="s">
        <v>3149</v>
      </c>
      <c r="AJ1" s="17" t="s">
        <v>3148</v>
      </c>
    </row>
    <row r="2" spans="1:69" hidden="1" outlineLevel="1">
      <c r="B2" s="203"/>
      <c r="C2" s="207"/>
      <c r="D2" s="203"/>
      <c r="E2" s="202"/>
      <c r="F2" s="203"/>
      <c r="G2" s="202"/>
      <c r="H2" s="202"/>
      <c r="I2" s="202"/>
      <c r="J2" s="202"/>
      <c r="K2" s="202"/>
      <c r="L2" s="202"/>
      <c r="M2" s="202"/>
      <c r="N2" s="206"/>
      <c r="O2" s="206"/>
      <c r="P2" s="202"/>
      <c r="Q2" s="203"/>
      <c r="R2" s="203"/>
      <c r="S2" s="204"/>
      <c r="T2" s="203"/>
      <c r="U2" s="204"/>
      <c r="V2" s="204">
        <f>S2-U2</f>
        <v>0</v>
      </c>
      <c r="W2" s="205"/>
      <c r="X2" s="203"/>
      <c r="Y2" s="204"/>
      <c r="Z2" s="202"/>
      <c r="AA2" s="202"/>
      <c r="AB2" s="202"/>
      <c r="AC2" s="202"/>
      <c r="AD2" s="202"/>
      <c r="AE2" s="202"/>
      <c r="AF2" s="203"/>
      <c r="AG2" s="202"/>
      <c r="AH2" s="203"/>
      <c r="AI2" s="202"/>
      <c r="AJ2" s="202"/>
    </row>
    <row r="3" spans="1:69" hidden="1" outlineLevel="1">
      <c r="B3" s="17" t="str">
        <f ca="1">_xll.ReportRange("FARReport",A14:AJ1065,A1:AJ1,A2:AJ2,_xll.Param($C$9,$C$10,C12,$M$9,$M$10,$M$11,$S$9,M12,$Y$10,$Y$9,S10,S11,CELL("address",$E$6)),TRUE,FALSE)</f>
        <v>OK!: ReportRange Formula OK [jAction{}]</v>
      </c>
      <c r="L3" s="244" t="s">
        <v>3147</v>
      </c>
      <c r="M3" s="243">
        <f ca="1">MONTH(NOW())</f>
        <v>7</v>
      </c>
      <c r="S3" s="17" t="str">
        <f ca="1">_xll.ReportDrill([40]ProjDepr!D3,,_xll.PairGroup(_xll.Pair('FAR 6.30.22'!C9,[40]ProjDepr!D19),_xll.Pair("C:B",[40]ProjDepr!D20),_xll.Pair("C:C",[40]ProjDepr!D21),_xll.Pair("C:V",[40]ProjDepr!D22)),"Projected Depr")</f>
        <v>OK!: ReportDrill 'Projected Depr' Formula OK [jAction{}]</v>
      </c>
      <c r="Y3" s="17" t="str">
        <f ca="1">_xll.jFreezePanes(A14,A5)</f>
        <v xml:space="preserve">&gt; jFreezePanes is ready. </v>
      </c>
      <c r="AB3" s="17" t="str">
        <f ca="1">_xll.jFocus(C9)</f>
        <v xml:space="preserve">&gt; jFocus is ready. </v>
      </c>
    </row>
    <row r="4" spans="1:69" hidden="1" outlineLevel="1">
      <c r="L4" s="244" t="s">
        <v>3146</v>
      </c>
      <c r="M4" s="243">
        <f ca="1">IF(M3=12,YEAR(NOW()),YEAR(NOW()))</f>
        <v>2022</v>
      </c>
      <c r="R4" s="202"/>
      <c r="S4" s="202" t="s">
        <v>3145</v>
      </c>
      <c r="T4" s="202"/>
      <c r="U4" s="202" t="str">
        <f ca="1">_xll.ReportDrill([40]Invoice!$C$2,,_xll.PairGroup(_xll.Pair("C:P",[40]Invoice!$E$7),_xll.Pair("",[40]Invoice!$E$8,"N"),_xll.Pair("",[40]Invoice!$E$9,"n")),"Drill To All Invoices by PO#")</f>
        <v>OK!: ReportDrill 'Drill To All Invoices by PO#' Formula OK [jAction{}]</v>
      </c>
      <c r="V4" s="202"/>
      <c r="W4" s="242"/>
      <c r="X4" s="202" t="str">
        <f ca="1">_xll.ReportDrill([40]Invoice!$C$2,,_xll.PairGroup(_xll.Pair("C:P",[40]Invoice!$E$7),_xll.Pair("",[40]Invoice!$E$8,"N"),_xll.Pair("C:Z",[40]Invoice!$E$9,"n")),"Drill to Invoice by PO# and Invoice #")</f>
        <v>OK!: ReportDrill 'Drill to Invoice by PO# and Invoice #' Formula OK [jAction{}]</v>
      </c>
    </row>
    <row r="5" spans="1:69" s="226" customFormat="1" ht="18.75" collapsed="1">
      <c r="B5" s="241" t="s">
        <v>3144</v>
      </c>
      <c r="H5" s="240" t="s">
        <v>3143</v>
      </c>
      <c r="I5" s="239">
        <f>COUNT(C14:C1065)</f>
        <v>1051</v>
      </c>
      <c r="U5" s="246" t="s">
        <v>1363</v>
      </c>
      <c r="V5" s="229"/>
      <c r="AK5" s="226">
        <v>8</v>
      </c>
      <c r="AL5" s="226" t="s">
        <v>45</v>
      </c>
    </row>
    <row r="6" spans="1:69" s="226" customFormat="1">
      <c r="B6" s="239" t="s">
        <v>3142</v>
      </c>
      <c r="E6" s="226" t="s">
        <v>3442</v>
      </c>
      <c r="S6" s="372" t="s">
        <v>3180</v>
      </c>
      <c r="T6" s="251">
        <f>SUM(S56:S77)</f>
        <v>256796.36</v>
      </c>
      <c r="U6" s="245">
        <f>T6-'FAR 12.2021 - For Lookup'!T7</f>
        <v>0</v>
      </c>
      <c r="W6" s="229"/>
      <c r="AK6" s="226">
        <v>2021</v>
      </c>
      <c r="AL6" s="226" t="s">
        <v>48</v>
      </c>
      <c r="AS6" s="421"/>
      <c r="AT6" s="421"/>
      <c r="AU6" s="421"/>
      <c r="AV6" s="421"/>
      <c r="AW6" s="421"/>
      <c r="AX6" s="421"/>
      <c r="AY6" s="421"/>
      <c r="AZ6" s="421"/>
      <c r="BA6" s="421"/>
      <c r="BB6" s="421"/>
      <c r="BC6" s="421"/>
      <c r="BD6" s="421"/>
      <c r="BE6" s="421"/>
      <c r="BF6" s="421"/>
      <c r="BG6" s="421"/>
      <c r="BH6" s="421"/>
      <c r="BI6" s="421"/>
      <c r="BJ6" s="421"/>
      <c r="BK6" s="421"/>
      <c r="BL6" s="421"/>
      <c r="BM6" s="421"/>
      <c r="BN6" s="421"/>
      <c r="BO6" s="421"/>
      <c r="BP6" s="421"/>
      <c r="BQ6" s="421"/>
    </row>
    <row r="7" spans="1:69" s="226" customFormat="1">
      <c r="H7" s="231"/>
      <c r="I7" s="231"/>
      <c r="S7" s="250" t="s">
        <v>3445</v>
      </c>
      <c r="T7" s="251">
        <f>SUM(S14:S55)</f>
        <v>1280910.01</v>
      </c>
      <c r="W7" s="229"/>
      <c r="AK7" s="226">
        <v>2022</v>
      </c>
      <c r="AL7" s="226" t="s">
        <v>1037</v>
      </c>
      <c r="AS7" s="421"/>
      <c r="AT7" s="421"/>
      <c r="AU7" s="421"/>
      <c r="AV7" s="421"/>
      <c r="AW7" s="421"/>
      <c r="AX7" s="421"/>
      <c r="AY7" s="421"/>
      <c r="AZ7" s="421"/>
      <c r="BA7" s="421"/>
      <c r="BB7" s="421"/>
      <c r="BC7" s="421"/>
      <c r="BD7" s="421"/>
      <c r="BE7" s="421"/>
      <c r="BF7" s="421"/>
      <c r="BG7" s="421"/>
      <c r="BH7" s="421"/>
      <c r="BI7" s="421"/>
      <c r="BJ7" s="421"/>
      <c r="BK7" s="421"/>
      <c r="BL7" s="421"/>
      <c r="BM7" s="421"/>
      <c r="BN7" s="421"/>
      <c r="BO7" s="421"/>
      <c r="BP7" s="421"/>
      <c r="BQ7" s="421"/>
    </row>
    <row r="8" spans="1:69" s="226" customFormat="1">
      <c r="B8" s="239"/>
      <c r="R8" s="231"/>
      <c r="S8" s="376"/>
      <c r="W8" s="229"/>
      <c r="AK8" s="257">
        <f>AK7+(AK5/12)</f>
        <v>2022.6666666666667</v>
      </c>
      <c r="AL8" s="226" t="s">
        <v>50</v>
      </c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421"/>
      <c r="BP8" s="421"/>
      <c r="BQ8" s="421"/>
    </row>
    <row r="9" spans="1:69" s="226" customFormat="1">
      <c r="B9" s="231" t="s">
        <v>3140</v>
      </c>
      <c r="C9" s="238" t="s">
        <v>3441</v>
      </c>
      <c r="E9" s="235"/>
      <c r="F9" s="398" t="s">
        <v>3138</v>
      </c>
      <c r="G9" s="398"/>
      <c r="H9" s="398"/>
      <c r="I9" s="398"/>
      <c r="J9" s="398"/>
      <c r="L9" s="231" t="s">
        <v>3137</v>
      </c>
      <c r="M9" s="395"/>
      <c r="N9" s="395"/>
      <c r="O9" s="233" t="s">
        <v>3126</v>
      </c>
      <c r="R9" s="231" t="s">
        <v>3136</v>
      </c>
      <c r="S9" s="237"/>
      <c r="T9" s="235" t="s">
        <v>3135</v>
      </c>
      <c r="W9" s="229"/>
      <c r="X9" s="231" t="s">
        <v>3134</v>
      </c>
      <c r="Y9" s="234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</row>
    <row r="10" spans="1:69" s="226" customFormat="1">
      <c r="B10" s="231" t="s">
        <v>3133</v>
      </c>
      <c r="C10" s="396" t="s">
        <v>3132</v>
      </c>
      <c r="D10" s="397"/>
      <c r="E10" s="235" t="s">
        <v>3131</v>
      </c>
      <c r="F10" s="398"/>
      <c r="G10" s="398"/>
      <c r="H10" s="398"/>
      <c r="I10" s="398"/>
      <c r="J10" s="398"/>
      <c r="L10" s="231" t="s">
        <v>3130</v>
      </c>
      <c r="M10" s="395"/>
      <c r="N10" s="395"/>
      <c r="O10" s="233" t="s">
        <v>3126</v>
      </c>
      <c r="R10" s="231" t="s">
        <v>3129</v>
      </c>
      <c r="S10" s="236"/>
      <c r="T10" s="235"/>
      <c r="W10" s="229"/>
      <c r="X10" s="231" t="s">
        <v>3128</v>
      </c>
      <c r="Y10" s="234"/>
      <c r="AS10" s="421"/>
      <c r="AT10" s="421"/>
      <c r="AU10" s="421"/>
      <c r="AV10" s="421"/>
      <c r="AW10" s="421"/>
      <c r="AX10" s="421"/>
      <c r="AY10" s="421"/>
      <c r="AZ10" s="421"/>
      <c r="BA10" s="421"/>
      <c r="BB10" s="421"/>
      <c r="BC10" s="421"/>
      <c r="BD10" s="421"/>
      <c r="BE10" s="421"/>
      <c r="BF10" s="421"/>
      <c r="BG10" s="421"/>
      <c r="BH10" s="421"/>
      <c r="BI10" s="421"/>
      <c r="BJ10" s="421"/>
      <c r="BK10" s="421"/>
      <c r="BL10" s="421"/>
      <c r="BM10" s="421"/>
      <c r="BN10" s="421"/>
      <c r="BO10" s="421"/>
      <c r="BP10" s="421"/>
      <c r="BQ10" s="421"/>
    </row>
    <row r="11" spans="1:69" s="226" customFormat="1">
      <c r="L11" s="231" t="s">
        <v>3127</v>
      </c>
      <c r="M11" s="395"/>
      <c r="N11" s="395"/>
      <c r="O11" s="233" t="s">
        <v>3126</v>
      </c>
      <c r="R11" s="231" t="s">
        <v>3125</v>
      </c>
      <c r="S11" s="368"/>
      <c r="W11" s="229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1"/>
      <c r="BF11" s="421"/>
      <c r="BG11" s="421"/>
      <c r="BH11" s="421"/>
      <c r="BI11" s="421"/>
      <c r="BJ11" s="421"/>
      <c r="BK11" s="421"/>
      <c r="BL11" s="421"/>
      <c r="BM11" s="421"/>
      <c r="BN11" s="421"/>
      <c r="BO11" s="421"/>
      <c r="BP11" s="421"/>
      <c r="BQ11" s="421"/>
    </row>
    <row r="12" spans="1:69" s="226" customFormat="1">
      <c r="B12" s="231" t="s">
        <v>3124</v>
      </c>
      <c r="C12" s="368"/>
      <c r="L12" s="231" t="s">
        <v>3123</v>
      </c>
      <c r="M12" s="230"/>
      <c r="N12" s="230"/>
      <c r="O12" s="226" t="s">
        <v>3121</v>
      </c>
      <c r="R12" s="231" t="s">
        <v>3122</v>
      </c>
      <c r="S12" s="230"/>
      <c r="T12" s="226" t="s">
        <v>3121</v>
      </c>
      <c r="W12" s="229"/>
      <c r="AS12" s="421"/>
      <c r="AT12" s="421"/>
      <c r="AU12" s="421"/>
      <c r="AV12" s="421"/>
      <c r="AW12" s="421"/>
      <c r="AX12" s="421"/>
      <c r="AY12" s="421"/>
      <c r="AZ12" s="421"/>
      <c r="BA12" s="421"/>
      <c r="BB12" s="421"/>
      <c r="BC12" s="421"/>
      <c r="BD12" s="421"/>
      <c r="BE12" s="421"/>
      <c r="BF12" s="421"/>
      <c r="BG12" s="421"/>
      <c r="BH12" s="421"/>
      <c r="BI12" s="421"/>
      <c r="BJ12" s="421"/>
      <c r="BK12" s="421"/>
      <c r="BL12" s="421"/>
      <c r="BM12" s="421"/>
      <c r="BN12" s="421"/>
      <c r="BO12" s="421"/>
      <c r="BP12" s="421"/>
      <c r="BQ12" s="421"/>
    </row>
    <row r="13" spans="1:69" s="226" customFormat="1" ht="45.75" thickBot="1">
      <c r="A13" s="227"/>
      <c r="B13" s="227" t="s">
        <v>3120</v>
      </c>
      <c r="C13" s="227" t="s">
        <v>3119</v>
      </c>
      <c r="D13" s="227" t="s">
        <v>3118</v>
      </c>
      <c r="E13" s="227" t="s">
        <v>3117</v>
      </c>
      <c r="F13" s="227" t="s">
        <v>3116</v>
      </c>
      <c r="G13" s="227">
        <v>0</v>
      </c>
      <c r="H13" s="227" t="s">
        <v>3114</v>
      </c>
      <c r="I13" s="227" t="s">
        <v>3113</v>
      </c>
      <c r="J13" s="227" t="s">
        <v>3112</v>
      </c>
      <c r="K13" s="227" t="s">
        <v>3111</v>
      </c>
      <c r="L13" s="227" t="s">
        <v>3110</v>
      </c>
      <c r="M13" s="227" t="s">
        <v>3109</v>
      </c>
      <c r="N13" s="227" t="s">
        <v>3108</v>
      </c>
      <c r="O13" s="227" t="s">
        <v>3107</v>
      </c>
      <c r="P13" s="227" t="s">
        <v>3106</v>
      </c>
      <c r="Q13" s="227" t="s">
        <v>3105</v>
      </c>
      <c r="R13" s="227" t="s">
        <v>3104</v>
      </c>
      <c r="S13" s="227" t="s">
        <v>6</v>
      </c>
      <c r="T13" s="227" t="s">
        <v>3103</v>
      </c>
      <c r="U13" s="227" t="s">
        <v>3102</v>
      </c>
      <c r="V13" s="227" t="s">
        <v>3101</v>
      </c>
      <c r="W13" s="228" t="s">
        <v>3100</v>
      </c>
      <c r="X13" s="227" t="s">
        <v>3099</v>
      </c>
      <c r="Y13" s="227" t="s">
        <v>3098</v>
      </c>
      <c r="Z13" s="227" t="s">
        <v>3097</v>
      </c>
      <c r="AA13" s="227" t="s">
        <v>3096</v>
      </c>
      <c r="AB13" s="227" t="s">
        <v>3095</v>
      </c>
      <c r="AC13" s="227" t="s">
        <v>3094</v>
      </c>
      <c r="AD13" s="227" t="s">
        <v>3093</v>
      </c>
      <c r="AE13" s="227" t="s">
        <v>3092</v>
      </c>
      <c r="AF13" s="227" t="s">
        <v>3091</v>
      </c>
      <c r="AG13" s="227" t="s">
        <v>3090</v>
      </c>
      <c r="AH13" s="227" t="s">
        <v>3089</v>
      </c>
      <c r="AI13" s="227" t="s">
        <v>3088</v>
      </c>
      <c r="AJ13" s="227" t="s">
        <v>3087</v>
      </c>
      <c r="AK13" s="247" t="s">
        <v>3181</v>
      </c>
      <c r="AL13" s="248" t="s">
        <v>3182</v>
      </c>
      <c r="AM13" s="247" t="s">
        <v>3183</v>
      </c>
      <c r="AN13" s="247" t="s">
        <v>3184</v>
      </c>
      <c r="AO13" s="247" t="s">
        <v>3185</v>
      </c>
      <c r="AP13" s="247" t="s">
        <v>3186</v>
      </c>
      <c r="AQ13" s="247" t="s">
        <v>3187</v>
      </c>
      <c r="AR13" s="247" t="s">
        <v>3188</v>
      </c>
      <c r="AS13" s="424" t="s">
        <v>3189</v>
      </c>
      <c r="AT13" s="424" t="s">
        <v>3190</v>
      </c>
      <c r="AU13" s="424" t="s">
        <v>3191</v>
      </c>
      <c r="AV13" s="424" t="s">
        <v>3192</v>
      </c>
      <c r="AW13" s="424" t="s">
        <v>3197</v>
      </c>
      <c r="AX13" s="421"/>
      <c r="AY13" s="421"/>
      <c r="AZ13" s="421"/>
      <c r="BA13" s="421"/>
      <c r="BB13" s="421"/>
      <c r="BC13" s="421"/>
      <c r="BD13" s="421"/>
      <c r="BE13" s="421"/>
      <c r="BF13" s="421"/>
      <c r="BG13" s="421"/>
      <c r="BH13" s="421"/>
      <c r="BI13" s="421"/>
      <c r="BJ13" s="421"/>
      <c r="BK13" s="421"/>
      <c r="BL13" s="421"/>
      <c r="BM13" s="421"/>
      <c r="BN13" s="421"/>
      <c r="BO13" s="421"/>
      <c r="BP13" s="421"/>
      <c r="BQ13" s="421"/>
    </row>
    <row r="14" spans="1:69" s="200" customFormat="1">
      <c r="B14" s="221">
        <v>2180</v>
      </c>
      <c r="C14" s="225">
        <v>283934</v>
      </c>
      <c r="D14" s="221" t="s">
        <v>97</v>
      </c>
      <c r="E14" s="220" t="s">
        <v>3440</v>
      </c>
      <c r="F14" s="221">
        <v>1</v>
      </c>
      <c r="G14" s="220"/>
      <c r="H14" s="220"/>
      <c r="I14" s="220"/>
      <c r="J14" s="220">
        <v>0</v>
      </c>
      <c r="K14" s="220" t="s">
        <v>3222</v>
      </c>
      <c r="L14" s="220"/>
      <c r="M14" s="220"/>
      <c r="N14" s="224">
        <v>44733</v>
      </c>
      <c r="O14" s="224">
        <v>44733</v>
      </c>
      <c r="P14" s="220" t="s">
        <v>3434</v>
      </c>
      <c r="Q14" s="221">
        <v>300</v>
      </c>
      <c r="R14" s="221">
        <v>14110</v>
      </c>
      <c r="S14" s="222">
        <v>1386.44</v>
      </c>
      <c r="T14" s="221">
        <v>14116</v>
      </c>
      <c r="U14" s="222">
        <v>0</v>
      </c>
      <c r="V14" s="222">
        <f t="shared" ref="V14:V77" si="0">S14-U14</f>
        <v>1386.44</v>
      </c>
      <c r="W14" s="223">
        <v>0</v>
      </c>
      <c r="X14" s="221">
        <v>70260</v>
      </c>
      <c r="Y14" s="222">
        <v>0</v>
      </c>
      <c r="Z14" s="220" t="s">
        <v>97</v>
      </c>
      <c r="AA14" s="220"/>
      <c r="AB14" s="220" t="s">
        <v>3439</v>
      </c>
      <c r="AC14" s="220"/>
      <c r="AD14" s="220" t="s">
        <v>1152</v>
      </c>
      <c r="AE14" s="220" t="s">
        <v>1153</v>
      </c>
      <c r="AF14" s="221" t="s">
        <v>1154</v>
      </c>
      <c r="AG14" s="220"/>
      <c r="AH14" s="221" t="s">
        <v>1155</v>
      </c>
      <c r="AI14" s="220">
        <v>0</v>
      </c>
      <c r="AJ14" s="220">
        <v>0</v>
      </c>
      <c r="AL14" s="200" t="s">
        <v>28</v>
      </c>
      <c r="AM14" s="200">
        <f t="shared" ref="AM14:AM77" si="1">MONTH($N14)</f>
        <v>6</v>
      </c>
      <c r="AN14" s="200">
        <f t="shared" ref="AN14:AN77" si="2">YEAR($N14)</f>
        <v>2022</v>
      </c>
      <c r="AO14" s="200">
        <f t="shared" ref="AO14:AO77" si="3">$AN14+($Q14/100)</f>
        <v>2025</v>
      </c>
      <c r="AP14" s="258">
        <f t="shared" ref="AP14:AP77" si="4">$AO14+($AM14/12)</f>
        <v>2025.5</v>
      </c>
      <c r="AQ14" s="188">
        <f t="shared" ref="AQ14:AQ77" si="5">IFERROR($S14/($Q14/100)/12,0)</f>
        <v>38.512222222222228</v>
      </c>
      <c r="AR14" s="188">
        <f t="shared" ref="AR14:AR77" si="6">$AQ14*12</f>
        <v>462.14666666666676</v>
      </c>
      <c r="AS14" s="13">
        <f t="shared" ref="AS14:AS77" si="7">IF($AP14&lt;=$AK$8,0,IF($AO14&gt;$AK$7,$AR14,($AQ14*$AM14)))</f>
        <v>462.14666666666676</v>
      </c>
      <c r="AT14" s="13">
        <f t="shared" ref="AT14" si="8">IF($AS14=0,$S14,IF($AK$6-AN14&lt;1,0,(($AK$6-$AN14)*AR14)))</f>
        <v>0</v>
      </c>
      <c r="AU14" s="13">
        <f t="shared" ref="AU14:AU77" si="9">IF($AT14=0,$AS14,($AT14+$AS14))</f>
        <v>462.14666666666676</v>
      </c>
      <c r="AV14" s="13">
        <f t="shared" ref="AV14:AV77" si="10">$S14-$AU14</f>
        <v>924.29333333333329</v>
      </c>
      <c r="AW14" s="9" t="s">
        <v>3193</v>
      </c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</row>
    <row r="15" spans="1:69" s="200" customFormat="1">
      <c r="B15" s="221">
        <v>2180</v>
      </c>
      <c r="C15" s="225">
        <v>283933</v>
      </c>
      <c r="D15" s="221" t="s">
        <v>97</v>
      </c>
      <c r="E15" s="220" t="s">
        <v>3438</v>
      </c>
      <c r="F15" s="221">
        <v>1</v>
      </c>
      <c r="G15" s="220"/>
      <c r="H15" s="220"/>
      <c r="I15" s="220"/>
      <c r="J15" s="220">
        <v>0</v>
      </c>
      <c r="K15" s="220" t="s">
        <v>3437</v>
      </c>
      <c r="L15" s="220"/>
      <c r="M15" s="220"/>
      <c r="N15" s="224">
        <v>44733</v>
      </c>
      <c r="O15" s="224">
        <v>44733</v>
      </c>
      <c r="P15" s="220" t="s">
        <v>3434</v>
      </c>
      <c r="Q15" s="221">
        <v>300</v>
      </c>
      <c r="R15" s="221">
        <v>14110</v>
      </c>
      <c r="S15" s="222">
        <v>306.3</v>
      </c>
      <c r="T15" s="221">
        <v>14116</v>
      </c>
      <c r="U15" s="222">
        <v>0</v>
      </c>
      <c r="V15" s="222">
        <f t="shared" si="0"/>
        <v>306.3</v>
      </c>
      <c r="W15" s="223">
        <v>0</v>
      </c>
      <c r="X15" s="221">
        <v>70260</v>
      </c>
      <c r="Y15" s="222">
        <v>0</v>
      </c>
      <c r="Z15" s="220" t="s">
        <v>97</v>
      </c>
      <c r="AA15" s="220"/>
      <c r="AB15" s="220">
        <v>5673023</v>
      </c>
      <c r="AC15" s="220"/>
      <c r="AD15" s="220" t="s">
        <v>1152</v>
      </c>
      <c r="AE15" s="220" t="s">
        <v>1153</v>
      </c>
      <c r="AF15" s="221" t="s">
        <v>1154</v>
      </c>
      <c r="AG15" s="220"/>
      <c r="AH15" s="221" t="s">
        <v>1155</v>
      </c>
      <c r="AI15" s="220">
        <v>0</v>
      </c>
      <c r="AJ15" s="220">
        <v>0</v>
      </c>
      <c r="AL15" s="200" t="s">
        <v>28</v>
      </c>
      <c r="AM15" s="200">
        <f t="shared" si="1"/>
        <v>6</v>
      </c>
      <c r="AN15" s="200">
        <f t="shared" si="2"/>
        <v>2022</v>
      </c>
      <c r="AO15" s="200">
        <f t="shared" si="3"/>
        <v>2025</v>
      </c>
      <c r="AP15" s="258">
        <f t="shared" si="4"/>
        <v>2025.5</v>
      </c>
      <c r="AQ15" s="188">
        <f t="shared" si="5"/>
        <v>8.5083333333333346</v>
      </c>
      <c r="AR15" s="188">
        <f t="shared" si="6"/>
        <v>102.10000000000002</v>
      </c>
      <c r="AS15" s="13">
        <f t="shared" si="7"/>
        <v>102.10000000000002</v>
      </c>
      <c r="AT15" s="13">
        <f t="shared" ref="AT15:AT56" si="11">IF($AS15=0,$S15,IF($AK$6-AN15&lt;1,0,(($AK$6-$AN15)*AR15)))</f>
        <v>0</v>
      </c>
      <c r="AU15" s="13">
        <f t="shared" si="9"/>
        <v>102.10000000000002</v>
      </c>
      <c r="AV15" s="13">
        <f t="shared" si="10"/>
        <v>204.2</v>
      </c>
      <c r="AW15" s="9" t="s">
        <v>3193</v>
      </c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</row>
    <row r="16" spans="1:69" s="200" customFormat="1">
      <c r="B16" s="221">
        <v>2180</v>
      </c>
      <c r="C16" s="225">
        <v>283932</v>
      </c>
      <c r="D16" s="221" t="s">
        <v>97</v>
      </c>
      <c r="E16" s="220" t="s">
        <v>3436</v>
      </c>
      <c r="F16" s="221">
        <v>1</v>
      </c>
      <c r="G16" s="220"/>
      <c r="H16" s="220"/>
      <c r="I16" s="220"/>
      <c r="J16" s="220">
        <v>0</v>
      </c>
      <c r="K16" s="220" t="s">
        <v>3435</v>
      </c>
      <c r="L16" s="220"/>
      <c r="M16" s="220"/>
      <c r="N16" s="224">
        <v>44733</v>
      </c>
      <c r="O16" s="224">
        <v>44733</v>
      </c>
      <c r="P16" s="220" t="s">
        <v>3434</v>
      </c>
      <c r="Q16" s="221">
        <v>300</v>
      </c>
      <c r="R16" s="221">
        <v>14110</v>
      </c>
      <c r="S16" s="222">
        <v>306.3</v>
      </c>
      <c r="T16" s="221">
        <v>14116</v>
      </c>
      <c r="U16" s="222">
        <v>0</v>
      </c>
      <c r="V16" s="222">
        <f t="shared" si="0"/>
        <v>306.3</v>
      </c>
      <c r="W16" s="223">
        <v>0</v>
      </c>
      <c r="X16" s="221">
        <v>70260</v>
      </c>
      <c r="Y16" s="222">
        <v>0</v>
      </c>
      <c r="Z16" s="220" t="s">
        <v>97</v>
      </c>
      <c r="AA16" s="220"/>
      <c r="AB16" s="220">
        <v>1676239</v>
      </c>
      <c r="AC16" s="220"/>
      <c r="AD16" s="220" t="s">
        <v>1152</v>
      </c>
      <c r="AE16" s="220" t="s">
        <v>1153</v>
      </c>
      <c r="AF16" s="221" t="s">
        <v>1154</v>
      </c>
      <c r="AG16" s="220"/>
      <c r="AH16" s="221" t="s">
        <v>1155</v>
      </c>
      <c r="AI16" s="220">
        <v>0</v>
      </c>
      <c r="AJ16" s="220">
        <v>0</v>
      </c>
      <c r="AL16" s="200" t="s">
        <v>28</v>
      </c>
      <c r="AM16" s="200">
        <f t="shared" si="1"/>
        <v>6</v>
      </c>
      <c r="AN16" s="200">
        <f t="shared" si="2"/>
        <v>2022</v>
      </c>
      <c r="AO16" s="200">
        <f t="shared" si="3"/>
        <v>2025</v>
      </c>
      <c r="AP16" s="258">
        <f t="shared" si="4"/>
        <v>2025.5</v>
      </c>
      <c r="AQ16" s="188">
        <f t="shared" si="5"/>
        <v>8.5083333333333346</v>
      </c>
      <c r="AR16" s="188">
        <f t="shared" si="6"/>
        <v>102.10000000000002</v>
      </c>
      <c r="AS16" s="13">
        <f t="shared" si="7"/>
        <v>102.10000000000002</v>
      </c>
      <c r="AT16" s="13">
        <f t="shared" si="11"/>
        <v>0</v>
      </c>
      <c r="AU16" s="13">
        <f t="shared" si="9"/>
        <v>102.10000000000002</v>
      </c>
      <c r="AV16" s="13">
        <f t="shared" si="10"/>
        <v>204.2</v>
      </c>
      <c r="AW16" s="9" t="s">
        <v>3193</v>
      </c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2:69" s="200" customFormat="1">
      <c r="B17" s="221">
        <v>2180</v>
      </c>
      <c r="C17" s="225">
        <v>282815</v>
      </c>
      <c r="D17" s="221"/>
      <c r="E17" s="220" t="s">
        <v>3433</v>
      </c>
      <c r="F17" s="221"/>
      <c r="G17" s="220"/>
      <c r="H17" s="220"/>
      <c r="I17" s="220"/>
      <c r="J17" s="220">
        <v>0</v>
      </c>
      <c r="K17" s="220"/>
      <c r="L17" s="220"/>
      <c r="M17" s="220"/>
      <c r="N17" s="224">
        <v>44713</v>
      </c>
      <c r="O17" s="224">
        <v>44713</v>
      </c>
      <c r="P17" s="220" t="s">
        <v>3421</v>
      </c>
      <c r="Q17" s="221">
        <v>300</v>
      </c>
      <c r="R17" s="221">
        <v>14030</v>
      </c>
      <c r="S17" s="222">
        <v>2848.25</v>
      </c>
      <c r="T17" s="221">
        <v>14036</v>
      </c>
      <c r="U17" s="222">
        <v>0</v>
      </c>
      <c r="V17" s="222">
        <f t="shared" si="0"/>
        <v>2848.25</v>
      </c>
      <c r="W17" s="223">
        <v>0</v>
      </c>
      <c r="X17" s="221">
        <v>51260</v>
      </c>
      <c r="Y17" s="222">
        <v>0</v>
      </c>
      <c r="Z17" s="220" t="s">
        <v>97</v>
      </c>
      <c r="AA17" s="220"/>
      <c r="AB17" s="220"/>
      <c r="AC17" s="220"/>
      <c r="AD17" s="220" t="s">
        <v>1152</v>
      </c>
      <c r="AE17" s="220" t="s">
        <v>1153</v>
      </c>
      <c r="AF17" s="221" t="s">
        <v>1154</v>
      </c>
      <c r="AG17" s="220"/>
      <c r="AH17" s="221" t="s">
        <v>1155</v>
      </c>
      <c r="AI17" s="220">
        <v>0</v>
      </c>
      <c r="AJ17" s="220">
        <v>0</v>
      </c>
      <c r="AL17" s="200" t="s">
        <v>33</v>
      </c>
      <c r="AM17" s="200">
        <f t="shared" si="1"/>
        <v>6</v>
      </c>
      <c r="AN17" s="200">
        <f t="shared" si="2"/>
        <v>2022</v>
      </c>
      <c r="AO17" s="200">
        <f t="shared" si="3"/>
        <v>2025</v>
      </c>
      <c r="AP17" s="258">
        <f t="shared" si="4"/>
        <v>2025.5</v>
      </c>
      <c r="AQ17" s="188">
        <f t="shared" si="5"/>
        <v>79.118055555555557</v>
      </c>
      <c r="AR17" s="188">
        <f t="shared" si="6"/>
        <v>949.41666666666674</v>
      </c>
      <c r="AS17" s="13">
        <f t="shared" si="7"/>
        <v>949.41666666666674</v>
      </c>
      <c r="AT17" s="13">
        <f t="shared" si="11"/>
        <v>0</v>
      </c>
      <c r="AU17" s="13">
        <f t="shared" si="9"/>
        <v>949.41666666666674</v>
      </c>
      <c r="AV17" s="13">
        <f t="shared" si="10"/>
        <v>1898.8333333333333</v>
      </c>
      <c r="AW17" s="9" t="s">
        <v>3193</v>
      </c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2:69" s="200" customFormat="1">
      <c r="B18" s="221">
        <v>2180</v>
      </c>
      <c r="C18" s="225">
        <v>282579</v>
      </c>
      <c r="D18" s="221"/>
      <c r="E18" s="220" t="s">
        <v>3432</v>
      </c>
      <c r="F18" s="221"/>
      <c r="G18" s="220"/>
      <c r="H18" s="220" t="s">
        <v>3424</v>
      </c>
      <c r="I18" s="220"/>
      <c r="J18" s="220">
        <v>2021</v>
      </c>
      <c r="K18" s="220" t="s">
        <v>3423</v>
      </c>
      <c r="L18" s="220" t="s">
        <v>3422</v>
      </c>
      <c r="M18" s="220" t="s">
        <v>1447</v>
      </c>
      <c r="N18" s="224">
        <v>44713</v>
      </c>
      <c r="O18" s="224">
        <v>44713</v>
      </c>
      <c r="P18" s="220" t="s">
        <v>3421</v>
      </c>
      <c r="Q18" s="221">
        <v>300</v>
      </c>
      <c r="R18" s="221">
        <v>14030</v>
      </c>
      <c r="S18" s="222">
        <v>2136.19</v>
      </c>
      <c r="T18" s="221">
        <v>14036</v>
      </c>
      <c r="U18" s="222">
        <v>0</v>
      </c>
      <c r="V18" s="222">
        <f t="shared" si="0"/>
        <v>2136.19</v>
      </c>
      <c r="W18" s="223">
        <v>0</v>
      </c>
      <c r="X18" s="221">
        <v>51260</v>
      </c>
      <c r="Y18" s="222">
        <v>0</v>
      </c>
      <c r="Z18" s="220" t="s">
        <v>97</v>
      </c>
      <c r="AA18" s="220"/>
      <c r="AB18" s="220" t="s">
        <v>3420</v>
      </c>
      <c r="AC18" s="220"/>
      <c r="AD18" s="220" t="s">
        <v>1152</v>
      </c>
      <c r="AE18" s="220" t="s">
        <v>1153</v>
      </c>
      <c r="AF18" s="221" t="s">
        <v>1154</v>
      </c>
      <c r="AG18" s="220"/>
      <c r="AH18" s="221" t="s">
        <v>1155</v>
      </c>
      <c r="AI18" s="220">
        <v>0</v>
      </c>
      <c r="AJ18" s="220">
        <v>0</v>
      </c>
      <c r="AL18" s="200" t="s">
        <v>33</v>
      </c>
      <c r="AM18" s="200">
        <f t="shared" si="1"/>
        <v>6</v>
      </c>
      <c r="AN18" s="200">
        <f t="shared" si="2"/>
        <v>2022</v>
      </c>
      <c r="AO18" s="200">
        <f t="shared" si="3"/>
        <v>2025</v>
      </c>
      <c r="AP18" s="258">
        <f t="shared" si="4"/>
        <v>2025.5</v>
      </c>
      <c r="AQ18" s="188">
        <f t="shared" si="5"/>
        <v>59.338611111111113</v>
      </c>
      <c r="AR18" s="188">
        <f t="shared" si="6"/>
        <v>712.06333333333339</v>
      </c>
      <c r="AS18" s="13">
        <f t="shared" si="7"/>
        <v>712.06333333333339</v>
      </c>
      <c r="AT18" s="13">
        <f t="shared" si="11"/>
        <v>0</v>
      </c>
      <c r="AU18" s="13">
        <f t="shared" si="9"/>
        <v>712.06333333333339</v>
      </c>
      <c r="AV18" s="13">
        <f t="shared" si="10"/>
        <v>1424.1266666666666</v>
      </c>
      <c r="AW18" s="9" t="s">
        <v>3193</v>
      </c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</row>
    <row r="19" spans="2:69" s="200" customFormat="1">
      <c r="B19" s="221">
        <v>2180</v>
      </c>
      <c r="C19" s="225">
        <v>282578</v>
      </c>
      <c r="D19" s="221"/>
      <c r="E19" s="220" t="s">
        <v>3431</v>
      </c>
      <c r="F19" s="221"/>
      <c r="G19" s="220"/>
      <c r="H19" s="220" t="s">
        <v>3424</v>
      </c>
      <c r="I19" s="220"/>
      <c r="J19" s="220">
        <v>2021</v>
      </c>
      <c r="K19" s="220" t="s">
        <v>3423</v>
      </c>
      <c r="L19" s="220" t="s">
        <v>3422</v>
      </c>
      <c r="M19" s="220" t="s">
        <v>1447</v>
      </c>
      <c r="N19" s="224">
        <v>44713</v>
      </c>
      <c r="O19" s="224">
        <v>44713</v>
      </c>
      <c r="P19" s="220" t="s">
        <v>3421</v>
      </c>
      <c r="Q19" s="221">
        <v>300</v>
      </c>
      <c r="R19" s="221">
        <v>14030</v>
      </c>
      <c r="S19" s="222">
        <v>2136.19</v>
      </c>
      <c r="T19" s="221">
        <v>14036</v>
      </c>
      <c r="U19" s="222">
        <v>0</v>
      </c>
      <c r="V19" s="222">
        <f t="shared" si="0"/>
        <v>2136.19</v>
      </c>
      <c r="W19" s="223">
        <v>0</v>
      </c>
      <c r="X19" s="221">
        <v>51260</v>
      </c>
      <c r="Y19" s="222">
        <v>0</v>
      </c>
      <c r="Z19" s="220" t="s">
        <v>97</v>
      </c>
      <c r="AA19" s="220"/>
      <c r="AB19" s="220" t="s">
        <v>3420</v>
      </c>
      <c r="AC19" s="220"/>
      <c r="AD19" s="220" t="s">
        <v>1152</v>
      </c>
      <c r="AE19" s="220" t="s">
        <v>1153</v>
      </c>
      <c r="AF19" s="221" t="s">
        <v>1154</v>
      </c>
      <c r="AG19" s="220"/>
      <c r="AH19" s="221" t="s">
        <v>1155</v>
      </c>
      <c r="AI19" s="220">
        <v>0</v>
      </c>
      <c r="AJ19" s="220">
        <v>0</v>
      </c>
      <c r="AL19" s="200" t="s">
        <v>33</v>
      </c>
      <c r="AM19" s="200">
        <f t="shared" si="1"/>
        <v>6</v>
      </c>
      <c r="AN19" s="200">
        <f t="shared" si="2"/>
        <v>2022</v>
      </c>
      <c r="AO19" s="200">
        <f t="shared" si="3"/>
        <v>2025</v>
      </c>
      <c r="AP19" s="258">
        <f t="shared" si="4"/>
        <v>2025.5</v>
      </c>
      <c r="AQ19" s="188">
        <f t="shared" si="5"/>
        <v>59.338611111111113</v>
      </c>
      <c r="AR19" s="188">
        <f t="shared" si="6"/>
        <v>712.06333333333339</v>
      </c>
      <c r="AS19" s="13">
        <f t="shared" si="7"/>
        <v>712.06333333333339</v>
      </c>
      <c r="AT19" s="13">
        <f t="shared" si="11"/>
        <v>0</v>
      </c>
      <c r="AU19" s="13">
        <f t="shared" si="9"/>
        <v>712.06333333333339</v>
      </c>
      <c r="AV19" s="13">
        <f t="shared" si="10"/>
        <v>1424.1266666666666</v>
      </c>
      <c r="AW19" s="9" t="s">
        <v>3193</v>
      </c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</row>
    <row r="20" spans="2:69" s="200" customFormat="1">
      <c r="B20" s="221">
        <v>2180</v>
      </c>
      <c r="C20" s="225">
        <v>282577</v>
      </c>
      <c r="D20" s="221"/>
      <c r="E20" s="220" t="s">
        <v>3430</v>
      </c>
      <c r="F20" s="221"/>
      <c r="G20" s="220"/>
      <c r="H20" s="220" t="s">
        <v>3424</v>
      </c>
      <c r="I20" s="220"/>
      <c r="J20" s="220">
        <v>2021</v>
      </c>
      <c r="K20" s="220" t="s">
        <v>3423</v>
      </c>
      <c r="L20" s="220" t="s">
        <v>3422</v>
      </c>
      <c r="M20" s="220" t="s">
        <v>1447</v>
      </c>
      <c r="N20" s="224">
        <v>44713</v>
      </c>
      <c r="O20" s="224">
        <v>44713</v>
      </c>
      <c r="P20" s="220" t="s">
        <v>3421</v>
      </c>
      <c r="Q20" s="221">
        <v>300</v>
      </c>
      <c r="R20" s="221">
        <v>14030</v>
      </c>
      <c r="S20" s="222">
        <v>2136.19</v>
      </c>
      <c r="T20" s="221">
        <v>14036</v>
      </c>
      <c r="U20" s="222">
        <v>0</v>
      </c>
      <c r="V20" s="222">
        <f t="shared" si="0"/>
        <v>2136.19</v>
      </c>
      <c r="W20" s="223">
        <v>0</v>
      </c>
      <c r="X20" s="221">
        <v>51260</v>
      </c>
      <c r="Y20" s="222">
        <v>0</v>
      </c>
      <c r="Z20" s="220" t="s">
        <v>97</v>
      </c>
      <c r="AA20" s="220"/>
      <c r="AB20" s="220" t="s">
        <v>3420</v>
      </c>
      <c r="AC20" s="220"/>
      <c r="AD20" s="220" t="s">
        <v>1152</v>
      </c>
      <c r="AE20" s="220" t="s">
        <v>1153</v>
      </c>
      <c r="AF20" s="221" t="s">
        <v>1154</v>
      </c>
      <c r="AG20" s="220"/>
      <c r="AH20" s="221" t="s">
        <v>1155</v>
      </c>
      <c r="AI20" s="220">
        <v>0</v>
      </c>
      <c r="AJ20" s="220">
        <v>0</v>
      </c>
      <c r="AL20" s="200" t="s">
        <v>33</v>
      </c>
      <c r="AM20" s="200">
        <f t="shared" si="1"/>
        <v>6</v>
      </c>
      <c r="AN20" s="200">
        <f t="shared" si="2"/>
        <v>2022</v>
      </c>
      <c r="AO20" s="200">
        <f t="shared" si="3"/>
        <v>2025</v>
      </c>
      <c r="AP20" s="258">
        <f t="shared" si="4"/>
        <v>2025.5</v>
      </c>
      <c r="AQ20" s="188">
        <f t="shared" si="5"/>
        <v>59.338611111111113</v>
      </c>
      <c r="AR20" s="188">
        <f t="shared" si="6"/>
        <v>712.06333333333339</v>
      </c>
      <c r="AS20" s="13">
        <f t="shared" si="7"/>
        <v>712.06333333333339</v>
      </c>
      <c r="AT20" s="13">
        <f t="shared" si="11"/>
        <v>0</v>
      </c>
      <c r="AU20" s="13">
        <f t="shared" si="9"/>
        <v>712.06333333333339</v>
      </c>
      <c r="AV20" s="13">
        <f t="shared" si="10"/>
        <v>1424.1266666666666</v>
      </c>
      <c r="AW20" s="9" t="s">
        <v>3193</v>
      </c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</row>
    <row r="21" spans="2:69" s="200" customFormat="1">
      <c r="B21" s="221">
        <v>2180</v>
      </c>
      <c r="C21" s="225">
        <v>282576</v>
      </c>
      <c r="D21" s="221"/>
      <c r="E21" s="220" t="s">
        <v>3429</v>
      </c>
      <c r="F21" s="221"/>
      <c r="G21" s="220"/>
      <c r="H21" s="220" t="s">
        <v>3424</v>
      </c>
      <c r="I21" s="220"/>
      <c r="J21" s="220">
        <v>2021</v>
      </c>
      <c r="K21" s="220" t="s">
        <v>3423</v>
      </c>
      <c r="L21" s="220" t="s">
        <v>3422</v>
      </c>
      <c r="M21" s="220" t="s">
        <v>1447</v>
      </c>
      <c r="N21" s="224">
        <v>44713</v>
      </c>
      <c r="O21" s="224">
        <v>44713</v>
      </c>
      <c r="P21" s="220" t="s">
        <v>3421</v>
      </c>
      <c r="Q21" s="221">
        <v>300</v>
      </c>
      <c r="R21" s="221">
        <v>14030</v>
      </c>
      <c r="S21" s="222">
        <v>2136.19</v>
      </c>
      <c r="T21" s="221">
        <v>14036</v>
      </c>
      <c r="U21" s="222">
        <v>0</v>
      </c>
      <c r="V21" s="222">
        <f t="shared" si="0"/>
        <v>2136.19</v>
      </c>
      <c r="W21" s="223">
        <v>0</v>
      </c>
      <c r="X21" s="221">
        <v>51260</v>
      </c>
      <c r="Y21" s="222">
        <v>0</v>
      </c>
      <c r="Z21" s="220" t="s">
        <v>97</v>
      </c>
      <c r="AA21" s="220"/>
      <c r="AB21" s="220" t="s">
        <v>3420</v>
      </c>
      <c r="AC21" s="220"/>
      <c r="AD21" s="220" t="s">
        <v>1152</v>
      </c>
      <c r="AE21" s="220" t="s">
        <v>1153</v>
      </c>
      <c r="AF21" s="221" t="s">
        <v>1154</v>
      </c>
      <c r="AG21" s="220"/>
      <c r="AH21" s="221" t="s">
        <v>1155</v>
      </c>
      <c r="AI21" s="220">
        <v>0</v>
      </c>
      <c r="AJ21" s="220">
        <v>0</v>
      </c>
      <c r="AL21" s="200" t="s">
        <v>33</v>
      </c>
      <c r="AM21" s="200">
        <f t="shared" si="1"/>
        <v>6</v>
      </c>
      <c r="AN21" s="200">
        <f t="shared" si="2"/>
        <v>2022</v>
      </c>
      <c r="AO21" s="200">
        <f t="shared" si="3"/>
        <v>2025</v>
      </c>
      <c r="AP21" s="258">
        <f t="shared" si="4"/>
        <v>2025.5</v>
      </c>
      <c r="AQ21" s="188">
        <f t="shared" si="5"/>
        <v>59.338611111111113</v>
      </c>
      <c r="AR21" s="188">
        <f t="shared" si="6"/>
        <v>712.06333333333339</v>
      </c>
      <c r="AS21" s="13">
        <f t="shared" si="7"/>
        <v>712.06333333333339</v>
      </c>
      <c r="AT21" s="13">
        <f t="shared" si="11"/>
        <v>0</v>
      </c>
      <c r="AU21" s="13">
        <f t="shared" si="9"/>
        <v>712.06333333333339</v>
      </c>
      <c r="AV21" s="13">
        <f t="shared" si="10"/>
        <v>1424.1266666666666</v>
      </c>
      <c r="AW21" s="9" t="s">
        <v>3193</v>
      </c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</row>
    <row r="22" spans="2:69" s="200" customFormat="1">
      <c r="B22" s="221">
        <v>2180</v>
      </c>
      <c r="C22" s="225">
        <v>282575</v>
      </c>
      <c r="D22" s="221"/>
      <c r="E22" s="220" t="s">
        <v>3428</v>
      </c>
      <c r="F22" s="221"/>
      <c r="G22" s="220"/>
      <c r="H22" s="220" t="s">
        <v>3424</v>
      </c>
      <c r="I22" s="220"/>
      <c r="J22" s="220">
        <v>2021</v>
      </c>
      <c r="K22" s="220" t="s">
        <v>3423</v>
      </c>
      <c r="L22" s="220" t="s">
        <v>3422</v>
      </c>
      <c r="M22" s="220" t="s">
        <v>1447</v>
      </c>
      <c r="N22" s="224">
        <v>44713</v>
      </c>
      <c r="O22" s="224">
        <v>44713</v>
      </c>
      <c r="P22" s="220" t="s">
        <v>3421</v>
      </c>
      <c r="Q22" s="221">
        <v>300</v>
      </c>
      <c r="R22" s="221">
        <v>14030</v>
      </c>
      <c r="S22" s="222">
        <v>3560.31</v>
      </c>
      <c r="T22" s="221">
        <v>14036</v>
      </c>
      <c r="U22" s="222">
        <v>0</v>
      </c>
      <c r="V22" s="222">
        <f t="shared" si="0"/>
        <v>3560.31</v>
      </c>
      <c r="W22" s="223">
        <v>0</v>
      </c>
      <c r="X22" s="221">
        <v>51260</v>
      </c>
      <c r="Y22" s="222">
        <v>0</v>
      </c>
      <c r="Z22" s="220" t="s">
        <v>97</v>
      </c>
      <c r="AA22" s="220"/>
      <c r="AB22" s="220" t="s">
        <v>3420</v>
      </c>
      <c r="AC22" s="220"/>
      <c r="AD22" s="220" t="s">
        <v>1152</v>
      </c>
      <c r="AE22" s="220" t="s">
        <v>1153</v>
      </c>
      <c r="AF22" s="221" t="s">
        <v>1154</v>
      </c>
      <c r="AG22" s="220"/>
      <c r="AH22" s="221" t="s">
        <v>1155</v>
      </c>
      <c r="AI22" s="220">
        <v>0</v>
      </c>
      <c r="AJ22" s="220">
        <v>0</v>
      </c>
      <c r="AL22" s="200" t="s">
        <v>33</v>
      </c>
      <c r="AM22" s="200">
        <f t="shared" si="1"/>
        <v>6</v>
      </c>
      <c r="AN22" s="200">
        <f t="shared" si="2"/>
        <v>2022</v>
      </c>
      <c r="AO22" s="200">
        <f t="shared" si="3"/>
        <v>2025</v>
      </c>
      <c r="AP22" s="258">
        <f t="shared" si="4"/>
        <v>2025.5</v>
      </c>
      <c r="AQ22" s="188">
        <f t="shared" si="5"/>
        <v>98.897499999999994</v>
      </c>
      <c r="AR22" s="188">
        <f t="shared" si="6"/>
        <v>1186.77</v>
      </c>
      <c r="AS22" s="13">
        <f t="shared" si="7"/>
        <v>1186.77</v>
      </c>
      <c r="AT22" s="13">
        <f t="shared" si="11"/>
        <v>0</v>
      </c>
      <c r="AU22" s="13">
        <f t="shared" si="9"/>
        <v>1186.77</v>
      </c>
      <c r="AV22" s="13">
        <f t="shared" si="10"/>
        <v>2373.54</v>
      </c>
      <c r="AW22" s="9" t="s">
        <v>3193</v>
      </c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</row>
    <row r="23" spans="2:69" s="200" customFormat="1">
      <c r="B23" s="221">
        <v>2180</v>
      </c>
      <c r="C23" s="225">
        <v>282574</v>
      </c>
      <c r="D23" s="221"/>
      <c r="E23" s="220" t="s">
        <v>3428</v>
      </c>
      <c r="F23" s="221"/>
      <c r="G23" s="220"/>
      <c r="H23" s="220" t="s">
        <v>3424</v>
      </c>
      <c r="I23" s="220"/>
      <c r="J23" s="220">
        <v>2021</v>
      </c>
      <c r="K23" s="220" t="s">
        <v>3423</v>
      </c>
      <c r="L23" s="220" t="s">
        <v>3422</v>
      </c>
      <c r="M23" s="220" t="s">
        <v>1447</v>
      </c>
      <c r="N23" s="224">
        <v>44713</v>
      </c>
      <c r="O23" s="224">
        <v>44713</v>
      </c>
      <c r="P23" s="220" t="s">
        <v>3421</v>
      </c>
      <c r="Q23" s="221">
        <v>300</v>
      </c>
      <c r="R23" s="221">
        <v>14030</v>
      </c>
      <c r="S23" s="222">
        <v>3560.31</v>
      </c>
      <c r="T23" s="221">
        <v>14036</v>
      </c>
      <c r="U23" s="222">
        <v>0</v>
      </c>
      <c r="V23" s="222">
        <f t="shared" si="0"/>
        <v>3560.31</v>
      </c>
      <c r="W23" s="223">
        <v>0</v>
      </c>
      <c r="X23" s="221">
        <v>51260</v>
      </c>
      <c r="Y23" s="222">
        <v>0</v>
      </c>
      <c r="Z23" s="220" t="s">
        <v>97</v>
      </c>
      <c r="AA23" s="220"/>
      <c r="AB23" s="220" t="s">
        <v>3420</v>
      </c>
      <c r="AC23" s="220"/>
      <c r="AD23" s="220" t="s">
        <v>1152</v>
      </c>
      <c r="AE23" s="220" t="s">
        <v>1153</v>
      </c>
      <c r="AF23" s="221" t="s">
        <v>1154</v>
      </c>
      <c r="AG23" s="220"/>
      <c r="AH23" s="221" t="s">
        <v>1155</v>
      </c>
      <c r="AI23" s="220">
        <v>0</v>
      </c>
      <c r="AJ23" s="220">
        <v>0</v>
      </c>
      <c r="AL23" s="200" t="s">
        <v>33</v>
      </c>
      <c r="AM23" s="200">
        <f t="shared" si="1"/>
        <v>6</v>
      </c>
      <c r="AN23" s="200">
        <f t="shared" si="2"/>
        <v>2022</v>
      </c>
      <c r="AO23" s="200">
        <f t="shared" si="3"/>
        <v>2025</v>
      </c>
      <c r="AP23" s="258">
        <f t="shared" si="4"/>
        <v>2025.5</v>
      </c>
      <c r="AQ23" s="188">
        <f t="shared" si="5"/>
        <v>98.897499999999994</v>
      </c>
      <c r="AR23" s="188">
        <f t="shared" si="6"/>
        <v>1186.77</v>
      </c>
      <c r="AS23" s="13">
        <f t="shared" si="7"/>
        <v>1186.77</v>
      </c>
      <c r="AT23" s="13">
        <f t="shared" si="11"/>
        <v>0</v>
      </c>
      <c r="AU23" s="13">
        <f t="shared" si="9"/>
        <v>1186.77</v>
      </c>
      <c r="AV23" s="13">
        <f t="shared" si="10"/>
        <v>2373.54</v>
      </c>
      <c r="AW23" s="9" t="s">
        <v>3193</v>
      </c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</row>
    <row r="24" spans="2:69" s="200" customFormat="1">
      <c r="B24" s="221">
        <v>2180</v>
      </c>
      <c r="C24" s="225">
        <v>282573</v>
      </c>
      <c r="D24" s="221"/>
      <c r="E24" s="220" t="s">
        <v>3427</v>
      </c>
      <c r="F24" s="221"/>
      <c r="G24" s="220"/>
      <c r="H24" s="220" t="s">
        <v>3424</v>
      </c>
      <c r="I24" s="220"/>
      <c r="J24" s="220">
        <v>2021</v>
      </c>
      <c r="K24" s="220" t="s">
        <v>3423</v>
      </c>
      <c r="L24" s="220" t="s">
        <v>3422</v>
      </c>
      <c r="M24" s="220" t="s">
        <v>1447</v>
      </c>
      <c r="N24" s="224">
        <v>44713</v>
      </c>
      <c r="O24" s="224">
        <v>44713</v>
      </c>
      <c r="P24" s="220" t="s">
        <v>3421</v>
      </c>
      <c r="Q24" s="221">
        <v>300</v>
      </c>
      <c r="R24" s="221">
        <v>14030</v>
      </c>
      <c r="S24" s="222">
        <v>5696.49</v>
      </c>
      <c r="T24" s="221">
        <v>14036</v>
      </c>
      <c r="U24" s="222">
        <v>0</v>
      </c>
      <c r="V24" s="222">
        <f t="shared" si="0"/>
        <v>5696.49</v>
      </c>
      <c r="W24" s="223">
        <v>0</v>
      </c>
      <c r="X24" s="221">
        <v>51260</v>
      </c>
      <c r="Y24" s="222">
        <v>0</v>
      </c>
      <c r="Z24" s="220" t="s">
        <v>97</v>
      </c>
      <c r="AA24" s="220"/>
      <c r="AB24" s="220" t="s">
        <v>3420</v>
      </c>
      <c r="AC24" s="220"/>
      <c r="AD24" s="220" t="s">
        <v>1152</v>
      </c>
      <c r="AE24" s="220" t="s">
        <v>1153</v>
      </c>
      <c r="AF24" s="221" t="s">
        <v>1154</v>
      </c>
      <c r="AG24" s="220"/>
      <c r="AH24" s="221" t="s">
        <v>1155</v>
      </c>
      <c r="AI24" s="220">
        <v>0</v>
      </c>
      <c r="AJ24" s="220">
        <v>0</v>
      </c>
      <c r="AL24" s="200" t="s">
        <v>33</v>
      </c>
      <c r="AM24" s="200">
        <f t="shared" si="1"/>
        <v>6</v>
      </c>
      <c r="AN24" s="200">
        <f t="shared" si="2"/>
        <v>2022</v>
      </c>
      <c r="AO24" s="200">
        <f t="shared" si="3"/>
        <v>2025</v>
      </c>
      <c r="AP24" s="258">
        <f t="shared" si="4"/>
        <v>2025.5</v>
      </c>
      <c r="AQ24" s="188">
        <f t="shared" si="5"/>
        <v>158.23583333333332</v>
      </c>
      <c r="AR24" s="188">
        <f t="shared" si="6"/>
        <v>1898.83</v>
      </c>
      <c r="AS24" s="13">
        <f t="shared" si="7"/>
        <v>1898.83</v>
      </c>
      <c r="AT24" s="13">
        <f t="shared" si="11"/>
        <v>0</v>
      </c>
      <c r="AU24" s="13">
        <f t="shared" si="9"/>
        <v>1898.83</v>
      </c>
      <c r="AV24" s="13">
        <f t="shared" si="10"/>
        <v>3797.66</v>
      </c>
      <c r="AW24" s="9" t="s">
        <v>3193</v>
      </c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</row>
    <row r="25" spans="2:69" s="200" customFormat="1">
      <c r="B25" s="221">
        <v>2180</v>
      </c>
      <c r="C25" s="225">
        <v>282572</v>
      </c>
      <c r="D25" s="221"/>
      <c r="E25" s="220" t="s">
        <v>3426</v>
      </c>
      <c r="F25" s="221"/>
      <c r="G25" s="220"/>
      <c r="H25" s="220" t="s">
        <v>3424</v>
      </c>
      <c r="I25" s="220"/>
      <c r="J25" s="220">
        <v>2021</v>
      </c>
      <c r="K25" s="220" t="s">
        <v>3423</v>
      </c>
      <c r="L25" s="220" t="s">
        <v>3422</v>
      </c>
      <c r="M25" s="220" t="s">
        <v>1447</v>
      </c>
      <c r="N25" s="224">
        <v>44713</v>
      </c>
      <c r="O25" s="224">
        <v>44713</v>
      </c>
      <c r="P25" s="220" t="s">
        <v>3421</v>
      </c>
      <c r="Q25" s="221">
        <v>300</v>
      </c>
      <c r="R25" s="221">
        <v>14030</v>
      </c>
      <c r="S25" s="222">
        <v>8544.74</v>
      </c>
      <c r="T25" s="221">
        <v>14036</v>
      </c>
      <c r="U25" s="222">
        <v>0</v>
      </c>
      <c r="V25" s="222">
        <f t="shared" si="0"/>
        <v>8544.74</v>
      </c>
      <c r="W25" s="223">
        <v>0</v>
      </c>
      <c r="X25" s="221">
        <v>51260</v>
      </c>
      <c r="Y25" s="222">
        <v>0</v>
      </c>
      <c r="Z25" s="220" t="s">
        <v>97</v>
      </c>
      <c r="AA25" s="220"/>
      <c r="AB25" s="220" t="s">
        <v>3420</v>
      </c>
      <c r="AC25" s="220"/>
      <c r="AD25" s="220" t="s">
        <v>1152</v>
      </c>
      <c r="AE25" s="220" t="s">
        <v>1153</v>
      </c>
      <c r="AF25" s="221" t="s">
        <v>1154</v>
      </c>
      <c r="AG25" s="220"/>
      <c r="AH25" s="221" t="s">
        <v>1155</v>
      </c>
      <c r="AI25" s="220">
        <v>0</v>
      </c>
      <c r="AJ25" s="220">
        <v>0</v>
      </c>
      <c r="AL25" s="200" t="s">
        <v>33</v>
      </c>
      <c r="AM25" s="200">
        <f t="shared" si="1"/>
        <v>6</v>
      </c>
      <c r="AN25" s="200">
        <f t="shared" si="2"/>
        <v>2022</v>
      </c>
      <c r="AO25" s="200">
        <f t="shared" si="3"/>
        <v>2025</v>
      </c>
      <c r="AP25" s="258">
        <f t="shared" si="4"/>
        <v>2025.5</v>
      </c>
      <c r="AQ25" s="188">
        <f t="shared" si="5"/>
        <v>237.35388888888886</v>
      </c>
      <c r="AR25" s="188">
        <f t="shared" si="6"/>
        <v>2848.2466666666664</v>
      </c>
      <c r="AS25" s="13">
        <f t="shared" si="7"/>
        <v>2848.2466666666664</v>
      </c>
      <c r="AT25" s="13">
        <f t="shared" si="11"/>
        <v>0</v>
      </c>
      <c r="AU25" s="13">
        <f t="shared" si="9"/>
        <v>2848.2466666666664</v>
      </c>
      <c r="AV25" s="13">
        <f t="shared" si="10"/>
        <v>5696.4933333333338</v>
      </c>
      <c r="AW25" s="9" t="s">
        <v>3193</v>
      </c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</row>
    <row r="26" spans="2:69" s="200" customFormat="1">
      <c r="B26" s="221">
        <v>2180</v>
      </c>
      <c r="C26" s="225">
        <v>282571</v>
      </c>
      <c r="D26" s="221" t="s">
        <v>97</v>
      </c>
      <c r="E26" s="220" t="s">
        <v>3425</v>
      </c>
      <c r="F26" s="221"/>
      <c r="G26" s="220"/>
      <c r="H26" s="220" t="s">
        <v>3424</v>
      </c>
      <c r="I26" s="220"/>
      <c r="J26" s="220">
        <v>2021</v>
      </c>
      <c r="K26" s="220" t="s">
        <v>3423</v>
      </c>
      <c r="L26" s="220" t="s">
        <v>3422</v>
      </c>
      <c r="M26" s="220" t="s">
        <v>3028</v>
      </c>
      <c r="N26" s="224">
        <v>44713</v>
      </c>
      <c r="O26" s="224">
        <v>44713</v>
      </c>
      <c r="P26" s="220" t="s">
        <v>3421</v>
      </c>
      <c r="Q26" s="221">
        <v>1100</v>
      </c>
      <c r="R26" s="221">
        <v>14030</v>
      </c>
      <c r="S26" s="222">
        <v>38451.32</v>
      </c>
      <c r="T26" s="221">
        <v>14036</v>
      </c>
      <c r="U26" s="222">
        <v>0</v>
      </c>
      <c r="V26" s="222">
        <f t="shared" si="0"/>
        <v>38451.32</v>
      </c>
      <c r="W26" s="223">
        <v>0</v>
      </c>
      <c r="X26" s="221">
        <v>51260</v>
      </c>
      <c r="Y26" s="222">
        <v>0</v>
      </c>
      <c r="Z26" s="220" t="s">
        <v>97</v>
      </c>
      <c r="AA26" s="220"/>
      <c r="AB26" s="220" t="s">
        <v>3420</v>
      </c>
      <c r="AC26" s="220"/>
      <c r="AD26" s="220" t="s">
        <v>1152</v>
      </c>
      <c r="AE26" s="220" t="s">
        <v>1153</v>
      </c>
      <c r="AF26" s="221" t="s">
        <v>1154</v>
      </c>
      <c r="AG26" s="220"/>
      <c r="AH26" s="221" t="s">
        <v>1155</v>
      </c>
      <c r="AI26" s="220">
        <v>0</v>
      </c>
      <c r="AJ26" s="220">
        <v>0</v>
      </c>
      <c r="AL26" s="200" t="s">
        <v>33</v>
      </c>
      <c r="AM26" s="200">
        <f t="shared" si="1"/>
        <v>6</v>
      </c>
      <c r="AN26" s="200">
        <f t="shared" si="2"/>
        <v>2022</v>
      </c>
      <c r="AO26" s="200">
        <f t="shared" si="3"/>
        <v>2033</v>
      </c>
      <c r="AP26" s="258">
        <f t="shared" si="4"/>
        <v>2033.5</v>
      </c>
      <c r="AQ26" s="188">
        <f t="shared" si="5"/>
        <v>291.2978787878788</v>
      </c>
      <c r="AR26" s="188">
        <f t="shared" si="6"/>
        <v>3495.5745454545458</v>
      </c>
      <c r="AS26" s="13">
        <f t="shared" si="7"/>
        <v>3495.5745454545458</v>
      </c>
      <c r="AT26" s="13">
        <f t="shared" si="11"/>
        <v>0</v>
      </c>
      <c r="AU26" s="13">
        <f t="shared" si="9"/>
        <v>3495.5745454545458</v>
      </c>
      <c r="AV26" s="13">
        <f t="shared" si="10"/>
        <v>34955.745454545453</v>
      </c>
      <c r="AW26" s="9" t="s">
        <v>3193</v>
      </c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</row>
    <row r="27" spans="2:69" s="200" customFormat="1">
      <c r="B27" s="221">
        <v>2180</v>
      </c>
      <c r="C27" s="225">
        <v>282319</v>
      </c>
      <c r="D27" s="221" t="s">
        <v>97</v>
      </c>
      <c r="E27" s="220" t="s">
        <v>3419</v>
      </c>
      <c r="F27" s="221"/>
      <c r="G27" s="220"/>
      <c r="H27" s="220" t="s">
        <v>3418</v>
      </c>
      <c r="I27" s="220"/>
      <c r="J27" s="220">
        <v>2022</v>
      </c>
      <c r="K27" s="220"/>
      <c r="L27" s="220"/>
      <c r="M27" s="220" t="s">
        <v>1999</v>
      </c>
      <c r="N27" s="224">
        <v>44715</v>
      </c>
      <c r="O27" s="224">
        <v>44715</v>
      </c>
      <c r="P27" s="220" t="s">
        <v>3417</v>
      </c>
      <c r="Q27" s="221">
        <v>1000</v>
      </c>
      <c r="R27" s="221">
        <v>14040</v>
      </c>
      <c r="S27" s="222">
        <v>373893.89</v>
      </c>
      <c r="T27" s="221">
        <v>14046</v>
      </c>
      <c r="U27" s="222">
        <v>0</v>
      </c>
      <c r="V27" s="222">
        <f t="shared" si="0"/>
        <v>373893.89</v>
      </c>
      <c r="W27" s="223">
        <v>0</v>
      </c>
      <c r="X27" s="221">
        <v>51260</v>
      </c>
      <c r="Y27" s="222">
        <v>0</v>
      </c>
      <c r="Z27" s="220" t="s">
        <v>97</v>
      </c>
      <c r="AA27" s="220"/>
      <c r="AB27" s="220"/>
      <c r="AC27" s="220"/>
      <c r="AD27" s="220" t="s">
        <v>1152</v>
      </c>
      <c r="AE27" s="220" t="s">
        <v>1153</v>
      </c>
      <c r="AF27" s="221" t="s">
        <v>1154</v>
      </c>
      <c r="AG27" s="220"/>
      <c r="AH27" s="221" t="s">
        <v>1155</v>
      </c>
      <c r="AI27" s="220">
        <v>0</v>
      </c>
      <c r="AJ27" s="220">
        <v>0</v>
      </c>
      <c r="AL27" s="200" t="s">
        <v>227</v>
      </c>
      <c r="AM27" s="200">
        <f t="shared" si="1"/>
        <v>6</v>
      </c>
      <c r="AN27" s="200">
        <f t="shared" si="2"/>
        <v>2022</v>
      </c>
      <c r="AO27" s="200">
        <f t="shared" si="3"/>
        <v>2032</v>
      </c>
      <c r="AP27" s="258">
        <f t="shared" si="4"/>
        <v>2032.5</v>
      </c>
      <c r="AQ27" s="188">
        <f t="shared" si="5"/>
        <v>3115.7824166666669</v>
      </c>
      <c r="AR27" s="188">
        <f t="shared" si="6"/>
        <v>37389.389000000003</v>
      </c>
      <c r="AS27" s="13">
        <f t="shared" si="7"/>
        <v>37389.389000000003</v>
      </c>
      <c r="AT27" s="13">
        <f t="shared" si="11"/>
        <v>0</v>
      </c>
      <c r="AU27" s="13">
        <f t="shared" si="9"/>
        <v>37389.389000000003</v>
      </c>
      <c r="AV27" s="13">
        <f t="shared" si="10"/>
        <v>336504.50099999999</v>
      </c>
      <c r="AW27" s="9" t="s">
        <v>3193</v>
      </c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</row>
    <row r="28" spans="2:69" s="200" customFormat="1">
      <c r="B28" s="221">
        <v>2180</v>
      </c>
      <c r="C28" s="225">
        <v>282058</v>
      </c>
      <c r="D28" s="221" t="s">
        <v>97</v>
      </c>
      <c r="E28" s="220" t="s">
        <v>3213</v>
      </c>
      <c r="F28" s="221">
        <v>3</v>
      </c>
      <c r="G28" s="220"/>
      <c r="H28" s="220"/>
      <c r="I28" s="220"/>
      <c r="J28" s="220">
        <v>0</v>
      </c>
      <c r="K28" s="220" t="s">
        <v>3212</v>
      </c>
      <c r="L28" s="220"/>
      <c r="M28" s="220"/>
      <c r="N28" s="224">
        <v>44677</v>
      </c>
      <c r="O28" s="224">
        <v>44677</v>
      </c>
      <c r="P28" s="220" t="s">
        <v>3211</v>
      </c>
      <c r="Q28" s="221">
        <v>300</v>
      </c>
      <c r="R28" s="221">
        <v>14110</v>
      </c>
      <c r="S28" s="222">
        <v>1650.21</v>
      </c>
      <c r="T28" s="221">
        <v>14116</v>
      </c>
      <c r="U28" s="222">
        <v>45.84</v>
      </c>
      <c r="V28" s="222">
        <f t="shared" si="0"/>
        <v>1604.3700000000001</v>
      </c>
      <c r="W28" s="223">
        <v>45.84</v>
      </c>
      <c r="X28" s="221">
        <v>70260</v>
      </c>
      <c r="Y28" s="222">
        <v>45.84</v>
      </c>
      <c r="Z28" s="220" t="s">
        <v>97</v>
      </c>
      <c r="AA28" s="220"/>
      <c r="AB28" s="220" t="s">
        <v>3210</v>
      </c>
      <c r="AC28" s="220"/>
      <c r="AD28" s="220" t="s">
        <v>1152</v>
      </c>
      <c r="AE28" s="220" t="s">
        <v>1153</v>
      </c>
      <c r="AF28" s="221" t="s">
        <v>1154</v>
      </c>
      <c r="AG28" s="220"/>
      <c r="AH28" s="221" t="s">
        <v>1155</v>
      </c>
      <c r="AI28" s="220">
        <v>0</v>
      </c>
      <c r="AJ28" s="220">
        <v>0</v>
      </c>
      <c r="AL28" s="200" t="s">
        <v>28</v>
      </c>
      <c r="AM28" s="200">
        <f t="shared" si="1"/>
        <v>4</v>
      </c>
      <c r="AN28" s="200">
        <f t="shared" si="2"/>
        <v>2022</v>
      </c>
      <c r="AO28" s="200">
        <f t="shared" si="3"/>
        <v>2025</v>
      </c>
      <c r="AP28" s="258">
        <f t="shared" si="4"/>
        <v>2025.3333333333333</v>
      </c>
      <c r="AQ28" s="188">
        <f t="shared" si="5"/>
        <v>45.839166666666671</v>
      </c>
      <c r="AR28" s="188">
        <f t="shared" si="6"/>
        <v>550.07000000000005</v>
      </c>
      <c r="AS28" s="13">
        <f t="shared" si="7"/>
        <v>550.07000000000005</v>
      </c>
      <c r="AT28" s="13">
        <f t="shared" si="11"/>
        <v>0</v>
      </c>
      <c r="AU28" s="13">
        <f t="shared" si="9"/>
        <v>550.07000000000005</v>
      </c>
      <c r="AV28" s="13">
        <f t="shared" si="10"/>
        <v>1100.1399999999999</v>
      </c>
      <c r="AW28" s="9" t="s">
        <v>3193</v>
      </c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</row>
    <row r="29" spans="2:69" s="200" customFormat="1">
      <c r="B29" s="221">
        <v>2180</v>
      </c>
      <c r="C29" s="225">
        <v>281752</v>
      </c>
      <c r="D29" s="221" t="s">
        <v>97</v>
      </c>
      <c r="E29" s="220" t="s">
        <v>3216</v>
      </c>
      <c r="F29" s="221">
        <v>1</v>
      </c>
      <c r="G29" s="220"/>
      <c r="H29" s="220"/>
      <c r="I29" s="220"/>
      <c r="J29" s="220">
        <v>0</v>
      </c>
      <c r="K29" s="220" t="s">
        <v>3215</v>
      </c>
      <c r="L29" s="220"/>
      <c r="M29" s="220"/>
      <c r="N29" s="224">
        <v>44662</v>
      </c>
      <c r="O29" s="224">
        <v>44662</v>
      </c>
      <c r="P29" s="220" t="s">
        <v>3214</v>
      </c>
      <c r="Q29" s="221">
        <v>500</v>
      </c>
      <c r="R29" s="221">
        <v>14070</v>
      </c>
      <c r="S29" s="222">
        <v>9199.36</v>
      </c>
      <c r="T29" s="221">
        <v>14076</v>
      </c>
      <c r="U29" s="222">
        <v>306.64</v>
      </c>
      <c r="V29" s="222">
        <f t="shared" si="0"/>
        <v>8892.7200000000012</v>
      </c>
      <c r="W29" s="223">
        <v>306.64</v>
      </c>
      <c r="X29" s="221">
        <v>51260</v>
      </c>
      <c r="Y29" s="222">
        <v>306.64</v>
      </c>
      <c r="Z29" s="220" t="s">
        <v>97</v>
      </c>
      <c r="AA29" s="220"/>
      <c r="AB29" s="220">
        <v>1830595</v>
      </c>
      <c r="AC29" s="220"/>
      <c r="AD29" s="220" t="s">
        <v>1152</v>
      </c>
      <c r="AE29" s="220" t="s">
        <v>1153</v>
      </c>
      <c r="AF29" s="221" t="s">
        <v>1154</v>
      </c>
      <c r="AG29" s="220"/>
      <c r="AH29" s="221" t="s">
        <v>1155</v>
      </c>
      <c r="AI29" s="220">
        <v>0</v>
      </c>
      <c r="AJ29" s="220">
        <v>0</v>
      </c>
      <c r="AL29" s="200" t="s">
        <v>26</v>
      </c>
      <c r="AM29" s="200">
        <f t="shared" si="1"/>
        <v>4</v>
      </c>
      <c r="AN29" s="200">
        <f t="shared" si="2"/>
        <v>2022</v>
      </c>
      <c r="AO29" s="200">
        <f t="shared" si="3"/>
        <v>2027</v>
      </c>
      <c r="AP29" s="258">
        <f t="shared" si="4"/>
        <v>2027.3333333333333</v>
      </c>
      <c r="AQ29" s="188">
        <f t="shared" si="5"/>
        <v>153.32266666666666</v>
      </c>
      <c r="AR29" s="188">
        <f t="shared" si="6"/>
        <v>1839.8719999999998</v>
      </c>
      <c r="AS29" s="13">
        <f t="shared" si="7"/>
        <v>1839.8719999999998</v>
      </c>
      <c r="AT29" s="13">
        <f t="shared" si="11"/>
        <v>0</v>
      </c>
      <c r="AU29" s="13">
        <f t="shared" si="9"/>
        <v>1839.8719999999998</v>
      </c>
      <c r="AV29" s="13">
        <f t="shared" si="10"/>
        <v>7359.4880000000012</v>
      </c>
      <c r="AW29" s="9" t="s">
        <v>3193</v>
      </c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</row>
    <row r="30" spans="2:69" s="200" customFormat="1">
      <c r="B30" s="221">
        <v>2180</v>
      </c>
      <c r="C30" s="225">
        <v>279137</v>
      </c>
      <c r="D30" s="221" t="s">
        <v>97</v>
      </c>
      <c r="E30" s="220" t="s">
        <v>2084</v>
      </c>
      <c r="F30" s="221">
        <v>5</v>
      </c>
      <c r="G30" s="220"/>
      <c r="H30" s="220"/>
      <c r="I30" s="220"/>
      <c r="J30" s="220">
        <v>0</v>
      </c>
      <c r="K30" s="220" t="s">
        <v>2041</v>
      </c>
      <c r="L30" s="220"/>
      <c r="M30" s="220" t="s">
        <v>3051</v>
      </c>
      <c r="N30" s="224">
        <v>44677</v>
      </c>
      <c r="O30" s="224">
        <v>44677</v>
      </c>
      <c r="P30" s="220" t="s">
        <v>3217</v>
      </c>
      <c r="Q30" s="221">
        <v>1200</v>
      </c>
      <c r="R30" s="221">
        <v>14050</v>
      </c>
      <c r="S30" s="222">
        <v>10584.45</v>
      </c>
      <c r="T30" s="221">
        <v>14056</v>
      </c>
      <c r="U30" s="222">
        <v>73.5</v>
      </c>
      <c r="V30" s="222">
        <f t="shared" si="0"/>
        <v>10510.95</v>
      </c>
      <c r="W30" s="223">
        <v>73.5</v>
      </c>
      <c r="X30" s="221">
        <v>54260</v>
      </c>
      <c r="Y30" s="222">
        <v>73.5</v>
      </c>
      <c r="Z30" s="220" t="s">
        <v>97</v>
      </c>
      <c r="AA30" s="220"/>
      <c r="AB30" s="220">
        <v>172505</v>
      </c>
      <c r="AC30" s="220"/>
      <c r="AD30" s="220" t="s">
        <v>1152</v>
      </c>
      <c r="AE30" s="220" t="s">
        <v>1153</v>
      </c>
      <c r="AF30" s="221" t="s">
        <v>1154</v>
      </c>
      <c r="AG30" s="220"/>
      <c r="AH30" s="221" t="s">
        <v>1155</v>
      </c>
      <c r="AI30" s="220">
        <v>0</v>
      </c>
      <c r="AJ30" s="220">
        <v>0</v>
      </c>
      <c r="AL30" s="200" t="s">
        <v>3401</v>
      </c>
      <c r="AM30" s="200">
        <f t="shared" si="1"/>
        <v>4</v>
      </c>
      <c r="AN30" s="200">
        <f t="shared" si="2"/>
        <v>2022</v>
      </c>
      <c r="AO30" s="200">
        <f t="shared" si="3"/>
        <v>2034</v>
      </c>
      <c r="AP30" s="258">
        <f t="shared" si="4"/>
        <v>2034.3333333333333</v>
      </c>
      <c r="AQ30" s="188">
        <f t="shared" si="5"/>
        <v>73.503124999999997</v>
      </c>
      <c r="AR30" s="188">
        <f t="shared" si="6"/>
        <v>882.03749999999991</v>
      </c>
      <c r="AS30" s="13">
        <f t="shared" si="7"/>
        <v>882.03749999999991</v>
      </c>
      <c r="AT30" s="13">
        <f t="shared" si="11"/>
        <v>0</v>
      </c>
      <c r="AU30" s="13">
        <f t="shared" si="9"/>
        <v>882.03749999999991</v>
      </c>
      <c r="AV30" s="13">
        <f t="shared" si="10"/>
        <v>9702.4125000000004</v>
      </c>
      <c r="AW30" s="9" t="s">
        <v>3193</v>
      </c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</row>
    <row r="31" spans="2:69" s="200" customFormat="1">
      <c r="B31" s="221">
        <v>2180</v>
      </c>
      <c r="C31" s="225">
        <v>279136</v>
      </c>
      <c r="D31" s="221" t="s">
        <v>97</v>
      </c>
      <c r="E31" s="220" t="s">
        <v>2084</v>
      </c>
      <c r="F31" s="221">
        <v>8</v>
      </c>
      <c r="G31" s="220"/>
      <c r="H31" s="220"/>
      <c r="I31" s="220"/>
      <c r="J31" s="220">
        <v>0</v>
      </c>
      <c r="K31" s="220" t="s">
        <v>2041</v>
      </c>
      <c r="L31" s="220"/>
      <c r="M31" s="220" t="s">
        <v>3051</v>
      </c>
      <c r="N31" s="224">
        <v>44677</v>
      </c>
      <c r="O31" s="224">
        <v>44677</v>
      </c>
      <c r="P31" s="220" t="s">
        <v>3217</v>
      </c>
      <c r="Q31" s="221">
        <v>1200</v>
      </c>
      <c r="R31" s="221">
        <v>14050</v>
      </c>
      <c r="S31" s="222">
        <v>16935.12</v>
      </c>
      <c r="T31" s="221">
        <v>14056</v>
      </c>
      <c r="U31" s="222">
        <v>117.61</v>
      </c>
      <c r="V31" s="222">
        <f t="shared" si="0"/>
        <v>16817.509999999998</v>
      </c>
      <c r="W31" s="223">
        <v>117.61</v>
      </c>
      <c r="X31" s="221">
        <v>54260</v>
      </c>
      <c r="Y31" s="222">
        <v>117.61</v>
      </c>
      <c r="Z31" s="220" t="s">
        <v>97</v>
      </c>
      <c r="AA31" s="220"/>
      <c r="AB31" s="220">
        <v>172506</v>
      </c>
      <c r="AC31" s="220"/>
      <c r="AD31" s="220" t="s">
        <v>1152</v>
      </c>
      <c r="AE31" s="220" t="s">
        <v>1153</v>
      </c>
      <c r="AF31" s="221" t="s">
        <v>1154</v>
      </c>
      <c r="AG31" s="220"/>
      <c r="AH31" s="221" t="s">
        <v>1155</v>
      </c>
      <c r="AI31" s="220">
        <v>0</v>
      </c>
      <c r="AJ31" s="220">
        <v>0</v>
      </c>
      <c r="AL31" s="200" t="s">
        <v>3401</v>
      </c>
      <c r="AM31" s="200">
        <f t="shared" si="1"/>
        <v>4</v>
      </c>
      <c r="AN31" s="200">
        <f t="shared" si="2"/>
        <v>2022</v>
      </c>
      <c r="AO31" s="200">
        <f t="shared" si="3"/>
        <v>2034</v>
      </c>
      <c r="AP31" s="258">
        <f t="shared" si="4"/>
        <v>2034.3333333333333</v>
      </c>
      <c r="AQ31" s="188">
        <f t="shared" si="5"/>
        <v>117.605</v>
      </c>
      <c r="AR31" s="188">
        <f t="shared" si="6"/>
        <v>1411.26</v>
      </c>
      <c r="AS31" s="13">
        <f t="shared" si="7"/>
        <v>1411.26</v>
      </c>
      <c r="AT31" s="13">
        <f t="shared" si="11"/>
        <v>0</v>
      </c>
      <c r="AU31" s="13">
        <f t="shared" si="9"/>
        <v>1411.26</v>
      </c>
      <c r="AV31" s="13">
        <f t="shared" si="10"/>
        <v>15523.859999999999</v>
      </c>
      <c r="AW31" s="9" t="s">
        <v>3193</v>
      </c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</row>
    <row r="32" spans="2:69" s="200" customFormat="1">
      <c r="B32" s="221">
        <v>2180</v>
      </c>
      <c r="C32" s="225">
        <v>279135</v>
      </c>
      <c r="D32" s="221" t="s">
        <v>97</v>
      </c>
      <c r="E32" s="220" t="s">
        <v>2084</v>
      </c>
      <c r="F32" s="221">
        <v>8</v>
      </c>
      <c r="G32" s="220"/>
      <c r="H32" s="220"/>
      <c r="I32" s="220"/>
      <c r="J32" s="220">
        <v>0</v>
      </c>
      <c r="K32" s="220" t="s">
        <v>2041</v>
      </c>
      <c r="L32" s="220"/>
      <c r="M32" s="220" t="s">
        <v>3051</v>
      </c>
      <c r="N32" s="224">
        <v>44677</v>
      </c>
      <c r="O32" s="224">
        <v>44677</v>
      </c>
      <c r="P32" s="220" t="s">
        <v>3217</v>
      </c>
      <c r="Q32" s="221">
        <v>1200</v>
      </c>
      <c r="R32" s="221">
        <v>14050</v>
      </c>
      <c r="S32" s="222">
        <v>16935.12</v>
      </c>
      <c r="T32" s="221">
        <v>14056</v>
      </c>
      <c r="U32" s="222">
        <v>117.61</v>
      </c>
      <c r="V32" s="222">
        <f t="shared" si="0"/>
        <v>16817.509999999998</v>
      </c>
      <c r="W32" s="223">
        <v>117.61</v>
      </c>
      <c r="X32" s="221">
        <v>54260</v>
      </c>
      <c r="Y32" s="222">
        <v>117.61</v>
      </c>
      <c r="Z32" s="220" t="s">
        <v>97</v>
      </c>
      <c r="AA32" s="220"/>
      <c r="AB32" s="220">
        <v>172504</v>
      </c>
      <c r="AC32" s="220"/>
      <c r="AD32" s="220" t="s">
        <v>1152</v>
      </c>
      <c r="AE32" s="220" t="s">
        <v>1153</v>
      </c>
      <c r="AF32" s="221" t="s">
        <v>1154</v>
      </c>
      <c r="AG32" s="220"/>
      <c r="AH32" s="221" t="s">
        <v>1155</v>
      </c>
      <c r="AI32" s="220">
        <v>0</v>
      </c>
      <c r="AJ32" s="220">
        <v>0</v>
      </c>
      <c r="AL32" s="200" t="s">
        <v>3401</v>
      </c>
      <c r="AM32" s="200">
        <f t="shared" si="1"/>
        <v>4</v>
      </c>
      <c r="AN32" s="200">
        <f t="shared" si="2"/>
        <v>2022</v>
      </c>
      <c r="AO32" s="200">
        <f t="shared" si="3"/>
        <v>2034</v>
      </c>
      <c r="AP32" s="258">
        <f t="shared" si="4"/>
        <v>2034.3333333333333</v>
      </c>
      <c r="AQ32" s="188">
        <f t="shared" si="5"/>
        <v>117.605</v>
      </c>
      <c r="AR32" s="188">
        <f t="shared" si="6"/>
        <v>1411.26</v>
      </c>
      <c r="AS32" s="13">
        <f t="shared" si="7"/>
        <v>1411.26</v>
      </c>
      <c r="AT32" s="13">
        <f t="shared" si="11"/>
        <v>0</v>
      </c>
      <c r="AU32" s="13">
        <f t="shared" si="9"/>
        <v>1411.26</v>
      </c>
      <c r="AV32" s="13">
        <f t="shared" si="10"/>
        <v>15523.859999999999</v>
      </c>
      <c r="AW32" s="9" t="s">
        <v>3193</v>
      </c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</row>
    <row r="33" spans="2:69" s="200" customFormat="1">
      <c r="B33" s="221">
        <v>2180</v>
      </c>
      <c r="C33" s="225">
        <v>279134</v>
      </c>
      <c r="D33" s="221" t="s">
        <v>97</v>
      </c>
      <c r="E33" s="220" t="s">
        <v>2084</v>
      </c>
      <c r="F33" s="221">
        <v>8</v>
      </c>
      <c r="G33" s="220"/>
      <c r="H33" s="220"/>
      <c r="I33" s="220"/>
      <c r="J33" s="220">
        <v>0</v>
      </c>
      <c r="K33" s="220" t="s">
        <v>2041</v>
      </c>
      <c r="L33" s="220"/>
      <c r="M33" s="220" t="s">
        <v>3051</v>
      </c>
      <c r="N33" s="224">
        <v>44677</v>
      </c>
      <c r="O33" s="224">
        <v>44677</v>
      </c>
      <c r="P33" s="220" t="s">
        <v>3217</v>
      </c>
      <c r="Q33" s="221">
        <v>1200</v>
      </c>
      <c r="R33" s="221">
        <v>14050</v>
      </c>
      <c r="S33" s="222">
        <v>16935.12</v>
      </c>
      <c r="T33" s="221">
        <v>14056</v>
      </c>
      <c r="U33" s="222">
        <v>117.61</v>
      </c>
      <c r="V33" s="222">
        <f t="shared" si="0"/>
        <v>16817.509999999998</v>
      </c>
      <c r="W33" s="223">
        <v>117.61</v>
      </c>
      <c r="X33" s="221">
        <v>54260</v>
      </c>
      <c r="Y33" s="222">
        <v>117.61</v>
      </c>
      <c r="Z33" s="220" t="s">
        <v>97</v>
      </c>
      <c r="AA33" s="220"/>
      <c r="AB33" s="220">
        <v>172503</v>
      </c>
      <c r="AC33" s="220"/>
      <c r="AD33" s="220" t="s">
        <v>1152</v>
      </c>
      <c r="AE33" s="220" t="s">
        <v>1153</v>
      </c>
      <c r="AF33" s="221" t="s">
        <v>1154</v>
      </c>
      <c r="AG33" s="220"/>
      <c r="AH33" s="221" t="s">
        <v>1155</v>
      </c>
      <c r="AI33" s="220">
        <v>0</v>
      </c>
      <c r="AJ33" s="220">
        <v>0</v>
      </c>
      <c r="AL33" s="200" t="s">
        <v>3401</v>
      </c>
      <c r="AM33" s="200">
        <f t="shared" si="1"/>
        <v>4</v>
      </c>
      <c r="AN33" s="200">
        <f t="shared" si="2"/>
        <v>2022</v>
      </c>
      <c r="AO33" s="200">
        <f t="shared" si="3"/>
        <v>2034</v>
      </c>
      <c r="AP33" s="258">
        <f t="shared" si="4"/>
        <v>2034.3333333333333</v>
      </c>
      <c r="AQ33" s="188">
        <f t="shared" si="5"/>
        <v>117.605</v>
      </c>
      <c r="AR33" s="188">
        <f t="shared" si="6"/>
        <v>1411.26</v>
      </c>
      <c r="AS33" s="13">
        <f t="shared" si="7"/>
        <v>1411.26</v>
      </c>
      <c r="AT33" s="13">
        <f t="shared" si="11"/>
        <v>0</v>
      </c>
      <c r="AU33" s="13">
        <f t="shared" si="9"/>
        <v>1411.26</v>
      </c>
      <c r="AV33" s="13">
        <f t="shared" si="10"/>
        <v>15523.859999999999</v>
      </c>
      <c r="AW33" s="9" t="s">
        <v>3193</v>
      </c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</row>
    <row r="34" spans="2:69" s="200" customFormat="1">
      <c r="B34" s="221">
        <v>2180</v>
      </c>
      <c r="C34" s="225">
        <v>279133</v>
      </c>
      <c r="D34" s="221" t="s">
        <v>97</v>
      </c>
      <c r="E34" s="220" t="s">
        <v>2084</v>
      </c>
      <c r="F34" s="221">
        <v>8</v>
      </c>
      <c r="G34" s="220"/>
      <c r="H34" s="220"/>
      <c r="I34" s="220"/>
      <c r="J34" s="220">
        <v>0</v>
      </c>
      <c r="K34" s="220" t="s">
        <v>2041</v>
      </c>
      <c r="L34" s="220"/>
      <c r="M34" s="220" t="s">
        <v>3051</v>
      </c>
      <c r="N34" s="224">
        <v>44677</v>
      </c>
      <c r="O34" s="224">
        <v>44677</v>
      </c>
      <c r="P34" s="220" t="s">
        <v>3217</v>
      </c>
      <c r="Q34" s="221">
        <v>1200</v>
      </c>
      <c r="R34" s="221">
        <v>14050</v>
      </c>
      <c r="S34" s="222">
        <v>16935.12</v>
      </c>
      <c r="T34" s="221">
        <v>14056</v>
      </c>
      <c r="U34" s="222">
        <v>117.61</v>
      </c>
      <c r="V34" s="222">
        <f t="shared" si="0"/>
        <v>16817.509999999998</v>
      </c>
      <c r="W34" s="223">
        <v>117.61</v>
      </c>
      <c r="X34" s="221">
        <v>54260</v>
      </c>
      <c r="Y34" s="222">
        <v>117.61</v>
      </c>
      <c r="Z34" s="220" t="s">
        <v>97</v>
      </c>
      <c r="AA34" s="220"/>
      <c r="AB34" s="220">
        <v>172502</v>
      </c>
      <c r="AC34" s="220"/>
      <c r="AD34" s="220" t="s">
        <v>1152</v>
      </c>
      <c r="AE34" s="220" t="s">
        <v>1153</v>
      </c>
      <c r="AF34" s="221" t="s">
        <v>1154</v>
      </c>
      <c r="AG34" s="220"/>
      <c r="AH34" s="221" t="s">
        <v>1155</v>
      </c>
      <c r="AI34" s="220">
        <v>0</v>
      </c>
      <c r="AJ34" s="220">
        <v>0</v>
      </c>
      <c r="AL34" s="200" t="s">
        <v>3401</v>
      </c>
      <c r="AM34" s="200">
        <f t="shared" si="1"/>
        <v>4</v>
      </c>
      <c r="AN34" s="200">
        <f t="shared" si="2"/>
        <v>2022</v>
      </c>
      <c r="AO34" s="200">
        <f t="shared" si="3"/>
        <v>2034</v>
      </c>
      <c r="AP34" s="258">
        <f t="shared" si="4"/>
        <v>2034.3333333333333</v>
      </c>
      <c r="AQ34" s="188">
        <f t="shared" si="5"/>
        <v>117.605</v>
      </c>
      <c r="AR34" s="188">
        <f t="shared" si="6"/>
        <v>1411.26</v>
      </c>
      <c r="AS34" s="13">
        <f t="shared" si="7"/>
        <v>1411.26</v>
      </c>
      <c r="AT34" s="13">
        <f t="shared" si="11"/>
        <v>0</v>
      </c>
      <c r="AU34" s="13">
        <f t="shared" si="9"/>
        <v>1411.26</v>
      </c>
      <c r="AV34" s="13">
        <f t="shared" si="10"/>
        <v>15523.859999999999</v>
      </c>
      <c r="AW34" s="9" t="s">
        <v>3193</v>
      </c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</row>
    <row r="35" spans="2:69" s="200" customFormat="1">
      <c r="B35" s="221">
        <v>2180</v>
      </c>
      <c r="C35" s="225">
        <v>279132</v>
      </c>
      <c r="D35" s="221" t="s">
        <v>97</v>
      </c>
      <c r="E35" s="220" t="s">
        <v>2084</v>
      </c>
      <c r="F35" s="221">
        <v>8</v>
      </c>
      <c r="G35" s="220"/>
      <c r="H35" s="220"/>
      <c r="I35" s="220"/>
      <c r="J35" s="220">
        <v>0</v>
      </c>
      <c r="K35" s="220" t="s">
        <v>2041</v>
      </c>
      <c r="L35" s="220"/>
      <c r="M35" s="220" t="s">
        <v>3051</v>
      </c>
      <c r="N35" s="224">
        <v>44677</v>
      </c>
      <c r="O35" s="224">
        <v>44677</v>
      </c>
      <c r="P35" s="220" t="s">
        <v>3217</v>
      </c>
      <c r="Q35" s="221">
        <v>1200</v>
      </c>
      <c r="R35" s="221">
        <v>14050</v>
      </c>
      <c r="S35" s="222">
        <v>16935.12</v>
      </c>
      <c r="T35" s="221">
        <v>14056</v>
      </c>
      <c r="U35" s="222">
        <v>117.61</v>
      </c>
      <c r="V35" s="222">
        <f t="shared" si="0"/>
        <v>16817.509999999998</v>
      </c>
      <c r="W35" s="223">
        <v>117.61</v>
      </c>
      <c r="X35" s="221">
        <v>54260</v>
      </c>
      <c r="Y35" s="222">
        <v>117.61</v>
      </c>
      <c r="Z35" s="220" t="s">
        <v>97</v>
      </c>
      <c r="AA35" s="220"/>
      <c r="AB35" s="220">
        <v>172499</v>
      </c>
      <c r="AC35" s="220"/>
      <c r="AD35" s="220" t="s">
        <v>1152</v>
      </c>
      <c r="AE35" s="220" t="s">
        <v>1153</v>
      </c>
      <c r="AF35" s="221" t="s">
        <v>1154</v>
      </c>
      <c r="AG35" s="220"/>
      <c r="AH35" s="221" t="s">
        <v>1155</v>
      </c>
      <c r="AI35" s="220">
        <v>0</v>
      </c>
      <c r="AJ35" s="220">
        <v>0</v>
      </c>
      <c r="AL35" s="200" t="s">
        <v>3401</v>
      </c>
      <c r="AM35" s="200">
        <f t="shared" si="1"/>
        <v>4</v>
      </c>
      <c r="AN35" s="200">
        <f t="shared" si="2"/>
        <v>2022</v>
      </c>
      <c r="AO35" s="200">
        <f t="shared" si="3"/>
        <v>2034</v>
      </c>
      <c r="AP35" s="258">
        <f t="shared" si="4"/>
        <v>2034.3333333333333</v>
      </c>
      <c r="AQ35" s="188">
        <f t="shared" si="5"/>
        <v>117.605</v>
      </c>
      <c r="AR35" s="188">
        <f t="shared" si="6"/>
        <v>1411.26</v>
      </c>
      <c r="AS35" s="13">
        <f t="shared" si="7"/>
        <v>1411.26</v>
      </c>
      <c r="AT35" s="13">
        <f t="shared" si="11"/>
        <v>0</v>
      </c>
      <c r="AU35" s="13">
        <f t="shared" si="9"/>
        <v>1411.26</v>
      </c>
      <c r="AV35" s="13">
        <f t="shared" si="10"/>
        <v>15523.859999999999</v>
      </c>
      <c r="AW35" s="9" t="s">
        <v>3193</v>
      </c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</row>
    <row r="36" spans="2:69" s="200" customFormat="1">
      <c r="B36" s="221">
        <v>2180</v>
      </c>
      <c r="C36" s="225">
        <v>279131</v>
      </c>
      <c r="D36" s="221" t="s">
        <v>97</v>
      </c>
      <c r="E36" s="220" t="s">
        <v>3219</v>
      </c>
      <c r="F36" s="221">
        <v>25</v>
      </c>
      <c r="G36" s="220"/>
      <c r="H36" s="220"/>
      <c r="I36" s="220"/>
      <c r="J36" s="220">
        <v>0</v>
      </c>
      <c r="K36" s="220" t="s">
        <v>2041</v>
      </c>
      <c r="L36" s="220"/>
      <c r="M36" s="220" t="s">
        <v>3054</v>
      </c>
      <c r="N36" s="224">
        <v>44677</v>
      </c>
      <c r="O36" s="224">
        <v>44677</v>
      </c>
      <c r="P36" s="220" t="s">
        <v>3218</v>
      </c>
      <c r="Q36" s="221">
        <v>1200</v>
      </c>
      <c r="R36" s="221">
        <v>14050</v>
      </c>
      <c r="S36" s="222">
        <v>23521</v>
      </c>
      <c r="T36" s="221">
        <v>14056</v>
      </c>
      <c r="U36" s="222">
        <v>163.34</v>
      </c>
      <c r="V36" s="222">
        <f t="shared" si="0"/>
        <v>23357.66</v>
      </c>
      <c r="W36" s="223">
        <v>163.34</v>
      </c>
      <c r="X36" s="221">
        <v>54260</v>
      </c>
      <c r="Y36" s="222">
        <v>163.34</v>
      </c>
      <c r="Z36" s="220" t="s">
        <v>97</v>
      </c>
      <c r="AA36" s="220"/>
      <c r="AB36" s="220">
        <v>172498</v>
      </c>
      <c r="AC36" s="220"/>
      <c r="AD36" s="220" t="s">
        <v>1152</v>
      </c>
      <c r="AE36" s="220" t="s">
        <v>1153</v>
      </c>
      <c r="AF36" s="221" t="s">
        <v>1154</v>
      </c>
      <c r="AG36" s="220"/>
      <c r="AH36" s="221" t="s">
        <v>1155</v>
      </c>
      <c r="AI36" s="220">
        <v>0</v>
      </c>
      <c r="AJ36" s="220">
        <v>0</v>
      </c>
      <c r="AL36" s="200" t="s">
        <v>3401</v>
      </c>
      <c r="AM36" s="200">
        <f t="shared" si="1"/>
        <v>4</v>
      </c>
      <c r="AN36" s="200">
        <f t="shared" si="2"/>
        <v>2022</v>
      </c>
      <c r="AO36" s="200">
        <f t="shared" si="3"/>
        <v>2034</v>
      </c>
      <c r="AP36" s="258">
        <f t="shared" si="4"/>
        <v>2034.3333333333333</v>
      </c>
      <c r="AQ36" s="188">
        <f t="shared" si="5"/>
        <v>163.34027777777777</v>
      </c>
      <c r="AR36" s="188">
        <f t="shared" si="6"/>
        <v>1960.0833333333333</v>
      </c>
      <c r="AS36" s="13">
        <f t="shared" si="7"/>
        <v>1960.0833333333333</v>
      </c>
      <c r="AT36" s="13">
        <f t="shared" si="11"/>
        <v>0</v>
      </c>
      <c r="AU36" s="13">
        <f t="shared" si="9"/>
        <v>1960.0833333333333</v>
      </c>
      <c r="AV36" s="13">
        <f t="shared" si="10"/>
        <v>21560.916666666668</v>
      </c>
      <c r="AW36" s="9" t="s">
        <v>3193</v>
      </c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</row>
    <row r="37" spans="2:69" s="200" customFormat="1">
      <c r="B37" s="221">
        <v>2180</v>
      </c>
      <c r="C37" s="225">
        <v>278665</v>
      </c>
      <c r="D37" s="221" t="s">
        <v>97</v>
      </c>
      <c r="E37" s="220" t="s">
        <v>3223</v>
      </c>
      <c r="F37" s="221">
        <v>1</v>
      </c>
      <c r="G37" s="220"/>
      <c r="H37" s="220"/>
      <c r="I37" s="220"/>
      <c r="J37" s="220">
        <v>0</v>
      </c>
      <c r="K37" s="220" t="s">
        <v>3222</v>
      </c>
      <c r="L37" s="220"/>
      <c r="M37" s="220"/>
      <c r="N37" s="224">
        <v>44666</v>
      </c>
      <c r="O37" s="224">
        <v>44666</v>
      </c>
      <c r="P37" s="220" t="s">
        <v>3221</v>
      </c>
      <c r="Q37" s="221">
        <v>300</v>
      </c>
      <c r="R37" s="221">
        <v>14110</v>
      </c>
      <c r="S37" s="222">
        <v>1327.78</v>
      </c>
      <c r="T37" s="221">
        <v>14116</v>
      </c>
      <c r="U37" s="222">
        <v>73.77</v>
      </c>
      <c r="V37" s="222">
        <f t="shared" si="0"/>
        <v>1254.01</v>
      </c>
      <c r="W37" s="223">
        <v>73.77</v>
      </c>
      <c r="X37" s="221">
        <v>70260</v>
      </c>
      <c r="Y37" s="222">
        <v>36.89</v>
      </c>
      <c r="Z37" s="220" t="s">
        <v>97</v>
      </c>
      <c r="AA37" s="220"/>
      <c r="AB37" s="220" t="s">
        <v>3220</v>
      </c>
      <c r="AC37" s="220"/>
      <c r="AD37" s="220" t="s">
        <v>1152</v>
      </c>
      <c r="AE37" s="220" t="s">
        <v>1153</v>
      </c>
      <c r="AF37" s="221" t="s">
        <v>1154</v>
      </c>
      <c r="AG37" s="220"/>
      <c r="AH37" s="221" t="s">
        <v>1155</v>
      </c>
      <c r="AI37" s="220">
        <v>0</v>
      </c>
      <c r="AJ37" s="220">
        <v>0</v>
      </c>
      <c r="AL37" s="200" t="s">
        <v>28</v>
      </c>
      <c r="AM37" s="200">
        <f t="shared" si="1"/>
        <v>4</v>
      </c>
      <c r="AN37" s="200">
        <f t="shared" si="2"/>
        <v>2022</v>
      </c>
      <c r="AO37" s="200">
        <f t="shared" si="3"/>
        <v>2025</v>
      </c>
      <c r="AP37" s="258">
        <f t="shared" si="4"/>
        <v>2025.3333333333333</v>
      </c>
      <c r="AQ37" s="188">
        <f t="shared" si="5"/>
        <v>36.882777777777775</v>
      </c>
      <c r="AR37" s="188">
        <f t="shared" si="6"/>
        <v>442.59333333333331</v>
      </c>
      <c r="AS37" s="13">
        <f t="shared" si="7"/>
        <v>442.59333333333331</v>
      </c>
      <c r="AT37" s="13">
        <f t="shared" si="11"/>
        <v>0</v>
      </c>
      <c r="AU37" s="13">
        <f t="shared" si="9"/>
        <v>442.59333333333331</v>
      </c>
      <c r="AV37" s="13">
        <f t="shared" si="10"/>
        <v>885.18666666666672</v>
      </c>
      <c r="AW37" s="9" t="s">
        <v>3193</v>
      </c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</row>
    <row r="38" spans="2:69" s="200" customFormat="1">
      <c r="B38" s="221">
        <v>2180</v>
      </c>
      <c r="C38" s="225">
        <v>278664</v>
      </c>
      <c r="D38" s="221" t="s">
        <v>97</v>
      </c>
      <c r="E38" s="220" t="s">
        <v>3225</v>
      </c>
      <c r="F38" s="221">
        <v>1</v>
      </c>
      <c r="G38" s="220"/>
      <c r="H38" s="220"/>
      <c r="I38" s="220"/>
      <c r="J38" s="220">
        <v>0</v>
      </c>
      <c r="K38" s="220" t="s">
        <v>3212</v>
      </c>
      <c r="L38" s="220"/>
      <c r="M38" s="220"/>
      <c r="N38" s="224">
        <v>44677</v>
      </c>
      <c r="O38" s="224">
        <v>44677</v>
      </c>
      <c r="P38" s="220" t="s">
        <v>3211</v>
      </c>
      <c r="Q38" s="221">
        <v>300</v>
      </c>
      <c r="R38" s="221">
        <v>14110</v>
      </c>
      <c r="S38" s="222">
        <v>965</v>
      </c>
      <c r="T38" s="221">
        <v>14116</v>
      </c>
      <c r="U38" s="222">
        <v>26.81</v>
      </c>
      <c r="V38" s="222">
        <f t="shared" si="0"/>
        <v>938.19</v>
      </c>
      <c r="W38" s="223">
        <v>26.81</v>
      </c>
      <c r="X38" s="221">
        <v>70260</v>
      </c>
      <c r="Y38" s="222">
        <v>26.81</v>
      </c>
      <c r="Z38" s="220" t="s">
        <v>97</v>
      </c>
      <c r="AA38" s="220"/>
      <c r="AB38" s="220" t="s">
        <v>3224</v>
      </c>
      <c r="AC38" s="220"/>
      <c r="AD38" s="220" t="s">
        <v>1152</v>
      </c>
      <c r="AE38" s="220" t="s">
        <v>1153</v>
      </c>
      <c r="AF38" s="221" t="s">
        <v>1154</v>
      </c>
      <c r="AG38" s="220"/>
      <c r="AH38" s="221" t="s">
        <v>1155</v>
      </c>
      <c r="AI38" s="220">
        <v>0</v>
      </c>
      <c r="AJ38" s="220">
        <v>0</v>
      </c>
      <c r="AL38" s="200" t="s">
        <v>28</v>
      </c>
      <c r="AM38" s="200">
        <f t="shared" si="1"/>
        <v>4</v>
      </c>
      <c r="AN38" s="200">
        <f t="shared" si="2"/>
        <v>2022</v>
      </c>
      <c r="AO38" s="200">
        <f t="shared" si="3"/>
        <v>2025</v>
      </c>
      <c r="AP38" s="258">
        <f t="shared" si="4"/>
        <v>2025.3333333333333</v>
      </c>
      <c r="AQ38" s="188">
        <f t="shared" si="5"/>
        <v>26.805555555555557</v>
      </c>
      <c r="AR38" s="188">
        <f t="shared" si="6"/>
        <v>321.66666666666669</v>
      </c>
      <c r="AS38" s="13">
        <f t="shared" si="7"/>
        <v>321.66666666666669</v>
      </c>
      <c r="AT38" s="13">
        <f t="shared" si="11"/>
        <v>0</v>
      </c>
      <c r="AU38" s="13">
        <f t="shared" si="9"/>
        <v>321.66666666666669</v>
      </c>
      <c r="AV38" s="13">
        <f t="shared" si="10"/>
        <v>643.33333333333326</v>
      </c>
      <c r="AW38" s="9" t="s">
        <v>3193</v>
      </c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</row>
    <row r="39" spans="2:69" s="200" customFormat="1">
      <c r="B39" s="221">
        <v>2180</v>
      </c>
      <c r="C39" s="225">
        <v>278663</v>
      </c>
      <c r="D39" s="221" t="s">
        <v>97</v>
      </c>
      <c r="E39" s="220" t="s">
        <v>3226</v>
      </c>
      <c r="F39" s="221">
        <v>1</v>
      </c>
      <c r="G39" s="220"/>
      <c r="H39" s="220"/>
      <c r="I39" s="220"/>
      <c r="J39" s="220">
        <v>0</v>
      </c>
      <c r="K39" s="220" t="s">
        <v>3212</v>
      </c>
      <c r="L39" s="220"/>
      <c r="M39" s="220"/>
      <c r="N39" s="224">
        <v>44677</v>
      </c>
      <c r="O39" s="224">
        <v>44677</v>
      </c>
      <c r="P39" s="220" t="s">
        <v>3211</v>
      </c>
      <c r="Q39" s="221">
        <v>300</v>
      </c>
      <c r="R39" s="221">
        <v>14110</v>
      </c>
      <c r="S39" s="222">
        <v>965</v>
      </c>
      <c r="T39" s="221">
        <v>14116</v>
      </c>
      <c r="U39" s="222">
        <v>26.81</v>
      </c>
      <c r="V39" s="222">
        <f t="shared" si="0"/>
        <v>938.19</v>
      </c>
      <c r="W39" s="223">
        <v>26.81</v>
      </c>
      <c r="X39" s="221">
        <v>70260</v>
      </c>
      <c r="Y39" s="222">
        <v>26.81</v>
      </c>
      <c r="Z39" s="220" t="s">
        <v>97</v>
      </c>
      <c r="AA39" s="220"/>
      <c r="AB39" s="220" t="s">
        <v>3224</v>
      </c>
      <c r="AC39" s="220"/>
      <c r="AD39" s="220" t="s">
        <v>1152</v>
      </c>
      <c r="AE39" s="220" t="s">
        <v>1153</v>
      </c>
      <c r="AF39" s="221" t="s">
        <v>1154</v>
      </c>
      <c r="AG39" s="220"/>
      <c r="AH39" s="221" t="s">
        <v>1155</v>
      </c>
      <c r="AI39" s="220">
        <v>0</v>
      </c>
      <c r="AJ39" s="220">
        <v>0</v>
      </c>
      <c r="AL39" s="200" t="s">
        <v>28</v>
      </c>
      <c r="AM39" s="200">
        <f t="shared" si="1"/>
        <v>4</v>
      </c>
      <c r="AN39" s="200">
        <f t="shared" si="2"/>
        <v>2022</v>
      </c>
      <c r="AO39" s="200">
        <f t="shared" si="3"/>
        <v>2025</v>
      </c>
      <c r="AP39" s="258">
        <f t="shared" si="4"/>
        <v>2025.3333333333333</v>
      </c>
      <c r="AQ39" s="188">
        <f t="shared" si="5"/>
        <v>26.805555555555557</v>
      </c>
      <c r="AR39" s="188">
        <f t="shared" si="6"/>
        <v>321.66666666666669</v>
      </c>
      <c r="AS39" s="13">
        <f t="shared" si="7"/>
        <v>321.66666666666669</v>
      </c>
      <c r="AT39" s="13">
        <f t="shared" si="11"/>
        <v>0</v>
      </c>
      <c r="AU39" s="13">
        <f t="shared" si="9"/>
        <v>321.66666666666669</v>
      </c>
      <c r="AV39" s="13">
        <f t="shared" si="10"/>
        <v>643.33333333333326</v>
      </c>
      <c r="AW39" s="9" t="s">
        <v>3193</v>
      </c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</row>
    <row r="40" spans="2:69" s="200" customFormat="1">
      <c r="B40" s="221">
        <v>2180</v>
      </c>
      <c r="C40" s="225">
        <v>278641</v>
      </c>
      <c r="D40" s="221" t="s">
        <v>97</v>
      </c>
      <c r="E40" s="220" t="s">
        <v>3229</v>
      </c>
      <c r="F40" s="221"/>
      <c r="G40" s="220"/>
      <c r="H40" s="220"/>
      <c r="I40" s="220"/>
      <c r="J40" s="220">
        <v>0</v>
      </c>
      <c r="K40" s="220" t="s">
        <v>3228</v>
      </c>
      <c r="L40" s="220"/>
      <c r="M40" s="220"/>
      <c r="N40" s="224">
        <v>44642</v>
      </c>
      <c r="O40" s="224">
        <v>44642</v>
      </c>
      <c r="P40" s="220" t="s">
        <v>3227</v>
      </c>
      <c r="Q40" s="221">
        <v>800</v>
      </c>
      <c r="R40" s="221">
        <v>14090</v>
      </c>
      <c r="S40" s="222">
        <v>24615</v>
      </c>
      <c r="T40" s="221">
        <v>14096</v>
      </c>
      <c r="U40" s="222">
        <v>512.80999999999995</v>
      </c>
      <c r="V40" s="222">
        <f t="shared" si="0"/>
        <v>24102.19</v>
      </c>
      <c r="W40" s="223">
        <v>512.80999999999995</v>
      </c>
      <c r="X40" s="221">
        <v>57260</v>
      </c>
      <c r="Y40" s="222">
        <v>256.39999999999998</v>
      </c>
      <c r="Z40" s="220" t="s">
        <v>97</v>
      </c>
      <c r="AA40" s="220"/>
      <c r="AB40" s="220">
        <v>22176</v>
      </c>
      <c r="AC40" s="220"/>
      <c r="AD40" s="220" t="s">
        <v>1152</v>
      </c>
      <c r="AE40" s="220" t="s">
        <v>1153</v>
      </c>
      <c r="AF40" s="221" t="s">
        <v>1154</v>
      </c>
      <c r="AG40" s="220"/>
      <c r="AH40" s="221" t="s">
        <v>1155</v>
      </c>
      <c r="AI40" s="220">
        <v>0</v>
      </c>
      <c r="AJ40" s="220">
        <v>0</v>
      </c>
      <c r="AL40" s="200" t="s">
        <v>31</v>
      </c>
      <c r="AM40" s="200">
        <f t="shared" si="1"/>
        <v>3</v>
      </c>
      <c r="AN40" s="200">
        <f t="shared" si="2"/>
        <v>2022</v>
      </c>
      <c r="AO40" s="200">
        <f t="shared" si="3"/>
        <v>2030</v>
      </c>
      <c r="AP40" s="258">
        <f t="shared" si="4"/>
        <v>2030.25</v>
      </c>
      <c r="AQ40" s="188">
        <f t="shared" si="5"/>
        <v>256.40625</v>
      </c>
      <c r="AR40" s="188">
        <f t="shared" si="6"/>
        <v>3076.875</v>
      </c>
      <c r="AS40" s="13">
        <f t="shared" si="7"/>
        <v>3076.875</v>
      </c>
      <c r="AT40" s="13">
        <f t="shared" si="11"/>
        <v>0</v>
      </c>
      <c r="AU40" s="13">
        <f t="shared" si="9"/>
        <v>3076.875</v>
      </c>
      <c r="AV40" s="13">
        <f t="shared" si="10"/>
        <v>21538.125</v>
      </c>
      <c r="AW40" s="9" t="s">
        <v>3193</v>
      </c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</row>
    <row r="41" spans="2:69" s="200" customFormat="1">
      <c r="B41" s="221">
        <v>2180</v>
      </c>
      <c r="C41" s="225">
        <v>277482</v>
      </c>
      <c r="D41" s="221" t="s">
        <v>97</v>
      </c>
      <c r="E41" s="220" t="s">
        <v>3230</v>
      </c>
      <c r="F41" s="221">
        <v>215</v>
      </c>
      <c r="G41" s="220"/>
      <c r="H41" s="220"/>
      <c r="I41" s="220"/>
      <c r="J41" s="220">
        <v>0</v>
      </c>
      <c r="K41" s="220"/>
      <c r="L41" s="220"/>
      <c r="M41" s="220"/>
      <c r="N41" s="224">
        <v>39755</v>
      </c>
      <c r="O41" s="224">
        <v>39755</v>
      </c>
      <c r="P41" s="220"/>
      <c r="Q41" s="221">
        <v>700</v>
      </c>
      <c r="R41" s="221">
        <v>14050</v>
      </c>
      <c r="S41" s="222">
        <v>18723.16</v>
      </c>
      <c r="T41" s="221">
        <v>14056</v>
      </c>
      <c r="U41" s="222">
        <v>18723.16</v>
      </c>
      <c r="V41" s="222">
        <f t="shared" si="0"/>
        <v>0</v>
      </c>
      <c r="W41" s="223">
        <v>0</v>
      </c>
      <c r="X41" s="221">
        <v>54260</v>
      </c>
      <c r="Y41" s="222">
        <v>0</v>
      </c>
      <c r="Z41" s="220" t="s">
        <v>1153</v>
      </c>
      <c r="AA41" s="220" t="s">
        <v>1383</v>
      </c>
      <c r="AB41" s="220"/>
      <c r="AC41" s="220"/>
      <c r="AD41" s="220" t="s">
        <v>1152</v>
      </c>
      <c r="AE41" s="220" t="s">
        <v>1153</v>
      </c>
      <c r="AF41" s="221" t="s">
        <v>1154</v>
      </c>
      <c r="AG41" s="256">
        <v>44651</v>
      </c>
      <c r="AH41" s="221" t="s">
        <v>1155</v>
      </c>
      <c r="AI41" s="220">
        <v>0</v>
      </c>
      <c r="AJ41" s="220">
        <v>18723.16</v>
      </c>
      <c r="AL41" s="200" t="s">
        <v>3401</v>
      </c>
      <c r="AM41" s="200">
        <f t="shared" si="1"/>
        <v>11</v>
      </c>
      <c r="AN41" s="200">
        <f t="shared" si="2"/>
        <v>2008</v>
      </c>
      <c r="AO41" s="200">
        <f t="shared" si="3"/>
        <v>2015</v>
      </c>
      <c r="AP41" s="258">
        <f t="shared" si="4"/>
        <v>2015.9166666666667</v>
      </c>
      <c r="AQ41" s="188">
        <f t="shared" si="5"/>
        <v>222.89476190476191</v>
      </c>
      <c r="AR41" s="188">
        <f t="shared" si="6"/>
        <v>2674.7371428571428</v>
      </c>
      <c r="AS41" s="13">
        <f t="shared" si="7"/>
        <v>0</v>
      </c>
      <c r="AT41" s="13">
        <f t="shared" si="11"/>
        <v>18723.16</v>
      </c>
      <c r="AU41" s="13">
        <f t="shared" si="9"/>
        <v>18723.16</v>
      </c>
      <c r="AV41" s="13">
        <f t="shared" si="10"/>
        <v>0</v>
      </c>
      <c r="AW41" s="9" t="s">
        <v>3193</v>
      </c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</row>
    <row r="42" spans="2:69" s="200" customFormat="1">
      <c r="B42" s="221">
        <v>2180</v>
      </c>
      <c r="C42" s="225">
        <v>277481</v>
      </c>
      <c r="D42" s="221" t="s">
        <v>97</v>
      </c>
      <c r="E42" s="220" t="s">
        <v>3231</v>
      </c>
      <c r="F42" s="221">
        <v>150</v>
      </c>
      <c r="G42" s="220"/>
      <c r="H42" s="220"/>
      <c r="I42" s="220"/>
      <c r="J42" s="220">
        <v>0</v>
      </c>
      <c r="K42" s="220"/>
      <c r="L42" s="220"/>
      <c r="M42" s="220"/>
      <c r="N42" s="224">
        <v>39755</v>
      </c>
      <c r="O42" s="224">
        <v>39755</v>
      </c>
      <c r="P42" s="220"/>
      <c r="Q42" s="221">
        <v>700</v>
      </c>
      <c r="R42" s="221">
        <v>14050</v>
      </c>
      <c r="S42" s="222">
        <v>13062.67</v>
      </c>
      <c r="T42" s="221">
        <v>14056</v>
      </c>
      <c r="U42" s="222">
        <v>13062.67</v>
      </c>
      <c r="V42" s="222">
        <f t="shared" si="0"/>
        <v>0</v>
      </c>
      <c r="W42" s="223">
        <v>0</v>
      </c>
      <c r="X42" s="221">
        <v>54260</v>
      </c>
      <c r="Y42" s="222">
        <v>0</v>
      </c>
      <c r="Z42" s="220" t="s">
        <v>1153</v>
      </c>
      <c r="AA42" s="220" t="s">
        <v>1383</v>
      </c>
      <c r="AB42" s="220"/>
      <c r="AC42" s="220"/>
      <c r="AD42" s="220" t="s">
        <v>1152</v>
      </c>
      <c r="AE42" s="220" t="s">
        <v>1153</v>
      </c>
      <c r="AF42" s="221" t="s">
        <v>1154</v>
      </c>
      <c r="AG42" s="256">
        <v>44651</v>
      </c>
      <c r="AH42" s="221" t="s">
        <v>1155</v>
      </c>
      <c r="AI42" s="220">
        <v>0</v>
      </c>
      <c r="AJ42" s="220">
        <v>13062.67</v>
      </c>
      <c r="AL42" s="200" t="s">
        <v>3401</v>
      </c>
      <c r="AM42" s="200">
        <f t="shared" si="1"/>
        <v>11</v>
      </c>
      <c r="AN42" s="200">
        <f t="shared" si="2"/>
        <v>2008</v>
      </c>
      <c r="AO42" s="200">
        <f t="shared" si="3"/>
        <v>2015</v>
      </c>
      <c r="AP42" s="258">
        <f t="shared" si="4"/>
        <v>2015.9166666666667</v>
      </c>
      <c r="AQ42" s="188">
        <f t="shared" si="5"/>
        <v>155.5079761904762</v>
      </c>
      <c r="AR42" s="188">
        <f t="shared" si="6"/>
        <v>1866.0957142857144</v>
      </c>
      <c r="AS42" s="13">
        <f t="shared" si="7"/>
        <v>0</v>
      </c>
      <c r="AT42" s="13">
        <f t="shared" si="11"/>
        <v>13062.67</v>
      </c>
      <c r="AU42" s="13">
        <f t="shared" si="9"/>
        <v>13062.67</v>
      </c>
      <c r="AV42" s="13">
        <f t="shared" si="10"/>
        <v>0</v>
      </c>
      <c r="AW42" s="9" t="s">
        <v>3193</v>
      </c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</row>
    <row r="43" spans="2:69" s="200" customFormat="1">
      <c r="B43" s="221">
        <v>2180</v>
      </c>
      <c r="C43" s="225">
        <v>277480</v>
      </c>
      <c r="D43" s="221" t="s">
        <v>97</v>
      </c>
      <c r="E43" s="220" t="s">
        <v>3232</v>
      </c>
      <c r="F43" s="221">
        <v>833</v>
      </c>
      <c r="G43" s="220"/>
      <c r="H43" s="220"/>
      <c r="I43" s="220"/>
      <c r="J43" s="220">
        <v>0</v>
      </c>
      <c r="K43" s="220"/>
      <c r="L43" s="220"/>
      <c r="M43" s="220"/>
      <c r="N43" s="224">
        <v>39755</v>
      </c>
      <c r="O43" s="224">
        <v>39755</v>
      </c>
      <c r="P43" s="220"/>
      <c r="Q43" s="221">
        <v>700</v>
      </c>
      <c r="R43" s="221">
        <v>14050</v>
      </c>
      <c r="S43" s="222">
        <v>72541.36</v>
      </c>
      <c r="T43" s="221">
        <v>14056</v>
      </c>
      <c r="U43" s="222">
        <v>72541.36</v>
      </c>
      <c r="V43" s="222">
        <f t="shared" si="0"/>
        <v>0</v>
      </c>
      <c r="W43" s="223">
        <v>0</v>
      </c>
      <c r="X43" s="221">
        <v>54260</v>
      </c>
      <c r="Y43" s="222">
        <v>0</v>
      </c>
      <c r="Z43" s="220" t="s">
        <v>1153</v>
      </c>
      <c r="AA43" s="220" t="s">
        <v>1383</v>
      </c>
      <c r="AB43" s="220"/>
      <c r="AC43" s="220"/>
      <c r="AD43" s="220" t="s">
        <v>1152</v>
      </c>
      <c r="AE43" s="220" t="s">
        <v>1153</v>
      </c>
      <c r="AF43" s="221" t="s">
        <v>1154</v>
      </c>
      <c r="AG43" s="256">
        <v>44651</v>
      </c>
      <c r="AH43" s="221" t="s">
        <v>1155</v>
      </c>
      <c r="AI43" s="220">
        <v>0</v>
      </c>
      <c r="AJ43" s="220">
        <v>72541.36</v>
      </c>
      <c r="AL43" s="200" t="s">
        <v>3401</v>
      </c>
      <c r="AM43" s="200">
        <f t="shared" si="1"/>
        <v>11</v>
      </c>
      <c r="AN43" s="200">
        <f t="shared" si="2"/>
        <v>2008</v>
      </c>
      <c r="AO43" s="200">
        <f t="shared" si="3"/>
        <v>2015</v>
      </c>
      <c r="AP43" s="258">
        <f t="shared" si="4"/>
        <v>2015.9166666666667</v>
      </c>
      <c r="AQ43" s="188">
        <f t="shared" si="5"/>
        <v>863.58761904761911</v>
      </c>
      <c r="AR43" s="188">
        <f t="shared" si="6"/>
        <v>10363.051428571429</v>
      </c>
      <c r="AS43" s="13">
        <f t="shared" si="7"/>
        <v>0</v>
      </c>
      <c r="AT43" s="13">
        <f t="shared" si="11"/>
        <v>72541.36</v>
      </c>
      <c r="AU43" s="13">
        <f t="shared" si="9"/>
        <v>72541.36</v>
      </c>
      <c r="AV43" s="13">
        <f t="shared" si="10"/>
        <v>0</v>
      </c>
      <c r="AW43" s="9" t="s">
        <v>3193</v>
      </c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</row>
    <row r="44" spans="2:69" s="200" customFormat="1">
      <c r="B44" s="221">
        <v>2180</v>
      </c>
      <c r="C44" s="225">
        <v>277479</v>
      </c>
      <c r="D44" s="221" t="s">
        <v>97</v>
      </c>
      <c r="E44" s="220" t="s">
        <v>3233</v>
      </c>
      <c r="F44" s="221">
        <v>834</v>
      </c>
      <c r="G44" s="220"/>
      <c r="H44" s="220"/>
      <c r="I44" s="220"/>
      <c r="J44" s="220">
        <v>0</v>
      </c>
      <c r="K44" s="220"/>
      <c r="L44" s="220"/>
      <c r="M44" s="220"/>
      <c r="N44" s="224">
        <v>39755</v>
      </c>
      <c r="O44" s="224">
        <v>39755</v>
      </c>
      <c r="P44" s="220"/>
      <c r="Q44" s="221">
        <v>700</v>
      </c>
      <c r="R44" s="221">
        <v>14050</v>
      </c>
      <c r="S44" s="222">
        <v>72628.45</v>
      </c>
      <c r="T44" s="221">
        <v>14056</v>
      </c>
      <c r="U44" s="222">
        <v>72628.45</v>
      </c>
      <c r="V44" s="222">
        <f t="shared" si="0"/>
        <v>0</v>
      </c>
      <c r="W44" s="223">
        <v>0</v>
      </c>
      <c r="X44" s="221">
        <v>54260</v>
      </c>
      <c r="Y44" s="222">
        <v>0</v>
      </c>
      <c r="Z44" s="220" t="s">
        <v>1153</v>
      </c>
      <c r="AA44" s="220" t="s">
        <v>1383</v>
      </c>
      <c r="AB44" s="220"/>
      <c r="AC44" s="220"/>
      <c r="AD44" s="220" t="s">
        <v>1152</v>
      </c>
      <c r="AE44" s="220" t="s">
        <v>1153</v>
      </c>
      <c r="AF44" s="221" t="s">
        <v>1154</v>
      </c>
      <c r="AG44" s="256">
        <v>44651</v>
      </c>
      <c r="AH44" s="221" t="s">
        <v>1155</v>
      </c>
      <c r="AI44" s="220">
        <v>0</v>
      </c>
      <c r="AJ44" s="220">
        <v>72628.45</v>
      </c>
      <c r="AL44" s="200" t="s">
        <v>3401</v>
      </c>
      <c r="AM44" s="200">
        <f t="shared" si="1"/>
        <v>11</v>
      </c>
      <c r="AN44" s="200">
        <f t="shared" si="2"/>
        <v>2008</v>
      </c>
      <c r="AO44" s="200">
        <f t="shared" si="3"/>
        <v>2015</v>
      </c>
      <c r="AP44" s="258">
        <f t="shared" si="4"/>
        <v>2015.9166666666667</v>
      </c>
      <c r="AQ44" s="188">
        <f t="shared" si="5"/>
        <v>864.62440476190477</v>
      </c>
      <c r="AR44" s="188">
        <f t="shared" si="6"/>
        <v>10375.492857142857</v>
      </c>
      <c r="AS44" s="13">
        <f t="shared" si="7"/>
        <v>0</v>
      </c>
      <c r="AT44" s="13">
        <f t="shared" si="11"/>
        <v>72628.45</v>
      </c>
      <c r="AU44" s="13">
        <f t="shared" si="9"/>
        <v>72628.45</v>
      </c>
      <c r="AV44" s="13">
        <f t="shared" si="10"/>
        <v>0</v>
      </c>
      <c r="AW44" s="9" t="s">
        <v>3193</v>
      </c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</row>
    <row r="45" spans="2:69" s="200" customFormat="1">
      <c r="B45" s="221">
        <v>2180</v>
      </c>
      <c r="C45" s="225">
        <v>277406</v>
      </c>
      <c r="D45" s="221">
        <v>272739</v>
      </c>
      <c r="E45" s="220" t="s">
        <v>3252</v>
      </c>
      <c r="F45" s="221"/>
      <c r="G45" s="220"/>
      <c r="H45" s="220" t="s">
        <v>3251</v>
      </c>
      <c r="I45" s="220"/>
      <c r="J45" s="220">
        <v>2022</v>
      </c>
      <c r="K45" s="220" t="s">
        <v>3250</v>
      </c>
      <c r="L45" s="220"/>
      <c r="M45" s="220" t="s">
        <v>1447</v>
      </c>
      <c r="N45" s="224">
        <v>44644</v>
      </c>
      <c r="O45" s="224">
        <v>44644</v>
      </c>
      <c r="P45" s="220" t="s">
        <v>3249</v>
      </c>
      <c r="Q45" s="221">
        <v>1000</v>
      </c>
      <c r="R45" s="221">
        <v>14040</v>
      </c>
      <c r="S45" s="222">
        <v>85701</v>
      </c>
      <c r="T45" s="221">
        <v>14046</v>
      </c>
      <c r="U45" s="222">
        <v>1428.35</v>
      </c>
      <c r="V45" s="222">
        <f t="shared" si="0"/>
        <v>84272.65</v>
      </c>
      <c r="W45" s="223">
        <v>1428.35</v>
      </c>
      <c r="X45" s="221">
        <v>51260</v>
      </c>
      <c r="Y45" s="222">
        <v>714.17</v>
      </c>
      <c r="Z45" s="220" t="s">
        <v>97</v>
      </c>
      <c r="AA45" s="220"/>
      <c r="AB45" s="220" t="s">
        <v>3248</v>
      </c>
      <c r="AC45" s="220"/>
      <c r="AD45" s="220" t="s">
        <v>1152</v>
      </c>
      <c r="AE45" s="220" t="s">
        <v>1153</v>
      </c>
      <c r="AF45" s="221" t="s">
        <v>1154</v>
      </c>
      <c r="AG45" s="220"/>
      <c r="AH45" s="221" t="s">
        <v>1155</v>
      </c>
      <c r="AI45" s="220">
        <v>0</v>
      </c>
      <c r="AJ45" s="220">
        <v>0</v>
      </c>
      <c r="AL45" s="200" t="s">
        <v>74</v>
      </c>
      <c r="AM45" s="200">
        <f t="shared" si="1"/>
        <v>3</v>
      </c>
      <c r="AN45" s="200">
        <f t="shared" si="2"/>
        <v>2022</v>
      </c>
      <c r="AO45" s="200">
        <f t="shared" si="3"/>
        <v>2032</v>
      </c>
      <c r="AP45" s="258">
        <f t="shared" si="4"/>
        <v>2032.25</v>
      </c>
      <c r="AQ45" s="188">
        <f t="shared" si="5"/>
        <v>714.17500000000007</v>
      </c>
      <c r="AR45" s="188">
        <f t="shared" si="6"/>
        <v>8570.1</v>
      </c>
      <c r="AS45" s="13">
        <f t="shared" si="7"/>
        <v>8570.1</v>
      </c>
      <c r="AT45" s="13">
        <f t="shared" si="11"/>
        <v>0</v>
      </c>
      <c r="AU45" s="13">
        <f t="shared" si="9"/>
        <v>8570.1</v>
      </c>
      <c r="AV45" s="13">
        <f t="shared" si="10"/>
        <v>77130.899999999994</v>
      </c>
      <c r="AW45" s="9" t="s">
        <v>3193</v>
      </c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</row>
    <row r="46" spans="2:69" s="200" customFormat="1">
      <c r="B46" s="221">
        <v>2180</v>
      </c>
      <c r="C46" s="225">
        <v>277259</v>
      </c>
      <c r="D46" s="221">
        <v>272739</v>
      </c>
      <c r="E46" s="220" t="s">
        <v>3253</v>
      </c>
      <c r="F46" s="221"/>
      <c r="G46" s="220"/>
      <c r="H46" s="220"/>
      <c r="I46" s="220"/>
      <c r="J46" s="220">
        <v>0</v>
      </c>
      <c r="K46" s="220" t="s">
        <v>2744</v>
      </c>
      <c r="L46" s="220"/>
      <c r="M46" s="220" t="s">
        <v>1447</v>
      </c>
      <c r="N46" s="224">
        <v>44657</v>
      </c>
      <c r="O46" s="224">
        <v>44657</v>
      </c>
      <c r="P46" s="220" t="s">
        <v>3249</v>
      </c>
      <c r="Q46" s="221">
        <v>1000</v>
      </c>
      <c r="R46" s="221">
        <v>14040</v>
      </c>
      <c r="S46" s="222">
        <v>413.15</v>
      </c>
      <c r="T46" s="221">
        <v>14046</v>
      </c>
      <c r="U46" s="222">
        <v>6.89</v>
      </c>
      <c r="V46" s="222">
        <f t="shared" si="0"/>
        <v>406.26</v>
      </c>
      <c r="W46" s="223">
        <v>6.89</v>
      </c>
      <c r="X46" s="221">
        <v>51260</v>
      </c>
      <c r="Y46" s="222">
        <v>3.45</v>
      </c>
      <c r="Z46" s="220" t="s">
        <v>97</v>
      </c>
      <c r="AA46" s="220"/>
      <c r="AB46" s="220">
        <v>306</v>
      </c>
      <c r="AC46" s="220"/>
      <c r="AD46" s="220" t="s">
        <v>1152</v>
      </c>
      <c r="AE46" s="220" t="s">
        <v>1153</v>
      </c>
      <c r="AF46" s="221" t="s">
        <v>1154</v>
      </c>
      <c r="AG46" s="220"/>
      <c r="AH46" s="221" t="s">
        <v>1155</v>
      </c>
      <c r="AI46" s="220">
        <v>0</v>
      </c>
      <c r="AJ46" s="220">
        <v>0</v>
      </c>
      <c r="AL46" s="200" t="s">
        <v>74</v>
      </c>
      <c r="AM46" s="200">
        <f t="shared" si="1"/>
        <v>4</v>
      </c>
      <c r="AN46" s="200">
        <f t="shared" si="2"/>
        <v>2022</v>
      </c>
      <c r="AO46" s="200">
        <f t="shared" si="3"/>
        <v>2032</v>
      </c>
      <c r="AP46" s="258">
        <f t="shared" si="4"/>
        <v>2032.3333333333333</v>
      </c>
      <c r="AQ46" s="188">
        <f t="shared" si="5"/>
        <v>3.4429166666666666</v>
      </c>
      <c r="AR46" s="188">
        <f t="shared" si="6"/>
        <v>41.314999999999998</v>
      </c>
      <c r="AS46" s="13">
        <f t="shared" si="7"/>
        <v>41.314999999999998</v>
      </c>
      <c r="AT46" s="13">
        <f t="shared" si="11"/>
        <v>0</v>
      </c>
      <c r="AU46" s="13">
        <f t="shared" si="9"/>
        <v>41.314999999999998</v>
      </c>
      <c r="AV46" s="13">
        <f t="shared" si="10"/>
        <v>371.83499999999998</v>
      </c>
      <c r="AW46" s="9" t="s">
        <v>3193</v>
      </c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</row>
    <row r="47" spans="2:69" s="200" customFormat="1">
      <c r="B47" s="221">
        <v>2180</v>
      </c>
      <c r="C47" s="225">
        <v>276005</v>
      </c>
      <c r="D47" s="221" t="s">
        <v>97</v>
      </c>
      <c r="E47" s="220" t="s">
        <v>3237</v>
      </c>
      <c r="F47" s="221">
        <v>1</v>
      </c>
      <c r="G47" s="220"/>
      <c r="H47" s="220"/>
      <c r="I47" s="220"/>
      <c r="J47" s="220">
        <v>0</v>
      </c>
      <c r="K47" s="220" t="s">
        <v>3236</v>
      </c>
      <c r="L47" s="220"/>
      <c r="M47" s="220"/>
      <c r="N47" s="224">
        <v>44613</v>
      </c>
      <c r="O47" s="224">
        <v>44613</v>
      </c>
      <c r="P47" s="220" t="s">
        <v>3235</v>
      </c>
      <c r="Q47" s="221">
        <v>500</v>
      </c>
      <c r="R47" s="221">
        <v>14070</v>
      </c>
      <c r="S47" s="222">
        <v>3497.65</v>
      </c>
      <c r="T47" s="221">
        <v>14076</v>
      </c>
      <c r="U47" s="222">
        <v>174.88</v>
      </c>
      <c r="V47" s="222">
        <f t="shared" si="0"/>
        <v>3322.77</v>
      </c>
      <c r="W47" s="223">
        <v>174.88</v>
      </c>
      <c r="X47" s="221">
        <v>51260</v>
      </c>
      <c r="Y47" s="222">
        <v>58.29</v>
      </c>
      <c r="Z47" s="220" t="s">
        <v>97</v>
      </c>
      <c r="AA47" s="220"/>
      <c r="AB47" s="220" t="s">
        <v>3234</v>
      </c>
      <c r="AC47" s="220"/>
      <c r="AD47" s="220" t="s">
        <v>1152</v>
      </c>
      <c r="AE47" s="220" t="s">
        <v>1153</v>
      </c>
      <c r="AF47" s="221" t="s">
        <v>1154</v>
      </c>
      <c r="AG47" s="220"/>
      <c r="AH47" s="221" t="s">
        <v>1155</v>
      </c>
      <c r="AI47" s="220">
        <v>0</v>
      </c>
      <c r="AJ47" s="220">
        <v>0</v>
      </c>
      <c r="AL47" s="200" t="s">
        <v>26</v>
      </c>
      <c r="AM47" s="200">
        <f t="shared" si="1"/>
        <v>2</v>
      </c>
      <c r="AN47" s="200">
        <f t="shared" si="2"/>
        <v>2022</v>
      </c>
      <c r="AO47" s="200">
        <f t="shared" si="3"/>
        <v>2027</v>
      </c>
      <c r="AP47" s="258">
        <f t="shared" si="4"/>
        <v>2027.1666666666667</v>
      </c>
      <c r="AQ47" s="188">
        <f t="shared" si="5"/>
        <v>58.294166666666662</v>
      </c>
      <c r="AR47" s="188">
        <f t="shared" si="6"/>
        <v>699.53</v>
      </c>
      <c r="AS47" s="13">
        <f t="shared" si="7"/>
        <v>699.53</v>
      </c>
      <c r="AT47" s="13">
        <f t="shared" si="11"/>
        <v>0</v>
      </c>
      <c r="AU47" s="13">
        <f t="shared" si="9"/>
        <v>699.53</v>
      </c>
      <c r="AV47" s="13">
        <f t="shared" si="10"/>
        <v>2798.12</v>
      </c>
      <c r="AW47" s="9" t="s">
        <v>3193</v>
      </c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</row>
    <row r="48" spans="2:69" s="200" customFormat="1">
      <c r="B48" s="221">
        <v>2180</v>
      </c>
      <c r="C48" s="225">
        <v>275842</v>
      </c>
      <c r="D48" s="221" t="s">
        <v>97</v>
      </c>
      <c r="E48" s="220" t="s">
        <v>3238</v>
      </c>
      <c r="F48" s="221"/>
      <c r="G48" s="220"/>
      <c r="H48" s="220"/>
      <c r="I48" s="220" t="s">
        <v>1147</v>
      </c>
      <c r="J48" s="220">
        <v>0</v>
      </c>
      <c r="K48" s="220" t="s">
        <v>1695</v>
      </c>
      <c r="L48" s="220"/>
      <c r="M48" s="220"/>
      <c r="N48" s="224">
        <v>44642</v>
      </c>
      <c r="O48" s="224">
        <v>44642</v>
      </c>
      <c r="P48" s="220" t="s">
        <v>3227</v>
      </c>
      <c r="Q48" s="221">
        <v>800</v>
      </c>
      <c r="R48" s="221">
        <v>14090</v>
      </c>
      <c r="S48" s="222">
        <v>45912.99</v>
      </c>
      <c r="T48" s="221">
        <v>14096</v>
      </c>
      <c r="U48" s="222">
        <v>956.52</v>
      </c>
      <c r="V48" s="222">
        <f t="shared" si="0"/>
        <v>44956.47</v>
      </c>
      <c r="W48" s="223">
        <v>956.52</v>
      </c>
      <c r="X48" s="221">
        <v>57260</v>
      </c>
      <c r="Y48" s="222">
        <v>478.26</v>
      </c>
      <c r="Z48" s="220" t="s">
        <v>97</v>
      </c>
      <c r="AA48" s="220"/>
      <c r="AB48" s="220">
        <v>14374</v>
      </c>
      <c r="AC48" s="220"/>
      <c r="AD48" s="220" t="s">
        <v>1152</v>
      </c>
      <c r="AE48" s="220" t="s">
        <v>1153</v>
      </c>
      <c r="AF48" s="221" t="s">
        <v>1154</v>
      </c>
      <c r="AG48" s="220"/>
      <c r="AH48" s="221" t="s">
        <v>1155</v>
      </c>
      <c r="AI48" s="220">
        <v>0</v>
      </c>
      <c r="AJ48" s="220">
        <v>0</v>
      </c>
      <c r="AL48" s="200" t="s">
        <v>31</v>
      </c>
      <c r="AM48" s="200">
        <f t="shared" si="1"/>
        <v>3</v>
      </c>
      <c r="AN48" s="200">
        <f t="shared" si="2"/>
        <v>2022</v>
      </c>
      <c r="AO48" s="200">
        <f t="shared" si="3"/>
        <v>2030</v>
      </c>
      <c r="AP48" s="258">
        <f t="shared" si="4"/>
        <v>2030.25</v>
      </c>
      <c r="AQ48" s="188">
        <f t="shared" si="5"/>
        <v>478.2603125</v>
      </c>
      <c r="AR48" s="188">
        <f t="shared" si="6"/>
        <v>5739.1237499999997</v>
      </c>
      <c r="AS48" s="13">
        <f t="shared" si="7"/>
        <v>5739.1237499999997</v>
      </c>
      <c r="AT48" s="13">
        <f t="shared" si="11"/>
        <v>0</v>
      </c>
      <c r="AU48" s="13">
        <f t="shared" si="9"/>
        <v>5739.1237499999997</v>
      </c>
      <c r="AV48" s="13">
        <f t="shared" si="10"/>
        <v>40173.866249999999</v>
      </c>
      <c r="AW48" s="9" t="s">
        <v>3193</v>
      </c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</row>
    <row r="49" spans="2:69" s="200" customFormat="1">
      <c r="B49" s="221">
        <v>2180</v>
      </c>
      <c r="C49" s="225">
        <v>274957</v>
      </c>
      <c r="D49" s="221" t="s">
        <v>97</v>
      </c>
      <c r="E49" s="220" t="s">
        <v>3240</v>
      </c>
      <c r="F49" s="221">
        <v>702</v>
      </c>
      <c r="G49" s="220"/>
      <c r="H49" s="220"/>
      <c r="I49" s="220"/>
      <c r="J49" s="220">
        <v>0</v>
      </c>
      <c r="K49" s="220" t="s">
        <v>2445</v>
      </c>
      <c r="L49" s="220"/>
      <c r="M49" s="220" t="s">
        <v>2846</v>
      </c>
      <c r="N49" s="224">
        <v>44586</v>
      </c>
      <c r="O49" s="224">
        <v>44586</v>
      </c>
      <c r="P49" s="220" t="s">
        <v>3239</v>
      </c>
      <c r="Q49" s="221">
        <v>700</v>
      </c>
      <c r="R49" s="221">
        <v>14050</v>
      </c>
      <c r="S49" s="222">
        <v>48029.97</v>
      </c>
      <c r="T49" s="221">
        <v>14056</v>
      </c>
      <c r="U49" s="222">
        <v>2287.14</v>
      </c>
      <c r="V49" s="222">
        <f t="shared" si="0"/>
        <v>45742.83</v>
      </c>
      <c r="W49" s="223">
        <v>2287.14</v>
      </c>
      <c r="X49" s="221">
        <v>54260</v>
      </c>
      <c r="Y49" s="222">
        <v>571.78</v>
      </c>
      <c r="Z49" s="220" t="s">
        <v>97</v>
      </c>
      <c r="AA49" s="220"/>
      <c r="AB49" s="220">
        <v>50219735</v>
      </c>
      <c r="AC49" s="220"/>
      <c r="AD49" s="220" t="s">
        <v>1152</v>
      </c>
      <c r="AE49" s="220" t="s">
        <v>1153</v>
      </c>
      <c r="AF49" s="221" t="s">
        <v>1154</v>
      </c>
      <c r="AG49" s="220"/>
      <c r="AH49" s="221" t="s">
        <v>1155</v>
      </c>
      <c r="AI49" s="220">
        <v>0</v>
      </c>
      <c r="AJ49" s="220">
        <v>0</v>
      </c>
      <c r="AL49" s="200" t="s">
        <v>21</v>
      </c>
      <c r="AM49" s="200">
        <f t="shared" si="1"/>
        <v>1</v>
      </c>
      <c r="AN49" s="200">
        <f t="shared" si="2"/>
        <v>2022</v>
      </c>
      <c r="AO49" s="200">
        <f t="shared" si="3"/>
        <v>2029</v>
      </c>
      <c r="AP49" s="258">
        <f t="shared" si="4"/>
        <v>2029.0833333333333</v>
      </c>
      <c r="AQ49" s="188">
        <f t="shared" si="5"/>
        <v>571.78535714285715</v>
      </c>
      <c r="AR49" s="188">
        <f t="shared" si="6"/>
        <v>6861.4242857142854</v>
      </c>
      <c r="AS49" s="13">
        <f t="shared" si="7"/>
        <v>6861.4242857142854</v>
      </c>
      <c r="AT49" s="13">
        <f t="shared" si="11"/>
        <v>0</v>
      </c>
      <c r="AU49" s="13">
        <f t="shared" si="9"/>
        <v>6861.4242857142854</v>
      </c>
      <c r="AV49" s="13">
        <f t="shared" si="10"/>
        <v>41168.545714285719</v>
      </c>
      <c r="AW49" s="9" t="s">
        <v>3193</v>
      </c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</row>
    <row r="50" spans="2:69" s="200" customFormat="1">
      <c r="B50" s="221">
        <v>2180</v>
      </c>
      <c r="C50" s="225">
        <v>274956</v>
      </c>
      <c r="D50" s="221" t="s">
        <v>97</v>
      </c>
      <c r="E50" s="220" t="s">
        <v>3242</v>
      </c>
      <c r="F50" s="221">
        <v>1404</v>
      </c>
      <c r="G50" s="220"/>
      <c r="H50" s="220"/>
      <c r="I50" s="220"/>
      <c r="J50" s="220">
        <v>0</v>
      </c>
      <c r="K50" s="220" t="s">
        <v>2445</v>
      </c>
      <c r="L50" s="220"/>
      <c r="M50" s="220" t="s">
        <v>2846</v>
      </c>
      <c r="N50" s="224">
        <v>44587</v>
      </c>
      <c r="O50" s="224">
        <v>44587</v>
      </c>
      <c r="P50" s="220" t="s">
        <v>3241</v>
      </c>
      <c r="Q50" s="221">
        <v>700</v>
      </c>
      <c r="R50" s="221">
        <v>14050</v>
      </c>
      <c r="S50" s="222">
        <v>96059.94</v>
      </c>
      <c r="T50" s="221">
        <v>14056</v>
      </c>
      <c r="U50" s="222">
        <v>4574.28</v>
      </c>
      <c r="V50" s="222">
        <f t="shared" si="0"/>
        <v>91485.66</v>
      </c>
      <c r="W50" s="223">
        <v>4574.28</v>
      </c>
      <c r="X50" s="221">
        <v>54260</v>
      </c>
      <c r="Y50" s="222">
        <v>1143.57</v>
      </c>
      <c r="Z50" s="220" t="s">
        <v>97</v>
      </c>
      <c r="AA50" s="220"/>
      <c r="AB50" s="220">
        <v>50220003</v>
      </c>
      <c r="AC50" s="220"/>
      <c r="AD50" s="220" t="s">
        <v>1152</v>
      </c>
      <c r="AE50" s="220" t="s">
        <v>1153</v>
      </c>
      <c r="AF50" s="221" t="s">
        <v>1154</v>
      </c>
      <c r="AG50" s="220"/>
      <c r="AH50" s="221" t="s">
        <v>1155</v>
      </c>
      <c r="AI50" s="220">
        <v>0</v>
      </c>
      <c r="AJ50" s="220">
        <v>0</v>
      </c>
      <c r="AL50" s="200" t="s">
        <v>3451</v>
      </c>
      <c r="AM50" s="200">
        <f t="shared" si="1"/>
        <v>1</v>
      </c>
      <c r="AN50" s="200">
        <f t="shared" si="2"/>
        <v>2022</v>
      </c>
      <c r="AO50" s="200">
        <f t="shared" si="3"/>
        <v>2029</v>
      </c>
      <c r="AP50" s="258">
        <f t="shared" si="4"/>
        <v>2029.0833333333333</v>
      </c>
      <c r="AQ50" s="188">
        <f t="shared" si="5"/>
        <v>1143.5707142857143</v>
      </c>
      <c r="AR50" s="188">
        <f t="shared" si="6"/>
        <v>13722.848571428571</v>
      </c>
      <c r="AS50" s="13">
        <f t="shared" si="7"/>
        <v>13722.848571428571</v>
      </c>
      <c r="AT50" s="13">
        <f t="shared" si="11"/>
        <v>0</v>
      </c>
      <c r="AU50" s="13">
        <f t="shared" si="9"/>
        <v>13722.848571428571</v>
      </c>
      <c r="AV50" s="13">
        <f t="shared" si="10"/>
        <v>82337.091428571439</v>
      </c>
      <c r="AW50" s="9" t="s">
        <v>3193</v>
      </c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</row>
    <row r="51" spans="2:69" s="200" customFormat="1">
      <c r="B51" s="221">
        <v>2180</v>
      </c>
      <c r="C51" s="225">
        <v>274955</v>
      </c>
      <c r="D51" s="221" t="s">
        <v>97</v>
      </c>
      <c r="E51" s="220" t="s">
        <v>3244</v>
      </c>
      <c r="F51" s="221">
        <v>702</v>
      </c>
      <c r="G51" s="220"/>
      <c r="H51" s="220"/>
      <c r="I51" s="220"/>
      <c r="J51" s="220">
        <v>0</v>
      </c>
      <c r="K51" s="220" t="s">
        <v>2445</v>
      </c>
      <c r="L51" s="220"/>
      <c r="M51" s="220" t="s">
        <v>2846</v>
      </c>
      <c r="N51" s="224">
        <v>44587</v>
      </c>
      <c r="O51" s="224">
        <v>44587</v>
      </c>
      <c r="P51" s="220" t="s">
        <v>3243</v>
      </c>
      <c r="Q51" s="221">
        <v>700</v>
      </c>
      <c r="R51" s="221">
        <v>14050</v>
      </c>
      <c r="S51" s="222">
        <v>48029.97</v>
      </c>
      <c r="T51" s="221">
        <v>14056</v>
      </c>
      <c r="U51" s="222">
        <v>2287.14</v>
      </c>
      <c r="V51" s="222">
        <f t="shared" si="0"/>
        <v>45742.83</v>
      </c>
      <c r="W51" s="223">
        <v>2287.14</v>
      </c>
      <c r="X51" s="221">
        <v>54260</v>
      </c>
      <c r="Y51" s="222">
        <v>571.78</v>
      </c>
      <c r="Z51" s="220" t="s">
        <v>97</v>
      </c>
      <c r="AA51" s="220"/>
      <c r="AB51" s="220">
        <v>50220003</v>
      </c>
      <c r="AC51" s="220"/>
      <c r="AD51" s="220" t="s">
        <v>1152</v>
      </c>
      <c r="AE51" s="220" t="s">
        <v>1153</v>
      </c>
      <c r="AF51" s="221" t="s">
        <v>1154</v>
      </c>
      <c r="AG51" s="220"/>
      <c r="AH51" s="221" t="s">
        <v>1155</v>
      </c>
      <c r="AI51" s="220">
        <v>0</v>
      </c>
      <c r="AJ51" s="220">
        <v>0</v>
      </c>
      <c r="AL51" s="200" t="s">
        <v>19</v>
      </c>
      <c r="AM51" s="200">
        <f t="shared" si="1"/>
        <v>1</v>
      </c>
      <c r="AN51" s="200">
        <f t="shared" si="2"/>
        <v>2022</v>
      </c>
      <c r="AO51" s="200">
        <f t="shared" si="3"/>
        <v>2029</v>
      </c>
      <c r="AP51" s="258">
        <f t="shared" si="4"/>
        <v>2029.0833333333333</v>
      </c>
      <c r="AQ51" s="188">
        <f t="shared" si="5"/>
        <v>571.78535714285715</v>
      </c>
      <c r="AR51" s="188">
        <f t="shared" si="6"/>
        <v>6861.4242857142854</v>
      </c>
      <c r="AS51" s="13">
        <f t="shared" si="7"/>
        <v>6861.4242857142854</v>
      </c>
      <c r="AT51" s="13">
        <f t="shared" si="11"/>
        <v>0</v>
      </c>
      <c r="AU51" s="13">
        <f t="shared" si="9"/>
        <v>6861.4242857142854</v>
      </c>
      <c r="AV51" s="13">
        <f t="shared" si="10"/>
        <v>41168.545714285719</v>
      </c>
      <c r="AW51" s="9" t="s">
        <v>3193</v>
      </c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</row>
    <row r="52" spans="2:69" s="200" customFormat="1">
      <c r="B52" s="221">
        <v>2180</v>
      </c>
      <c r="C52" s="225">
        <v>274954</v>
      </c>
      <c r="D52" s="221" t="s">
        <v>97</v>
      </c>
      <c r="E52" s="220" t="s">
        <v>3244</v>
      </c>
      <c r="F52" s="221">
        <v>702</v>
      </c>
      <c r="G52" s="220"/>
      <c r="H52" s="220"/>
      <c r="I52" s="220"/>
      <c r="J52" s="220">
        <v>0</v>
      </c>
      <c r="K52" s="220" t="s">
        <v>2445</v>
      </c>
      <c r="L52" s="220"/>
      <c r="M52" s="220" t="s">
        <v>2846</v>
      </c>
      <c r="N52" s="224">
        <v>44586</v>
      </c>
      <c r="O52" s="224">
        <v>44586</v>
      </c>
      <c r="P52" s="220" t="s">
        <v>3243</v>
      </c>
      <c r="Q52" s="221">
        <v>700</v>
      </c>
      <c r="R52" s="221">
        <v>14050</v>
      </c>
      <c r="S52" s="222">
        <v>48029.97</v>
      </c>
      <c r="T52" s="221">
        <v>14056</v>
      </c>
      <c r="U52" s="222">
        <v>2287.14</v>
      </c>
      <c r="V52" s="222">
        <f t="shared" si="0"/>
        <v>45742.83</v>
      </c>
      <c r="W52" s="223">
        <v>2287.14</v>
      </c>
      <c r="X52" s="221">
        <v>54260</v>
      </c>
      <c r="Y52" s="222">
        <v>571.78</v>
      </c>
      <c r="Z52" s="220" t="s">
        <v>97</v>
      </c>
      <c r="AA52" s="220"/>
      <c r="AB52" s="220">
        <v>50219735</v>
      </c>
      <c r="AC52" s="220"/>
      <c r="AD52" s="220" t="s">
        <v>1152</v>
      </c>
      <c r="AE52" s="220" t="s">
        <v>1153</v>
      </c>
      <c r="AF52" s="221" t="s">
        <v>1154</v>
      </c>
      <c r="AG52" s="220"/>
      <c r="AH52" s="221" t="s">
        <v>1155</v>
      </c>
      <c r="AI52" s="220">
        <v>0</v>
      </c>
      <c r="AJ52" s="220">
        <v>0</v>
      </c>
      <c r="AL52" s="200" t="s">
        <v>19</v>
      </c>
      <c r="AM52" s="200">
        <f t="shared" si="1"/>
        <v>1</v>
      </c>
      <c r="AN52" s="200">
        <f t="shared" si="2"/>
        <v>2022</v>
      </c>
      <c r="AO52" s="200">
        <f t="shared" si="3"/>
        <v>2029</v>
      </c>
      <c r="AP52" s="258">
        <f t="shared" si="4"/>
        <v>2029.0833333333333</v>
      </c>
      <c r="AQ52" s="188">
        <f t="shared" si="5"/>
        <v>571.78535714285715</v>
      </c>
      <c r="AR52" s="188">
        <f t="shared" si="6"/>
        <v>6861.4242857142854</v>
      </c>
      <c r="AS52" s="13">
        <f t="shared" si="7"/>
        <v>6861.4242857142854</v>
      </c>
      <c r="AT52" s="13">
        <f t="shared" si="11"/>
        <v>0</v>
      </c>
      <c r="AU52" s="13">
        <f t="shared" si="9"/>
        <v>6861.4242857142854</v>
      </c>
      <c r="AV52" s="13">
        <f t="shared" si="10"/>
        <v>41168.545714285719</v>
      </c>
      <c r="AW52" s="9" t="s">
        <v>3193</v>
      </c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</row>
    <row r="53" spans="2:69" s="200" customFormat="1">
      <c r="B53" s="221">
        <v>2180</v>
      </c>
      <c r="C53" s="225">
        <v>274855</v>
      </c>
      <c r="D53" s="221" t="s">
        <v>97</v>
      </c>
      <c r="E53" s="220" t="s">
        <v>3245</v>
      </c>
      <c r="F53" s="221">
        <v>702</v>
      </c>
      <c r="G53" s="220"/>
      <c r="H53" s="220"/>
      <c r="I53" s="220"/>
      <c r="J53" s="220">
        <v>0</v>
      </c>
      <c r="K53" s="220" t="s">
        <v>2445</v>
      </c>
      <c r="L53" s="220"/>
      <c r="M53" s="220" t="s">
        <v>2846</v>
      </c>
      <c r="N53" s="224">
        <v>44585</v>
      </c>
      <c r="O53" s="224">
        <v>44585</v>
      </c>
      <c r="P53" s="220" t="s">
        <v>3239</v>
      </c>
      <c r="Q53" s="221">
        <v>700</v>
      </c>
      <c r="R53" s="221">
        <v>14050</v>
      </c>
      <c r="S53" s="222">
        <v>48029.97</v>
      </c>
      <c r="T53" s="221">
        <v>14056</v>
      </c>
      <c r="U53" s="222">
        <v>2287.14</v>
      </c>
      <c r="V53" s="222">
        <f t="shared" si="0"/>
        <v>45742.83</v>
      </c>
      <c r="W53" s="223">
        <v>2287.14</v>
      </c>
      <c r="X53" s="221">
        <v>54260</v>
      </c>
      <c r="Y53" s="222">
        <v>571.78</v>
      </c>
      <c r="Z53" s="220" t="s">
        <v>97</v>
      </c>
      <c r="AA53" s="220"/>
      <c r="AB53" s="220">
        <v>50219488</v>
      </c>
      <c r="AC53" s="220"/>
      <c r="AD53" s="220" t="s">
        <v>1152</v>
      </c>
      <c r="AE53" s="220" t="s">
        <v>1153</v>
      </c>
      <c r="AF53" s="221" t="s">
        <v>1154</v>
      </c>
      <c r="AG53" s="220"/>
      <c r="AH53" s="221" t="s">
        <v>1155</v>
      </c>
      <c r="AI53" s="220">
        <v>0</v>
      </c>
      <c r="AJ53" s="220">
        <v>0</v>
      </c>
      <c r="AL53" s="200" t="s">
        <v>21</v>
      </c>
      <c r="AM53" s="200">
        <f t="shared" si="1"/>
        <v>1</v>
      </c>
      <c r="AN53" s="200">
        <f t="shared" si="2"/>
        <v>2022</v>
      </c>
      <c r="AO53" s="200">
        <f t="shared" si="3"/>
        <v>2029</v>
      </c>
      <c r="AP53" s="258">
        <f t="shared" si="4"/>
        <v>2029.0833333333333</v>
      </c>
      <c r="AQ53" s="188">
        <f t="shared" si="5"/>
        <v>571.78535714285715</v>
      </c>
      <c r="AR53" s="188">
        <f t="shared" si="6"/>
        <v>6861.4242857142854</v>
      </c>
      <c r="AS53" s="13">
        <f t="shared" si="7"/>
        <v>6861.4242857142854</v>
      </c>
      <c r="AT53" s="13">
        <f t="shared" si="11"/>
        <v>0</v>
      </c>
      <c r="AU53" s="13">
        <f t="shared" si="9"/>
        <v>6861.4242857142854</v>
      </c>
      <c r="AV53" s="13">
        <f t="shared" si="10"/>
        <v>41168.545714285719</v>
      </c>
      <c r="AW53" s="9" t="s">
        <v>3193</v>
      </c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</row>
    <row r="54" spans="2:69" s="200" customFormat="1">
      <c r="B54" s="221">
        <v>2180</v>
      </c>
      <c r="C54" s="225">
        <v>274613</v>
      </c>
      <c r="D54" s="221" t="s">
        <v>97</v>
      </c>
      <c r="E54" s="220" t="s">
        <v>3237</v>
      </c>
      <c r="F54" s="221">
        <v>1</v>
      </c>
      <c r="G54" s="220"/>
      <c r="H54" s="220"/>
      <c r="I54" s="220"/>
      <c r="J54" s="220">
        <v>0</v>
      </c>
      <c r="K54" s="220" t="s">
        <v>3247</v>
      </c>
      <c r="L54" s="220"/>
      <c r="M54" s="220"/>
      <c r="N54" s="224">
        <v>44613</v>
      </c>
      <c r="O54" s="224">
        <v>44613</v>
      </c>
      <c r="P54" s="220" t="s">
        <v>3235</v>
      </c>
      <c r="Q54" s="221">
        <v>500</v>
      </c>
      <c r="R54" s="221">
        <v>14070</v>
      </c>
      <c r="S54" s="222">
        <v>9288.67</v>
      </c>
      <c r="T54" s="221">
        <v>14076</v>
      </c>
      <c r="U54" s="222">
        <v>464.43</v>
      </c>
      <c r="V54" s="222">
        <f t="shared" si="0"/>
        <v>8824.24</v>
      </c>
      <c r="W54" s="223">
        <v>464.43</v>
      </c>
      <c r="X54" s="221">
        <v>51260</v>
      </c>
      <c r="Y54" s="222">
        <v>154.81</v>
      </c>
      <c r="Z54" s="220" t="s">
        <v>97</v>
      </c>
      <c r="AA54" s="220"/>
      <c r="AB54" s="220" t="s">
        <v>3246</v>
      </c>
      <c r="AC54" s="220"/>
      <c r="AD54" s="220" t="s">
        <v>1152</v>
      </c>
      <c r="AE54" s="220" t="s">
        <v>1153</v>
      </c>
      <c r="AF54" s="221" t="s">
        <v>1154</v>
      </c>
      <c r="AG54" s="220"/>
      <c r="AH54" s="221" t="s">
        <v>1155</v>
      </c>
      <c r="AI54" s="220">
        <v>0</v>
      </c>
      <c r="AJ54" s="220">
        <v>0</v>
      </c>
      <c r="AL54" s="200" t="s">
        <v>26</v>
      </c>
      <c r="AM54" s="200">
        <f t="shared" si="1"/>
        <v>2</v>
      </c>
      <c r="AN54" s="200">
        <f t="shared" si="2"/>
        <v>2022</v>
      </c>
      <c r="AO54" s="200">
        <f t="shared" si="3"/>
        <v>2027</v>
      </c>
      <c r="AP54" s="258">
        <f t="shared" si="4"/>
        <v>2027.1666666666667</v>
      </c>
      <c r="AQ54" s="188">
        <f t="shared" si="5"/>
        <v>154.81116666666665</v>
      </c>
      <c r="AR54" s="188">
        <f t="shared" si="6"/>
        <v>1857.7339999999999</v>
      </c>
      <c r="AS54" s="13">
        <f t="shared" si="7"/>
        <v>1857.7339999999999</v>
      </c>
      <c r="AT54" s="13">
        <f t="shared" si="11"/>
        <v>0</v>
      </c>
      <c r="AU54" s="13">
        <f t="shared" si="9"/>
        <v>1857.7339999999999</v>
      </c>
      <c r="AV54" s="13">
        <f t="shared" si="10"/>
        <v>7430.9359999999997</v>
      </c>
      <c r="AW54" s="9" t="s">
        <v>3193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</row>
    <row r="55" spans="2:69" s="200" customFormat="1">
      <c r="B55" s="221">
        <v>2180</v>
      </c>
      <c r="C55" s="225">
        <v>272739</v>
      </c>
      <c r="D55" s="221" t="s">
        <v>97</v>
      </c>
      <c r="E55" s="220" t="s">
        <v>3256</v>
      </c>
      <c r="F55" s="221"/>
      <c r="G55" s="220"/>
      <c r="H55" s="220" t="s">
        <v>3251</v>
      </c>
      <c r="I55" s="220"/>
      <c r="J55" s="220">
        <v>2021</v>
      </c>
      <c r="K55" s="220" t="s">
        <v>1042</v>
      </c>
      <c r="L55" s="220" t="s">
        <v>1042</v>
      </c>
      <c r="M55" s="220" t="s">
        <v>1404</v>
      </c>
      <c r="N55" s="224">
        <v>44563</v>
      </c>
      <c r="O55" s="224">
        <v>44563</v>
      </c>
      <c r="P55" s="220" t="s">
        <v>3255</v>
      </c>
      <c r="Q55" s="221">
        <v>1000</v>
      </c>
      <c r="R55" s="221">
        <v>14040</v>
      </c>
      <c r="S55" s="222">
        <v>66358.58</v>
      </c>
      <c r="T55" s="221">
        <v>14046</v>
      </c>
      <c r="U55" s="222">
        <v>2764.94</v>
      </c>
      <c r="V55" s="222">
        <f t="shared" si="0"/>
        <v>63593.64</v>
      </c>
      <c r="W55" s="223">
        <v>2764.94</v>
      </c>
      <c r="X55" s="221">
        <v>51260</v>
      </c>
      <c r="Y55" s="222">
        <v>552.99</v>
      </c>
      <c r="Z55" s="220" t="s">
        <v>97</v>
      </c>
      <c r="AA55" s="220"/>
      <c r="AB55" s="220" t="s">
        <v>3254</v>
      </c>
      <c r="AC55" s="220"/>
      <c r="AD55" s="220" t="s">
        <v>1152</v>
      </c>
      <c r="AE55" s="220" t="s">
        <v>1153</v>
      </c>
      <c r="AF55" s="221" t="s">
        <v>1154</v>
      </c>
      <c r="AG55" s="220"/>
      <c r="AH55" s="221" t="s">
        <v>1155</v>
      </c>
      <c r="AI55" s="220">
        <v>0</v>
      </c>
      <c r="AJ55" s="220">
        <v>0</v>
      </c>
      <c r="AL55" s="200" t="s">
        <v>74</v>
      </c>
      <c r="AM55" s="200">
        <f t="shared" si="1"/>
        <v>1</v>
      </c>
      <c r="AN55" s="200">
        <f t="shared" si="2"/>
        <v>2022</v>
      </c>
      <c r="AO55" s="200">
        <f t="shared" si="3"/>
        <v>2032</v>
      </c>
      <c r="AP55" s="258">
        <f t="shared" si="4"/>
        <v>2032.0833333333333</v>
      </c>
      <c r="AQ55" s="188">
        <f t="shared" si="5"/>
        <v>552.98816666666664</v>
      </c>
      <c r="AR55" s="188">
        <f t="shared" si="6"/>
        <v>6635.8580000000002</v>
      </c>
      <c r="AS55" s="13">
        <f t="shared" si="7"/>
        <v>6635.8580000000002</v>
      </c>
      <c r="AT55" s="13">
        <f t="shared" si="11"/>
        <v>0</v>
      </c>
      <c r="AU55" s="13">
        <f t="shared" si="9"/>
        <v>6635.8580000000002</v>
      </c>
      <c r="AV55" s="13">
        <f t="shared" si="10"/>
        <v>59722.722000000002</v>
      </c>
      <c r="AW55" s="9" t="s">
        <v>3193</v>
      </c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</row>
    <row r="56" spans="2:69" s="212" customFormat="1">
      <c r="B56" s="214">
        <v>2180</v>
      </c>
      <c r="C56" s="218">
        <v>270762</v>
      </c>
      <c r="D56" s="214" t="s">
        <v>97</v>
      </c>
      <c r="E56" s="213" t="s">
        <v>3086</v>
      </c>
      <c r="F56" s="214"/>
      <c r="G56" s="213"/>
      <c r="H56" s="213"/>
      <c r="I56" s="213"/>
      <c r="J56" s="213">
        <v>0</v>
      </c>
      <c r="K56" s="213"/>
      <c r="L56" s="213"/>
      <c r="M56" s="213"/>
      <c r="N56" s="217">
        <v>44561</v>
      </c>
      <c r="O56" s="217">
        <v>44561</v>
      </c>
      <c r="P56" s="213" t="s">
        <v>3082</v>
      </c>
      <c r="Q56" s="214">
        <v>500</v>
      </c>
      <c r="R56" s="214">
        <v>14070</v>
      </c>
      <c r="S56" s="215">
        <v>-1808.92</v>
      </c>
      <c r="T56" s="214">
        <v>14076</v>
      </c>
      <c r="U56" s="215">
        <v>-150.74</v>
      </c>
      <c r="V56" s="215">
        <f t="shared" si="0"/>
        <v>-1658.18</v>
      </c>
      <c r="W56" s="216">
        <v>-150.74</v>
      </c>
      <c r="X56" s="214">
        <v>51260</v>
      </c>
      <c r="Y56" s="215">
        <v>-30.15</v>
      </c>
      <c r="Z56" s="213" t="s">
        <v>97</v>
      </c>
      <c r="AA56" s="213"/>
      <c r="AB56" s="213"/>
      <c r="AC56" s="213"/>
      <c r="AD56" s="213" t="s">
        <v>1152</v>
      </c>
      <c r="AE56" s="213" t="s">
        <v>1153</v>
      </c>
      <c r="AF56" s="214" t="s">
        <v>1154</v>
      </c>
      <c r="AG56" s="213"/>
      <c r="AH56" s="214" t="s">
        <v>1155</v>
      </c>
      <c r="AI56" s="213">
        <v>0</v>
      </c>
      <c r="AJ56" s="213">
        <v>0</v>
      </c>
      <c r="AL56" s="212" t="str">
        <f>VLOOKUP(C56,'FAR 12.2021 - For Lookup'!$C$14:$AL$35,36,FALSE)</f>
        <v>Service Equipment</v>
      </c>
      <c r="AM56" s="212">
        <f t="shared" si="1"/>
        <v>12</v>
      </c>
      <c r="AN56" s="212">
        <f t="shared" si="2"/>
        <v>2021</v>
      </c>
      <c r="AO56" s="212">
        <f t="shared" si="3"/>
        <v>2026</v>
      </c>
      <c r="AP56" s="259">
        <f t="shared" si="4"/>
        <v>2027</v>
      </c>
      <c r="AQ56" s="260">
        <f t="shared" si="5"/>
        <v>-30.148666666666667</v>
      </c>
      <c r="AR56" s="260">
        <f t="shared" si="6"/>
        <v>-361.78399999999999</v>
      </c>
      <c r="AS56" s="13">
        <f t="shared" si="7"/>
        <v>-361.78399999999999</v>
      </c>
      <c r="AT56" s="13">
        <f t="shared" si="11"/>
        <v>0</v>
      </c>
      <c r="AU56" s="13">
        <f t="shared" si="9"/>
        <v>-361.78399999999999</v>
      </c>
      <c r="AV56" s="13">
        <f t="shared" si="10"/>
        <v>-1447.136</v>
      </c>
      <c r="AW56" s="9" t="s">
        <v>3193</v>
      </c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</row>
    <row r="57" spans="2:69" s="212" customFormat="1">
      <c r="B57" s="214">
        <v>2180</v>
      </c>
      <c r="C57" s="218">
        <v>270761</v>
      </c>
      <c r="D57" s="214" t="s">
        <v>97</v>
      </c>
      <c r="E57" s="213" t="s">
        <v>3085</v>
      </c>
      <c r="F57" s="214"/>
      <c r="G57" s="213"/>
      <c r="H57" s="213"/>
      <c r="I57" s="213"/>
      <c r="J57" s="213">
        <v>0</v>
      </c>
      <c r="K57" s="213"/>
      <c r="L57" s="213"/>
      <c r="M57" s="213"/>
      <c r="N57" s="217">
        <v>44561</v>
      </c>
      <c r="O57" s="217">
        <v>44561</v>
      </c>
      <c r="P57" s="213" t="s">
        <v>3082</v>
      </c>
      <c r="Q57" s="214">
        <v>500</v>
      </c>
      <c r="R57" s="214">
        <v>14070</v>
      </c>
      <c r="S57" s="215">
        <v>29847.18</v>
      </c>
      <c r="T57" s="214">
        <v>14076</v>
      </c>
      <c r="U57" s="215">
        <v>2487.27</v>
      </c>
      <c r="V57" s="215">
        <f t="shared" si="0"/>
        <v>27359.91</v>
      </c>
      <c r="W57" s="216">
        <v>2487.27</v>
      </c>
      <c r="X57" s="214">
        <v>51260</v>
      </c>
      <c r="Y57" s="215">
        <v>497.46</v>
      </c>
      <c r="Z57" s="213" t="s">
        <v>97</v>
      </c>
      <c r="AA57" s="213"/>
      <c r="AB57" s="213"/>
      <c r="AC57" s="213"/>
      <c r="AD57" s="213" t="s">
        <v>1152</v>
      </c>
      <c r="AE57" s="213" t="s">
        <v>1153</v>
      </c>
      <c r="AF57" s="214" t="s">
        <v>1154</v>
      </c>
      <c r="AG57" s="213"/>
      <c r="AH57" s="214" t="s">
        <v>1155</v>
      </c>
      <c r="AI57" s="213">
        <v>0</v>
      </c>
      <c r="AJ57" s="213">
        <v>0</v>
      </c>
      <c r="AL57" s="212" t="str">
        <f>VLOOKUP(C57,'FAR 12.2021 - For Lookup'!$C$14:$AL$35,36,FALSE)</f>
        <v>Service Equipment</v>
      </c>
      <c r="AM57" s="212">
        <f t="shared" si="1"/>
        <v>12</v>
      </c>
      <c r="AN57" s="212">
        <f t="shared" si="2"/>
        <v>2021</v>
      </c>
      <c r="AO57" s="212">
        <f t="shared" si="3"/>
        <v>2026</v>
      </c>
      <c r="AP57" s="259">
        <f t="shared" si="4"/>
        <v>2027</v>
      </c>
      <c r="AQ57" s="260">
        <f t="shared" si="5"/>
        <v>497.45299999999997</v>
      </c>
      <c r="AR57" s="260">
        <f t="shared" si="6"/>
        <v>5969.4359999999997</v>
      </c>
      <c r="AS57" s="13">
        <f t="shared" si="7"/>
        <v>5969.4359999999997</v>
      </c>
      <c r="AT57" s="13">
        <f t="shared" ref="AT57:AT77" si="12">IF($AS57=0,$S57,IF($AK$6-AN57&lt;1,0,(($AK$6-$AN57)*AR57)))</f>
        <v>0</v>
      </c>
      <c r="AU57" s="13">
        <f t="shared" si="9"/>
        <v>5969.4359999999997</v>
      </c>
      <c r="AV57" s="13">
        <f t="shared" si="10"/>
        <v>23877.743999999999</v>
      </c>
      <c r="AW57" s="9" t="s">
        <v>3193</v>
      </c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</row>
    <row r="58" spans="2:69" s="212" customFormat="1">
      <c r="B58" s="214">
        <v>2180</v>
      </c>
      <c r="C58" s="218">
        <v>270730</v>
      </c>
      <c r="D58" s="214" t="s">
        <v>97</v>
      </c>
      <c r="E58" s="213" t="s">
        <v>3084</v>
      </c>
      <c r="F58" s="214"/>
      <c r="G58" s="213"/>
      <c r="H58" s="213"/>
      <c r="I58" s="213"/>
      <c r="J58" s="213">
        <v>0</v>
      </c>
      <c r="K58" s="213"/>
      <c r="L58" s="213"/>
      <c r="M58" s="213"/>
      <c r="N58" s="217">
        <v>44561</v>
      </c>
      <c r="O58" s="217">
        <v>44561</v>
      </c>
      <c r="P58" s="213" t="s">
        <v>3082</v>
      </c>
      <c r="Q58" s="214">
        <v>500</v>
      </c>
      <c r="R58" s="214">
        <v>14070</v>
      </c>
      <c r="S58" s="215">
        <v>198.94</v>
      </c>
      <c r="T58" s="214">
        <v>14076</v>
      </c>
      <c r="U58" s="215">
        <v>16.579999999999998</v>
      </c>
      <c r="V58" s="215">
        <f t="shared" si="0"/>
        <v>182.36</v>
      </c>
      <c r="W58" s="216">
        <v>16.579999999999998</v>
      </c>
      <c r="X58" s="214">
        <v>51260</v>
      </c>
      <c r="Y58" s="215">
        <v>3.32</v>
      </c>
      <c r="Z58" s="213" t="s">
        <v>97</v>
      </c>
      <c r="AA58" s="213"/>
      <c r="AB58" s="213"/>
      <c r="AC58" s="213"/>
      <c r="AD58" s="213" t="s">
        <v>1152</v>
      </c>
      <c r="AE58" s="213" t="s">
        <v>1153</v>
      </c>
      <c r="AF58" s="214" t="s">
        <v>1154</v>
      </c>
      <c r="AG58" s="213"/>
      <c r="AH58" s="214" t="s">
        <v>1155</v>
      </c>
      <c r="AI58" s="213">
        <v>0</v>
      </c>
      <c r="AJ58" s="213">
        <v>0</v>
      </c>
      <c r="AL58" s="212" t="str">
        <f>VLOOKUP(C58,'FAR 12.2021 - For Lookup'!$C$14:$AL$35,36,FALSE)</f>
        <v>Service Equipment</v>
      </c>
      <c r="AM58" s="212">
        <f t="shared" si="1"/>
        <v>12</v>
      </c>
      <c r="AN58" s="212">
        <f t="shared" si="2"/>
        <v>2021</v>
      </c>
      <c r="AO58" s="212">
        <f t="shared" si="3"/>
        <v>2026</v>
      </c>
      <c r="AP58" s="259">
        <f t="shared" si="4"/>
        <v>2027</v>
      </c>
      <c r="AQ58" s="260">
        <f t="shared" si="5"/>
        <v>3.3156666666666665</v>
      </c>
      <c r="AR58" s="260">
        <f t="shared" si="6"/>
        <v>39.787999999999997</v>
      </c>
      <c r="AS58" s="13">
        <f t="shared" si="7"/>
        <v>39.787999999999997</v>
      </c>
      <c r="AT58" s="13">
        <f t="shared" si="12"/>
        <v>0</v>
      </c>
      <c r="AU58" s="13">
        <f t="shared" si="9"/>
        <v>39.787999999999997</v>
      </c>
      <c r="AV58" s="13">
        <f t="shared" si="10"/>
        <v>159.15199999999999</v>
      </c>
      <c r="AW58" s="9" t="s">
        <v>3193</v>
      </c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</row>
    <row r="59" spans="2:69" s="212" customFormat="1">
      <c r="B59" s="214">
        <v>2180</v>
      </c>
      <c r="C59" s="218">
        <v>270623</v>
      </c>
      <c r="D59" s="214" t="s">
        <v>97</v>
      </c>
      <c r="E59" s="213" t="s">
        <v>3083</v>
      </c>
      <c r="F59" s="214">
        <v>46</v>
      </c>
      <c r="G59" s="213"/>
      <c r="H59" s="213"/>
      <c r="I59" s="213"/>
      <c r="J59" s="213">
        <v>0</v>
      </c>
      <c r="K59" s="213"/>
      <c r="L59" s="213"/>
      <c r="M59" s="213"/>
      <c r="N59" s="217">
        <v>44561</v>
      </c>
      <c r="O59" s="217">
        <v>44561</v>
      </c>
      <c r="P59" s="213" t="s">
        <v>3082</v>
      </c>
      <c r="Q59" s="214">
        <v>500</v>
      </c>
      <c r="R59" s="214">
        <v>14070</v>
      </c>
      <c r="S59" s="215">
        <v>25497.93</v>
      </c>
      <c r="T59" s="214">
        <v>14076</v>
      </c>
      <c r="U59" s="215">
        <v>2124.83</v>
      </c>
      <c r="V59" s="215">
        <f t="shared" si="0"/>
        <v>23373.1</v>
      </c>
      <c r="W59" s="216">
        <v>2124.83</v>
      </c>
      <c r="X59" s="214">
        <v>51260</v>
      </c>
      <c r="Y59" s="215">
        <v>424.97</v>
      </c>
      <c r="Z59" s="213" t="s">
        <v>97</v>
      </c>
      <c r="AA59" s="213"/>
      <c r="AB59" s="213"/>
      <c r="AC59" s="213"/>
      <c r="AD59" s="213" t="s">
        <v>1152</v>
      </c>
      <c r="AE59" s="213" t="s">
        <v>1153</v>
      </c>
      <c r="AF59" s="214" t="s">
        <v>1154</v>
      </c>
      <c r="AG59" s="213"/>
      <c r="AH59" s="214" t="s">
        <v>1155</v>
      </c>
      <c r="AI59" s="213">
        <v>0</v>
      </c>
      <c r="AJ59" s="213">
        <v>0</v>
      </c>
      <c r="AL59" s="212" t="str">
        <f>VLOOKUP(C59,'FAR 12.2021 - For Lookup'!$C$14:$AL$35,36,FALSE)</f>
        <v>Service Equipment</v>
      </c>
      <c r="AM59" s="212">
        <f t="shared" si="1"/>
        <v>12</v>
      </c>
      <c r="AN59" s="212">
        <f t="shared" si="2"/>
        <v>2021</v>
      </c>
      <c r="AO59" s="212">
        <f t="shared" si="3"/>
        <v>2026</v>
      </c>
      <c r="AP59" s="259">
        <f t="shared" si="4"/>
        <v>2027</v>
      </c>
      <c r="AQ59" s="260">
        <f t="shared" si="5"/>
        <v>424.96550000000002</v>
      </c>
      <c r="AR59" s="260">
        <f t="shared" si="6"/>
        <v>5099.5860000000002</v>
      </c>
      <c r="AS59" s="13">
        <f t="shared" si="7"/>
        <v>5099.5860000000002</v>
      </c>
      <c r="AT59" s="13">
        <f t="shared" si="12"/>
        <v>0</v>
      </c>
      <c r="AU59" s="13">
        <f t="shared" si="9"/>
        <v>5099.5860000000002</v>
      </c>
      <c r="AV59" s="13">
        <f t="shared" si="10"/>
        <v>20398.344000000001</v>
      </c>
      <c r="AW59" s="9" t="s">
        <v>3193</v>
      </c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</row>
    <row r="60" spans="2:69" s="212" customFormat="1">
      <c r="B60" s="214">
        <v>2180</v>
      </c>
      <c r="C60" s="218">
        <v>270129</v>
      </c>
      <c r="D60" s="214" t="s">
        <v>97</v>
      </c>
      <c r="E60" s="213" t="s">
        <v>3081</v>
      </c>
      <c r="F60" s="214">
        <v>36</v>
      </c>
      <c r="G60" s="213"/>
      <c r="H60" s="213"/>
      <c r="I60" s="213"/>
      <c r="J60" s="213">
        <v>0</v>
      </c>
      <c r="K60" s="213" t="s">
        <v>2041</v>
      </c>
      <c r="L60" s="213"/>
      <c r="M60" s="213" t="s">
        <v>3054</v>
      </c>
      <c r="N60" s="217">
        <v>44557</v>
      </c>
      <c r="O60" s="217">
        <v>44557</v>
      </c>
      <c r="P60" s="213" t="s">
        <v>3080</v>
      </c>
      <c r="Q60" s="214">
        <v>1200</v>
      </c>
      <c r="R60" s="214">
        <v>14050</v>
      </c>
      <c r="S60" s="215">
        <v>33870.239999999998</v>
      </c>
      <c r="T60" s="214">
        <v>14056</v>
      </c>
      <c r="U60" s="215">
        <v>1176.05</v>
      </c>
      <c r="V60" s="215">
        <f t="shared" si="0"/>
        <v>32694.19</v>
      </c>
      <c r="W60" s="216">
        <v>1176.05</v>
      </c>
      <c r="X60" s="214">
        <v>54260</v>
      </c>
      <c r="Y60" s="215">
        <v>235.21</v>
      </c>
      <c r="Z60" s="213" t="s">
        <v>97</v>
      </c>
      <c r="AA60" s="213"/>
      <c r="AB60" s="213">
        <v>170486</v>
      </c>
      <c r="AC60" s="213"/>
      <c r="AD60" s="213" t="s">
        <v>1152</v>
      </c>
      <c r="AE60" s="213" t="s">
        <v>1153</v>
      </c>
      <c r="AF60" s="214" t="s">
        <v>1154</v>
      </c>
      <c r="AG60" s="213"/>
      <c r="AH60" s="214" t="s">
        <v>1155</v>
      </c>
      <c r="AI60" s="213">
        <v>0</v>
      </c>
      <c r="AJ60" s="213">
        <v>0</v>
      </c>
      <c r="AL60" s="212" t="str">
        <f>VLOOKUP(C60,'FAR 12.2021 - For Lookup'!$C$14:$AL$35,36,FALSE)</f>
        <v>Garbage Containers</v>
      </c>
      <c r="AM60" s="212">
        <f t="shared" si="1"/>
        <v>12</v>
      </c>
      <c r="AN60" s="212">
        <f t="shared" si="2"/>
        <v>2021</v>
      </c>
      <c r="AO60" s="212">
        <f t="shared" si="3"/>
        <v>2033</v>
      </c>
      <c r="AP60" s="259">
        <f t="shared" si="4"/>
        <v>2034</v>
      </c>
      <c r="AQ60" s="260">
        <f t="shared" si="5"/>
        <v>235.21</v>
      </c>
      <c r="AR60" s="260">
        <f t="shared" si="6"/>
        <v>2822.52</v>
      </c>
      <c r="AS60" s="13">
        <f t="shared" si="7"/>
        <v>2822.52</v>
      </c>
      <c r="AT60" s="13">
        <f t="shared" si="12"/>
        <v>0</v>
      </c>
      <c r="AU60" s="13">
        <f t="shared" si="9"/>
        <v>2822.52</v>
      </c>
      <c r="AV60" s="13">
        <f t="shared" si="10"/>
        <v>31047.719999999998</v>
      </c>
      <c r="AW60" s="9" t="s">
        <v>3193</v>
      </c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</row>
    <row r="61" spans="2:69" s="212" customFormat="1">
      <c r="B61" s="214">
        <v>2180</v>
      </c>
      <c r="C61" s="218">
        <v>270117</v>
      </c>
      <c r="D61" s="214" t="s">
        <v>97</v>
      </c>
      <c r="E61" s="213" t="s">
        <v>3079</v>
      </c>
      <c r="F61" s="214">
        <v>28</v>
      </c>
      <c r="G61" s="213"/>
      <c r="H61" s="213"/>
      <c r="I61" s="213"/>
      <c r="J61" s="213">
        <v>0</v>
      </c>
      <c r="K61" s="213" t="s">
        <v>2041</v>
      </c>
      <c r="L61" s="213"/>
      <c r="M61" s="213" t="s">
        <v>3077</v>
      </c>
      <c r="N61" s="217">
        <v>44557</v>
      </c>
      <c r="O61" s="217">
        <v>44557</v>
      </c>
      <c r="P61" s="213" t="s">
        <v>3076</v>
      </c>
      <c r="Q61" s="214">
        <v>1200</v>
      </c>
      <c r="R61" s="214">
        <v>14050</v>
      </c>
      <c r="S61" s="215">
        <v>25730.880000000001</v>
      </c>
      <c r="T61" s="214">
        <v>14056</v>
      </c>
      <c r="U61" s="215">
        <v>893.43</v>
      </c>
      <c r="V61" s="215">
        <f t="shared" si="0"/>
        <v>24837.45</v>
      </c>
      <c r="W61" s="216">
        <v>893.43</v>
      </c>
      <c r="X61" s="214">
        <v>54260</v>
      </c>
      <c r="Y61" s="215">
        <v>178.68</v>
      </c>
      <c r="Z61" s="213" t="s">
        <v>97</v>
      </c>
      <c r="AA61" s="213"/>
      <c r="AB61" s="213">
        <v>170485</v>
      </c>
      <c r="AC61" s="213"/>
      <c r="AD61" s="213" t="s">
        <v>1152</v>
      </c>
      <c r="AE61" s="213" t="s">
        <v>1153</v>
      </c>
      <c r="AF61" s="214" t="s">
        <v>1154</v>
      </c>
      <c r="AG61" s="213"/>
      <c r="AH61" s="214" t="s">
        <v>1155</v>
      </c>
      <c r="AI61" s="213">
        <v>0</v>
      </c>
      <c r="AJ61" s="213">
        <v>0</v>
      </c>
      <c r="AL61" s="212" t="str">
        <f>VLOOKUP(C61,'FAR 12.2021 - For Lookup'!$C$14:$AL$35,36,FALSE)</f>
        <v>Garbage Containers</v>
      </c>
      <c r="AM61" s="212">
        <f t="shared" si="1"/>
        <v>12</v>
      </c>
      <c r="AN61" s="212">
        <f t="shared" si="2"/>
        <v>2021</v>
      </c>
      <c r="AO61" s="212">
        <f t="shared" si="3"/>
        <v>2033</v>
      </c>
      <c r="AP61" s="259">
        <f t="shared" si="4"/>
        <v>2034</v>
      </c>
      <c r="AQ61" s="260">
        <f t="shared" si="5"/>
        <v>178.6866666666667</v>
      </c>
      <c r="AR61" s="260">
        <f t="shared" si="6"/>
        <v>2144.2400000000002</v>
      </c>
      <c r="AS61" s="13">
        <f t="shared" si="7"/>
        <v>2144.2400000000002</v>
      </c>
      <c r="AT61" s="13">
        <f t="shared" si="12"/>
        <v>0</v>
      </c>
      <c r="AU61" s="13">
        <f t="shared" si="9"/>
        <v>2144.2400000000002</v>
      </c>
      <c r="AV61" s="13">
        <f t="shared" si="10"/>
        <v>23586.639999999999</v>
      </c>
      <c r="AW61" s="9" t="s">
        <v>3193</v>
      </c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</row>
    <row r="62" spans="2:69" s="212" customFormat="1">
      <c r="B62" s="214">
        <v>2180</v>
      </c>
      <c r="C62" s="218">
        <v>270114</v>
      </c>
      <c r="D62" s="214" t="s">
        <v>97</v>
      </c>
      <c r="E62" s="213" t="s">
        <v>3078</v>
      </c>
      <c r="F62" s="214">
        <v>8</v>
      </c>
      <c r="G62" s="213"/>
      <c r="H62" s="213"/>
      <c r="I62" s="213"/>
      <c r="J62" s="213">
        <v>0</v>
      </c>
      <c r="K62" s="213" t="s">
        <v>2041</v>
      </c>
      <c r="L62" s="213"/>
      <c r="M62" s="213" t="s">
        <v>3077</v>
      </c>
      <c r="N62" s="217">
        <v>44557</v>
      </c>
      <c r="O62" s="217">
        <v>44557</v>
      </c>
      <c r="P62" s="213" t="s">
        <v>3076</v>
      </c>
      <c r="Q62" s="214">
        <v>1200</v>
      </c>
      <c r="R62" s="214">
        <v>14050</v>
      </c>
      <c r="S62" s="215">
        <v>7351.68</v>
      </c>
      <c r="T62" s="214">
        <v>14056</v>
      </c>
      <c r="U62" s="215">
        <v>255.27</v>
      </c>
      <c r="V62" s="215">
        <f t="shared" si="0"/>
        <v>7096.41</v>
      </c>
      <c r="W62" s="216">
        <v>255.27</v>
      </c>
      <c r="X62" s="214">
        <v>54260</v>
      </c>
      <c r="Y62" s="215">
        <v>51.06</v>
      </c>
      <c r="Z62" s="213" t="s">
        <v>97</v>
      </c>
      <c r="AA62" s="213"/>
      <c r="AB62" s="213">
        <v>170492</v>
      </c>
      <c r="AC62" s="213"/>
      <c r="AD62" s="213" t="s">
        <v>1152</v>
      </c>
      <c r="AE62" s="213" t="s">
        <v>1153</v>
      </c>
      <c r="AF62" s="214" t="s">
        <v>1154</v>
      </c>
      <c r="AG62" s="213"/>
      <c r="AH62" s="214" t="s">
        <v>1155</v>
      </c>
      <c r="AI62" s="213">
        <v>0</v>
      </c>
      <c r="AJ62" s="213">
        <v>0</v>
      </c>
      <c r="AL62" s="212" t="str">
        <f>VLOOKUP(C62,'FAR 12.2021 - For Lookup'!$C$14:$AL$35,36,FALSE)</f>
        <v>Garbage Containers</v>
      </c>
      <c r="AM62" s="212">
        <f t="shared" si="1"/>
        <v>12</v>
      </c>
      <c r="AN62" s="212">
        <f t="shared" si="2"/>
        <v>2021</v>
      </c>
      <c r="AO62" s="212">
        <f t="shared" si="3"/>
        <v>2033</v>
      </c>
      <c r="AP62" s="259">
        <f t="shared" si="4"/>
        <v>2034</v>
      </c>
      <c r="AQ62" s="260">
        <f t="shared" si="5"/>
        <v>51.053333333333335</v>
      </c>
      <c r="AR62" s="260">
        <f t="shared" si="6"/>
        <v>612.64</v>
      </c>
      <c r="AS62" s="13">
        <f t="shared" si="7"/>
        <v>612.64</v>
      </c>
      <c r="AT62" s="13">
        <f t="shared" si="12"/>
        <v>0</v>
      </c>
      <c r="AU62" s="13">
        <f t="shared" si="9"/>
        <v>612.64</v>
      </c>
      <c r="AV62" s="13">
        <f t="shared" si="10"/>
        <v>6739.04</v>
      </c>
      <c r="AW62" s="9" t="s">
        <v>3193</v>
      </c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</row>
    <row r="63" spans="2:69" s="212" customFormat="1">
      <c r="B63" s="214">
        <v>2180</v>
      </c>
      <c r="C63" s="218">
        <v>266035</v>
      </c>
      <c r="D63" s="214" t="s">
        <v>97</v>
      </c>
      <c r="E63" s="213" t="s">
        <v>3075</v>
      </c>
      <c r="F63" s="214">
        <v>1</v>
      </c>
      <c r="G63" s="213"/>
      <c r="H63" s="213"/>
      <c r="I63" s="213"/>
      <c r="J63" s="213">
        <v>0</v>
      </c>
      <c r="K63" s="213" t="s">
        <v>3066</v>
      </c>
      <c r="L63" s="213"/>
      <c r="M63" s="213"/>
      <c r="N63" s="217">
        <v>44516</v>
      </c>
      <c r="O63" s="217">
        <v>44516</v>
      </c>
      <c r="P63" s="213" t="s">
        <v>3074</v>
      </c>
      <c r="Q63" s="214">
        <v>300</v>
      </c>
      <c r="R63" s="214">
        <v>14110</v>
      </c>
      <c r="S63" s="215">
        <v>1407.06</v>
      </c>
      <c r="T63" s="214">
        <v>14116</v>
      </c>
      <c r="U63" s="215">
        <v>234.52</v>
      </c>
      <c r="V63" s="215">
        <f t="shared" si="0"/>
        <v>1172.54</v>
      </c>
      <c r="W63" s="216">
        <v>195.43</v>
      </c>
      <c r="X63" s="214">
        <v>70260</v>
      </c>
      <c r="Y63" s="215">
        <v>39.090000000000003</v>
      </c>
      <c r="Z63" s="213" t="s">
        <v>97</v>
      </c>
      <c r="AA63" s="213"/>
      <c r="AB63" s="213" t="s">
        <v>3073</v>
      </c>
      <c r="AC63" s="213"/>
      <c r="AD63" s="213" t="s">
        <v>1152</v>
      </c>
      <c r="AE63" s="213" t="s">
        <v>1153</v>
      </c>
      <c r="AF63" s="214" t="s">
        <v>1154</v>
      </c>
      <c r="AG63" s="213"/>
      <c r="AH63" s="214" t="s">
        <v>1155</v>
      </c>
      <c r="AI63" s="213">
        <v>0</v>
      </c>
      <c r="AJ63" s="213">
        <v>0</v>
      </c>
      <c r="AL63" s="212" t="str">
        <f>VLOOKUP(C63,'FAR 12.2021 - For Lookup'!$C$14:$AL$35,36,FALSE)</f>
        <v>Office Equipment</v>
      </c>
      <c r="AM63" s="212">
        <f t="shared" si="1"/>
        <v>11</v>
      </c>
      <c r="AN63" s="212">
        <f t="shared" si="2"/>
        <v>2021</v>
      </c>
      <c r="AO63" s="212">
        <f t="shared" si="3"/>
        <v>2024</v>
      </c>
      <c r="AP63" s="259">
        <f t="shared" si="4"/>
        <v>2024.9166666666667</v>
      </c>
      <c r="AQ63" s="260">
        <f t="shared" si="5"/>
        <v>39.085000000000001</v>
      </c>
      <c r="AR63" s="260">
        <f t="shared" si="6"/>
        <v>469.02</v>
      </c>
      <c r="AS63" s="13">
        <f t="shared" si="7"/>
        <v>469.02</v>
      </c>
      <c r="AT63" s="13">
        <f t="shared" si="12"/>
        <v>0</v>
      </c>
      <c r="AU63" s="13">
        <f t="shared" si="9"/>
        <v>469.02</v>
      </c>
      <c r="AV63" s="13">
        <f t="shared" si="10"/>
        <v>938.04</v>
      </c>
      <c r="AW63" s="9" t="s">
        <v>3193</v>
      </c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</row>
    <row r="64" spans="2:69" s="212" customFormat="1">
      <c r="B64" s="214">
        <v>2180</v>
      </c>
      <c r="C64" s="218">
        <v>265456</v>
      </c>
      <c r="D64" s="214" t="s">
        <v>97</v>
      </c>
      <c r="E64" s="213" t="s">
        <v>3072</v>
      </c>
      <c r="F64" s="214">
        <v>1</v>
      </c>
      <c r="G64" s="213"/>
      <c r="H64" s="213"/>
      <c r="I64" s="213"/>
      <c r="J64" s="213">
        <v>0</v>
      </c>
      <c r="K64" s="213"/>
      <c r="L64" s="213"/>
      <c r="M64" s="213"/>
      <c r="N64" s="217">
        <v>44501</v>
      </c>
      <c r="O64" s="217">
        <v>44501</v>
      </c>
      <c r="P64" s="213" t="s">
        <v>3071</v>
      </c>
      <c r="Q64" s="214">
        <v>500</v>
      </c>
      <c r="R64" s="214">
        <v>14070</v>
      </c>
      <c r="S64" s="215">
        <v>539.04999999999995</v>
      </c>
      <c r="T64" s="214">
        <v>14076</v>
      </c>
      <c r="U64" s="215">
        <v>62.89</v>
      </c>
      <c r="V64" s="215">
        <f t="shared" si="0"/>
        <v>476.15999999999997</v>
      </c>
      <c r="W64" s="216">
        <v>44.92</v>
      </c>
      <c r="X64" s="214">
        <v>51260</v>
      </c>
      <c r="Y64" s="215">
        <v>8.98</v>
      </c>
      <c r="Z64" s="213" t="s">
        <v>97</v>
      </c>
      <c r="AA64" s="213"/>
      <c r="AB64" s="213"/>
      <c r="AC64" s="213"/>
      <c r="AD64" s="213" t="s">
        <v>1152</v>
      </c>
      <c r="AE64" s="213" t="s">
        <v>1153</v>
      </c>
      <c r="AF64" s="214" t="s">
        <v>1154</v>
      </c>
      <c r="AG64" s="213"/>
      <c r="AH64" s="214" t="s">
        <v>1155</v>
      </c>
      <c r="AI64" s="213">
        <v>0</v>
      </c>
      <c r="AJ64" s="213">
        <v>0</v>
      </c>
      <c r="AL64" s="212" t="str">
        <f>VLOOKUP(C64,'FAR 12.2021 - For Lookup'!$C$14:$AL$35,36,FALSE)</f>
        <v>Service Equipment</v>
      </c>
      <c r="AM64" s="212">
        <f t="shared" si="1"/>
        <v>11</v>
      </c>
      <c r="AN64" s="212">
        <f t="shared" si="2"/>
        <v>2021</v>
      </c>
      <c r="AO64" s="212">
        <f t="shared" si="3"/>
        <v>2026</v>
      </c>
      <c r="AP64" s="259">
        <f t="shared" si="4"/>
        <v>2026.9166666666667</v>
      </c>
      <c r="AQ64" s="260">
        <f t="shared" si="5"/>
        <v>8.9841666666666651</v>
      </c>
      <c r="AR64" s="260">
        <f t="shared" si="6"/>
        <v>107.80999999999997</v>
      </c>
      <c r="AS64" s="13">
        <f t="shared" si="7"/>
        <v>107.80999999999997</v>
      </c>
      <c r="AT64" s="13">
        <f t="shared" si="12"/>
        <v>0</v>
      </c>
      <c r="AU64" s="13">
        <f t="shared" si="9"/>
        <v>107.80999999999997</v>
      </c>
      <c r="AV64" s="13">
        <f t="shared" si="10"/>
        <v>431.24</v>
      </c>
      <c r="AW64" s="9" t="s">
        <v>3193</v>
      </c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</row>
    <row r="65" spans="2:69" s="212" customFormat="1">
      <c r="B65" s="214">
        <v>2180</v>
      </c>
      <c r="C65" s="218">
        <v>264760</v>
      </c>
      <c r="D65" s="214" t="s">
        <v>97</v>
      </c>
      <c r="E65" s="213" t="s">
        <v>3070</v>
      </c>
      <c r="F65" s="214">
        <v>2</v>
      </c>
      <c r="G65" s="213"/>
      <c r="H65" s="213"/>
      <c r="I65" s="213"/>
      <c r="J65" s="213">
        <v>0</v>
      </c>
      <c r="K65" s="213" t="s">
        <v>2041</v>
      </c>
      <c r="L65" s="213"/>
      <c r="M65" s="213" t="s">
        <v>1454</v>
      </c>
      <c r="N65" s="217">
        <v>44498</v>
      </c>
      <c r="O65" s="217">
        <v>44498</v>
      </c>
      <c r="P65" s="213" t="s">
        <v>3052</v>
      </c>
      <c r="Q65" s="214">
        <v>1200</v>
      </c>
      <c r="R65" s="214">
        <v>14050</v>
      </c>
      <c r="S65" s="215">
        <v>11960</v>
      </c>
      <c r="T65" s="214">
        <v>14056</v>
      </c>
      <c r="U65" s="215">
        <v>581.39</v>
      </c>
      <c r="V65" s="215">
        <f t="shared" si="0"/>
        <v>11378.61</v>
      </c>
      <c r="W65" s="216">
        <v>415.28</v>
      </c>
      <c r="X65" s="214">
        <v>54260</v>
      </c>
      <c r="Y65" s="215">
        <v>83.06</v>
      </c>
      <c r="Z65" s="213" t="s">
        <v>97</v>
      </c>
      <c r="AA65" s="213"/>
      <c r="AB65" s="213">
        <v>169562</v>
      </c>
      <c r="AC65" s="213"/>
      <c r="AD65" s="213" t="s">
        <v>1152</v>
      </c>
      <c r="AE65" s="213" t="s">
        <v>1153</v>
      </c>
      <c r="AF65" s="214" t="s">
        <v>1154</v>
      </c>
      <c r="AG65" s="213"/>
      <c r="AH65" s="214" t="s">
        <v>1155</v>
      </c>
      <c r="AI65" s="213">
        <v>0</v>
      </c>
      <c r="AJ65" s="213">
        <v>0</v>
      </c>
      <c r="AL65" s="212" t="str">
        <f>VLOOKUP(C65,'FAR 12.2021 - For Lookup'!$C$14:$AL$35,36,FALSE)</f>
        <v>Drop Boxes</v>
      </c>
      <c r="AM65" s="212">
        <f t="shared" si="1"/>
        <v>10</v>
      </c>
      <c r="AN65" s="212">
        <f t="shared" si="2"/>
        <v>2021</v>
      </c>
      <c r="AO65" s="212">
        <f t="shared" si="3"/>
        <v>2033</v>
      </c>
      <c r="AP65" s="259">
        <f t="shared" si="4"/>
        <v>2033.8333333333333</v>
      </c>
      <c r="AQ65" s="260">
        <f t="shared" si="5"/>
        <v>83.055555555555557</v>
      </c>
      <c r="AR65" s="260">
        <f t="shared" si="6"/>
        <v>996.66666666666674</v>
      </c>
      <c r="AS65" s="13">
        <f t="shared" si="7"/>
        <v>996.66666666666674</v>
      </c>
      <c r="AT65" s="13">
        <f t="shared" si="12"/>
        <v>0</v>
      </c>
      <c r="AU65" s="13">
        <f t="shared" si="9"/>
        <v>996.66666666666674</v>
      </c>
      <c r="AV65" s="13">
        <f t="shared" si="10"/>
        <v>10963.333333333334</v>
      </c>
      <c r="AW65" s="9" t="s">
        <v>3193</v>
      </c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</row>
    <row r="66" spans="2:69" s="212" customFormat="1">
      <c r="B66" s="214">
        <v>2180</v>
      </c>
      <c r="C66" s="218">
        <v>264292</v>
      </c>
      <c r="D66" s="214" t="s">
        <v>97</v>
      </c>
      <c r="E66" s="213" t="s">
        <v>3070</v>
      </c>
      <c r="F66" s="214">
        <v>2</v>
      </c>
      <c r="G66" s="213"/>
      <c r="H66" s="213"/>
      <c r="I66" s="213"/>
      <c r="J66" s="213">
        <v>0</v>
      </c>
      <c r="K66" s="213" t="s">
        <v>2041</v>
      </c>
      <c r="L66" s="213"/>
      <c r="M66" s="213" t="s">
        <v>1454</v>
      </c>
      <c r="N66" s="217">
        <v>44498</v>
      </c>
      <c r="O66" s="217">
        <v>44498</v>
      </c>
      <c r="P66" s="213" t="s">
        <v>3052</v>
      </c>
      <c r="Q66" s="214">
        <v>1200</v>
      </c>
      <c r="R66" s="214">
        <v>14050</v>
      </c>
      <c r="S66" s="215">
        <v>14200</v>
      </c>
      <c r="T66" s="214">
        <v>14056</v>
      </c>
      <c r="U66" s="215">
        <v>690.27</v>
      </c>
      <c r="V66" s="215">
        <f t="shared" si="0"/>
        <v>13509.73</v>
      </c>
      <c r="W66" s="216">
        <v>493.05</v>
      </c>
      <c r="X66" s="214">
        <v>54260</v>
      </c>
      <c r="Y66" s="215">
        <v>98.61</v>
      </c>
      <c r="Z66" s="213" t="s">
        <v>97</v>
      </c>
      <c r="AA66" s="213"/>
      <c r="AB66" s="213">
        <v>168236</v>
      </c>
      <c r="AC66" s="213"/>
      <c r="AD66" s="213" t="s">
        <v>1152</v>
      </c>
      <c r="AE66" s="213" t="s">
        <v>1153</v>
      </c>
      <c r="AF66" s="214" t="s">
        <v>1154</v>
      </c>
      <c r="AG66" s="213"/>
      <c r="AH66" s="214" t="s">
        <v>1155</v>
      </c>
      <c r="AI66" s="213">
        <v>0</v>
      </c>
      <c r="AJ66" s="213">
        <v>0</v>
      </c>
      <c r="AL66" s="212" t="str">
        <f>VLOOKUP(C66,'FAR 12.2021 - For Lookup'!$C$14:$AL$35,36,FALSE)</f>
        <v>Drop Boxes</v>
      </c>
      <c r="AM66" s="212">
        <f t="shared" si="1"/>
        <v>10</v>
      </c>
      <c r="AN66" s="212">
        <f t="shared" si="2"/>
        <v>2021</v>
      </c>
      <c r="AO66" s="212">
        <f t="shared" si="3"/>
        <v>2033</v>
      </c>
      <c r="AP66" s="259">
        <f t="shared" si="4"/>
        <v>2033.8333333333333</v>
      </c>
      <c r="AQ66" s="260">
        <f t="shared" si="5"/>
        <v>98.6111111111111</v>
      </c>
      <c r="AR66" s="260">
        <f t="shared" si="6"/>
        <v>1183.3333333333333</v>
      </c>
      <c r="AS66" s="13">
        <f t="shared" si="7"/>
        <v>1183.3333333333333</v>
      </c>
      <c r="AT66" s="13">
        <f t="shared" si="12"/>
        <v>0</v>
      </c>
      <c r="AU66" s="13">
        <f t="shared" si="9"/>
        <v>1183.3333333333333</v>
      </c>
      <c r="AV66" s="13">
        <f t="shared" si="10"/>
        <v>13016.666666666666</v>
      </c>
      <c r="AW66" s="9" t="s">
        <v>3193</v>
      </c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</row>
    <row r="67" spans="2:69" s="212" customFormat="1">
      <c r="B67" s="214">
        <v>2180</v>
      </c>
      <c r="C67" s="218">
        <v>263831</v>
      </c>
      <c r="D67" s="214">
        <v>263830</v>
      </c>
      <c r="E67" s="213" t="s">
        <v>3069</v>
      </c>
      <c r="F67" s="214">
        <v>1</v>
      </c>
      <c r="G67" s="213"/>
      <c r="H67" s="213"/>
      <c r="I67" s="213"/>
      <c r="J67" s="213">
        <v>0</v>
      </c>
      <c r="K67" s="213" t="s">
        <v>3068</v>
      </c>
      <c r="L67" s="213"/>
      <c r="M67" s="213"/>
      <c r="N67" s="217">
        <v>44463</v>
      </c>
      <c r="O67" s="217">
        <v>44463</v>
      </c>
      <c r="P67" s="213" t="s">
        <v>3065</v>
      </c>
      <c r="Q67" s="214">
        <v>300</v>
      </c>
      <c r="R67" s="214">
        <v>14110</v>
      </c>
      <c r="S67" s="215">
        <v>262.73</v>
      </c>
      <c r="T67" s="214">
        <v>14116</v>
      </c>
      <c r="U67" s="215">
        <v>58.39</v>
      </c>
      <c r="V67" s="215">
        <f t="shared" si="0"/>
        <v>204.34000000000003</v>
      </c>
      <c r="W67" s="216">
        <v>36.49</v>
      </c>
      <c r="X67" s="214">
        <v>70260</v>
      </c>
      <c r="Y67" s="215">
        <v>7.3</v>
      </c>
      <c r="Z67" s="213" t="s">
        <v>97</v>
      </c>
      <c r="AA67" s="213"/>
      <c r="AB67" s="213">
        <v>281824</v>
      </c>
      <c r="AC67" s="213"/>
      <c r="AD67" s="213" t="s">
        <v>1152</v>
      </c>
      <c r="AE67" s="213" t="s">
        <v>1153</v>
      </c>
      <c r="AF67" s="214" t="s">
        <v>1154</v>
      </c>
      <c r="AG67" s="213"/>
      <c r="AH67" s="214" t="s">
        <v>1155</v>
      </c>
      <c r="AI67" s="213">
        <v>0</v>
      </c>
      <c r="AJ67" s="213">
        <v>0</v>
      </c>
      <c r="AL67" s="212" t="str">
        <f>VLOOKUP(C67,'FAR 12.2021 - For Lookup'!$C$14:$AL$35,36,FALSE)</f>
        <v>Office Equipment</v>
      </c>
      <c r="AM67" s="212">
        <f t="shared" si="1"/>
        <v>9</v>
      </c>
      <c r="AN67" s="212">
        <f t="shared" si="2"/>
        <v>2021</v>
      </c>
      <c r="AO67" s="212">
        <f t="shared" si="3"/>
        <v>2024</v>
      </c>
      <c r="AP67" s="259">
        <f t="shared" si="4"/>
        <v>2024.75</v>
      </c>
      <c r="AQ67" s="260">
        <f t="shared" si="5"/>
        <v>7.298055555555556</v>
      </c>
      <c r="AR67" s="260">
        <f t="shared" si="6"/>
        <v>87.576666666666668</v>
      </c>
      <c r="AS67" s="13">
        <f t="shared" si="7"/>
        <v>87.576666666666668</v>
      </c>
      <c r="AT67" s="13">
        <f t="shared" si="12"/>
        <v>0</v>
      </c>
      <c r="AU67" s="13">
        <f t="shared" si="9"/>
        <v>87.576666666666668</v>
      </c>
      <c r="AV67" s="13">
        <f t="shared" si="10"/>
        <v>175.15333333333336</v>
      </c>
      <c r="AW67" s="9" t="s">
        <v>3193</v>
      </c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</row>
    <row r="68" spans="2:69" s="212" customFormat="1">
      <c r="B68" s="214">
        <v>2180</v>
      </c>
      <c r="C68" s="218">
        <v>263830</v>
      </c>
      <c r="D68" s="214" t="s">
        <v>97</v>
      </c>
      <c r="E68" s="213" t="s">
        <v>3067</v>
      </c>
      <c r="F68" s="214">
        <v>1</v>
      </c>
      <c r="G68" s="213"/>
      <c r="H68" s="213"/>
      <c r="I68" s="213"/>
      <c r="J68" s="213">
        <v>0</v>
      </c>
      <c r="K68" s="213" t="s">
        <v>3066</v>
      </c>
      <c r="L68" s="213"/>
      <c r="M68" s="213"/>
      <c r="N68" s="217">
        <v>44463</v>
      </c>
      <c r="O68" s="217">
        <v>44463</v>
      </c>
      <c r="P68" s="213" t="s">
        <v>3065</v>
      </c>
      <c r="Q68" s="214">
        <v>300</v>
      </c>
      <c r="R68" s="214">
        <v>14110</v>
      </c>
      <c r="S68" s="215">
        <v>1173.05</v>
      </c>
      <c r="T68" s="214">
        <v>14116</v>
      </c>
      <c r="U68" s="215">
        <v>260.69</v>
      </c>
      <c r="V68" s="215">
        <f t="shared" si="0"/>
        <v>912.3599999999999</v>
      </c>
      <c r="W68" s="216">
        <v>162.93</v>
      </c>
      <c r="X68" s="214">
        <v>70260</v>
      </c>
      <c r="Y68" s="215">
        <v>32.590000000000003</v>
      </c>
      <c r="Z68" s="213" t="s">
        <v>97</v>
      </c>
      <c r="AA68" s="213"/>
      <c r="AB68" s="213" t="s">
        <v>3064</v>
      </c>
      <c r="AC68" s="213"/>
      <c r="AD68" s="213" t="s">
        <v>1152</v>
      </c>
      <c r="AE68" s="213" t="s">
        <v>1153</v>
      </c>
      <c r="AF68" s="214" t="s">
        <v>1154</v>
      </c>
      <c r="AG68" s="213"/>
      <c r="AH68" s="214" t="s">
        <v>1155</v>
      </c>
      <c r="AI68" s="213">
        <v>0</v>
      </c>
      <c r="AJ68" s="213">
        <v>0</v>
      </c>
      <c r="AL68" s="212" t="str">
        <f>VLOOKUP(C68,'FAR 12.2021 - For Lookup'!$C$14:$AL$35,36,FALSE)</f>
        <v>Office Equipment</v>
      </c>
      <c r="AM68" s="212">
        <f t="shared" si="1"/>
        <v>9</v>
      </c>
      <c r="AN68" s="212">
        <f t="shared" si="2"/>
        <v>2021</v>
      </c>
      <c r="AO68" s="212">
        <f t="shared" si="3"/>
        <v>2024</v>
      </c>
      <c r="AP68" s="259">
        <f t="shared" si="4"/>
        <v>2024.75</v>
      </c>
      <c r="AQ68" s="260">
        <f t="shared" si="5"/>
        <v>32.584722222222219</v>
      </c>
      <c r="AR68" s="260">
        <f t="shared" si="6"/>
        <v>391.01666666666665</v>
      </c>
      <c r="AS68" s="13">
        <f t="shared" si="7"/>
        <v>391.01666666666665</v>
      </c>
      <c r="AT68" s="13">
        <f t="shared" si="12"/>
        <v>0</v>
      </c>
      <c r="AU68" s="13">
        <f t="shared" si="9"/>
        <v>391.01666666666665</v>
      </c>
      <c r="AV68" s="13">
        <f t="shared" si="10"/>
        <v>782.0333333333333</v>
      </c>
      <c r="AW68" s="9" t="s">
        <v>3193</v>
      </c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</row>
    <row r="69" spans="2:69" s="212" customFormat="1">
      <c r="B69" s="214">
        <v>2180</v>
      </c>
      <c r="C69" s="218">
        <v>260012</v>
      </c>
      <c r="D69" s="214" t="s">
        <v>97</v>
      </c>
      <c r="E69" s="213" t="s">
        <v>3063</v>
      </c>
      <c r="F69" s="214">
        <v>7</v>
      </c>
      <c r="G69" s="213"/>
      <c r="H69" s="213"/>
      <c r="I69" s="213"/>
      <c r="J69" s="213">
        <v>0</v>
      </c>
      <c r="K69" s="213" t="s">
        <v>2041</v>
      </c>
      <c r="L69" s="213"/>
      <c r="M69" s="213" t="s">
        <v>3051</v>
      </c>
      <c r="N69" s="217">
        <v>44407</v>
      </c>
      <c r="O69" s="217">
        <v>44407</v>
      </c>
      <c r="P69" s="213" t="s">
        <v>3050</v>
      </c>
      <c r="Q69" s="214">
        <v>1200</v>
      </c>
      <c r="R69" s="214">
        <v>14050</v>
      </c>
      <c r="S69" s="215">
        <v>10682.91</v>
      </c>
      <c r="T69" s="214">
        <v>14056</v>
      </c>
      <c r="U69" s="215">
        <v>741.87</v>
      </c>
      <c r="V69" s="215">
        <f t="shared" si="0"/>
        <v>9941.0399999999991</v>
      </c>
      <c r="W69" s="216">
        <v>370.93</v>
      </c>
      <c r="X69" s="214">
        <v>54260</v>
      </c>
      <c r="Y69" s="215">
        <v>74.180000000000007</v>
      </c>
      <c r="Z69" s="213" t="s">
        <v>97</v>
      </c>
      <c r="AA69" s="213"/>
      <c r="AB69" s="213">
        <v>167973</v>
      </c>
      <c r="AC69" s="213"/>
      <c r="AD69" s="213" t="s">
        <v>1152</v>
      </c>
      <c r="AE69" s="213" t="s">
        <v>1153</v>
      </c>
      <c r="AF69" s="214" t="s">
        <v>1154</v>
      </c>
      <c r="AG69" s="213"/>
      <c r="AH69" s="214" t="s">
        <v>1155</v>
      </c>
      <c r="AI69" s="213">
        <v>0</v>
      </c>
      <c r="AJ69" s="213">
        <v>0</v>
      </c>
      <c r="AL69" s="212" t="str">
        <f>VLOOKUP(C69,'FAR 12.2021 - For Lookup'!$C$14:$AL$35,36,FALSE)</f>
        <v>Garbage Containers</v>
      </c>
      <c r="AM69" s="212">
        <f t="shared" si="1"/>
        <v>7</v>
      </c>
      <c r="AN69" s="212">
        <f t="shared" si="2"/>
        <v>2021</v>
      </c>
      <c r="AO69" s="212">
        <f t="shared" si="3"/>
        <v>2033</v>
      </c>
      <c r="AP69" s="259">
        <f t="shared" si="4"/>
        <v>2033.5833333333333</v>
      </c>
      <c r="AQ69" s="260">
        <f t="shared" si="5"/>
        <v>74.186875000000001</v>
      </c>
      <c r="AR69" s="260">
        <f t="shared" si="6"/>
        <v>890.24250000000006</v>
      </c>
      <c r="AS69" s="13">
        <f t="shared" si="7"/>
        <v>890.24250000000006</v>
      </c>
      <c r="AT69" s="13">
        <f t="shared" si="12"/>
        <v>0</v>
      </c>
      <c r="AU69" s="13">
        <f t="shared" si="9"/>
        <v>890.24250000000006</v>
      </c>
      <c r="AV69" s="13">
        <f t="shared" si="10"/>
        <v>9792.6674999999996</v>
      </c>
      <c r="AW69" s="9" t="s">
        <v>3193</v>
      </c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</row>
    <row r="70" spans="2:69" s="212" customFormat="1">
      <c r="B70" s="214">
        <v>2180</v>
      </c>
      <c r="C70" s="218">
        <v>260011</v>
      </c>
      <c r="D70" s="214" t="s">
        <v>97</v>
      </c>
      <c r="E70" s="213" t="s">
        <v>3062</v>
      </c>
      <c r="F70" s="214">
        <v>7</v>
      </c>
      <c r="G70" s="213"/>
      <c r="H70" s="213"/>
      <c r="I70" s="213"/>
      <c r="J70" s="213">
        <v>0</v>
      </c>
      <c r="K70" s="213" t="s">
        <v>2041</v>
      </c>
      <c r="L70" s="213"/>
      <c r="M70" s="213" t="s">
        <v>3051</v>
      </c>
      <c r="N70" s="217">
        <v>44407</v>
      </c>
      <c r="O70" s="217">
        <v>44407</v>
      </c>
      <c r="P70" s="213" t="s">
        <v>3050</v>
      </c>
      <c r="Q70" s="214">
        <v>1200</v>
      </c>
      <c r="R70" s="214">
        <v>14050</v>
      </c>
      <c r="S70" s="215">
        <v>10682.91</v>
      </c>
      <c r="T70" s="214">
        <v>14056</v>
      </c>
      <c r="U70" s="215">
        <v>741.87</v>
      </c>
      <c r="V70" s="215">
        <f t="shared" si="0"/>
        <v>9941.0399999999991</v>
      </c>
      <c r="W70" s="216">
        <v>370.93</v>
      </c>
      <c r="X70" s="214">
        <v>54260</v>
      </c>
      <c r="Y70" s="215">
        <v>74.180000000000007</v>
      </c>
      <c r="Z70" s="213" t="s">
        <v>97</v>
      </c>
      <c r="AA70" s="213"/>
      <c r="AB70" s="213">
        <v>167972</v>
      </c>
      <c r="AC70" s="213"/>
      <c r="AD70" s="213" t="s">
        <v>1152</v>
      </c>
      <c r="AE70" s="213" t="s">
        <v>1153</v>
      </c>
      <c r="AF70" s="214" t="s">
        <v>1154</v>
      </c>
      <c r="AG70" s="213"/>
      <c r="AH70" s="214" t="s">
        <v>1155</v>
      </c>
      <c r="AI70" s="213">
        <v>0</v>
      </c>
      <c r="AJ70" s="213">
        <v>0</v>
      </c>
      <c r="AL70" s="212" t="str">
        <f>VLOOKUP(C70,'FAR 12.2021 - For Lookup'!$C$14:$AL$35,36,FALSE)</f>
        <v>Garbage Containers</v>
      </c>
      <c r="AM70" s="212">
        <f t="shared" si="1"/>
        <v>7</v>
      </c>
      <c r="AN70" s="212">
        <f t="shared" si="2"/>
        <v>2021</v>
      </c>
      <c r="AO70" s="212">
        <f t="shared" si="3"/>
        <v>2033</v>
      </c>
      <c r="AP70" s="259">
        <f t="shared" si="4"/>
        <v>2033.5833333333333</v>
      </c>
      <c r="AQ70" s="260">
        <f t="shared" si="5"/>
        <v>74.186875000000001</v>
      </c>
      <c r="AR70" s="260">
        <f t="shared" si="6"/>
        <v>890.24250000000006</v>
      </c>
      <c r="AS70" s="13">
        <f t="shared" si="7"/>
        <v>890.24250000000006</v>
      </c>
      <c r="AT70" s="13">
        <f t="shared" si="12"/>
        <v>0</v>
      </c>
      <c r="AU70" s="13">
        <f t="shared" si="9"/>
        <v>890.24250000000006</v>
      </c>
      <c r="AV70" s="13">
        <f t="shared" si="10"/>
        <v>9792.6674999999996</v>
      </c>
      <c r="AW70" s="9" t="s">
        <v>3193</v>
      </c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</row>
    <row r="71" spans="2:69" s="212" customFormat="1">
      <c r="B71" s="214">
        <v>2180</v>
      </c>
      <c r="C71" s="218">
        <v>260010</v>
      </c>
      <c r="D71" s="214" t="s">
        <v>97</v>
      </c>
      <c r="E71" s="213" t="s">
        <v>3061</v>
      </c>
      <c r="F71" s="214">
        <v>10</v>
      </c>
      <c r="G71" s="213"/>
      <c r="H71" s="213"/>
      <c r="I71" s="213"/>
      <c r="J71" s="213">
        <v>0</v>
      </c>
      <c r="K71" s="213" t="s">
        <v>2041</v>
      </c>
      <c r="L71" s="213"/>
      <c r="M71" s="213" t="s">
        <v>3059</v>
      </c>
      <c r="N71" s="217">
        <v>44426</v>
      </c>
      <c r="O71" s="217">
        <v>44426</v>
      </c>
      <c r="P71" s="213" t="s">
        <v>3058</v>
      </c>
      <c r="Q71" s="214">
        <v>1200</v>
      </c>
      <c r="R71" s="214">
        <v>14050</v>
      </c>
      <c r="S71" s="215">
        <v>10228.9</v>
      </c>
      <c r="T71" s="214">
        <v>14056</v>
      </c>
      <c r="U71" s="215">
        <v>639.30999999999995</v>
      </c>
      <c r="V71" s="215">
        <f t="shared" si="0"/>
        <v>9589.59</v>
      </c>
      <c r="W71" s="216">
        <v>355.17</v>
      </c>
      <c r="X71" s="214">
        <v>54260</v>
      </c>
      <c r="Y71" s="215">
        <v>71.03</v>
      </c>
      <c r="Z71" s="213" t="s">
        <v>97</v>
      </c>
      <c r="AA71" s="213"/>
      <c r="AB71" s="213">
        <v>168293</v>
      </c>
      <c r="AC71" s="213"/>
      <c r="AD71" s="213" t="s">
        <v>1152</v>
      </c>
      <c r="AE71" s="213" t="s">
        <v>1153</v>
      </c>
      <c r="AF71" s="214" t="s">
        <v>1154</v>
      </c>
      <c r="AG71" s="213"/>
      <c r="AH71" s="214" t="s">
        <v>1155</v>
      </c>
      <c r="AI71" s="213">
        <v>0</v>
      </c>
      <c r="AJ71" s="213">
        <v>0</v>
      </c>
      <c r="AL71" s="212" t="str">
        <f>VLOOKUP(C71,'FAR 12.2021 - For Lookup'!$C$14:$AL$35,36,FALSE)</f>
        <v>Garbage Containers</v>
      </c>
      <c r="AM71" s="212">
        <f t="shared" si="1"/>
        <v>8</v>
      </c>
      <c r="AN71" s="212">
        <f t="shared" si="2"/>
        <v>2021</v>
      </c>
      <c r="AO71" s="212">
        <f t="shared" si="3"/>
        <v>2033</v>
      </c>
      <c r="AP71" s="259">
        <f t="shared" si="4"/>
        <v>2033.6666666666667</v>
      </c>
      <c r="AQ71" s="260">
        <f t="shared" si="5"/>
        <v>71.03402777777778</v>
      </c>
      <c r="AR71" s="260">
        <f t="shared" si="6"/>
        <v>852.4083333333333</v>
      </c>
      <c r="AS71" s="13">
        <f t="shared" si="7"/>
        <v>852.4083333333333</v>
      </c>
      <c r="AT71" s="13">
        <f t="shared" si="12"/>
        <v>0</v>
      </c>
      <c r="AU71" s="13">
        <f t="shared" si="9"/>
        <v>852.4083333333333</v>
      </c>
      <c r="AV71" s="13">
        <f t="shared" si="10"/>
        <v>9376.4916666666668</v>
      </c>
      <c r="AW71" s="9" t="s">
        <v>3193</v>
      </c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</row>
    <row r="72" spans="2:69" s="212" customFormat="1">
      <c r="B72" s="214">
        <v>2180</v>
      </c>
      <c r="C72" s="218">
        <v>260009</v>
      </c>
      <c r="D72" s="214" t="s">
        <v>97</v>
      </c>
      <c r="E72" s="213" t="s">
        <v>3061</v>
      </c>
      <c r="F72" s="214">
        <v>7</v>
      </c>
      <c r="G72" s="213"/>
      <c r="H72" s="213"/>
      <c r="I72" s="213"/>
      <c r="J72" s="213">
        <v>0</v>
      </c>
      <c r="K72" s="213" t="s">
        <v>2041</v>
      </c>
      <c r="L72" s="213"/>
      <c r="M72" s="213" t="s">
        <v>3059</v>
      </c>
      <c r="N72" s="217">
        <v>44426</v>
      </c>
      <c r="O72" s="217">
        <v>44426</v>
      </c>
      <c r="P72" s="213" t="s">
        <v>3058</v>
      </c>
      <c r="Q72" s="214">
        <v>1200</v>
      </c>
      <c r="R72" s="214">
        <v>14050</v>
      </c>
      <c r="S72" s="215">
        <v>7160.23</v>
      </c>
      <c r="T72" s="214">
        <v>14056</v>
      </c>
      <c r="U72" s="215">
        <v>447.52</v>
      </c>
      <c r="V72" s="215">
        <f t="shared" si="0"/>
        <v>6712.7099999999991</v>
      </c>
      <c r="W72" s="216">
        <v>248.62</v>
      </c>
      <c r="X72" s="214">
        <v>54260</v>
      </c>
      <c r="Y72" s="215">
        <v>49.72</v>
      </c>
      <c r="Z72" s="213" t="s">
        <v>97</v>
      </c>
      <c r="AA72" s="213"/>
      <c r="AB72" s="213">
        <v>168292</v>
      </c>
      <c r="AC72" s="213"/>
      <c r="AD72" s="213" t="s">
        <v>1152</v>
      </c>
      <c r="AE72" s="213" t="s">
        <v>1153</v>
      </c>
      <c r="AF72" s="214" t="s">
        <v>1154</v>
      </c>
      <c r="AG72" s="213"/>
      <c r="AH72" s="214" t="s">
        <v>1155</v>
      </c>
      <c r="AI72" s="213">
        <v>0</v>
      </c>
      <c r="AJ72" s="213">
        <v>0</v>
      </c>
      <c r="AL72" s="212" t="str">
        <f>VLOOKUP(C72,'FAR 12.2021 - For Lookup'!$C$14:$AL$35,36,FALSE)</f>
        <v>Garbage Containers</v>
      </c>
      <c r="AM72" s="212">
        <f t="shared" si="1"/>
        <v>8</v>
      </c>
      <c r="AN72" s="212">
        <f t="shared" si="2"/>
        <v>2021</v>
      </c>
      <c r="AO72" s="212">
        <f t="shared" si="3"/>
        <v>2033</v>
      </c>
      <c r="AP72" s="259">
        <f t="shared" si="4"/>
        <v>2033.6666666666667</v>
      </c>
      <c r="AQ72" s="260">
        <f t="shared" si="5"/>
        <v>49.723819444444445</v>
      </c>
      <c r="AR72" s="260">
        <f t="shared" si="6"/>
        <v>596.68583333333333</v>
      </c>
      <c r="AS72" s="13">
        <f t="shared" si="7"/>
        <v>596.68583333333333</v>
      </c>
      <c r="AT72" s="13">
        <f t="shared" si="12"/>
        <v>0</v>
      </c>
      <c r="AU72" s="13">
        <f t="shared" si="9"/>
        <v>596.68583333333333</v>
      </c>
      <c r="AV72" s="13">
        <f t="shared" si="10"/>
        <v>6563.5441666666666</v>
      </c>
      <c r="AW72" s="9" t="s">
        <v>3193</v>
      </c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</row>
    <row r="73" spans="2:69" s="212" customFormat="1">
      <c r="B73" s="214">
        <v>2180</v>
      </c>
      <c r="C73" s="218">
        <v>260008</v>
      </c>
      <c r="D73" s="214" t="s">
        <v>97</v>
      </c>
      <c r="E73" s="213" t="s">
        <v>3061</v>
      </c>
      <c r="F73" s="214">
        <v>10</v>
      </c>
      <c r="G73" s="213"/>
      <c r="H73" s="213"/>
      <c r="I73" s="213"/>
      <c r="J73" s="213">
        <v>0</v>
      </c>
      <c r="K73" s="213" t="s">
        <v>2041</v>
      </c>
      <c r="L73" s="213"/>
      <c r="M73" s="213" t="s">
        <v>3059</v>
      </c>
      <c r="N73" s="217">
        <v>44426</v>
      </c>
      <c r="O73" s="217">
        <v>44426</v>
      </c>
      <c r="P73" s="213" t="s">
        <v>3058</v>
      </c>
      <c r="Q73" s="214">
        <v>1200</v>
      </c>
      <c r="R73" s="214">
        <v>14050</v>
      </c>
      <c r="S73" s="215">
        <v>10228.9</v>
      </c>
      <c r="T73" s="214">
        <v>14056</v>
      </c>
      <c r="U73" s="215">
        <v>639.30999999999995</v>
      </c>
      <c r="V73" s="215">
        <f t="shared" si="0"/>
        <v>9589.59</v>
      </c>
      <c r="W73" s="216">
        <v>355.17</v>
      </c>
      <c r="X73" s="214">
        <v>54260</v>
      </c>
      <c r="Y73" s="215">
        <v>71.03</v>
      </c>
      <c r="Z73" s="213" t="s">
        <v>97</v>
      </c>
      <c r="AA73" s="213"/>
      <c r="AB73" s="213">
        <v>168289</v>
      </c>
      <c r="AC73" s="213"/>
      <c r="AD73" s="213" t="s">
        <v>1152</v>
      </c>
      <c r="AE73" s="213" t="s">
        <v>1153</v>
      </c>
      <c r="AF73" s="214" t="s">
        <v>1154</v>
      </c>
      <c r="AG73" s="213"/>
      <c r="AH73" s="214" t="s">
        <v>1155</v>
      </c>
      <c r="AI73" s="213">
        <v>0</v>
      </c>
      <c r="AJ73" s="213">
        <v>0</v>
      </c>
      <c r="AL73" s="212" t="str">
        <f>VLOOKUP(C73,'FAR 12.2021 - For Lookup'!$C$14:$AL$35,36,FALSE)</f>
        <v>Garbage Containers</v>
      </c>
      <c r="AM73" s="212">
        <f t="shared" si="1"/>
        <v>8</v>
      </c>
      <c r="AN73" s="212">
        <f t="shared" si="2"/>
        <v>2021</v>
      </c>
      <c r="AO73" s="212">
        <f t="shared" si="3"/>
        <v>2033</v>
      </c>
      <c r="AP73" s="259">
        <f t="shared" si="4"/>
        <v>2033.6666666666667</v>
      </c>
      <c r="AQ73" s="260">
        <f t="shared" si="5"/>
        <v>71.03402777777778</v>
      </c>
      <c r="AR73" s="260">
        <f t="shared" si="6"/>
        <v>852.4083333333333</v>
      </c>
      <c r="AS73" s="13">
        <f t="shared" si="7"/>
        <v>852.4083333333333</v>
      </c>
      <c r="AT73" s="13">
        <f t="shared" si="12"/>
        <v>0</v>
      </c>
      <c r="AU73" s="13">
        <f t="shared" si="9"/>
        <v>852.4083333333333</v>
      </c>
      <c r="AV73" s="13">
        <f t="shared" si="10"/>
        <v>9376.4916666666668</v>
      </c>
      <c r="AW73" s="9" t="s">
        <v>3193</v>
      </c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</row>
    <row r="74" spans="2:69" s="212" customFormat="1">
      <c r="B74" s="214">
        <v>2180</v>
      </c>
      <c r="C74" s="218">
        <v>260007</v>
      </c>
      <c r="D74" s="214" t="s">
        <v>97</v>
      </c>
      <c r="E74" s="213" t="s">
        <v>3060</v>
      </c>
      <c r="F74" s="214">
        <v>9</v>
      </c>
      <c r="G74" s="213"/>
      <c r="H74" s="213"/>
      <c r="I74" s="213"/>
      <c r="J74" s="213">
        <v>0</v>
      </c>
      <c r="K74" s="213" t="s">
        <v>2041</v>
      </c>
      <c r="L74" s="213"/>
      <c r="M74" s="213" t="s">
        <v>3059</v>
      </c>
      <c r="N74" s="217">
        <v>44426</v>
      </c>
      <c r="O74" s="217">
        <v>44426</v>
      </c>
      <c r="P74" s="213" t="s">
        <v>3058</v>
      </c>
      <c r="Q74" s="214">
        <v>1200</v>
      </c>
      <c r="R74" s="214">
        <v>14050</v>
      </c>
      <c r="S74" s="215">
        <v>9206.01</v>
      </c>
      <c r="T74" s="214">
        <v>14056</v>
      </c>
      <c r="U74" s="215">
        <v>575.37</v>
      </c>
      <c r="V74" s="215">
        <f t="shared" si="0"/>
        <v>8630.64</v>
      </c>
      <c r="W74" s="216">
        <v>319.64999999999998</v>
      </c>
      <c r="X74" s="214">
        <v>54260</v>
      </c>
      <c r="Y74" s="215">
        <v>63.93</v>
      </c>
      <c r="Z74" s="213" t="s">
        <v>97</v>
      </c>
      <c r="AA74" s="213"/>
      <c r="AB74" s="213">
        <v>168452</v>
      </c>
      <c r="AC74" s="213"/>
      <c r="AD74" s="213" t="s">
        <v>1152</v>
      </c>
      <c r="AE74" s="213" t="s">
        <v>1153</v>
      </c>
      <c r="AF74" s="214" t="s">
        <v>1154</v>
      </c>
      <c r="AG74" s="213"/>
      <c r="AH74" s="214" t="s">
        <v>1155</v>
      </c>
      <c r="AI74" s="213">
        <v>0</v>
      </c>
      <c r="AJ74" s="213">
        <v>0</v>
      </c>
      <c r="AL74" s="212" t="str">
        <f>VLOOKUP(C74,'FAR 12.2021 - For Lookup'!$C$14:$AL$35,36,FALSE)</f>
        <v>Garbage Containers</v>
      </c>
      <c r="AM74" s="212">
        <f t="shared" si="1"/>
        <v>8</v>
      </c>
      <c r="AN74" s="212">
        <f t="shared" si="2"/>
        <v>2021</v>
      </c>
      <c r="AO74" s="212">
        <f t="shared" si="3"/>
        <v>2033</v>
      </c>
      <c r="AP74" s="259">
        <f t="shared" si="4"/>
        <v>2033.6666666666667</v>
      </c>
      <c r="AQ74" s="260">
        <f t="shared" si="5"/>
        <v>63.930624999999999</v>
      </c>
      <c r="AR74" s="260">
        <f t="shared" si="6"/>
        <v>767.16750000000002</v>
      </c>
      <c r="AS74" s="13">
        <f t="shared" si="7"/>
        <v>767.16750000000002</v>
      </c>
      <c r="AT74" s="13">
        <f t="shared" si="12"/>
        <v>0</v>
      </c>
      <c r="AU74" s="13">
        <f t="shared" si="9"/>
        <v>767.16750000000002</v>
      </c>
      <c r="AV74" s="13">
        <f t="shared" si="10"/>
        <v>8438.8425000000007</v>
      </c>
      <c r="AW74" s="9" t="s">
        <v>3193</v>
      </c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</row>
    <row r="75" spans="2:69" s="212" customFormat="1">
      <c r="B75" s="214">
        <v>2180</v>
      </c>
      <c r="C75" s="218">
        <v>260006</v>
      </c>
      <c r="D75" s="214" t="s">
        <v>97</v>
      </c>
      <c r="E75" s="213" t="s">
        <v>3057</v>
      </c>
      <c r="F75" s="214">
        <v>10</v>
      </c>
      <c r="G75" s="213"/>
      <c r="H75" s="213"/>
      <c r="I75" s="213"/>
      <c r="J75" s="213">
        <v>0</v>
      </c>
      <c r="K75" s="213" t="s">
        <v>2041</v>
      </c>
      <c r="L75" s="213"/>
      <c r="M75" s="213" t="s">
        <v>3056</v>
      </c>
      <c r="N75" s="217">
        <v>44438</v>
      </c>
      <c r="O75" s="217">
        <v>44438</v>
      </c>
      <c r="P75" s="213" t="s">
        <v>3055</v>
      </c>
      <c r="Q75" s="214">
        <v>1200</v>
      </c>
      <c r="R75" s="214">
        <v>14050</v>
      </c>
      <c r="S75" s="215">
        <v>8259.7000000000007</v>
      </c>
      <c r="T75" s="214">
        <v>14056</v>
      </c>
      <c r="U75" s="215">
        <v>516.24</v>
      </c>
      <c r="V75" s="215">
        <f t="shared" si="0"/>
        <v>7743.4600000000009</v>
      </c>
      <c r="W75" s="216">
        <v>286.8</v>
      </c>
      <c r="X75" s="214">
        <v>54260</v>
      </c>
      <c r="Y75" s="215">
        <v>57.36</v>
      </c>
      <c r="Z75" s="213" t="s">
        <v>97</v>
      </c>
      <c r="AA75" s="213"/>
      <c r="AB75" s="213">
        <v>168442</v>
      </c>
      <c r="AC75" s="213"/>
      <c r="AD75" s="213" t="s">
        <v>1152</v>
      </c>
      <c r="AE75" s="213" t="s">
        <v>1153</v>
      </c>
      <c r="AF75" s="214" t="s">
        <v>1154</v>
      </c>
      <c r="AG75" s="213"/>
      <c r="AH75" s="214" t="s">
        <v>1155</v>
      </c>
      <c r="AI75" s="213">
        <v>0</v>
      </c>
      <c r="AJ75" s="213">
        <v>0</v>
      </c>
      <c r="AL75" s="212" t="str">
        <f>VLOOKUP(C75,'FAR 12.2021 - For Lookup'!$C$14:$AL$35,36,FALSE)</f>
        <v>Garbage Containers</v>
      </c>
      <c r="AM75" s="212">
        <f t="shared" si="1"/>
        <v>8</v>
      </c>
      <c r="AN75" s="212">
        <f t="shared" si="2"/>
        <v>2021</v>
      </c>
      <c r="AO75" s="212">
        <f t="shared" si="3"/>
        <v>2033</v>
      </c>
      <c r="AP75" s="259">
        <f t="shared" si="4"/>
        <v>2033.6666666666667</v>
      </c>
      <c r="AQ75" s="260">
        <f t="shared" si="5"/>
        <v>57.359027777777783</v>
      </c>
      <c r="AR75" s="260">
        <f t="shared" si="6"/>
        <v>688.30833333333339</v>
      </c>
      <c r="AS75" s="13">
        <f t="shared" si="7"/>
        <v>688.30833333333339</v>
      </c>
      <c r="AT75" s="13">
        <f t="shared" si="12"/>
        <v>0</v>
      </c>
      <c r="AU75" s="13">
        <f t="shared" si="9"/>
        <v>688.30833333333339</v>
      </c>
      <c r="AV75" s="13">
        <f t="shared" si="10"/>
        <v>7571.3916666666673</v>
      </c>
      <c r="AW75" s="9" t="s">
        <v>3193</v>
      </c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</row>
    <row r="76" spans="2:69" s="212" customFormat="1">
      <c r="B76" s="214">
        <v>2180</v>
      </c>
      <c r="C76" s="218">
        <v>260005</v>
      </c>
      <c r="D76" s="214" t="s">
        <v>97</v>
      </c>
      <c r="E76" s="213" t="s">
        <v>3057</v>
      </c>
      <c r="F76" s="214">
        <v>14</v>
      </c>
      <c r="G76" s="213"/>
      <c r="H76" s="213"/>
      <c r="I76" s="213"/>
      <c r="J76" s="213">
        <v>0</v>
      </c>
      <c r="K76" s="213" t="s">
        <v>2041</v>
      </c>
      <c r="L76" s="213"/>
      <c r="M76" s="213" t="s">
        <v>3056</v>
      </c>
      <c r="N76" s="217">
        <v>44438</v>
      </c>
      <c r="O76" s="217">
        <v>44438</v>
      </c>
      <c r="P76" s="213" t="s">
        <v>3055</v>
      </c>
      <c r="Q76" s="214">
        <v>1200</v>
      </c>
      <c r="R76" s="214">
        <v>14050</v>
      </c>
      <c r="S76" s="215">
        <v>11563.58</v>
      </c>
      <c r="T76" s="214">
        <v>14056</v>
      </c>
      <c r="U76" s="215">
        <v>722.72</v>
      </c>
      <c r="V76" s="215">
        <f t="shared" si="0"/>
        <v>10840.86</v>
      </c>
      <c r="W76" s="216">
        <v>401.51</v>
      </c>
      <c r="X76" s="214">
        <v>54260</v>
      </c>
      <c r="Y76" s="215">
        <v>80.3</v>
      </c>
      <c r="Z76" s="213" t="s">
        <v>97</v>
      </c>
      <c r="AA76" s="213"/>
      <c r="AB76" s="213">
        <v>168440</v>
      </c>
      <c r="AC76" s="213"/>
      <c r="AD76" s="213" t="s">
        <v>1152</v>
      </c>
      <c r="AE76" s="213" t="s">
        <v>1153</v>
      </c>
      <c r="AF76" s="214" t="s">
        <v>1154</v>
      </c>
      <c r="AG76" s="213"/>
      <c r="AH76" s="214" t="s">
        <v>1155</v>
      </c>
      <c r="AI76" s="213">
        <v>0</v>
      </c>
      <c r="AJ76" s="213">
        <v>0</v>
      </c>
      <c r="AL76" s="212" t="str">
        <f>VLOOKUP(C76,'FAR 12.2021 - For Lookup'!$C$14:$AL$35,36,FALSE)</f>
        <v>Garbage Containers</v>
      </c>
      <c r="AM76" s="212">
        <f t="shared" si="1"/>
        <v>8</v>
      </c>
      <c r="AN76" s="212">
        <f t="shared" si="2"/>
        <v>2021</v>
      </c>
      <c r="AO76" s="212">
        <f t="shared" si="3"/>
        <v>2033</v>
      </c>
      <c r="AP76" s="259">
        <f t="shared" si="4"/>
        <v>2033.6666666666667</v>
      </c>
      <c r="AQ76" s="260">
        <f t="shared" si="5"/>
        <v>80.302638888888893</v>
      </c>
      <c r="AR76" s="260">
        <f t="shared" si="6"/>
        <v>963.63166666666666</v>
      </c>
      <c r="AS76" s="13">
        <f t="shared" si="7"/>
        <v>963.63166666666666</v>
      </c>
      <c r="AT76" s="13">
        <f t="shared" si="12"/>
        <v>0</v>
      </c>
      <c r="AU76" s="13">
        <f t="shared" si="9"/>
        <v>963.63166666666666</v>
      </c>
      <c r="AV76" s="13">
        <f t="shared" si="10"/>
        <v>10599.948333333334</v>
      </c>
      <c r="AW76" s="9" t="s">
        <v>3193</v>
      </c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</row>
    <row r="77" spans="2:69" s="212" customFormat="1">
      <c r="B77" s="214">
        <v>2180</v>
      </c>
      <c r="C77" s="218">
        <v>260004</v>
      </c>
      <c r="D77" s="214" t="s">
        <v>97</v>
      </c>
      <c r="E77" s="213" t="s">
        <v>2807</v>
      </c>
      <c r="F77" s="214">
        <v>36</v>
      </c>
      <c r="G77" s="213"/>
      <c r="H77" s="213"/>
      <c r="I77" s="213"/>
      <c r="J77" s="213">
        <v>0</v>
      </c>
      <c r="K77" s="213" t="s">
        <v>2041</v>
      </c>
      <c r="L77" s="213"/>
      <c r="M77" s="213" t="s">
        <v>3054</v>
      </c>
      <c r="N77" s="217">
        <v>44407</v>
      </c>
      <c r="O77" s="217">
        <v>44407</v>
      </c>
      <c r="P77" s="213" t="s">
        <v>3053</v>
      </c>
      <c r="Q77" s="214">
        <v>1200</v>
      </c>
      <c r="R77" s="214">
        <v>14050</v>
      </c>
      <c r="S77" s="215">
        <v>28553.4</v>
      </c>
      <c r="T77" s="214">
        <v>14056</v>
      </c>
      <c r="U77" s="215">
        <v>1982.88</v>
      </c>
      <c r="V77" s="215">
        <f t="shared" si="0"/>
        <v>26570.52</v>
      </c>
      <c r="W77" s="216">
        <v>991.44</v>
      </c>
      <c r="X77" s="214">
        <v>54260</v>
      </c>
      <c r="Y77" s="215">
        <v>198.29</v>
      </c>
      <c r="Z77" s="213" t="s">
        <v>97</v>
      </c>
      <c r="AA77" s="213"/>
      <c r="AB77" s="213">
        <v>167965</v>
      </c>
      <c r="AC77" s="213"/>
      <c r="AD77" s="213" t="s">
        <v>1152</v>
      </c>
      <c r="AE77" s="213" t="s">
        <v>1153</v>
      </c>
      <c r="AF77" s="214" t="s">
        <v>1154</v>
      </c>
      <c r="AG77" s="213"/>
      <c r="AH77" s="214" t="s">
        <v>1155</v>
      </c>
      <c r="AI77" s="213">
        <v>0</v>
      </c>
      <c r="AJ77" s="213">
        <v>0</v>
      </c>
      <c r="AL77" s="212" t="str">
        <f>VLOOKUP(C77,'FAR 12.2021 - For Lookup'!$C$14:$AL$35,36,FALSE)</f>
        <v>Garbage Containers</v>
      </c>
      <c r="AM77" s="212">
        <f t="shared" si="1"/>
        <v>7</v>
      </c>
      <c r="AN77" s="212">
        <f t="shared" si="2"/>
        <v>2021</v>
      </c>
      <c r="AO77" s="212">
        <f t="shared" si="3"/>
        <v>2033</v>
      </c>
      <c r="AP77" s="259">
        <f t="shared" si="4"/>
        <v>2033.5833333333333</v>
      </c>
      <c r="AQ77" s="260">
        <f t="shared" si="5"/>
        <v>198.28750000000002</v>
      </c>
      <c r="AR77" s="260">
        <f t="shared" si="6"/>
        <v>2379.4500000000003</v>
      </c>
      <c r="AS77" s="13">
        <f t="shared" si="7"/>
        <v>2379.4500000000003</v>
      </c>
      <c r="AT77" s="13">
        <f t="shared" si="12"/>
        <v>0</v>
      </c>
      <c r="AU77" s="13">
        <f t="shared" si="9"/>
        <v>2379.4500000000003</v>
      </c>
      <c r="AV77" s="13">
        <f t="shared" si="10"/>
        <v>26173.95</v>
      </c>
      <c r="AW77" s="9" t="s">
        <v>3193</v>
      </c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</row>
    <row r="78" spans="2:69">
      <c r="B78" s="203">
        <v>2180</v>
      </c>
      <c r="C78" s="207">
        <v>259382</v>
      </c>
      <c r="D78" s="203" t="s">
        <v>97</v>
      </c>
      <c r="E78" s="202" t="s">
        <v>1364</v>
      </c>
      <c r="F78" s="203">
        <v>2</v>
      </c>
      <c r="G78" s="202"/>
      <c r="H78" s="202"/>
      <c r="I78" s="202"/>
      <c r="J78" s="202">
        <v>0</v>
      </c>
      <c r="K78" s="202" t="s">
        <v>3041</v>
      </c>
      <c r="L78" s="202"/>
      <c r="M78" s="202" t="s">
        <v>1417</v>
      </c>
      <c r="N78" s="206">
        <v>44344</v>
      </c>
      <c r="O78" s="206">
        <v>44344</v>
      </c>
      <c r="P78" s="202" t="s">
        <v>3049</v>
      </c>
      <c r="Q78" s="203">
        <v>1200</v>
      </c>
      <c r="R78" s="203">
        <v>14050</v>
      </c>
      <c r="S78" s="204">
        <v>7578.72</v>
      </c>
      <c r="T78" s="203">
        <v>14056</v>
      </c>
      <c r="U78" s="204">
        <v>631.55999999999995</v>
      </c>
      <c r="V78" s="204">
        <f t="shared" ref="V78:V141" si="13">S78-U78</f>
        <v>6947.16</v>
      </c>
      <c r="W78" s="205">
        <v>263.14999999999998</v>
      </c>
      <c r="X78" s="203">
        <v>54260</v>
      </c>
      <c r="Y78" s="204">
        <v>52.63</v>
      </c>
      <c r="Z78" s="202" t="s">
        <v>97</v>
      </c>
      <c r="AA78" s="202"/>
      <c r="AB78" s="202">
        <v>103301</v>
      </c>
      <c r="AC78" s="202"/>
      <c r="AD78" s="202" t="s">
        <v>1152</v>
      </c>
      <c r="AE78" s="202" t="s">
        <v>1153</v>
      </c>
      <c r="AF78" s="203" t="s">
        <v>1154</v>
      </c>
      <c r="AG78" s="202"/>
      <c r="AH78" s="203" t="s">
        <v>1155</v>
      </c>
      <c r="AI78" s="202">
        <v>0</v>
      </c>
      <c r="AJ78" s="202">
        <v>0</v>
      </c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</row>
    <row r="79" spans="2:69">
      <c r="B79" s="203">
        <v>2180</v>
      </c>
      <c r="C79" s="207">
        <v>259374</v>
      </c>
      <c r="D79" s="203" t="s">
        <v>97</v>
      </c>
      <c r="E79" s="202" t="s">
        <v>1365</v>
      </c>
      <c r="F79" s="203">
        <v>4</v>
      </c>
      <c r="G79" s="202"/>
      <c r="H79" s="202"/>
      <c r="I79" s="202"/>
      <c r="J79" s="202">
        <v>0</v>
      </c>
      <c r="K79" s="202" t="s">
        <v>3041</v>
      </c>
      <c r="L79" s="202"/>
      <c r="M79" s="202" t="s">
        <v>1454</v>
      </c>
      <c r="N79" s="206">
        <v>44344</v>
      </c>
      <c r="O79" s="206">
        <v>44344</v>
      </c>
      <c r="P79" s="202" t="s">
        <v>3052</v>
      </c>
      <c r="Q79" s="203">
        <v>1200</v>
      </c>
      <c r="R79" s="203">
        <v>14050</v>
      </c>
      <c r="S79" s="204">
        <v>15157.46</v>
      </c>
      <c r="T79" s="203">
        <v>14056</v>
      </c>
      <c r="U79" s="204">
        <v>1263.1199999999999</v>
      </c>
      <c r="V79" s="204">
        <f t="shared" si="13"/>
        <v>13894.34</v>
      </c>
      <c r="W79" s="205">
        <v>526.29999999999995</v>
      </c>
      <c r="X79" s="203">
        <v>54260</v>
      </c>
      <c r="Y79" s="204">
        <v>105.26</v>
      </c>
      <c r="Z79" s="202" t="s">
        <v>97</v>
      </c>
      <c r="AA79" s="202"/>
      <c r="AB79" s="202">
        <v>103301</v>
      </c>
      <c r="AC79" s="202"/>
      <c r="AD79" s="202" t="s">
        <v>1152</v>
      </c>
      <c r="AE79" s="202" t="s">
        <v>1153</v>
      </c>
      <c r="AF79" s="203" t="s">
        <v>1154</v>
      </c>
      <c r="AG79" s="202"/>
      <c r="AH79" s="203" t="s">
        <v>1155</v>
      </c>
      <c r="AI79" s="202">
        <v>0</v>
      </c>
      <c r="AJ79" s="202">
        <v>0</v>
      </c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</row>
    <row r="80" spans="2:69">
      <c r="B80" s="203">
        <v>2180</v>
      </c>
      <c r="C80" s="207">
        <v>259368</v>
      </c>
      <c r="D80" s="203" t="s">
        <v>97</v>
      </c>
      <c r="E80" s="202" t="s">
        <v>1366</v>
      </c>
      <c r="F80" s="203">
        <v>9</v>
      </c>
      <c r="G80" s="202"/>
      <c r="H80" s="202"/>
      <c r="I80" s="202"/>
      <c r="J80" s="202">
        <v>0</v>
      </c>
      <c r="K80" s="202" t="s">
        <v>3041</v>
      </c>
      <c r="L80" s="202"/>
      <c r="M80" s="202" t="s">
        <v>1458</v>
      </c>
      <c r="N80" s="206">
        <v>44344</v>
      </c>
      <c r="O80" s="206">
        <v>44344</v>
      </c>
      <c r="P80" s="202" t="s">
        <v>3040</v>
      </c>
      <c r="Q80" s="203">
        <v>1200</v>
      </c>
      <c r="R80" s="203">
        <v>14050</v>
      </c>
      <c r="S80" s="204">
        <v>34104.28</v>
      </c>
      <c r="T80" s="203">
        <v>14056</v>
      </c>
      <c r="U80" s="204">
        <v>2842.03</v>
      </c>
      <c r="V80" s="204">
        <f t="shared" si="13"/>
        <v>31262.25</v>
      </c>
      <c r="W80" s="205">
        <v>1184.18</v>
      </c>
      <c r="X80" s="203">
        <v>54260</v>
      </c>
      <c r="Y80" s="204">
        <v>236.84</v>
      </c>
      <c r="Z80" s="202" t="s">
        <v>97</v>
      </c>
      <c r="AA80" s="202"/>
      <c r="AB80" s="202">
        <v>103301</v>
      </c>
      <c r="AC80" s="202"/>
      <c r="AD80" s="202" t="s">
        <v>1152</v>
      </c>
      <c r="AE80" s="202" t="s">
        <v>1153</v>
      </c>
      <c r="AF80" s="203" t="s">
        <v>1154</v>
      </c>
      <c r="AG80" s="202"/>
      <c r="AH80" s="203" t="s">
        <v>1155</v>
      </c>
      <c r="AI80" s="202">
        <v>0</v>
      </c>
      <c r="AJ80" s="202">
        <v>0</v>
      </c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</row>
    <row r="81" spans="2:69">
      <c r="B81" s="203">
        <v>2180</v>
      </c>
      <c r="C81" s="207">
        <v>259131</v>
      </c>
      <c r="D81" s="203" t="s">
        <v>97</v>
      </c>
      <c r="E81" s="202" t="s">
        <v>1374</v>
      </c>
      <c r="F81" s="203">
        <v>4</v>
      </c>
      <c r="G81" s="202"/>
      <c r="H81" s="202"/>
      <c r="I81" s="202"/>
      <c r="J81" s="202">
        <v>0</v>
      </c>
      <c r="K81" s="202" t="s">
        <v>2041</v>
      </c>
      <c r="L81" s="202"/>
      <c r="M81" s="202" t="s">
        <v>3051</v>
      </c>
      <c r="N81" s="206">
        <v>44407</v>
      </c>
      <c r="O81" s="206">
        <v>44407</v>
      </c>
      <c r="P81" s="202" t="s">
        <v>3050</v>
      </c>
      <c r="Q81" s="203">
        <v>1200</v>
      </c>
      <c r="R81" s="203">
        <v>14050</v>
      </c>
      <c r="S81" s="204">
        <v>6151.95</v>
      </c>
      <c r="T81" s="203">
        <v>14056</v>
      </c>
      <c r="U81" s="204">
        <v>427.22</v>
      </c>
      <c r="V81" s="204">
        <f t="shared" si="13"/>
        <v>5724.73</v>
      </c>
      <c r="W81" s="205">
        <v>213.61</v>
      </c>
      <c r="X81" s="203">
        <v>54260</v>
      </c>
      <c r="Y81" s="204">
        <v>42.72</v>
      </c>
      <c r="Z81" s="202" t="s">
        <v>97</v>
      </c>
      <c r="AA81" s="202"/>
      <c r="AB81" s="202">
        <v>167971</v>
      </c>
      <c r="AC81" s="202"/>
      <c r="AD81" s="202" t="s">
        <v>1152</v>
      </c>
      <c r="AE81" s="202" t="s">
        <v>1153</v>
      </c>
      <c r="AF81" s="203" t="s">
        <v>1154</v>
      </c>
      <c r="AG81" s="202"/>
      <c r="AH81" s="203" t="s">
        <v>1155</v>
      </c>
      <c r="AI81" s="202">
        <v>0</v>
      </c>
      <c r="AJ81" s="202">
        <v>0</v>
      </c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</row>
    <row r="82" spans="2:69">
      <c r="B82" s="203">
        <v>2180</v>
      </c>
      <c r="C82" s="207">
        <v>259130</v>
      </c>
      <c r="D82" s="203" t="s">
        <v>97</v>
      </c>
      <c r="E82" s="202" t="s">
        <v>528</v>
      </c>
      <c r="F82" s="203">
        <v>4</v>
      </c>
      <c r="G82" s="202"/>
      <c r="H82" s="202"/>
      <c r="I82" s="202"/>
      <c r="J82" s="202">
        <v>0</v>
      </c>
      <c r="K82" s="202" t="s">
        <v>2041</v>
      </c>
      <c r="L82" s="202"/>
      <c r="M82" s="202" t="s">
        <v>3051</v>
      </c>
      <c r="N82" s="206">
        <v>44407</v>
      </c>
      <c r="O82" s="206">
        <v>44407</v>
      </c>
      <c r="P82" s="202" t="s">
        <v>3050</v>
      </c>
      <c r="Q82" s="203">
        <v>1200</v>
      </c>
      <c r="R82" s="203">
        <v>14050</v>
      </c>
      <c r="S82" s="204">
        <v>6151.95</v>
      </c>
      <c r="T82" s="203">
        <v>14056</v>
      </c>
      <c r="U82" s="204">
        <v>427.22</v>
      </c>
      <c r="V82" s="204">
        <f t="shared" si="13"/>
        <v>5724.73</v>
      </c>
      <c r="W82" s="205">
        <v>213.61</v>
      </c>
      <c r="X82" s="203">
        <v>54260</v>
      </c>
      <c r="Y82" s="204">
        <v>42.72</v>
      </c>
      <c r="Z82" s="202" t="s">
        <v>97</v>
      </c>
      <c r="AA82" s="202"/>
      <c r="AB82" s="202">
        <v>167970</v>
      </c>
      <c r="AC82" s="202"/>
      <c r="AD82" s="202" t="s">
        <v>1152</v>
      </c>
      <c r="AE82" s="202" t="s">
        <v>1153</v>
      </c>
      <c r="AF82" s="203" t="s">
        <v>1154</v>
      </c>
      <c r="AG82" s="202"/>
      <c r="AH82" s="203" t="s">
        <v>1155</v>
      </c>
      <c r="AI82" s="202">
        <v>0</v>
      </c>
      <c r="AJ82" s="202">
        <v>0</v>
      </c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</row>
    <row r="83" spans="2:69">
      <c r="B83" s="203">
        <v>2180</v>
      </c>
      <c r="C83" s="207">
        <v>259129</v>
      </c>
      <c r="D83" s="203" t="s">
        <v>97</v>
      </c>
      <c r="E83" s="202" t="s">
        <v>528</v>
      </c>
      <c r="F83" s="203">
        <v>4</v>
      </c>
      <c r="G83" s="202"/>
      <c r="H83" s="202"/>
      <c r="I83" s="202"/>
      <c r="J83" s="202">
        <v>0</v>
      </c>
      <c r="K83" s="202" t="s">
        <v>2041</v>
      </c>
      <c r="L83" s="202"/>
      <c r="M83" s="202" t="s">
        <v>3051</v>
      </c>
      <c r="N83" s="206">
        <v>44407</v>
      </c>
      <c r="O83" s="206">
        <v>44407</v>
      </c>
      <c r="P83" s="202" t="s">
        <v>3050</v>
      </c>
      <c r="Q83" s="203">
        <v>1200</v>
      </c>
      <c r="R83" s="203">
        <v>14050</v>
      </c>
      <c r="S83" s="204">
        <v>6151.95</v>
      </c>
      <c r="T83" s="203">
        <v>14056</v>
      </c>
      <c r="U83" s="204">
        <v>427.22</v>
      </c>
      <c r="V83" s="204">
        <f t="shared" si="13"/>
        <v>5724.73</v>
      </c>
      <c r="W83" s="205">
        <v>213.61</v>
      </c>
      <c r="X83" s="203">
        <v>54260</v>
      </c>
      <c r="Y83" s="204">
        <v>42.72</v>
      </c>
      <c r="Z83" s="202" t="s">
        <v>97</v>
      </c>
      <c r="AA83" s="202"/>
      <c r="AB83" s="202">
        <v>167969</v>
      </c>
      <c r="AC83" s="202"/>
      <c r="AD83" s="202" t="s">
        <v>1152</v>
      </c>
      <c r="AE83" s="202" t="s">
        <v>1153</v>
      </c>
      <c r="AF83" s="203" t="s">
        <v>1154</v>
      </c>
      <c r="AG83" s="202"/>
      <c r="AH83" s="203" t="s">
        <v>1155</v>
      </c>
      <c r="AI83" s="202">
        <v>0</v>
      </c>
      <c r="AJ83" s="202">
        <v>0</v>
      </c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</row>
    <row r="84" spans="2:69">
      <c r="B84" s="203">
        <v>2180</v>
      </c>
      <c r="C84" s="207">
        <v>259128</v>
      </c>
      <c r="D84" s="203" t="s">
        <v>97</v>
      </c>
      <c r="E84" s="202" t="s">
        <v>528</v>
      </c>
      <c r="F84" s="203">
        <v>4</v>
      </c>
      <c r="G84" s="202"/>
      <c r="H84" s="202"/>
      <c r="I84" s="202"/>
      <c r="J84" s="202">
        <v>0</v>
      </c>
      <c r="K84" s="202" t="s">
        <v>2041</v>
      </c>
      <c r="L84" s="202"/>
      <c r="M84" s="202" t="s">
        <v>3051</v>
      </c>
      <c r="N84" s="206">
        <v>44407</v>
      </c>
      <c r="O84" s="206">
        <v>44407</v>
      </c>
      <c r="P84" s="202" t="s">
        <v>3050</v>
      </c>
      <c r="Q84" s="203">
        <v>1200</v>
      </c>
      <c r="R84" s="203">
        <v>14050</v>
      </c>
      <c r="S84" s="204">
        <v>6151.95</v>
      </c>
      <c r="T84" s="203">
        <v>14056</v>
      </c>
      <c r="U84" s="204">
        <v>427.22</v>
      </c>
      <c r="V84" s="204">
        <f t="shared" si="13"/>
        <v>5724.73</v>
      </c>
      <c r="W84" s="205">
        <v>213.61</v>
      </c>
      <c r="X84" s="203">
        <v>54260</v>
      </c>
      <c r="Y84" s="204">
        <v>42.72</v>
      </c>
      <c r="Z84" s="202" t="s">
        <v>97</v>
      </c>
      <c r="AA84" s="202"/>
      <c r="AB84" s="202">
        <v>167968</v>
      </c>
      <c r="AC84" s="202"/>
      <c r="AD84" s="202" t="s">
        <v>1152</v>
      </c>
      <c r="AE84" s="202" t="s">
        <v>1153</v>
      </c>
      <c r="AF84" s="203" t="s">
        <v>1154</v>
      </c>
      <c r="AG84" s="202"/>
      <c r="AH84" s="203" t="s">
        <v>1155</v>
      </c>
      <c r="AI84" s="202">
        <v>0</v>
      </c>
      <c r="AJ84" s="202">
        <v>0</v>
      </c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</row>
    <row r="85" spans="2:69">
      <c r="B85" s="203">
        <v>2180</v>
      </c>
      <c r="C85" s="207">
        <v>259127</v>
      </c>
      <c r="D85" s="203" t="s">
        <v>97</v>
      </c>
      <c r="E85" s="202" t="s">
        <v>528</v>
      </c>
      <c r="F85" s="203">
        <v>4</v>
      </c>
      <c r="G85" s="202"/>
      <c r="H85" s="202"/>
      <c r="I85" s="202"/>
      <c r="J85" s="202">
        <v>0</v>
      </c>
      <c r="K85" s="202" t="s">
        <v>2041</v>
      </c>
      <c r="L85" s="202"/>
      <c r="M85" s="202" t="s">
        <v>3051</v>
      </c>
      <c r="N85" s="206">
        <v>44407</v>
      </c>
      <c r="O85" s="206">
        <v>44407</v>
      </c>
      <c r="P85" s="202" t="s">
        <v>3050</v>
      </c>
      <c r="Q85" s="203">
        <v>1200</v>
      </c>
      <c r="R85" s="203">
        <v>14050</v>
      </c>
      <c r="S85" s="204">
        <v>6151.95</v>
      </c>
      <c r="T85" s="203">
        <v>14056</v>
      </c>
      <c r="U85" s="204">
        <v>427.22</v>
      </c>
      <c r="V85" s="204">
        <f t="shared" si="13"/>
        <v>5724.73</v>
      </c>
      <c r="W85" s="205">
        <v>213.61</v>
      </c>
      <c r="X85" s="203">
        <v>54260</v>
      </c>
      <c r="Y85" s="204">
        <v>42.72</v>
      </c>
      <c r="Z85" s="202" t="s">
        <v>97</v>
      </c>
      <c r="AA85" s="202"/>
      <c r="AB85" s="202">
        <v>167966</v>
      </c>
      <c r="AC85" s="202"/>
      <c r="AD85" s="202" t="s">
        <v>1152</v>
      </c>
      <c r="AE85" s="202" t="s">
        <v>1153</v>
      </c>
      <c r="AF85" s="203" t="s">
        <v>1154</v>
      </c>
      <c r="AG85" s="202"/>
      <c r="AH85" s="203" t="s">
        <v>1155</v>
      </c>
      <c r="AI85" s="202">
        <v>0</v>
      </c>
      <c r="AJ85" s="202">
        <v>0</v>
      </c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</row>
    <row r="86" spans="2:69">
      <c r="B86" s="203">
        <v>2180</v>
      </c>
      <c r="C86" s="207">
        <v>259126</v>
      </c>
      <c r="D86" s="203" t="s">
        <v>97</v>
      </c>
      <c r="E86" s="202" t="s">
        <v>528</v>
      </c>
      <c r="F86" s="203">
        <v>2</v>
      </c>
      <c r="G86" s="202"/>
      <c r="H86" s="202"/>
      <c r="I86" s="202"/>
      <c r="J86" s="202">
        <v>0</v>
      </c>
      <c r="K86" s="202" t="s">
        <v>2041</v>
      </c>
      <c r="L86" s="202"/>
      <c r="M86" s="202" t="s">
        <v>3051</v>
      </c>
      <c r="N86" s="206">
        <v>44407</v>
      </c>
      <c r="O86" s="206">
        <v>44407</v>
      </c>
      <c r="P86" s="202" t="s">
        <v>3050</v>
      </c>
      <c r="Q86" s="203">
        <v>1200</v>
      </c>
      <c r="R86" s="203">
        <v>14050</v>
      </c>
      <c r="S86" s="204">
        <v>3052.26</v>
      </c>
      <c r="T86" s="203">
        <v>14056</v>
      </c>
      <c r="U86" s="204">
        <v>211.96</v>
      </c>
      <c r="V86" s="204">
        <f t="shared" si="13"/>
        <v>2840.3</v>
      </c>
      <c r="W86" s="205">
        <v>105.98</v>
      </c>
      <c r="X86" s="203">
        <v>54260</v>
      </c>
      <c r="Y86" s="204">
        <v>21.19</v>
      </c>
      <c r="Z86" s="202" t="s">
        <v>97</v>
      </c>
      <c r="AA86" s="202"/>
      <c r="AB86" s="202">
        <v>167974</v>
      </c>
      <c r="AC86" s="202"/>
      <c r="AD86" s="202" t="s">
        <v>1152</v>
      </c>
      <c r="AE86" s="202" t="s">
        <v>1153</v>
      </c>
      <c r="AF86" s="203" t="s">
        <v>1154</v>
      </c>
      <c r="AG86" s="202"/>
      <c r="AH86" s="203" t="s">
        <v>1155</v>
      </c>
      <c r="AI86" s="202">
        <v>0</v>
      </c>
      <c r="AJ86" s="202">
        <v>0</v>
      </c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</row>
    <row r="87" spans="2:69">
      <c r="B87" s="203">
        <v>2180</v>
      </c>
      <c r="C87" s="207">
        <v>259125</v>
      </c>
      <c r="D87" s="203" t="s">
        <v>97</v>
      </c>
      <c r="E87" s="202" t="s">
        <v>1367</v>
      </c>
      <c r="F87" s="203">
        <v>2</v>
      </c>
      <c r="G87" s="202"/>
      <c r="H87" s="202"/>
      <c r="I87" s="202"/>
      <c r="J87" s="202">
        <v>0</v>
      </c>
      <c r="K87" s="202" t="s">
        <v>2041</v>
      </c>
      <c r="L87" s="202"/>
      <c r="M87" s="202" t="s">
        <v>1417</v>
      </c>
      <c r="N87" s="206">
        <v>44413</v>
      </c>
      <c r="O87" s="206">
        <v>44413</v>
      </c>
      <c r="P87" s="202" t="s">
        <v>3049</v>
      </c>
      <c r="Q87" s="203">
        <v>1200</v>
      </c>
      <c r="R87" s="203">
        <v>14050</v>
      </c>
      <c r="S87" s="204">
        <v>15900</v>
      </c>
      <c r="T87" s="203">
        <v>14056</v>
      </c>
      <c r="U87" s="204">
        <v>1104.1600000000001</v>
      </c>
      <c r="V87" s="204">
        <f t="shared" si="13"/>
        <v>14795.84</v>
      </c>
      <c r="W87" s="205">
        <v>552.08000000000004</v>
      </c>
      <c r="X87" s="203">
        <v>54260</v>
      </c>
      <c r="Y87" s="204">
        <v>110.41</v>
      </c>
      <c r="Z87" s="202" t="s">
        <v>97</v>
      </c>
      <c r="AA87" s="202"/>
      <c r="AB87" s="202">
        <v>168214</v>
      </c>
      <c r="AC87" s="202"/>
      <c r="AD87" s="202" t="s">
        <v>1152</v>
      </c>
      <c r="AE87" s="202" t="s">
        <v>1153</v>
      </c>
      <c r="AF87" s="203" t="s">
        <v>1154</v>
      </c>
      <c r="AG87" s="202"/>
      <c r="AH87" s="203" t="s">
        <v>1155</v>
      </c>
      <c r="AI87" s="202">
        <v>0</v>
      </c>
      <c r="AJ87" s="202">
        <v>0</v>
      </c>
    </row>
    <row r="88" spans="2:69">
      <c r="B88" s="203">
        <v>2180</v>
      </c>
      <c r="C88" s="207">
        <v>258991</v>
      </c>
      <c r="D88" s="203" t="s">
        <v>97</v>
      </c>
      <c r="E88" s="202" t="s">
        <v>1368</v>
      </c>
      <c r="F88" s="203">
        <v>10</v>
      </c>
      <c r="G88" s="202"/>
      <c r="H88" s="202"/>
      <c r="I88" s="202"/>
      <c r="J88" s="202">
        <v>0</v>
      </c>
      <c r="K88" s="202" t="s">
        <v>2041</v>
      </c>
      <c r="L88" s="202"/>
      <c r="M88" s="202" t="s">
        <v>1458</v>
      </c>
      <c r="N88" s="206">
        <v>44409</v>
      </c>
      <c r="O88" s="206">
        <v>44409</v>
      </c>
      <c r="P88" s="202" t="s">
        <v>3040</v>
      </c>
      <c r="Q88" s="203">
        <v>1200</v>
      </c>
      <c r="R88" s="203">
        <v>14050</v>
      </c>
      <c r="S88" s="204">
        <v>63900</v>
      </c>
      <c r="T88" s="203">
        <v>14056</v>
      </c>
      <c r="U88" s="204">
        <v>4437.5</v>
      </c>
      <c r="V88" s="204">
        <f t="shared" si="13"/>
        <v>59462.5</v>
      </c>
      <c r="W88" s="205">
        <v>2218.75</v>
      </c>
      <c r="X88" s="203">
        <v>54260</v>
      </c>
      <c r="Y88" s="204">
        <v>443.75</v>
      </c>
      <c r="Z88" s="202" t="s">
        <v>97</v>
      </c>
      <c r="AA88" s="202"/>
      <c r="AB88" s="202">
        <v>168258</v>
      </c>
      <c r="AC88" s="202"/>
      <c r="AD88" s="202" t="s">
        <v>1152</v>
      </c>
      <c r="AE88" s="202" t="s">
        <v>1153</v>
      </c>
      <c r="AF88" s="203" t="s">
        <v>1154</v>
      </c>
      <c r="AG88" s="202"/>
      <c r="AH88" s="203" t="s">
        <v>1155</v>
      </c>
      <c r="AI88" s="202">
        <v>0</v>
      </c>
      <c r="AJ88" s="202">
        <v>0</v>
      </c>
    </row>
    <row r="89" spans="2:69">
      <c r="B89" s="203">
        <v>2180</v>
      </c>
      <c r="C89" s="207">
        <v>256225</v>
      </c>
      <c r="D89" s="203" t="s">
        <v>97</v>
      </c>
      <c r="E89" s="202" t="s">
        <v>1372</v>
      </c>
      <c r="F89" s="203">
        <v>702</v>
      </c>
      <c r="G89" s="202"/>
      <c r="H89" s="202"/>
      <c r="I89" s="202"/>
      <c r="J89" s="202">
        <v>0</v>
      </c>
      <c r="K89" s="202" t="s">
        <v>2445</v>
      </c>
      <c r="L89" s="202"/>
      <c r="M89" s="202" t="s">
        <v>2846</v>
      </c>
      <c r="N89" s="206">
        <v>44400</v>
      </c>
      <c r="O89" s="206">
        <v>44400</v>
      </c>
      <c r="P89" s="202" t="s">
        <v>3048</v>
      </c>
      <c r="Q89" s="203">
        <v>700</v>
      </c>
      <c r="R89" s="203">
        <v>14050</v>
      </c>
      <c r="S89" s="204">
        <v>42661.73</v>
      </c>
      <c r="T89" s="203">
        <v>14056</v>
      </c>
      <c r="U89" s="204">
        <v>5078.78</v>
      </c>
      <c r="V89" s="204">
        <f t="shared" si="13"/>
        <v>37582.950000000004</v>
      </c>
      <c r="W89" s="205">
        <v>2539.39</v>
      </c>
      <c r="X89" s="203">
        <v>54260</v>
      </c>
      <c r="Y89" s="204">
        <v>507.88</v>
      </c>
      <c r="Z89" s="202" t="s">
        <v>97</v>
      </c>
      <c r="AA89" s="202"/>
      <c r="AB89" s="202">
        <v>50183186</v>
      </c>
      <c r="AC89" s="202"/>
      <c r="AD89" s="202" t="s">
        <v>1152</v>
      </c>
      <c r="AE89" s="202" t="s">
        <v>1153</v>
      </c>
      <c r="AF89" s="203" t="s">
        <v>1154</v>
      </c>
      <c r="AG89" s="202"/>
      <c r="AH89" s="203" t="s">
        <v>1155</v>
      </c>
      <c r="AI89" s="202">
        <v>0</v>
      </c>
      <c r="AJ89" s="202">
        <v>0</v>
      </c>
    </row>
    <row r="90" spans="2:69">
      <c r="B90" s="203">
        <v>2180</v>
      </c>
      <c r="C90" s="207">
        <v>256224</v>
      </c>
      <c r="D90" s="203" t="s">
        <v>97</v>
      </c>
      <c r="E90" s="202" t="s">
        <v>1373</v>
      </c>
      <c r="F90" s="203">
        <v>702</v>
      </c>
      <c r="G90" s="202"/>
      <c r="H90" s="202"/>
      <c r="I90" s="202"/>
      <c r="J90" s="202">
        <v>0</v>
      </c>
      <c r="K90" s="202" t="s">
        <v>2445</v>
      </c>
      <c r="L90" s="202"/>
      <c r="M90" s="202" t="s">
        <v>2846</v>
      </c>
      <c r="N90" s="206">
        <v>44398</v>
      </c>
      <c r="O90" s="206">
        <v>44398</v>
      </c>
      <c r="P90" s="202" t="s">
        <v>3047</v>
      </c>
      <c r="Q90" s="203">
        <v>700</v>
      </c>
      <c r="R90" s="203">
        <v>14050</v>
      </c>
      <c r="S90" s="204">
        <v>42661.73</v>
      </c>
      <c r="T90" s="203">
        <v>14056</v>
      </c>
      <c r="U90" s="204">
        <v>5078.78</v>
      </c>
      <c r="V90" s="204">
        <f t="shared" si="13"/>
        <v>37582.950000000004</v>
      </c>
      <c r="W90" s="205">
        <v>2539.39</v>
      </c>
      <c r="X90" s="203">
        <v>54260</v>
      </c>
      <c r="Y90" s="204">
        <v>507.88</v>
      </c>
      <c r="Z90" s="202" t="s">
        <v>97</v>
      </c>
      <c r="AA90" s="202"/>
      <c r="AB90" s="202">
        <v>50182864</v>
      </c>
      <c r="AC90" s="202"/>
      <c r="AD90" s="202" t="s">
        <v>1152</v>
      </c>
      <c r="AE90" s="202" t="s">
        <v>1153</v>
      </c>
      <c r="AF90" s="203" t="s">
        <v>1154</v>
      </c>
      <c r="AG90" s="202"/>
      <c r="AH90" s="203" t="s">
        <v>1155</v>
      </c>
      <c r="AI90" s="202">
        <v>0</v>
      </c>
      <c r="AJ90" s="202">
        <v>0</v>
      </c>
    </row>
    <row r="91" spans="2:69">
      <c r="B91" s="203">
        <v>2180</v>
      </c>
      <c r="C91" s="207">
        <v>256223</v>
      </c>
      <c r="D91" s="203" t="s">
        <v>97</v>
      </c>
      <c r="E91" s="202" t="s">
        <v>1373</v>
      </c>
      <c r="F91" s="203">
        <v>702</v>
      </c>
      <c r="G91" s="202"/>
      <c r="H91" s="202"/>
      <c r="I91" s="202"/>
      <c r="J91" s="202">
        <v>0</v>
      </c>
      <c r="K91" s="202" t="s">
        <v>2445</v>
      </c>
      <c r="L91" s="202"/>
      <c r="M91" s="202" t="s">
        <v>2846</v>
      </c>
      <c r="N91" s="206">
        <v>44397</v>
      </c>
      <c r="O91" s="206">
        <v>44397</v>
      </c>
      <c r="P91" s="202" t="s">
        <v>3047</v>
      </c>
      <c r="Q91" s="203">
        <v>700</v>
      </c>
      <c r="R91" s="203">
        <v>14050</v>
      </c>
      <c r="S91" s="204">
        <v>42661.74</v>
      </c>
      <c r="T91" s="203">
        <v>14056</v>
      </c>
      <c r="U91" s="204">
        <v>5078.78</v>
      </c>
      <c r="V91" s="204">
        <f t="shared" si="13"/>
        <v>37582.959999999999</v>
      </c>
      <c r="W91" s="205">
        <v>2539.39</v>
      </c>
      <c r="X91" s="203">
        <v>54260</v>
      </c>
      <c r="Y91" s="204">
        <v>507.88</v>
      </c>
      <c r="Z91" s="202" t="s">
        <v>97</v>
      </c>
      <c r="AA91" s="202"/>
      <c r="AB91" s="202">
        <v>5018659</v>
      </c>
      <c r="AC91" s="202"/>
      <c r="AD91" s="202" t="s">
        <v>1152</v>
      </c>
      <c r="AE91" s="202" t="s">
        <v>1153</v>
      </c>
      <c r="AF91" s="203" t="s">
        <v>1154</v>
      </c>
      <c r="AG91" s="202"/>
      <c r="AH91" s="203" t="s">
        <v>1155</v>
      </c>
      <c r="AI91" s="202">
        <v>0</v>
      </c>
      <c r="AJ91" s="202">
        <v>0</v>
      </c>
    </row>
    <row r="92" spans="2:69">
      <c r="B92" s="203">
        <v>2180</v>
      </c>
      <c r="C92" s="207">
        <v>256222</v>
      </c>
      <c r="D92" s="203" t="s">
        <v>97</v>
      </c>
      <c r="E92" s="202" t="s">
        <v>1370</v>
      </c>
      <c r="F92" s="203">
        <v>702</v>
      </c>
      <c r="G92" s="202"/>
      <c r="H92" s="202"/>
      <c r="I92" s="202"/>
      <c r="J92" s="202">
        <v>0</v>
      </c>
      <c r="K92" s="202" t="s">
        <v>2445</v>
      </c>
      <c r="L92" s="202"/>
      <c r="M92" s="202" t="s">
        <v>2846</v>
      </c>
      <c r="N92" s="206">
        <v>44398</v>
      </c>
      <c r="O92" s="206">
        <v>44398</v>
      </c>
      <c r="P92" s="202" t="s">
        <v>3046</v>
      </c>
      <c r="Q92" s="203">
        <v>700</v>
      </c>
      <c r="R92" s="203">
        <v>14050</v>
      </c>
      <c r="S92" s="204">
        <v>42661.73</v>
      </c>
      <c r="T92" s="203">
        <v>14056</v>
      </c>
      <c r="U92" s="204">
        <v>5078.78</v>
      </c>
      <c r="V92" s="204">
        <f t="shared" si="13"/>
        <v>37582.950000000004</v>
      </c>
      <c r="W92" s="205">
        <v>2539.39</v>
      </c>
      <c r="X92" s="203">
        <v>54260</v>
      </c>
      <c r="Y92" s="204">
        <v>507.88</v>
      </c>
      <c r="Z92" s="202" t="s">
        <v>97</v>
      </c>
      <c r="AA92" s="202"/>
      <c r="AB92" s="202">
        <v>50182864</v>
      </c>
      <c r="AC92" s="202"/>
      <c r="AD92" s="202" t="s">
        <v>1152</v>
      </c>
      <c r="AE92" s="202" t="s">
        <v>1153</v>
      </c>
      <c r="AF92" s="203" t="s">
        <v>1154</v>
      </c>
      <c r="AG92" s="202"/>
      <c r="AH92" s="203" t="s">
        <v>1155</v>
      </c>
      <c r="AI92" s="202">
        <v>0</v>
      </c>
      <c r="AJ92" s="202">
        <v>0</v>
      </c>
    </row>
    <row r="93" spans="2:69">
      <c r="B93" s="203">
        <v>2180</v>
      </c>
      <c r="C93" s="207">
        <v>256221</v>
      </c>
      <c r="D93" s="203" t="s">
        <v>97</v>
      </c>
      <c r="E93" s="202" t="s">
        <v>1370</v>
      </c>
      <c r="F93" s="203">
        <v>702</v>
      </c>
      <c r="G93" s="202"/>
      <c r="H93" s="202"/>
      <c r="I93" s="202"/>
      <c r="J93" s="202">
        <v>0</v>
      </c>
      <c r="K93" s="202" t="s">
        <v>2445</v>
      </c>
      <c r="L93" s="202"/>
      <c r="M93" s="202" t="s">
        <v>2846</v>
      </c>
      <c r="N93" s="206">
        <v>44397</v>
      </c>
      <c r="O93" s="206">
        <v>44397</v>
      </c>
      <c r="P93" s="202" t="s">
        <v>3046</v>
      </c>
      <c r="Q93" s="203">
        <v>700</v>
      </c>
      <c r="R93" s="203">
        <v>14050</v>
      </c>
      <c r="S93" s="204">
        <v>42661.74</v>
      </c>
      <c r="T93" s="203">
        <v>14056</v>
      </c>
      <c r="U93" s="204">
        <v>5078.78</v>
      </c>
      <c r="V93" s="204">
        <f t="shared" si="13"/>
        <v>37582.959999999999</v>
      </c>
      <c r="W93" s="205">
        <v>2539.39</v>
      </c>
      <c r="X93" s="203">
        <v>54260</v>
      </c>
      <c r="Y93" s="204">
        <v>507.88</v>
      </c>
      <c r="Z93" s="202" t="s">
        <v>97</v>
      </c>
      <c r="AA93" s="202"/>
      <c r="AB93" s="202">
        <v>5018659</v>
      </c>
      <c r="AC93" s="202"/>
      <c r="AD93" s="202" t="s">
        <v>1152</v>
      </c>
      <c r="AE93" s="202" t="s">
        <v>1153</v>
      </c>
      <c r="AF93" s="203" t="s">
        <v>1154</v>
      </c>
      <c r="AG93" s="202"/>
      <c r="AH93" s="203" t="s">
        <v>1155</v>
      </c>
      <c r="AI93" s="202">
        <v>0</v>
      </c>
      <c r="AJ93" s="202">
        <v>0</v>
      </c>
    </row>
    <row r="94" spans="2:69">
      <c r="B94" s="203">
        <v>2180</v>
      </c>
      <c r="C94" s="207">
        <v>255409</v>
      </c>
      <c r="D94" s="203" t="s">
        <v>97</v>
      </c>
      <c r="E94" s="202" t="s">
        <v>1353</v>
      </c>
      <c r="F94" s="203"/>
      <c r="G94" s="202"/>
      <c r="H94" s="202" t="s">
        <v>3045</v>
      </c>
      <c r="I94" s="202"/>
      <c r="J94" s="202">
        <v>2021</v>
      </c>
      <c r="K94" s="202"/>
      <c r="L94" s="202"/>
      <c r="M94" s="202" t="s">
        <v>1385</v>
      </c>
      <c r="N94" s="206">
        <v>44313</v>
      </c>
      <c r="O94" s="206">
        <v>44313</v>
      </c>
      <c r="P94" s="202" t="s">
        <v>3044</v>
      </c>
      <c r="Q94" s="203">
        <v>500</v>
      </c>
      <c r="R94" s="203">
        <v>14040</v>
      </c>
      <c r="S94" s="204">
        <v>25411.4</v>
      </c>
      <c r="T94" s="203">
        <v>14046</v>
      </c>
      <c r="U94" s="204">
        <v>5505.81</v>
      </c>
      <c r="V94" s="204">
        <f t="shared" si="13"/>
        <v>19905.59</v>
      </c>
      <c r="W94" s="205">
        <v>2117.62</v>
      </c>
      <c r="X94" s="203">
        <v>51260</v>
      </c>
      <c r="Y94" s="204">
        <v>423.53</v>
      </c>
      <c r="Z94" s="202" t="s">
        <v>97</v>
      </c>
      <c r="AA94" s="202"/>
      <c r="AB94" s="202"/>
      <c r="AC94" s="202"/>
      <c r="AD94" s="202" t="s">
        <v>1152</v>
      </c>
      <c r="AE94" s="202" t="s">
        <v>1153</v>
      </c>
      <c r="AF94" s="203" t="s">
        <v>1154</v>
      </c>
      <c r="AG94" s="202"/>
      <c r="AH94" s="203" t="s">
        <v>1155</v>
      </c>
      <c r="AI94" s="202">
        <v>0</v>
      </c>
      <c r="AJ94" s="202">
        <v>0</v>
      </c>
    </row>
    <row r="95" spans="2:69">
      <c r="B95" s="203">
        <v>2180</v>
      </c>
      <c r="C95" s="207">
        <v>254935</v>
      </c>
      <c r="D95" s="203" t="s">
        <v>97</v>
      </c>
      <c r="E95" s="202" t="s">
        <v>1358</v>
      </c>
      <c r="F95" s="203">
        <v>1</v>
      </c>
      <c r="G95" s="202"/>
      <c r="H95" s="202"/>
      <c r="I95" s="202"/>
      <c r="J95" s="202">
        <v>0</v>
      </c>
      <c r="K95" s="202" t="s">
        <v>1429</v>
      </c>
      <c r="L95" s="202"/>
      <c r="M95" s="202"/>
      <c r="N95" s="206">
        <v>44335</v>
      </c>
      <c r="O95" s="206">
        <v>44335</v>
      </c>
      <c r="P95" s="202" t="s">
        <v>3043</v>
      </c>
      <c r="Q95" s="203">
        <v>300</v>
      </c>
      <c r="R95" s="203">
        <v>14110</v>
      </c>
      <c r="S95" s="204">
        <v>1044.8399999999999</v>
      </c>
      <c r="T95" s="203">
        <v>14116</v>
      </c>
      <c r="U95" s="204">
        <v>348.28</v>
      </c>
      <c r="V95" s="204">
        <f t="shared" si="13"/>
        <v>696.56</v>
      </c>
      <c r="W95" s="205">
        <v>145.12</v>
      </c>
      <c r="X95" s="203">
        <v>70260</v>
      </c>
      <c r="Y95" s="204">
        <v>29.03</v>
      </c>
      <c r="Z95" s="202" t="s">
        <v>97</v>
      </c>
      <c r="AA95" s="202"/>
      <c r="AB95" s="202" t="s">
        <v>3042</v>
      </c>
      <c r="AC95" s="202"/>
      <c r="AD95" s="202" t="s">
        <v>1152</v>
      </c>
      <c r="AE95" s="202" t="s">
        <v>1153</v>
      </c>
      <c r="AF95" s="203" t="s">
        <v>1154</v>
      </c>
      <c r="AG95" s="202"/>
      <c r="AH95" s="203" t="s">
        <v>1155</v>
      </c>
      <c r="AI95" s="202">
        <v>0</v>
      </c>
      <c r="AJ95" s="202">
        <v>0</v>
      </c>
    </row>
    <row r="96" spans="2:69">
      <c r="B96" s="203">
        <v>2180</v>
      </c>
      <c r="C96" s="207">
        <v>254454</v>
      </c>
      <c r="D96" s="203" t="s">
        <v>97</v>
      </c>
      <c r="E96" s="202" t="s">
        <v>1369</v>
      </c>
      <c r="F96" s="203">
        <v>1</v>
      </c>
      <c r="G96" s="202"/>
      <c r="H96" s="202"/>
      <c r="I96" s="202"/>
      <c r="J96" s="202">
        <v>0</v>
      </c>
      <c r="K96" s="202" t="s">
        <v>3041</v>
      </c>
      <c r="L96" s="202"/>
      <c r="M96" s="202" t="s">
        <v>1458</v>
      </c>
      <c r="N96" s="206">
        <v>44344</v>
      </c>
      <c r="O96" s="206">
        <v>44344</v>
      </c>
      <c r="P96" s="202" t="s">
        <v>3040</v>
      </c>
      <c r="Q96" s="203">
        <v>1200</v>
      </c>
      <c r="R96" s="203">
        <v>14050</v>
      </c>
      <c r="S96" s="204">
        <v>4004.92</v>
      </c>
      <c r="T96" s="203">
        <v>14056</v>
      </c>
      <c r="U96" s="204">
        <v>333.74</v>
      </c>
      <c r="V96" s="204">
        <f t="shared" si="13"/>
        <v>3671.1800000000003</v>
      </c>
      <c r="W96" s="205">
        <v>139.06</v>
      </c>
      <c r="X96" s="203">
        <v>54260</v>
      </c>
      <c r="Y96" s="204">
        <v>27.81</v>
      </c>
      <c r="Z96" s="202" t="s">
        <v>97</v>
      </c>
      <c r="AA96" s="202"/>
      <c r="AB96" s="202">
        <v>103302</v>
      </c>
      <c r="AC96" s="202"/>
      <c r="AD96" s="202" t="s">
        <v>1152</v>
      </c>
      <c r="AE96" s="202" t="s">
        <v>1153</v>
      </c>
      <c r="AF96" s="203" t="s">
        <v>1154</v>
      </c>
      <c r="AG96" s="202"/>
      <c r="AH96" s="203" t="s">
        <v>1155</v>
      </c>
      <c r="AI96" s="202">
        <v>0</v>
      </c>
      <c r="AJ96" s="202">
        <v>0</v>
      </c>
    </row>
    <row r="97" spans="2:36">
      <c r="B97" s="203">
        <v>2180</v>
      </c>
      <c r="C97" s="207">
        <v>253027</v>
      </c>
      <c r="D97" s="203" t="s">
        <v>97</v>
      </c>
      <c r="E97" s="202" t="s">
        <v>1354</v>
      </c>
      <c r="F97" s="203">
        <v>1</v>
      </c>
      <c r="G97" s="202"/>
      <c r="H97" s="202"/>
      <c r="I97" s="202"/>
      <c r="J97" s="202">
        <v>0</v>
      </c>
      <c r="K97" s="202" t="s">
        <v>3035</v>
      </c>
      <c r="L97" s="202"/>
      <c r="M97" s="202"/>
      <c r="N97" s="206">
        <v>44333</v>
      </c>
      <c r="O97" s="206">
        <v>44333</v>
      </c>
      <c r="P97" s="202" t="s">
        <v>3038</v>
      </c>
      <c r="Q97" s="203">
        <v>300</v>
      </c>
      <c r="R97" s="203">
        <v>14110</v>
      </c>
      <c r="S97" s="204">
        <v>415.32</v>
      </c>
      <c r="T97" s="203">
        <v>14116</v>
      </c>
      <c r="U97" s="204">
        <v>138.44</v>
      </c>
      <c r="V97" s="204">
        <f t="shared" si="13"/>
        <v>276.88</v>
      </c>
      <c r="W97" s="205">
        <v>57.68</v>
      </c>
      <c r="X97" s="203">
        <v>70260</v>
      </c>
      <c r="Y97" s="204">
        <v>11.53</v>
      </c>
      <c r="Z97" s="202" t="s">
        <v>97</v>
      </c>
      <c r="AA97" s="202"/>
      <c r="AB97" s="202" t="s">
        <v>3039</v>
      </c>
      <c r="AC97" s="202"/>
      <c r="AD97" s="202" t="s">
        <v>1152</v>
      </c>
      <c r="AE97" s="202" t="s">
        <v>1153</v>
      </c>
      <c r="AF97" s="203" t="s">
        <v>1154</v>
      </c>
      <c r="AG97" s="202"/>
      <c r="AH97" s="203" t="s">
        <v>1155</v>
      </c>
      <c r="AI97" s="202">
        <v>0</v>
      </c>
      <c r="AJ97" s="202">
        <v>0</v>
      </c>
    </row>
    <row r="98" spans="2:36">
      <c r="B98" s="203">
        <v>2180</v>
      </c>
      <c r="C98" s="207">
        <v>253026</v>
      </c>
      <c r="D98" s="203" t="s">
        <v>97</v>
      </c>
      <c r="E98" s="202" t="s">
        <v>1355</v>
      </c>
      <c r="F98" s="203">
        <v>1</v>
      </c>
      <c r="G98" s="202"/>
      <c r="H98" s="202"/>
      <c r="I98" s="202"/>
      <c r="J98" s="202">
        <v>0</v>
      </c>
      <c r="K98" s="202" t="s">
        <v>1429</v>
      </c>
      <c r="L98" s="202"/>
      <c r="M98" s="202"/>
      <c r="N98" s="206">
        <v>44333</v>
      </c>
      <c r="O98" s="206">
        <v>44333</v>
      </c>
      <c r="P98" s="202" t="s">
        <v>3038</v>
      </c>
      <c r="Q98" s="203">
        <v>300</v>
      </c>
      <c r="R98" s="203">
        <v>14110</v>
      </c>
      <c r="S98" s="204">
        <v>1079.8599999999999</v>
      </c>
      <c r="T98" s="203">
        <v>14116</v>
      </c>
      <c r="U98" s="204">
        <v>359.95</v>
      </c>
      <c r="V98" s="204">
        <f t="shared" si="13"/>
        <v>719.90999999999985</v>
      </c>
      <c r="W98" s="205">
        <v>149.97999999999999</v>
      </c>
      <c r="X98" s="203">
        <v>70260</v>
      </c>
      <c r="Y98" s="204">
        <v>30</v>
      </c>
      <c r="Z98" s="202" t="s">
        <v>97</v>
      </c>
      <c r="AA98" s="202"/>
      <c r="AB98" s="202" t="s">
        <v>3037</v>
      </c>
      <c r="AC98" s="202"/>
      <c r="AD98" s="202" t="s">
        <v>1152</v>
      </c>
      <c r="AE98" s="202" t="s">
        <v>1153</v>
      </c>
      <c r="AF98" s="203" t="s">
        <v>1154</v>
      </c>
      <c r="AG98" s="202"/>
      <c r="AH98" s="203" t="s">
        <v>1155</v>
      </c>
      <c r="AI98" s="202">
        <v>0</v>
      </c>
      <c r="AJ98" s="202">
        <v>0</v>
      </c>
    </row>
    <row r="99" spans="2:36">
      <c r="B99" s="203">
        <v>2180</v>
      </c>
      <c r="C99" s="207">
        <v>253025</v>
      </c>
      <c r="D99" s="203" t="s">
        <v>97</v>
      </c>
      <c r="E99" s="202" t="s">
        <v>1356</v>
      </c>
      <c r="F99" s="203">
        <v>1</v>
      </c>
      <c r="G99" s="202"/>
      <c r="H99" s="202"/>
      <c r="I99" s="202"/>
      <c r="J99" s="202">
        <v>0</v>
      </c>
      <c r="K99" s="202" t="s">
        <v>1429</v>
      </c>
      <c r="L99" s="202"/>
      <c r="M99" s="202"/>
      <c r="N99" s="206">
        <v>44330</v>
      </c>
      <c r="O99" s="206">
        <v>44330</v>
      </c>
      <c r="P99" s="202" t="s">
        <v>3034</v>
      </c>
      <c r="Q99" s="203">
        <v>300</v>
      </c>
      <c r="R99" s="203">
        <v>14110</v>
      </c>
      <c r="S99" s="204">
        <v>1079.8599999999999</v>
      </c>
      <c r="T99" s="203">
        <v>14116</v>
      </c>
      <c r="U99" s="204">
        <v>389.95</v>
      </c>
      <c r="V99" s="204">
        <f t="shared" si="13"/>
        <v>689.90999999999985</v>
      </c>
      <c r="W99" s="205">
        <v>149.97999999999999</v>
      </c>
      <c r="X99" s="203">
        <v>70260</v>
      </c>
      <c r="Y99" s="204">
        <v>30</v>
      </c>
      <c r="Z99" s="202" t="s">
        <v>97</v>
      </c>
      <c r="AA99" s="202"/>
      <c r="AB99" s="202" t="s">
        <v>3036</v>
      </c>
      <c r="AC99" s="202"/>
      <c r="AD99" s="202" t="s">
        <v>1152</v>
      </c>
      <c r="AE99" s="202" t="s">
        <v>1153</v>
      </c>
      <c r="AF99" s="203" t="s">
        <v>1154</v>
      </c>
      <c r="AG99" s="202"/>
      <c r="AH99" s="203" t="s">
        <v>1155</v>
      </c>
      <c r="AI99" s="202">
        <v>0</v>
      </c>
      <c r="AJ99" s="202">
        <v>0</v>
      </c>
    </row>
    <row r="100" spans="2:36">
      <c r="B100" s="203">
        <v>2180</v>
      </c>
      <c r="C100" s="207">
        <v>252759</v>
      </c>
      <c r="D100" s="203" t="s">
        <v>97</v>
      </c>
      <c r="E100" s="202" t="s">
        <v>1357</v>
      </c>
      <c r="F100" s="203">
        <v>1</v>
      </c>
      <c r="G100" s="202"/>
      <c r="H100" s="202"/>
      <c r="I100" s="202"/>
      <c r="J100" s="202">
        <v>0</v>
      </c>
      <c r="K100" s="202" t="s">
        <v>3035</v>
      </c>
      <c r="L100" s="202"/>
      <c r="M100" s="202"/>
      <c r="N100" s="206">
        <v>44332</v>
      </c>
      <c r="O100" s="206">
        <v>44332</v>
      </c>
      <c r="P100" s="202" t="s">
        <v>3034</v>
      </c>
      <c r="Q100" s="203">
        <v>300</v>
      </c>
      <c r="R100" s="203">
        <v>14110</v>
      </c>
      <c r="S100" s="204">
        <v>153.35</v>
      </c>
      <c r="T100" s="203">
        <v>14116</v>
      </c>
      <c r="U100" s="204">
        <v>51.12</v>
      </c>
      <c r="V100" s="204">
        <f t="shared" si="13"/>
        <v>102.22999999999999</v>
      </c>
      <c r="W100" s="205">
        <v>21.3</v>
      </c>
      <c r="X100" s="203">
        <v>70260</v>
      </c>
      <c r="Y100" s="204">
        <v>4.26</v>
      </c>
      <c r="Z100" s="202" t="s">
        <v>97</v>
      </c>
      <c r="AA100" s="202"/>
      <c r="AB100" s="202" t="s">
        <v>3033</v>
      </c>
      <c r="AC100" s="202"/>
      <c r="AD100" s="202" t="s">
        <v>1152</v>
      </c>
      <c r="AE100" s="202" t="s">
        <v>1153</v>
      </c>
      <c r="AF100" s="203" t="s">
        <v>1154</v>
      </c>
      <c r="AG100" s="202"/>
      <c r="AH100" s="203" t="s">
        <v>1155</v>
      </c>
      <c r="AI100" s="202">
        <v>0</v>
      </c>
      <c r="AJ100" s="202">
        <v>0</v>
      </c>
    </row>
    <row r="101" spans="2:36">
      <c r="B101" s="203">
        <v>2180</v>
      </c>
      <c r="C101" s="207">
        <v>250767</v>
      </c>
      <c r="D101" s="203">
        <v>250394</v>
      </c>
      <c r="E101" s="202" t="s">
        <v>1359</v>
      </c>
      <c r="F101" s="203"/>
      <c r="G101" s="202"/>
      <c r="H101" s="202"/>
      <c r="I101" s="202"/>
      <c r="J101" s="202">
        <v>0</v>
      </c>
      <c r="K101" s="202"/>
      <c r="L101" s="202"/>
      <c r="M101" s="202" t="s">
        <v>1158</v>
      </c>
      <c r="N101" s="206">
        <v>41989</v>
      </c>
      <c r="O101" s="206">
        <v>41989</v>
      </c>
      <c r="P101" s="202" t="s">
        <v>3032</v>
      </c>
      <c r="Q101" s="203">
        <v>300</v>
      </c>
      <c r="R101" s="203">
        <v>14030</v>
      </c>
      <c r="S101" s="204">
        <v>8558.68</v>
      </c>
      <c r="T101" s="203">
        <v>14036</v>
      </c>
      <c r="U101" s="204">
        <v>8558.68</v>
      </c>
      <c r="V101" s="204">
        <f t="shared" si="13"/>
        <v>0</v>
      </c>
      <c r="W101" s="205">
        <v>0</v>
      </c>
      <c r="X101" s="203">
        <v>51260</v>
      </c>
      <c r="Y101" s="204">
        <v>0</v>
      </c>
      <c r="Z101" s="202" t="s">
        <v>97</v>
      </c>
      <c r="AA101" s="202"/>
      <c r="AB101" s="202">
        <v>51433</v>
      </c>
      <c r="AC101" s="202"/>
      <c r="AD101" s="202" t="s">
        <v>1152</v>
      </c>
      <c r="AE101" s="202" t="s">
        <v>1153</v>
      </c>
      <c r="AF101" s="203" t="s">
        <v>1154</v>
      </c>
      <c r="AG101" s="208">
        <v>44286</v>
      </c>
      <c r="AH101" s="203" t="s">
        <v>1155</v>
      </c>
      <c r="AI101" s="202">
        <v>0</v>
      </c>
      <c r="AJ101" s="202">
        <v>8558.68</v>
      </c>
    </row>
    <row r="102" spans="2:36">
      <c r="B102" s="203">
        <v>2180</v>
      </c>
      <c r="C102" s="207">
        <v>250766</v>
      </c>
      <c r="D102" s="203">
        <v>250394</v>
      </c>
      <c r="E102" s="202" t="s">
        <v>1360</v>
      </c>
      <c r="F102" s="203">
        <v>0</v>
      </c>
      <c r="G102" s="202"/>
      <c r="H102" s="202" t="s">
        <v>3030</v>
      </c>
      <c r="I102" s="202"/>
      <c r="J102" s="202">
        <v>1995</v>
      </c>
      <c r="K102" s="202"/>
      <c r="L102" s="202"/>
      <c r="M102" s="202" t="s">
        <v>1447</v>
      </c>
      <c r="N102" s="206">
        <v>39936</v>
      </c>
      <c r="O102" s="206">
        <v>39936</v>
      </c>
      <c r="P102" s="202" t="s">
        <v>3031</v>
      </c>
      <c r="Q102" s="203">
        <v>300</v>
      </c>
      <c r="R102" s="203">
        <v>14040</v>
      </c>
      <c r="S102" s="204">
        <v>14259.78</v>
      </c>
      <c r="T102" s="203">
        <v>14046</v>
      </c>
      <c r="U102" s="204">
        <v>14259.78</v>
      </c>
      <c r="V102" s="204">
        <f t="shared" si="13"/>
        <v>0</v>
      </c>
      <c r="W102" s="205">
        <v>0</v>
      </c>
      <c r="X102" s="203">
        <v>51260</v>
      </c>
      <c r="Y102" s="204">
        <v>0</v>
      </c>
      <c r="Z102" s="202" t="s">
        <v>97</v>
      </c>
      <c r="AA102" s="202"/>
      <c r="AB102" s="202">
        <v>54422</v>
      </c>
      <c r="AC102" s="202">
        <v>7388</v>
      </c>
      <c r="AD102" s="202" t="s">
        <v>1152</v>
      </c>
      <c r="AE102" s="202" t="s">
        <v>1153</v>
      </c>
      <c r="AF102" s="203" t="s">
        <v>1154</v>
      </c>
      <c r="AG102" s="208">
        <v>44286</v>
      </c>
      <c r="AH102" s="203" t="s">
        <v>1155</v>
      </c>
      <c r="AI102" s="202">
        <v>0</v>
      </c>
      <c r="AJ102" s="202">
        <v>14259.78</v>
      </c>
    </row>
    <row r="103" spans="2:36">
      <c r="B103" s="203">
        <v>2180</v>
      </c>
      <c r="C103" s="207">
        <v>250394</v>
      </c>
      <c r="D103" s="203" t="s">
        <v>97</v>
      </c>
      <c r="E103" s="202" t="s">
        <v>1361</v>
      </c>
      <c r="F103" s="203">
        <v>0</v>
      </c>
      <c r="G103" s="202"/>
      <c r="H103" s="202" t="s">
        <v>3030</v>
      </c>
      <c r="I103" s="202"/>
      <c r="J103" s="202">
        <v>1995</v>
      </c>
      <c r="K103" s="202" t="s">
        <v>3029</v>
      </c>
      <c r="L103" s="202" t="s">
        <v>1255</v>
      </c>
      <c r="M103" s="202" t="s">
        <v>3028</v>
      </c>
      <c r="N103" s="206">
        <v>39755</v>
      </c>
      <c r="O103" s="206">
        <v>39755</v>
      </c>
      <c r="P103" s="202"/>
      <c r="Q103" s="203">
        <v>300</v>
      </c>
      <c r="R103" s="203">
        <v>14030</v>
      </c>
      <c r="S103" s="204">
        <v>2500</v>
      </c>
      <c r="T103" s="203">
        <v>14036</v>
      </c>
      <c r="U103" s="204">
        <v>2500</v>
      </c>
      <c r="V103" s="204">
        <f t="shared" si="13"/>
        <v>0</v>
      </c>
      <c r="W103" s="205">
        <v>0</v>
      </c>
      <c r="X103" s="203">
        <v>51260</v>
      </c>
      <c r="Y103" s="204">
        <v>0</v>
      </c>
      <c r="Z103" s="202" t="s">
        <v>1153</v>
      </c>
      <c r="AA103" s="202" t="s">
        <v>1383</v>
      </c>
      <c r="AB103" s="202"/>
      <c r="AC103" s="202">
        <v>7388</v>
      </c>
      <c r="AD103" s="202" t="s">
        <v>1152</v>
      </c>
      <c r="AE103" s="202" t="s">
        <v>1153</v>
      </c>
      <c r="AF103" s="203" t="s">
        <v>1154</v>
      </c>
      <c r="AG103" s="208">
        <v>44286</v>
      </c>
      <c r="AH103" s="203" t="s">
        <v>1155</v>
      </c>
      <c r="AI103" s="202">
        <v>0</v>
      </c>
      <c r="AJ103" s="202">
        <v>2500</v>
      </c>
    </row>
    <row r="104" spans="2:36">
      <c r="B104" s="203">
        <v>2180</v>
      </c>
      <c r="C104" s="207">
        <v>247911</v>
      </c>
      <c r="D104" s="203" t="s">
        <v>97</v>
      </c>
      <c r="E104" s="202" t="s">
        <v>1375</v>
      </c>
      <c r="F104" s="203">
        <v>36</v>
      </c>
      <c r="G104" s="202"/>
      <c r="H104" s="202"/>
      <c r="I104" s="202"/>
      <c r="J104" s="202">
        <v>0</v>
      </c>
      <c r="K104" s="202" t="s">
        <v>1549</v>
      </c>
      <c r="L104" s="202"/>
      <c r="M104" s="202" t="s">
        <v>1456</v>
      </c>
      <c r="N104" s="206">
        <v>44251</v>
      </c>
      <c r="O104" s="206">
        <v>44251</v>
      </c>
      <c r="P104" s="202" t="s">
        <v>3027</v>
      </c>
      <c r="Q104" s="203">
        <v>1200</v>
      </c>
      <c r="R104" s="203">
        <v>14050</v>
      </c>
      <c r="S104" s="204">
        <v>34292.36</v>
      </c>
      <c r="T104" s="203">
        <v>14056</v>
      </c>
      <c r="U104" s="204">
        <v>3572.12</v>
      </c>
      <c r="V104" s="204">
        <f t="shared" si="13"/>
        <v>30720.240000000002</v>
      </c>
      <c r="W104" s="205">
        <v>1190.71</v>
      </c>
      <c r="X104" s="203">
        <v>54260</v>
      </c>
      <c r="Y104" s="204">
        <v>238.14</v>
      </c>
      <c r="Z104" s="202" t="s">
        <v>97</v>
      </c>
      <c r="AA104" s="202"/>
      <c r="AB104" s="202" t="s">
        <v>3022</v>
      </c>
      <c r="AC104" s="202"/>
      <c r="AD104" s="202" t="s">
        <v>1152</v>
      </c>
      <c r="AE104" s="202" t="s">
        <v>1153</v>
      </c>
      <c r="AF104" s="203" t="s">
        <v>1154</v>
      </c>
      <c r="AG104" s="202"/>
      <c r="AH104" s="203" t="s">
        <v>1155</v>
      </c>
      <c r="AI104" s="202">
        <v>0</v>
      </c>
      <c r="AJ104" s="202">
        <v>0</v>
      </c>
    </row>
    <row r="105" spans="2:36">
      <c r="B105" s="203">
        <v>2180</v>
      </c>
      <c r="C105" s="207">
        <v>247910</v>
      </c>
      <c r="D105" s="203" t="s">
        <v>97</v>
      </c>
      <c r="E105" s="202" t="s">
        <v>1376</v>
      </c>
      <c r="F105" s="203">
        <v>36</v>
      </c>
      <c r="G105" s="202"/>
      <c r="H105" s="202"/>
      <c r="I105" s="202"/>
      <c r="J105" s="202">
        <v>0</v>
      </c>
      <c r="K105" s="202" t="s">
        <v>1549</v>
      </c>
      <c r="L105" s="202"/>
      <c r="M105" s="202" t="s">
        <v>1464</v>
      </c>
      <c r="N105" s="206">
        <v>44251</v>
      </c>
      <c r="O105" s="206">
        <v>44251</v>
      </c>
      <c r="P105" s="202" t="s">
        <v>3026</v>
      </c>
      <c r="Q105" s="203">
        <v>1200</v>
      </c>
      <c r="R105" s="203">
        <v>14050</v>
      </c>
      <c r="S105" s="204">
        <v>27960</v>
      </c>
      <c r="T105" s="203">
        <v>14056</v>
      </c>
      <c r="U105" s="204">
        <v>2912.5</v>
      </c>
      <c r="V105" s="204">
        <f t="shared" si="13"/>
        <v>25047.5</v>
      </c>
      <c r="W105" s="205">
        <v>970.83</v>
      </c>
      <c r="X105" s="203">
        <v>54260</v>
      </c>
      <c r="Y105" s="204">
        <v>194.16</v>
      </c>
      <c r="Z105" s="202" t="s">
        <v>97</v>
      </c>
      <c r="AA105" s="202"/>
      <c r="AB105" s="202" t="s">
        <v>3022</v>
      </c>
      <c r="AC105" s="202"/>
      <c r="AD105" s="202" t="s">
        <v>1152</v>
      </c>
      <c r="AE105" s="202" t="s">
        <v>1153</v>
      </c>
      <c r="AF105" s="203" t="s">
        <v>1154</v>
      </c>
      <c r="AG105" s="202"/>
      <c r="AH105" s="203" t="s">
        <v>1155</v>
      </c>
      <c r="AI105" s="202">
        <v>0</v>
      </c>
      <c r="AJ105" s="202">
        <v>0</v>
      </c>
    </row>
    <row r="106" spans="2:36">
      <c r="B106" s="203">
        <v>2180</v>
      </c>
      <c r="C106" s="207">
        <v>247909</v>
      </c>
      <c r="D106" s="203" t="s">
        <v>97</v>
      </c>
      <c r="E106" s="202" t="s">
        <v>1377</v>
      </c>
      <c r="F106" s="203">
        <v>36</v>
      </c>
      <c r="G106" s="202"/>
      <c r="H106" s="202"/>
      <c r="I106" s="202"/>
      <c r="J106" s="202">
        <v>0</v>
      </c>
      <c r="K106" s="202" t="s">
        <v>1549</v>
      </c>
      <c r="L106" s="202"/>
      <c r="M106" s="202" t="s">
        <v>1701</v>
      </c>
      <c r="N106" s="206">
        <v>44251</v>
      </c>
      <c r="O106" s="206">
        <v>44251</v>
      </c>
      <c r="P106" s="202" t="s">
        <v>3025</v>
      </c>
      <c r="Q106" s="203">
        <v>1200</v>
      </c>
      <c r="R106" s="203">
        <v>14050</v>
      </c>
      <c r="S106" s="204">
        <v>25205</v>
      </c>
      <c r="T106" s="203">
        <v>14056</v>
      </c>
      <c r="U106" s="204">
        <v>2625.53</v>
      </c>
      <c r="V106" s="204">
        <f t="shared" si="13"/>
        <v>22579.47</v>
      </c>
      <c r="W106" s="205">
        <v>875.18</v>
      </c>
      <c r="X106" s="203">
        <v>54260</v>
      </c>
      <c r="Y106" s="204">
        <v>175.04</v>
      </c>
      <c r="Z106" s="202" t="s">
        <v>97</v>
      </c>
      <c r="AA106" s="202"/>
      <c r="AB106" s="202" t="s">
        <v>3022</v>
      </c>
      <c r="AC106" s="202"/>
      <c r="AD106" s="202" t="s">
        <v>1152</v>
      </c>
      <c r="AE106" s="202" t="s">
        <v>1153</v>
      </c>
      <c r="AF106" s="203" t="s">
        <v>1154</v>
      </c>
      <c r="AG106" s="202"/>
      <c r="AH106" s="203" t="s">
        <v>1155</v>
      </c>
      <c r="AI106" s="202">
        <v>0</v>
      </c>
      <c r="AJ106" s="202">
        <v>0</v>
      </c>
    </row>
    <row r="107" spans="2:36">
      <c r="B107" s="203">
        <v>2180</v>
      </c>
      <c r="C107" s="207">
        <v>247908</v>
      </c>
      <c r="D107" s="203" t="s">
        <v>97</v>
      </c>
      <c r="E107" s="202" t="s">
        <v>1378</v>
      </c>
      <c r="F107" s="203">
        <v>60</v>
      </c>
      <c r="G107" s="202"/>
      <c r="H107" s="202"/>
      <c r="I107" s="202"/>
      <c r="J107" s="202">
        <v>0</v>
      </c>
      <c r="K107" s="202" t="s">
        <v>1549</v>
      </c>
      <c r="L107" s="202"/>
      <c r="M107" s="202" t="s">
        <v>1421</v>
      </c>
      <c r="N107" s="206">
        <v>44251</v>
      </c>
      <c r="O107" s="206">
        <v>44251</v>
      </c>
      <c r="P107" s="202" t="s">
        <v>3024</v>
      </c>
      <c r="Q107" s="203">
        <v>1200</v>
      </c>
      <c r="R107" s="203">
        <v>14050</v>
      </c>
      <c r="S107" s="204">
        <v>37615</v>
      </c>
      <c r="T107" s="203">
        <v>14056</v>
      </c>
      <c r="U107" s="204">
        <v>3918.22</v>
      </c>
      <c r="V107" s="204">
        <f t="shared" si="13"/>
        <v>33696.78</v>
      </c>
      <c r="W107" s="205">
        <v>1306.08</v>
      </c>
      <c r="X107" s="203">
        <v>54260</v>
      </c>
      <c r="Y107" s="204">
        <v>261.22000000000003</v>
      </c>
      <c r="Z107" s="202" t="s">
        <v>97</v>
      </c>
      <c r="AA107" s="202"/>
      <c r="AB107" s="202" t="s">
        <v>3022</v>
      </c>
      <c r="AC107" s="202"/>
      <c r="AD107" s="202" t="s">
        <v>1152</v>
      </c>
      <c r="AE107" s="202" t="s">
        <v>1153</v>
      </c>
      <c r="AF107" s="203" t="s">
        <v>1154</v>
      </c>
      <c r="AG107" s="202"/>
      <c r="AH107" s="203" t="s">
        <v>1155</v>
      </c>
      <c r="AI107" s="202">
        <v>0</v>
      </c>
      <c r="AJ107" s="202">
        <v>0</v>
      </c>
    </row>
    <row r="108" spans="2:36">
      <c r="B108" s="203">
        <v>2180</v>
      </c>
      <c r="C108" s="207">
        <v>247907</v>
      </c>
      <c r="D108" s="203" t="s">
        <v>97</v>
      </c>
      <c r="E108" s="202" t="s">
        <v>1379</v>
      </c>
      <c r="F108" s="203">
        <v>24</v>
      </c>
      <c r="G108" s="202"/>
      <c r="H108" s="202"/>
      <c r="I108" s="202"/>
      <c r="J108" s="202">
        <v>0</v>
      </c>
      <c r="K108" s="202" t="s">
        <v>1549</v>
      </c>
      <c r="L108" s="202"/>
      <c r="M108" s="202" t="s">
        <v>1573</v>
      </c>
      <c r="N108" s="206">
        <v>44251</v>
      </c>
      <c r="O108" s="206">
        <v>44251</v>
      </c>
      <c r="P108" s="202" t="s">
        <v>3023</v>
      </c>
      <c r="Q108" s="203">
        <v>1200</v>
      </c>
      <c r="R108" s="203">
        <v>14050</v>
      </c>
      <c r="S108" s="204">
        <v>13026</v>
      </c>
      <c r="T108" s="203">
        <v>14056</v>
      </c>
      <c r="U108" s="204">
        <v>1356.87</v>
      </c>
      <c r="V108" s="204">
        <f t="shared" si="13"/>
        <v>11669.130000000001</v>
      </c>
      <c r="W108" s="205">
        <v>452.29</v>
      </c>
      <c r="X108" s="203">
        <v>54260</v>
      </c>
      <c r="Y108" s="204">
        <v>90.46</v>
      </c>
      <c r="Z108" s="202" t="s">
        <v>97</v>
      </c>
      <c r="AA108" s="202"/>
      <c r="AB108" s="202" t="s">
        <v>3022</v>
      </c>
      <c r="AC108" s="202"/>
      <c r="AD108" s="202" t="s">
        <v>1152</v>
      </c>
      <c r="AE108" s="202" t="s">
        <v>1153</v>
      </c>
      <c r="AF108" s="203" t="s">
        <v>1154</v>
      </c>
      <c r="AG108" s="202"/>
      <c r="AH108" s="203" t="s">
        <v>1155</v>
      </c>
      <c r="AI108" s="202">
        <v>0</v>
      </c>
      <c r="AJ108" s="202">
        <v>0</v>
      </c>
    </row>
    <row r="109" spans="2:36">
      <c r="B109" s="203">
        <v>2180</v>
      </c>
      <c r="C109" s="207">
        <v>246797</v>
      </c>
      <c r="D109" s="203" t="s">
        <v>97</v>
      </c>
      <c r="E109" s="202" t="s">
        <v>1371</v>
      </c>
      <c r="F109" s="203">
        <v>702</v>
      </c>
      <c r="G109" s="202"/>
      <c r="H109" s="202"/>
      <c r="I109" s="202"/>
      <c r="J109" s="202">
        <v>0</v>
      </c>
      <c r="K109" s="202" t="s">
        <v>2445</v>
      </c>
      <c r="L109" s="202"/>
      <c r="M109" s="202" t="s">
        <v>2846</v>
      </c>
      <c r="N109" s="206">
        <v>44197</v>
      </c>
      <c r="O109" s="206">
        <v>44197</v>
      </c>
      <c r="P109" s="202" t="s">
        <v>3018</v>
      </c>
      <c r="Q109" s="203">
        <v>700</v>
      </c>
      <c r="R109" s="203">
        <v>14050</v>
      </c>
      <c r="S109" s="204">
        <v>32640.34</v>
      </c>
      <c r="T109" s="203">
        <v>14056</v>
      </c>
      <c r="U109" s="204">
        <v>6605.79</v>
      </c>
      <c r="V109" s="204">
        <f t="shared" si="13"/>
        <v>26034.55</v>
      </c>
      <c r="W109" s="205">
        <v>1942.88</v>
      </c>
      <c r="X109" s="203">
        <v>54260</v>
      </c>
      <c r="Y109" s="204">
        <v>388.58</v>
      </c>
      <c r="Z109" s="202" t="s">
        <v>97</v>
      </c>
      <c r="AA109" s="202"/>
      <c r="AB109" s="202">
        <v>50149660</v>
      </c>
      <c r="AC109" s="202"/>
      <c r="AD109" s="202" t="s">
        <v>1152</v>
      </c>
      <c r="AE109" s="202" t="s">
        <v>1153</v>
      </c>
      <c r="AF109" s="203" t="s">
        <v>1154</v>
      </c>
      <c r="AG109" s="202"/>
      <c r="AH109" s="203" t="s">
        <v>1155</v>
      </c>
      <c r="AI109" s="202">
        <v>0</v>
      </c>
      <c r="AJ109" s="202">
        <v>0</v>
      </c>
    </row>
    <row r="110" spans="2:36">
      <c r="B110" s="203">
        <v>2180</v>
      </c>
      <c r="C110" s="207">
        <v>246796</v>
      </c>
      <c r="D110" s="203" t="s">
        <v>97</v>
      </c>
      <c r="E110" s="202" t="s">
        <v>1372</v>
      </c>
      <c r="F110" s="203">
        <v>702</v>
      </c>
      <c r="G110" s="202"/>
      <c r="H110" s="202"/>
      <c r="I110" s="202"/>
      <c r="J110" s="202">
        <v>0</v>
      </c>
      <c r="K110" s="202" t="s">
        <v>2445</v>
      </c>
      <c r="L110" s="202"/>
      <c r="M110" s="202" t="s">
        <v>2846</v>
      </c>
      <c r="N110" s="206">
        <v>44197</v>
      </c>
      <c r="O110" s="206">
        <v>44197</v>
      </c>
      <c r="P110" s="202" t="s">
        <v>3017</v>
      </c>
      <c r="Q110" s="203">
        <v>500</v>
      </c>
      <c r="R110" s="203">
        <v>14050</v>
      </c>
      <c r="S110" s="204">
        <v>32640.35</v>
      </c>
      <c r="T110" s="203">
        <v>14056</v>
      </c>
      <c r="U110" s="204">
        <v>9248.1</v>
      </c>
      <c r="V110" s="204">
        <f t="shared" si="13"/>
        <v>23392.25</v>
      </c>
      <c r="W110" s="205">
        <v>2720.03</v>
      </c>
      <c r="X110" s="203">
        <v>54260</v>
      </c>
      <c r="Y110" s="204">
        <v>544.01</v>
      </c>
      <c r="Z110" s="202" t="s">
        <v>97</v>
      </c>
      <c r="AA110" s="202"/>
      <c r="AB110" s="202">
        <v>50149660</v>
      </c>
      <c r="AC110" s="202"/>
      <c r="AD110" s="202" t="s">
        <v>1152</v>
      </c>
      <c r="AE110" s="202" t="s">
        <v>1153</v>
      </c>
      <c r="AF110" s="203" t="s">
        <v>1154</v>
      </c>
      <c r="AG110" s="202"/>
      <c r="AH110" s="203" t="s">
        <v>1155</v>
      </c>
      <c r="AI110" s="202">
        <v>0</v>
      </c>
      <c r="AJ110" s="202">
        <v>0</v>
      </c>
    </row>
    <row r="111" spans="2:36">
      <c r="B111" s="203">
        <v>2180</v>
      </c>
      <c r="C111" s="207">
        <v>246795</v>
      </c>
      <c r="D111" s="203" t="s">
        <v>97</v>
      </c>
      <c r="E111" s="202" t="s">
        <v>637</v>
      </c>
      <c r="F111" s="203">
        <v>936</v>
      </c>
      <c r="G111" s="202"/>
      <c r="H111" s="202"/>
      <c r="I111" s="202"/>
      <c r="J111" s="202">
        <v>0</v>
      </c>
      <c r="K111" s="202" t="s">
        <v>2445</v>
      </c>
      <c r="L111" s="202"/>
      <c r="M111" s="202" t="s">
        <v>2846</v>
      </c>
      <c r="N111" s="206">
        <v>44221</v>
      </c>
      <c r="O111" s="206">
        <v>44221</v>
      </c>
      <c r="P111" s="202" t="s">
        <v>3015</v>
      </c>
      <c r="Q111" s="203">
        <v>700</v>
      </c>
      <c r="R111" s="203">
        <v>14050</v>
      </c>
      <c r="S111" s="204">
        <v>38405.230000000003</v>
      </c>
      <c r="T111" s="203">
        <v>14056</v>
      </c>
      <c r="U111" s="204">
        <v>7315.29</v>
      </c>
      <c r="V111" s="204">
        <f t="shared" si="13"/>
        <v>31089.940000000002</v>
      </c>
      <c r="W111" s="205">
        <v>2286.0300000000002</v>
      </c>
      <c r="X111" s="203">
        <v>54260</v>
      </c>
      <c r="Y111" s="204">
        <v>457.21</v>
      </c>
      <c r="Z111" s="202" t="s">
        <v>97</v>
      </c>
      <c r="AA111" s="202"/>
      <c r="AB111" s="202">
        <v>50149227</v>
      </c>
      <c r="AC111" s="202"/>
      <c r="AD111" s="202" t="s">
        <v>1152</v>
      </c>
      <c r="AE111" s="202" t="s">
        <v>1153</v>
      </c>
      <c r="AF111" s="203" t="s">
        <v>1154</v>
      </c>
      <c r="AG111" s="202"/>
      <c r="AH111" s="203" t="s">
        <v>1155</v>
      </c>
      <c r="AI111" s="202">
        <v>0</v>
      </c>
      <c r="AJ111" s="202">
        <v>0</v>
      </c>
    </row>
    <row r="112" spans="2:36">
      <c r="B112" s="203">
        <v>2180</v>
      </c>
      <c r="C112" s="207">
        <v>246436</v>
      </c>
      <c r="D112" s="203">
        <v>241233</v>
      </c>
      <c r="E112" s="202" t="s">
        <v>1352</v>
      </c>
      <c r="F112" s="203"/>
      <c r="G112" s="202"/>
      <c r="H112" s="202"/>
      <c r="I112" s="202"/>
      <c r="J112" s="202">
        <v>2020</v>
      </c>
      <c r="K112" s="202" t="s">
        <v>3013</v>
      </c>
      <c r="L112" s="202" t="s">
        <v>3013</v>
      </c>
      <c r="M112" s="202" t="s">
        <v>1447</v>
      </c>
      <c r="N112" s="206">
        <v>44197</v>
      </c>
      <c r="O112" s="206">
        <v>44197</v>
      </c>
      <c r="P112" s="202" t="s">
        <v>3021</v>
      </c>
      <c r="Q112" s="203">
        <v>1000</v>
      </c>
      <c r="R112" s="203">
        <v>14040</v>
      </c>
      <c r="S112" s="204">
        <v>1065.8599999999999</v>
      </c>
      <c r="T112" s="203">
        <v>14046</v>
      </c>
      <c r="U112" s="204">
        <v>150.99</v>
      </c>
      <c r="V112" s="204">
        <f t="shared" si="13"/>
        <v>914.86999999999989</v>
      </c>
      <c r="W112" s="205">
        <v>44.41</v>
      </c>
      <c r="X112" s="203">
        <v>51260</v>
      </c>
      <c r="Y112" s="204">
        <v>8.8800000000000008</v>
      </c>
      <c r="Z112" s="202" t="s">
        <v>97</v>
      </c>
      <c r="AA112" s="202"/>
      <c r="AB112" s="202" t="s">
        <v>3019</v>
      </c>
      <c r="AC112" s="202"/>
      <c r="AD112" s="202" t="s">
        <v>1152</v>
      </c>
      <c r="AE112" s="202" t="s">
        <v>1153</v>
      </c>
      <c r="AF112" s="203" t="s">
        <v>1154</v>
      </c>
      <c r="AG112" s="202"/>
      <c r="AH112" s="203" t="s">
        <v>1155</v>
      </c>
      <c r="AI112" s="202">
        <v>0</v>
      </c>
      <c r="AJ112" s="202">
        <v>0</v>
      </c>
    </row>
    <row r="113" spans="2:36">
      <c r="B113" s="203">
        <v>2180</v>
      </c>
      <c r="C113" s="207">
        <v>246435</v>
      </c>
      <c r="D113" s="203">
        <v>242812</v>
      </c>
      <c r="E113" s="202" t="s">
        <v>1351</v>
      </c>
      <c r="F113" s="203"/>
      <c r="G113" s="202"/>
      <c r="H113" s="202"/>
      <c r="I113" s="202"/>
      <c r="J113" s="202">
        <v>2020</v>
      </c>
      <c r="K113" s="202" t="s">
        <v>3013</v>
      </c>
      <c r="L113" s="202" t="s">
        <v>3013</v>
      </c>
      <c r="M113" s="202" t="s">
        <v>1447</v>
      </c>
      <c r="N113" s="206">
        <v>44197</v>
      </c>
      <c r="O113" s="206">
        <v>44197</v>
      </c>
      <c r="P113" s="202" t="s">
        <v>3012</v>
      </c>
      <c r="Q113" s="203">
        <v>1000</v>
      </c>
      <c r="R113" s="203">
        <v>14040</v>
      </c>
      <c r="S113" s="204">
        <v>895.37</v>
      </c>
      <c r="T113" s="203">
        <v>14046</v>
      </c>
      <c r="U113" s="204">
        <v>126.85</v>
      </c>
      <c r="V113" s="204">
        <f t="shared" si="13"/>
        <v>768.52</v>
      </c>
      <c r="W113" s="205">
        <v>37.31</v>
      </c>
      <c r="X113" s="203">
        <v>51260</v>
      </c>
      <c r="Y113" s="204">
        <v>7.46</v>
      </c>
      <c r="Z113" s="202" t="s">
        <v>97</v>
      </c>
      <c r="AA113" s="202"/>
      <c r="AB113" s="202" t="s">
        <v>3019</v>
      </c>
      <c r="AC113" s="202"/>
      <c r="AD113" s="202" t="s">
        <v>1152</v>
      </c>
      <c r="AE113" s="202" t="s">
        <v>1153</v>
      </c>
      <c r="AF113" s="203" t="s">
        <v>1154</v>
      </c>
      <c r="AG113" s="202"/>
      <c r="AH113" s="203" t="s">
        <v>1155</v>
      </c>
      <c r="AI113" s="202">
        <v>0</v>
      </c>
      <c r="AJ113" s="202">
        <v>0</v>
      </c>
    </row>
    <row r="114" spans="2:36">
      <c r="B114" s="203">
        <v>2180</v>
      </c>
      <c r="C114" s="207">
        <v>246434</v>
      </c>
      <c r="D114" s="203">
        <v>240180</v>
      </c>
      <c r="E114" s="202" t="s">
        <v>1350</v>
      </c>
      <c r="F114" s="203"/>
      <c r="G114" s="202"/>
      <c r="H114" s="202"/>
      <c r="I114" s="202"/>
      <c r="J114" s="202">
        <v>0</v>
      </c>
      <c r="K114" s="202" t="s">
        <v>3020</v>
      </c>
      <c r="L114" s="202"/>
      <c r="M114" s="202" t="s">
        <v>1447</v>
      </c>
      <c r="N114" s="206">
        <v>44197</v>
      </c>
      <c r="O114" s="206">
        <v>44197</v>
      </c>
      <c r="P114" s="202" t="s">
        <v>3011</v>
      </c>
      <c r="Q114" s="203">
        <v>1000</v>
      </c>
      <c r="R114" s="203">
        <v>14040</v>
      </c>
      <c r="S114" s="204">
        <v>857.37</v>
      </c>
      <c r="T114" s="203">
        <v>14046</v>
      </c>
      <c r="U114" s="204">
        <v>121.47</v>
      </c>
      <c r="V114" s="204">
        <f t="shared" si="13"/>
        <v>735.9</v>
      </c>
      <c r="W114" s="205">
        <v>35.729999999999997</v>
      </c>
      <c r="X114" s="203">
        <v>51260</v>
      </c>
      <c r="Y114" s="204">
        <v>7.15</v>
      </c>
      <c r="Z114" s="202" t="s">
        <v>97</v>
      </c>
      <c r="AA114" s="202"/>
      <c r="AB114" s="202" t="s">
        <v>3019</v>
      </c>
      <c r="AC114" s="202"/>
      <c r="AD114" s="202" t="s">
        <v>1152</v>
      </c>
      <c r="AE114" s="202" t="s">
        <v>1153</v>
      </c>
      <c r="AF114" s="203" t="s">
        <v>1154</v>
      </c>
      <c r="AG114" s="202"/>
      <c r="AH114" s="203" t="s">
        <v>1155</v>
      </c>
      <c r="AI114" s="202">
        <v>0</v>
      </c>
      <c r="AJ114" s="202">
        <v>0</v>
      </c>
    </row>
    <row r="115" spans="2:36">
      <c r="B115" s="203">
        <v>2180</v>
      </c>
      <c r="C115" s="207">
        <v>246133</v>
      </c>
      <c r="D115" s="203" t="s">
        <v>97</v>
      </c>
      <c r="E115" s="202" t="s">
        <v>1370</v>
      </c>
      <c r="F115" s="203">
        <v>702</v>
      </c>
      <c r="G115" s="202"/>
      <c r="H115" s="202"/>
      <c r="I115" s="202"/>
      <c r="J115" s="202">
        <v>0</v>
      </c>
      <c r="K115" s="202" t="s">
        <v>2445</v>
      </c>
      <c r="L115" s="202"/>
      <c r="M115" s="202" t="s">
        <v>2846</v>
      </c>
      <c r="N115" s="206">
        <v>44221</v>
      </c>
      <c r="O115" s="206">
        <v>44221</v>
      </c>
      <c r="P115" s="202" t="s">
        <v>3018</v>
      </c>
      <c r="Q115" s="203">
        <v>700</v>
      </c>
      <c r="R115" s="203">
        <v>14050</v>
      </c>
      <c r="S115" s="204">
        <v>32640.34</v>
      </c>
      <c r="T115" s="203">
        <v>14056</v>
      </c>
      <c r="U115" s="204">
        <v>6217.21</v>
      </c>
      <c r="V115" s="204">
        <f t="shared" si="13"/>
        <v>26423.13</v>
      </c>
      <c r="W115" s="205">
        <v>1942.88</v>
      </c>
      <c r="X115" s="203">
        <v>54260</v>
      </c>
      <c r="Y115" s="204">
        <v>388.58</v>
      </c>
      <c r="Z115" s="202" t="s">
        <v>97</v>
      </c>
      <c r="AA115" s="202"/>
      <c r="AB115" s="202">
        <v>50147728</v>
      </c>
      <c r="AC115" s="202"/>
      <c r="AD115" s="202" t="s">
        <v>1152</v>
      </c>
      <c r="AE115" s="202" t="s">
        <v>1153</v>
      </c>
      <c r="AF115" s="203" t="s">
        <v>1154</v>
      </c>
      <c r="AG115" s="202"/>
      <c r="AH115" s="203" t="s">
        <v>1155</v>
      </c>
      <c r="AI115" s="202">
        <v>0</v>
      </c>
      <c r="AJ115" s="202">
        <v>0</v>
      </c>
    </row>
    <row r="116" spans="2:36">
      <c r="B116" s="203">
        <v>2180</v>
      </c>
      <c r="C116" s="207">
        <v>246132</v>
      </c>
      <c r="D116" s="203" t="s">
        <v>97</v>
      </c>
      <c r="E116" s="202" t="s">
        <v>1372</v>
      </c>
      <c r="F116" s="203">
        <v>702</v>
      </c>
      <c r="G116" s="202"/>
      <c r="H116" s="202"/>
      <c r="I116" s="202"/>
      <c r="J116" s="202">
        <v>0</v>
      </c>
      <c r="K116" s="202" t="s">
        <v>2445</v>
      </c>
      <c r="L116" s="202"/>
      <c r="M116" s="202" t="s">
        <v>2846</v>
      </c>
      <c r="N116" s="206">
        <v>44221</v>
      </c>
      <c r="O116" s="206">
        <v>44221</v>
      </c>
      <c r="P116" s="202" t="s">
        <v>3017</v>
      </c>
      <c r="Q116" s="203">
        <v>700</v>
      </c>
      <c r="R116" s="203">
        <v>14050</v>
      </c>
      <c r="S116" s="204">
        <v>32640.34</v>
      </c>
      <c r="T116" s="203">
        <v>14056</v>
      </c>
      <c r="U116" s="204">
        <v>6217.21</v>
      </c>
      <c r="V116" s="204">
        <f t="shared" si="13"/>
        <v>26423.13</v>
      </c>
      <c r="W116" s="205">
        <v>1942.88</v>
      </c>
      <c r="X116" s="203">
        <v>54260</v>
      </c>
      <c r="Y116" s="204">
        <v>388.58</v>
      </c>
      <c r="Z116" s="202" t="s">
        <v>97</v>
      </c>
      <c r="AA116" s="202"/>
      <c r="AB116" s="202">
        <v>50147728</v>
      </c>
      <c r="AC116" s="202"/>
      <c r="AD116" s="202" t="s">
        <v>1152</v>
      </c>
      <c r="AE116" s="202" t="s">
        <v>1153</v>
      </c>
      <c r="AF116" s="203" t="s">
        <v>1154</v>
      </c>
      <c r="AG116" s="202"/>
      <c r="AH116" s="203" t="s">
        <v>1155</v>
      </c>
      <c r="AI116" s="202">
        <v>0</v>
      </c>
      <c r="AJ116" s="202">
        <v>0</v>
      </c>
    </row>
    <row r="117" spans="2:36">
      <c r="B117" s="203">
        <v>2180</v>
      </c>
      <c r="C117" s="207">
        <v>246131</v>
      </c>
      <c r="D117" s="203" t="s">
        <v>97</v>
      </c>
      <c r="E117" s="202" t="s">
        <v>1373</v>
      </c>
      <c r="F117" s="203">
        <v>702</v>
      </c>
      <c r="G117" s="202"/>
      <c r="H117" s="202"/>
      <c r="I117" s="202"/>
      <c r="J117" s="202">
        <v>0</v>
      </c>
      <c r="K117" s="202" t="s">
        <v>2445</v>
      </c>
      <c r="L117" s="202"/>
      <c r="M117" s="202" t="s">
        <v>2846</v>
      </c>
      <c r="N117" s="206">
        <v>44218</v>
      </c>
      <c r="O117" s="206">
        <v>44218</v>
      </c>
      <c r="P117" s="202" t="s">
        <v>3016</v>
      </c>
      <c r="Q117" s="203">
        <v>700</v>
      </c>
      <c r="R117" s="203">
        <v>14050</v>
      </c>
      <c r="S117" s="204">
        <v>32640.34</v>
      </c>
      <c r="T117" s="203">
        <v>14056</v>
      </c>
      <c r="U117" s="204">
        <v>6217.21</v>
      </c>
      <c r="V117" s="204">
        <f t="shared" si="13"/>
        <v>26423.13</v>
      </c>
      <c r="W117" s="205">
        <v>1942.88</v>
      </c>
      <c r="X117" s="203">
        <v>54260</v>
      </c>
      <c r="Y117" s="204">
        <v>388.58</v>
      </c>
      <c r="Z117" s="202" t="s">
        <v>97</v>
      </c>
      <c r="AA117" s="202"/>
      <c r="AB117" s="202">
        <v>50147142</v>
      </c>
      <c r="AC117" s="202"/>
      <c r="AD117" s="202" t="s">
        <v>1152</v>
      </c>
      <c r="AE117" s="202" t="s">
        <v>1153</v>
      </c>
      <c r="AF117" s="203" t="s">
        <v>1154</v>
      </c>
      <c r="AG117" s="202"/>
      <c r="AH117" s="203" t="s">
        <v>1155</v>
      </c>
      <c r="AI117" s="202">
        <v>0</v>
      </c>
      <c r="AJ117" s="202">
        <v>0</v>
      </c>
    </row>
    <row r="118" spans="2:36">
      <c r="B118" s="203">
        <v>2180</v>
      </c>
      <c r="C118" s="207">
        <v>246130</v>
      </c>
      <c r="D118" s="203" t="s">
        <v>97</v>
      </c>
      <c r="E118" s="202" t="s">
        <v>637</v>
      </c>
      <c r="F118" s="203">
        <v>936</v>
      </c>
      <c r="G118" s="202"/>
      <c r="H118" s="202"/>
      <c r="I118" s="202"/>
      <c r="J118" s="202">
        <v>0</v>
      </c>
      <c r="K118" s="202" t="s">
        <v>2445</v>
      </c>
      <c r="L118" s="202"/>
      <c r="M118" s="202" t="s">
        <v>2846</v>
      </c>
      <c r="N118" s="206">
        <v>44221</v>
      </c>
      <c r="O118" s="206">
        <v>44221</v>
      </c>
      <c r="P118" s="202" t="s">
        <v>3015</v>
      </c>
      <c r="Q118" s="203">
        <v>700</v>
      </c>
      <c r="R118" s="203">
        <v>14050</v>
      </c>
      <c r="S118" s="204">
        <v>38405.24</v>
      </c>
      <c r="T118" s="203">
        <v>14056</v>
      </c>
      <c r="U118" s="204">
        <v>7315.29</v>
      </c>
      <c r="V118" s="204">
        <f t="shared" si="13"/>
        <v>31089.949999999997</v>
      </c>
      <c r="W118" s="205">
        <v>2286.0300000000002</v>
      </c>
      <c r="X118" s="203">
        <v>54260</v>
      </c>
      <c r="Y118" s="204">
        <v>457.21</v>
      </c>
      <c r="Z118" s="202" t="s">
        <v>97</v>
      </c>
      <c r="AA118" s="202"/>
      <c r="AB118" s="202">
        <v>50147728</v>
      </c>
      <c r="AC118" s="202"/>
      <c r="AD118" s="202" t="s">
        <v>1152</v>
      </c>
      <c r="AE118" s="202" t="s">
        <v>1153</v>
      </c>
      <c r="AF118" s="203" t="s">
        <v>1154</v>
      </c>
      <c r="AG118" s="202"/>
      <c r="AH118" s="203" t="s">
        <v>1155</v>
      </c>
      <c r="AI118" s="202">
        <v>0</v>
      </c>
      <c r="AJ118" s="202">
        <v>0</v>
      </c>
    </row>
    <row r="119" spans="2:36">
      <c r="B119" s="203">
        <v>2180</v>
      </c>
      <c r="C119" s="207">
        <v>245707</v>
      </c>
      <c r="D119" s="203">
        <v>242813</v>
      </c>
      <c r="E119" s="202" t="s">
        <v>1277</v>
      </c>
      <c r="F119" s="203"/>
      <c r="G119" s="202"/>
      <c r="H119" s="202"/>
      <c r="I119" s="202"/>
      <c r="J119" s="202">
        <v>2020</v>
      </c>
      <c r="K119" s="202" t="s">
        <v>3013</v>
      </c>
      <c r="L119" s="202" t="s">
        <v>3013</v>
      </c>
      <c r="M119" s="202" t="s">
        <v>1447</v>
      </c>
      <c r="N119" s="206">
        <v>44197</v>
      </c>
      <c r="O119" s="206">
        <v>44197</v>
      </c>
      <c r="P119" s="202" t="s">
        <v>3014</v>
      </c>
      <c r="Q119" s="203">
        <v>1000</v>
      </c>
      <c r="R119" s="203">
        <v>14040</v>
      </c>
      <c r="S119" s="204">
        <v>480.92</v>
      </c>
      <c r="T119" s="203">
        <v>14046</v>
      </c>
      <c r="U119" s="204">
        <v>68.13</v>
      </c>
      <c r="V119" s="204">
        <f t="shared" si="13"/>
        <v>412.79</v>
      </c>
      <c r="W119" s="205">
        <v>20.04</v>
      </c>
      <c r="X119" s="203">
        <v>51260</v>
      </c>
      <c r="Y119" s="204">
        <v>4.01</v>
      </c>
      <c r="Z119" s="202" t="s">
        <v>97</v>
      </c>
      <c r="AA119" s="202"/>
      <c r="AB119" s="202">
        <v>980</v>
      </c>
      <c r="AC119" s="202"/>
      <c r="AD119" s="202" t="s">
        <v>1152</v>
      </c>
      <c r="AE119" s="202" t="s">
        <v>1153</v>
      </c>
      <c r="AF119" s="203" t="s">
        <v>1154</v>
      </c>
      <c r="AG119" s="202"/>
      <c r="AH119" s="203" t="s">
        <v>1155</v>
      </c>
      <c r="AI119" s="202">
        <v>0</v>
      </c>
      <c r="AJ119" s="202">
        <v>0</v>
      </c>
    </row>
    <row r="120" spans="2:36">
      <c r="B120" s="203">
        <v>2180</v>
      </c>
      <c r="C120" s="207">
        <v>245706</v>
      </c>
      <c r="D120" s="203">
        <v>242812</v>
      </c>
      <c r="E120" s="202" t="s">
        <v>1277</v>
      </c>
      <c r="F120" s="203"/>
      <c r="G120" s="202"/>
      <c r="H120" s="202"/>
      <c r="I120" s="202"/>
      <c r="J120" s="202">
        <v>2020</v>
      </c>
      <c r="K120" s="202" t="s">
        <v>3013</v>
      </c>
      <c r="L120" s="202" t="s">
        <v>3013</v>
      </c>
      <c r="M120" s="202" t="s">
        <v>1447</v>
      </c>
      <c r="N120" s="206">
        <v>44197</v>
      </c>
      <c r="O120" s="206">
        <v>44197</v>
      </c>
      <c r="P120" s="202" t="s">
        <v>3012</v>
      </c>
      <c r="Q120" s="203">
        <v>1000</v>
      </c>
      <c r="R120" s="203">
        <v>14040</v>
      </c>
      <c r="S120" s="204">
        <v>480.92</v>
      </c>
      <c r="T120" s="203">
        <v>14046</v>
      </c>
      <c r="U120" s="204">
        <v>68.13</v>
      </c>
      <c r="V120" s="204">
        <f t="shared" si="13"/>
        <v>412.79</v>
      </c>
      <c r="W120" s="205">
        <v>20.04</v>
      </c>
      <c r="X120" s="203">
        <v>51260</v>
      </c>
      <c r="Y120" s="204">
        <v>4.01</v>
      </c>
      <c r="Z120" s="202" t="s">
        <v>97</v>
      </c>
      <c r="AA120" s="202"/>
      <c r="AB120" s="202">
        <v>981</v>
      </c>
      <c r="AC120" s="202"/>
      <c r="AD120" s="202" t="s">
        <v>1152</v>
      </c>
      <c r="AE120" s="202" t="s">
        <v>1153</v>
      </c>
      <c r="AF120" s="203" t="s">
        <v>1154</v>
      </c>
      <c r="AG120" s="202"/>
      <c r="AH120" s="203" t="s">
        <v>1155</v>
      </c>
      <c r="AI120" s="202">
        <v>0</v>
      </c>
      <c r="AJ120" s="202">
        <v>0</v>
      </c>
    </row>
    <row r="121" spans="2:36">
      <c r="B121" s="203">
        <v>2180</v>
      </c>
      <c r="C121" s="207">
        <v>245703</v>
      </c>
      <c r="D121" s="203">
        <v>240182</v>
      </c>
      <c r="E121" s="202" t="s">
        <v>1349</v>
      </c>
      <c r="F121" s="203"/>
      <c r="G121" s="202"/>
      <c r="H121" s="202"/>
      <c r="I121" s="202"/>
      <c r="J121" s="202">
        <v>0</v>
      </c>
      <c r="K121" s="202" t="s">
        <v>2744</v>
      </c>
      <c r="L121" s="202"/>
      <c r="M121" s="202" t="s">
        <v>1447</v>
      </c>
      <c r="N121" s="206">
        <v>44197</v>
      </c>
      <c r="O121" s="206">
        <v>44197</v>
      </c>
      <c r="P121" s="202" t="s">
        <v>3001</v>
      </c>
      <c r="Q121" s="203">
        <v>1000</v>
      </c>
      <c r="R121" s="203">
        <v>14040</v>
      </c>
      <c r="S121" s="204">
        <v>191.75</v>
      </c>
      <c r="T121" s="203">
        <v>14046</v>
      </c>
      <c r="U121" s="204">
        <v>27.17</v>
      </c>
      <c r="V121" s="204">
        <f t="shared" si="13"/>
        <v>164.57999999999998</v>
      </c>
      <c r="W121" s="205">
        <v>7.99</v>
      </c>
      <c r="X121" s="203">
        <v>51260</v>
      </c>
      <c r="Y121" s="204">
        <v>1.6</v>
      </c>
      <c r="Z121" s="202" t="s">
        <v>97</v>
      </c>
      <c r="AA121" s="202"/>
      <c r="AB121" s="202">
        <v>930</v>
      </c>
      <c r="AC121" s="202"/>
      <c r="AD121" s="202" t="s">
        <v>1152</v>
      </c>
      <c r="AE121" s="202" t="s">
        <v>1153</v>
      </c>
      <c r="AF121" s="203" t="s">
        <v>1154</v>
      </c>
      <c r="AG121" s="202"/>
      <c r="AH121" s="203" t="s">
        <v>1155</v>
      </c>
      <c r="AI121" s="202">
        <v>0</v>
      </c>
      <c r="AJ121" s="202">
        <v>0</v>
      </c>
    </row>
    <row r="122" spans="2:36">
      <c r="B122" s="203">
        <v>2180</v>
      </c>
      <c r="C122" s="207">
        <v>245702</v>
      </c>
      <c r="D122" s="203">
        <v>240180</v>
      </c>
      <c r="E122" s="202" t="s">
        <v>1309</v>
      </c>
      <c r="F122" s="203"/>
      <c r="G122" s="202"/>
      <c r="H122" s="202"/>
      <c r="I122" s="202"/>
      <c r="J122" s="202">
        <v>0</v>
      </c>
      <c r="K122" s="202" t="s">
        <v>2744</v>
      </c>
      <c r="L122" s="202"/>
      <c r="M122" s="202" t="s">
        <v>1447</v>
      </c>
      <c r="N122" s="206">
        <v>44197</v>
      </c>
      <c r="O122" s="206">
        <v>44197</v>
      </c>
      <c r="P122" s="202" t="s">
        <v>3011</v>
      </c>
      <c r="Q122" s="203">
        <v>1000</v>
      </c>
      <c r="R122" s="203">
        <v>14040</v>
      </c>
      <c r="S122" s="204">
        <v>388.15</v>
      </c>
      <c r="T122" s="203">
        <v>14046</v>
      </c>
      <c r="U122" s="204">
        <v>55</v>
      </c>
      <c r="V122" s="204">
        <f t="shared" si="13"/>
        <v>333.15</v>
      </c>
      <c r="W122" s="205">
        <v>16.18</v>
      </c>
      <c r="X122" s="203">
        <v>51260</v>
      </c>
      <c r="Y122" s="204">
        <v>3.24</v>
      </c>
      <c r="Z122" s="202" t="s">
        <v>97</v>
      </c>
      <c r="AA122" s="202"/>
      <c r="AB122" s="202">
        <v>929</v>
      </c>
      <c r="AC122" s="202"/>
      <c r="AD122" s="202" t="s">
        <v>1152</v>
      </c>
      <c r="AE122" s="202" t="s">
        <v>1153</v>
      </c>
      <c r="AF122" s="203" t="s">
        <v>1154</v>
      </c>
      <c r="AG122" s="202"/>
      <c r="AH122" s="203" t="s">
        <v>1155</v>
      </c>
      <c r="AI122" s="202">
        <v>0</v>
      </c>
      <c r="AJ122" s="202">
        <v>0</v>
      </c>
    </row>
    <row r="123" spans="2:36">
      <c r="B123" s="203">
        <v>2180</v>
      </c>
      <c r="C123" s="207">
        <v>244572</v>
      </c>
      <c r="D123" s="203">
        <v>240181</v>
      </c>
      <c r="E123" s="202" t="s">
        <v>1309</v>
      </c>
      <c r="F123" s="203"/>
      <c r="G123" s="202"/>
      <c r="H123" s="202"/>
      <c r="I123" s="202"/>
      <c r="J123" s="202">
        <v>0</v>
      </c>
      <c r="K123" s="202" t="s">
        <v>2744</v>
      </c>
      <c r="L123" s="202"/>
      <c r="M123" s="202" t="s">
        <v>1447</v>
      </c>
      <c r="N123" s="206">
        <v>44186</v>
      </c>
      <c r="O123" s="206">
        <v>44186</v>
      </c>
      <c r="P123" s="202" t="s">
        <v>2998</v>
      </c>
      <c r="Q123" s="203">
        <v>1000</v>
      </c>
      <c r="R123" s="203">
        <v>14040</v>
      </c>
      <c r="S123" s="204">
        <v>388.15</v>
      </c>
      <c r="T123" s="203">
        <v>14046</v>
      </c>
      <c r="U123" s="204">
        <v>55</v>
      </c>
      <c r="V123" s="204">
        <f t="shared" si="13"/>
        <v>333.15</v>
      </c>
      <c r="W123" s="205">
        <v>16.18</v>
      </c>
      <c r="X123" s="203">
        <v>51260</v>
      </c>
      <c r="Y123" s="204">
        <v>3.24</v>
      </c>
      <c r="Z123" s="202" t="s">
        <v>97</v>
      </c>
      <c r="AA123" s="202"/>
      <c r="AB123" s="202">
        <v>982</v>
      </c>
      <c r="AC123" s="202"/>
      <c r="AD123" s="202" t="s">
        <v>1152</v>
      </c>
      <c r="AE123" s="202" t="s">
        <v>1153</v>
      </c>
      <c r="AF123" s="203" t="s">
        <v>1154</v>
      </c>
      <c r="AG123" s="202"/>
      <c r="AH123" s="203" t="s">
        <v>1155</v>
      </c>
      <c r="AI123" s="202">
        <v>0</v>
      </c>
      <c r="AJ123" s="202">
        <v>0</v>
      </c>
    </row>
    <row r="124" spans="2:36">
      <c r="B124" s="203">
        <v>2180</v>
      </c>
      <c r="C124" s="207">
        <v>243461</v>
      </c>
      <c r="D124" s="203" t="s">
        <v>97</v>
      </c>
      <c r="E124" s="202" t="s">
        <v>1310</v>
      </c>
      <c r="F124" s="203">
        <v>116</v>
      </c>
      <c r="G124" s="202"/>
      <c r="H124" s="202"/>
      <c r="I124" s="202"/>
      <c r="J124" s="202">
        <v>0</v>
      </c>
      <c r="K124" s="202" t="s">
        <v>3010</v>
      </c>
      <c r="L124" s="202"/>
      <c r="M124" s="202"/>
      <c r="N124" s="206">
        <v>44104</v>
      </c>
      <c r="O124" s="206">
        <v>44104</v>
      </c>
      <c r="P124" s="202" t="s">
        <v>2977</v>
      </c>
      <c r="Q124" s="203">
        <v>100</v>
      </c>
      <c r="R124" s="203">
        <v>14110</v>
      </c>
      <c r="S124" s="204">
        <v>80766.149999999994</v>
      </c>
      <c r="T124" s="203">
        <v>14116</v>
      </c>
      <c r="U124" s="204">
        <v>80766.149999999994</v>
      </c>
      <c r="V124" s="204">
        <f t="shared" si="13"/>
        <v>0</v>
      </c>
      <c r="W124" s="205">
        <v>0</v>
      </c>
      <c r="X124" s="203">
        <v>70260</v>
      </c>
      <c r="Y124" s="204">
        <v>0</v>
      </c>
      <c r="Z124" s="202" t="s">
        <v>97</v>
      </c>
      <c r="AA124" s="202"/>
      <c r="AB124" s="202">
        <v>227639</v>
      </c>
      <c r="AC124" s="202"/>
      <c r="AD124" s="202" t="s">
        <v>1152</v>
      </c>
      <c r="AE124" s="202" t="s">
        <v>1153</v>
      </c>
      <c r="AF124" s="203" t="s">
        <v>1154</v>
      </c>
      <c r="AG124" s="202"/>
      <c r="AH124" s="203" t="s">
        <v>1155</v>
      </c>
      <c r="AI124" s="202">
        <v>0</v>
      </c>
      <c r="AJ124" s="202">
        <v>0</v>
      </c>
    </row>
    <row r="125" spans="2:36">
      <c r="B125" s="203">
        <v>2180</v>
      </c>
      <c r="C125" s="207">
        <v>243344</v>
      </c>
      <c r="D125" s="203" t="s">
        <v>97</v>
      </c>
      <c r="E125" s="202" t="s">
        <v>1308</v>
      </c>
      <c r="F125" s="203">
        <v>25</v>
      </c>
      <c r="G125" s="202"/>
      <c r="H125" s="202"/>
      <c r="I125" s="202"/>
      <c r="J125" s="202">
        <v>0</v>
      </c>
      <c r="K125" s="202" t="s">
        <v>2041</v>
      </c>
      <c r="L125" s="202"/>
      <c r="M125" s="202" t="s">
        <v>1456</v>
      </c>
      <c r="N125" s="206">
        <v>44151</v>
      </c>
      <c r="O125" s="206">
        <v>44151</v>
      </c>
      <c r="P125" s="202" t="s">
        <v>3009</v>
      </c>
      <c r="Q125" s="203">
        <v>1200</v>
      </c>
      <c r="R125" s="203">
        <v>14050</v>
      </c>
      <c r="S125" s="204">
        <v>23362.87</v>
      </c>
      <c r="T125" s="203">
        <v>14056</v>
      </c>
      <c r="U125" s="204">
        <v>2920.36</v>
      </c>
      <c r="V125" s="204">
        <f t="shared" si="13"/>
        <v>20442.509999999998</v>
      </c>
      <c r="W125" s="205">
        <v>811.21</v>
      </c>
      <c r="X125" s="203">
        <v>54260</v>
      </c>
      <c r="Y125" s="204">
        <v>162.24</v>
      </c>
      <c r="Z125" s="202" t="s">
        <v>97</v>
      </c>
      <c r="AA125" s="202"/>
      <c r="AB125" s="202">
        <v>163262</v>
      </c>
      <c r="AC125" s="202"/>
      <c r="AD125" s="202" t="s">
        <v>1152</v>
      </c>
      <c r="AE125" s="202" t="s">
        <v>1153</v>
      </c>
      <c r="AF125" s="203" t="s">
        <v>1154</v>
      </c>
      <c r="AG125" s="202"/>
      <c r="AH125" s="203" t="s">
        <v>1155</v>
      </c>
      <c r="AI125" s="202">
        <v>0</v>
      </c>
      <c r="AJ125" s="202">
        <v>0</v>
      </c>
    </row>
    <row r="126" spans="2:36">
      <c r="B126" s="203">
        <v>2180</v>
      </c>
      <c r="C126" s="207">
        <v>243343</v>
      </c>
      <c r="D126" s="203" t="s">
        <v>97</v>
      </c>
      <c r="E126" s="202" t="s">
        <v>1307</v>
      </c>
      <c r="F126" s="203">
        <v>25</v>
      </c>
      <c r="G126" s="202"/>
      <c r="H126" s="202"/>
      <c r="I126" s="202"/>
      <c r="J126" s="202">
        <v>0</v>
      </c>
      <c r="K126" s="202" t="s">
        <v>2041</v>
      </c>
      <c r="L126" s="202"/>
      <c r="M126" s="202" t="s">
        <v>1573</v>
      </c>
      <c r="N126" s="206">
        <v>44151</v>
      </c>
      <c r="O126" s="206">
        <v>44151</v>
      </c>
      <c r="P126" s="202" t="s">
        <v>3008</v>
      </c>
      <c r="Q126" s="203">
        <v>1200</v>
      </c>
      <c r="R126" s="203">
        <v>14050</v>
      </c>
      <c r="S126" s="204">
        <v>14482.25</v>
      </c>
      <c r="T126" s="203">
        <v>14056</v>
      </c>
      <c r="U126" s="204">
        <v>1810.29</v>
      </c>
      <c r="V126" s="204">
        <f t="shared" si="13"/>
        <v>12671.96</v>
      </c>
      <c r="W126" s="205">
        <v>502.86</v>
      </c>
      <c r="X126" s="203">
        <v>54260</v>
      </c>
      <c r="Y126" s="204">
        <v>100.57</v>
      </c>
      <c r="Z126" s="202" t="s">
        <v>97</v>
      </c>
      <c r="AA126" s="202"/>
      <c r="AB126" s="202">
        <v>163258</v>
      </c>
      <c r="AC126" s="202"/>
      <c r="AD126" s="202" t="s">
        <v>1152</v>
      </c>
      <c r="AE126" s="202" t="s">
        <v>1153</v>
      </c>
      <c r="AF126" s="203" t="s">
        <v>1154</v>
      </c>
      <c r="AG126" s="202"/>
      <c r="AH126" s="203" t="s">
        <v>1155</v>
      </c>
      <c r="AI126" s="202">
        <v>0</v>
      </c>
      <c r="AJ126" s="202">
        <v>0</v>
      </c>
    </row>
    <row r="127" spans="2:36">
      <c r="B127" s="203">
        <v>2180</v>
      </c>
      <c r="C127" s="207">
        <v>242813</v>
      </c>
      <c r="D127" s="203" t="s">
        <v>97</v>
      </c>
      <c r="E127" s="202" t="s">
        <v>1274</v>
      </c>
      <c r="F127" s="203"/>
      <c r="G127" s="202"/>
      <c r="H127" s="202" t="s">
        <v>3007</v>
      </c>
      <c r="I127" s="202"/>
      <c r="J127" s="202">
        <v>2020</v>
      </c>
      <c r="K127" s="202" t="s">
        <v>1406</v>
      </c>
      <c r="L127" s="202" t="s">
        <v>2413</v>
      </c>
      <c r="M127" s="202" t="s">
        <v>1404</v>
      </c>
      <c r="N127" s="206">
        <v>44151</v>
      </c>
      <c r="O127" s="206">
        <v>44151</v>
      </c>
      <c r="P127" s="202" t="s">
        <v>3006</v>
      </c>
      <c r="Q127" s="203">
        <v>1000</v>
      </c>
      <c r="R127" s="203">
        <v>14040</v>
      </c>
      <c r="S127" s="204">
        <v>366754.67</v>
      </c>
      <c r="T127" s="203">
        <v>14046</v>
      </c>
      <c r="U127" s="204">
        <v>55013.21</v>
      </c>
      <c r="V127" s="204">
        <f t="shared" si="13"/>
        <v>311741.45999999996</v>
      </c>
      <c r="W127" s="205">
        <v>15281.45</v>
      </c>
      <c r="X127" s="203">
        <v>51260</v>
      </c>
      <c r="Y127" s="204">
        <v>3056.29</v>
      </c>
      <c r="Z127" s="202" t="s">
        <v>97</v>
      </c>
      <c r="AA127" s="202"/>
      <c r="AB127" s="202"/>
      <c r="AC127" s="202">
        <v>3715</v>
      </c>
      <c r="AD127" s="202" t="s">
        <v>1152</v>
      </c>
      <c r="AE127" s="202" t="s">
        <v>1153</v>
      </c>
      <c r="AF127" s="203" t="s">
        <v>1154</v>
      </c>
      <c r="AG127" s="202"/>
      <c r="AH127" s="203" t="s">
        <v>1155</v>
      </c>
      <c r="AI127" s="202">
        <v>0</v>
      </c>
      <c r="AJ127" s="202">
        <v>0</v>
      </c>
    </row>
    <row r="128" spans="2:36">
      <c r="B128" s="203">
        <v>2180</v>
      </c>
      <c r="C128" s="207">
        <v>242812</v>
      </c>
      <c r="D128" s="203" t="s">
        <v>97</v>
      </c>
      <c r="E128" s="202" t="s">
        <v>1274</v>
      </c>
      <c r="F128" s="203"/>
      <c r="G128" s="202"/>
      <c r="H128" s="202" t="s">
        <v>3005</v>
      </c>
      <c r="I128" s="202"/>
      <c r="J128" s="202">
        <v>2020</v>
      </c>
      <c r="K128" s="202" t="s">
        <v>1406</v>
      </c>
      <c r="L128" s="202" t="s">
        <v>2413</v>
      </c>
      <c r="M128" s="202" t="s">
        <v>1404</v>
      </c>
      <c r="N128" s="206">
        <v>44167</v>
      </c>
      <c r="O128" s="206">
        <v>44167</v>
      </c>
      <c r="P128" s="202" t="s">
        <v>3004</v>
      </c>
      <c r="Q128" s="203">
        <v>1000</v>
      </c>
      <c r="R128" s="203">
        <v>14040</v>
      </c>
      <c r="S128" s="204">
        <v>366754.67</v>
      </c>
      <c r="T128" s="203">
        <v>14046</v>
      </c>
      <c r="U128" s="204">
        <v>55013.21</v>
      </c>
      <c r="V128" s="204">
        <f t="shared" si="13"/>
        <v>311741.45999999996</v>
      </c>
      <c r="W128" s="205">
        <v>15281.45</v>
      </c>
      <c r="X128" s="203">
        <v>51260</v>
      </c>
      <c r="Y128" s="204">
        <v>3056.29</v>
      </c>
      <c r="Z128" s="202" t="s">
        <v>97</v>
      </c>
      <c r="AA128" s="202"/>
      <c r="AB128" s="202"/>
      <c r="AC128" s="202">
        <v>3713</v>
      </c>
      <c r="AD128" s="202" t="s">
        <v>1152</v>
      </c>
      <c r="AE128" s="202" t="s">
        <v>1153</v>
      </c>
      <c r="AF128" s="203" t="s">
        <v>1154</v>
      </c>
      <c r="AG128" s="202"/>
      <c r="AH128" s="203" t="s">
        <v>1155</v>
      </c>
      <c r="AI128" s="202">
        <v>0</v>
      </c>
      <c r="AJ128" s="202">
        <v>0</v>
      </c>
    </row>
    <row r="129" spans="2:36">
      <c r="B129" s="203">
        <v>2180</v>
      </c>
      <c r="C129" s="207">
        <v>242721</v>
      </c>
      <c r="D129" s="203" t="s">
        <v>97</v>
      </c>
      <c r="E129" s="202" t="s">
        <v>1306</v>
      </c>
      <c r="F129" s="203">
        <v>60</v>
      </c>
      <c r="G129" s="202"/>
      <c r="H129" s="202"/>
      <c r="I129" s="202"/>
      <c r="J129" s="202">
        <v>0</v>
      </c>
      <c r="K129" s="202" t="s">
        <v>2041</v>
      </c>
      <c r="L129" s="202"/>
      <c r="M129" s="202" t="s">
        <v>1421</v>
      </c>
      <c r="N129" s="206">
        <v>44151</v>
      </c>
      <c r="O129" s="206">
        <v>44151</v>
      </c>
      <c r="P129" s="202" t="s">
        <v>3003</v>
      </c>
      <c r="Q129" s="203">
        <v>1200</v>
      </c>
      <c r="R129" s="203">
        <v>14050</v>
      </c>
      <c r="S129" s="204">
        <v>37052.699999999997</v>
      </c>
      <c r="T129" s="203">
        <v>14056</v>
      </c>
      <c r="U129" s="204">
        <v>4631.59</v>
      </c>
      <c r="V129" s="204">
        <f t="shared" si="13"/>
        <v>32421.109999999997</v>
      </c>
      <c r="W129" s="205">
        <v>1286.55</v>
      </c>
      <c r="X129" s="203">
        <v>54260</v>
      </c>
      <c r="Y129" s="204">
        <v>257.31</v>
      </c>
      <c r="Z129" s="202" t="s">
        <v>97</v>
      </c>
      <c r="AA129" s="202"/>
      <c r="AB129" s="202">
        <v>163260</v>
      </c>
      <c r="AC129" s="202"/>
      <c r="AD129" s="202" t="s">
        <v>1152</v>
      </c>
      <c r="AE129" s="202" t="s">
        <v>1153</v>
      </c>
      <c r="AF129" s="203" t="s">
        <v>1154</v>
      </c>
      <c r="AG129" s="202"/>
      <c r="AH129" s="203" t="s">
        <v>1155</v>
      </c>
      <c r="AI129" s="202">
        <v>0</v>
      </c>
      <c r="AJ129" s="202">
        <v>0</v>
      </c>
    </row>
    <row r="130" spans="2:36">
      <c r="B130" s="203">
        <v>2180</v>
      </c>
      <c r="C130" s="207">
        <v>242359</v>
      </c>
      <c r="D130" s="203">
        <v>240182</v>
      </c>
      <c r="E130" s="202" t="s">
        <v>3002</v>
      </c>
      <c r="F130" s="203"/>
      <c r="G130" s="202"/>
      <c r="H130" s="202"/>
      <c r="I130" s="202"/>
      <c r="J130" s="202">
        <v>0</v>
      </c>
      <c r="K130" s="202" t="s">
        <v>2999</v>
      </c>
      <c r="L130" s="202"/>
      <c r="M130" s="202" t="s">
        <v>1447</v>
      </c>
      <c r="N130" s="206">
        <v>44145</v>
      </c>
      <c r="O130" s="206">
        <v>44145</v>
      </c>
      <c r="P130" s="202" t="s">
        <v>3001</v>
      </c>
      <c r="Q130" s="203">
        <v>1000</v>
      </c>
      <c r="R130" s="203">
        <v>14040</v>
      </c>
      <c r="S130" s="204">
        <v>1276.8800000000001</v>
      </c>
      <c r="T130" s="203">
        <v>14046</v>
      </c>
      <c r="U130" s="204">
        <v>202.16</v>
      </c>
      <c r="V130" s="204">
        <f t="shared" si="13"/>
        <v>1074.72</v>
      </c>
      <c r="W130" s="205">
        <v>53.2</v>
      </c>
      <c r="X130" s="203">
        <v>51260</v>
      </c>
      <c r="Y130" s="204">
        <v>10.64</v>
      </c>
      <c r="Z130" s="202" t="s">
        <v>97</v>
      </c>
      <c r="AA130" s="202"/>
      <c r="AB130" s="202" t="s">
        <v>2997</v>
      </c>
      <c r="AC130" s="202"/>
      <c r="AD130" s="202" t="s">
        <v>1152</v>
      </c>
      <c r="AE130" s="202" t="s">
        <v>1153</v>
      </c>
      <c r="AF130" s="203" t="s">
        <v>1154</v>
      </c>
      <c r="AG130" s="202"/>
      <c r="AH130" s="203" t="s">
        <v>1155</v>
      </c>
      <c r="AI130" s="202">
        <v>0</v>
      </c>
      <c r="AJ130" s="202">
        <v>0</v>
      </c>
    </row>
    <row r="131" spans="2:36">
      <c r="B131" s="203">
        <v>2180</v>
      </c>
      <c r="C131" s="207">
        <v>242358</v>
      </c>
      <c r="D131" s="203">
        <v>240181</v>
      </c>
      <c r="E131" s="202" t="s">
        <v>3000</v>
      </c>
      <c r="F131" s="203"/>
      <c r="G131" s="202"/>
      <c r="H131" s="202"/>
      <c r="I131" s="202"/>
      <c r="J131" s="202">
        <v>0</v>
      </c>
      <c r="K131" s="202" t="s">
        <v>2999</v>
      </c>
      <c r="L131" s="202"/>
      <c r="M131" s="202" t="s">
        <v>1447</v>
      </c>
      <c r="N131" s="206">
        <v>44145</v>
      </c>
      <c r="O131" s="206">
        <v>44145</v>
      </c>
      <c r="P131" s="202" t="s">
        <v>2998</v>
      </c>
      <c r="Q131" s="203">
        <v>1000</v>
      </c>
      <c r="R131" s="203">
        <v>14040</v>
      </c>
      <c r="S131" s="204">
        <v>992.55</v>
      </c>
      <c r="T131" s="203">
        <v>14046</v>
      </c>
      <c r="U131" s="204">
        <v>157.16</v>
      </c>
      <c r="V131" s="204">
        <f t="shared" si="13"/>
        <v>835.39</v>
      </c>
      <c r="W131" s="205">
        <v>41.36</v>
      </c>
      <c r="X131" s="203">
        <v>51260</v>
      </c>
      <c r="Y131" s="204">
        <v>8.27</v>
      </c>
      <c r="Z131" s="202" t="s">
        <v>97</v>
      </c>
      <c r="AA131" s="202"/>
      <c r="AB131" s="202" t="s">
        <v>2997</v>
      </c>
      <c r="AC131" s="202"/>
      <c r="AD131" s="202" t="s">
        <v>1152</v>
      </c>
      <c r="AE131" s="202" t="s">
        <v>1153</v>
      </c>
      <c r="AF131" s="203" t="s">
        <v>1154</v>
      </c>
      <c r="AG131" s="202"/>
      <c r="AH131" s="203" t="s">
        <v>1155</v>
      </c>
      <c r="AI131" s="202">
        <v>0</v>
      </c>
      <c r="AJ131" s="202">
        <v>0</v>
      </c>
    </row>
    <row r="132" spans="2:36">
      <c r="B132" s="203">
        <v>2180</v>
      </c>
      <c r="C132" s="207">
        <v>241521</v>
      </c>
      <c r="D132" s="203">
        <v>240180</v>
      </c>
      <c r="E132" s="202" t="s">
        <v>2996</v>
      </c>
      <c r="F132" s="203"/>
      <c r="G132" s="202"/>
      <c r="H132" s="202" t="s">
        <v>2981</v>
      </c>
      <c r="I132" s="202"/>
      <c r="J132" s="202">
        <v>2020</v>
      </c>
      <c r="K132" s="202"/>
      <c r="L132" s="202"/>
      <c r="M132" s="202" t="s">
        <v>1447</v>
      </c>
      <c r="N132" s="206">
        <v>44104</v>
      </c>
      <c r="O132" s="206">
        <v>44104</v>
      </c>
      <c r="P132" s="202" t="s">
        <v>2979</v>
      </c>
      <c r="Q132" s="203">
        <v>1000</v>
      </c>
      <c r="R132" s="203">
        <v>14040</v>
      </c>
      <c r="S132" s="204">
        <v>115328.73</v>
      </c>
      <c r="T132" s="203">
        <v>14046</v>
      </c>
      <c r="U132" s="204">
        <v>19221.439999999999</v>
      </c>
      <c r="V132" s="204">
        <f t="shared" si="13"/>
        <v>96107.29</v>
      </c>
      <c r="W132" s="205">
        <v>4805.3599999999997</v>
      </c>
      <c r="X132" s="203">
        <v>51260</v>
      </c>
      <c r="Y132" s="204">
        <v>961.07</v>
      </c>
      <c r="Z132" s="202" t="s">
        <v>97</v>
      </c>
      <c r="AA132" s="202"/>
      <c r="AB132" s="202"/>
      <c r="AC132" s="202"/>
      <c r="AD132" s="202" t="s">
        <v>1152</v>
      </c>
      <c r="AE132" s="202" t="s">
        <v>1153</v>
      </c>
      <c r="AF132" s="203" t="s">
        <v>1154</v>
      </c>
      <c r="AG132" s="202"/>
      <c r="AH132" s="203" t="s">
        <v>1155</v>
      </c>
      <c r="AI132" s="202">
        <v>0</v>
      </c>
      <c r="AJ132" s="202">
        <v>0</v>
      </c>
    </row>
    <row r="133" spans="2:36">
      <c r="B133" s="203">
        <v>2180</v>
      </c>
      <c r="C133" s="207">
        <v>241233</v>
      </c>
      <c r="D133" s="203" t="s">
        <v>97</v>
      </c>
      <c r="E133" s="202" t="s">
        <v>1271</v>
      </c>
      <c r="F133" s="203"/>
      <c r="G133" s="202"/>
      <c r="H133" s="202" t="s">
        <v>2995</v>
      </c>
      <c r="I133" s="202"/>
      <c r="J133" s="202">
        <v>2021</v>
      </c>
      <c r="K133" s="202" t="s">
        <v>1406</v>
      </c>
      <c r="L133" s="202" t="s">
        <v>2875</v>
      </c>
      <c r="M133" s="202" t="s">
        <v>1824</v>
      </c>
      <c r="N133" s="206">
        <v>44106</v>
      </c>
      <c r="O133" s="206">
        <v>44106</v>
      </c>
      <c r="P133" s="202" t="s">
        <v>2994</v>
      </c>
      <c r="Q133" s="203">
        <v>1000</v>
      </c>
      <c r="R133" s="203">
        <v>14040</v>
      </c>
      <c r="S133" s="204">
        <v>269224.42</v>
      </c>
      <c r="T133" s="203">
        <v>14046</v>
      </c>
      <c r="U133" s="204">
        <v>44870.73</v>
      </c>
      <c r="V133" s="204">
        <f t="shared" si="13"/>
        <v>224353.68999999997</v>
      </c>
      <c r="W133" s="205">
        <v>11217.68</v>
      </c>
      <c r="X133" s="203">
        <v>51260</v>
      </c>
      <c r="Y133" s="204">
        <v>2243.5300000000002</v>
      </c>
      <c r="Z133" s="202" t="s">
        <v>97</v>
      </c>
      <c r="AA133" s="202"/>
      <c r="AB133" s="202"/>
      <c r="AC133" s="202">
        <v>4095</v>
      </c>
      <c r="AD133" s="202" t="s">
        <v>1152</v>
      </c>
      <c r="AE133" s="202" t="s">
        <v>1153</v>
      </c>
      <c r="AF133" s="203" t="s">
        <v>1154</v>
      </c>
      <c r="AG133" s="202"/>
      <c r="AH133" s="203" t="s">
        <v>1155</v>
      </c>
      <c r="AI133" s="202">
        <v>0</v>
      </c>
      <c r="AJ133" s="202">
        <v>0</v>
      </c>
    </row>
    <row r="134" spans="2:36">
      <c r="B134" s="203">
        <v>2180</v>
      </c>
      <c r="C134" s="207">
        <v>240918</v>
      </c>
      <c r="D134" s="203" t="s">
        <v>97</v>
      </c>
      <c r="E134" s="202" t="s">
        <v>1302</v>
      </c>
      <c r="F134" s="203">
        <v>94</v>
      </c>
      <c r="G134" s="202"/>
      <c r="H134" s="202"/>
      <c r="I134" s="202"/>
      <c r="J134" s="202">
        <v>0</v>
      </c>
      <c r="K134" s="202" t="s">
        <v>2993</v>
      </c>
      <c r="L134" s="202"/>
      <c r="M134" s="202"/>
      <c r="N134" s="206">
        <v>44109</v>
      </c>
      <c r="O134" s="206">
        <v>44109</v>
      </c>
      <c r="P134" s="202" t="s">
        <v>2992</v>
      </c>
      <c r="Q134" s="203">
        <v>500</v>
      </c>
      <c r="R134" s="203">
        <v>14070</v>
      </c>
      <c r="S134" s="204">
        <v>96643.61</v>
      </c>
      <c r="T134" s="203">
        <v>14076</v>
      </c>
      <c r="U134" s="204">
        <v>32214.53</v>
      </c>
      <c r="V134" s="204">
        <f t="shared" si="13"/>
        <v>64429.08</v>
      </c>
      <c r="W134" s="205">
        <v>8053.63</v>
      </c>
      <c r="X134" s="203">
        <v>51260</v>
      </c>
      <c r="Y134" s="204">
        <v>1610.72</v>
      </c>
      <c r="Z134" s="202" t="s">
        <v>97</v>
      </c>
      <c r="AA134" s="202"/>
      <c r="AB134" s="202">
        <v>5312892</v>
      </c>
      <c r="AC134" s="202"/>
      <c r="AD134" s="202" t="s">
        <v>1152</v>
      </c>
      <c r="AE134" s="202" t="s">
        <v>1153</v>
      </c>
      <c r="AF134" s="203" t="s">
        <v>1154</v>
      </c>
      <c r="AG134" s="202"/>
      <c r="AH134" s="203" t="s">
        <v>1155</v>
      </c>
      <c r="AI134" s="202">
        <v>0</v>
      </c>
      <c r="AJ134" s="202">
        <v>0</v>
      </c>
    </row>
    <row r="135" spans="2:36">
      <c r="B135" s="203">
        <v>2180</v>
      </c>
      <c r="C135" s="207">
        <v>240795</v>
      </c>
      <c r="D135" s="203" t="s">
        <v>97</v>
      </c>
      <c r="E135" s="202" t="s">
        <v>1301</v>
      </c>
      <c r="F135" s="203">
        <v>130</v>
      </c>
      <c r="G135" s="202"/>
      <c r="H135" s="202"/>
      <c r="I135" s="202"/>
      <c r="J135" s="202">
        <v>0</v>
      </c>
      <c r="K135" s="202" t="s">
        <v>2991</v>
      </c>
      <c r="L135" s="202"/>
      <c r="M135" s="202"/>
      <c r="N135" s="206">
        <v>44135</v>
      </c>
      <c r="O135" s="206">
        <v>44135</v>
      </c>
      <c r="P135" s="202" t="s">
        <v>2990</v>
      </c>
      <c r="Q135" s="203">
        <v>100</v>
      </c>
      <c r="R135" s="203">
        <v>14110</v>
      </c>
      <c r="S135" s="204">
        <v>12469.38</v>
      </c>
      <c r="T135" s="203">
        <v>14116</v>
      </c>
      <c r="U135" s="204">
        <v>12469.38</v>
      </c>
      <c r="V135" s="204">
        <f t="shared" si="13"/>
        <v>0</v>
      </c>
      <c r="W135" s="205">
        <v>0</v>
      </c>
      <c r="X135" s="203">
        <v>70260</v>
      </c>
      <c r="Y135" s="204">
        <v>0</v>
      </c>
      <c r="Z135" s="202" t="s">
        <v>97</v>
      </c>
      <c r="AA135" s="202"/>
      <c r="AB135" s="202">
        <v>61512</v>
      </c>
      <c r="AC135" s="202"/>
      <c r="AD135" s="202" t="s">
        <v>1152</v>
      </c>
      <c r="AE135" s="202" t="s">
        <v>1153</v>
      </c>
      <c r="AF135" s="203" t="s">
        <v>1154</v>
      </c>
      <c r="AG135" s="202"/>
      <c r="AH135" s="203" t="s">
        <v>1155</v>
      </c>
      <c r="AI135" s="202">
        <v>0</v>
      </c>
      <c r="AJ135" s="202">
        <v>0</v>
      </c>
    </row>
    <row r="136" spans="2:36">
      <c r="B136" s="203">
        <v>2180</v>
      </c>
      <c r="C136" s="207">
        <v>240725</v>
      </c>
      <c r="D136" s="203" t="s">
        <v>97</v>
      </c>
      <c r="E136" s="202" t="s">
        <v>2989</v>
      </c>
      <c r="F136" s="203"/>
      <c r="G136" s="202"/>
      <c r="H136" s="202"/>
      <c r="I136" s="202"/>
      <c r="J136" s="202">
        <v>0</v>
      </c>
      <c r="K136" s="202" t="s">
        <v>1429</v>
      </c>
      <c r="L136" s="202"/>
      <c r="M136" s="202"/>
      <c r="N136" s="206">
        <v>44134</v>
      </c>
      <c r="O136" s="206">
        <v>44134</v>
      </c>
      <c r="P136" s="202" t="s">
        <v>2986</v>
      </c>
      <c r="Q136" s="203">
        <v>300</v>
      </c>
      <c r="R136" s="203">
        <v>14110</v>
      </c>
      <c r="S136" s="204">
        <v>401.48</v>
      </c>
      <c r="T136" s="203">
        <v>14116</v>
      </c>
      <c r="U136" s="204">
        <v>211.9</v>
      </c>
      <c r="V136" s="204">
        <f t="shared" si="13"/>
        <v>189.58</v>
      </c>
      <c r="W136" s="205">
        <v>55.76</v>
      </c>
      <c r="X136" s="203">
        <v>70260</v>
      </c>
      <c r="Y136" s="204">
        <v>11.15</v>
      </c>
      <c r="Z136" s="202" t="s">
        <v>97</v>
      </c>
      <c r="AA136" s="202"/>
      <c r="AB136" s="202">
        <v>2192741</v>
      </c>
      <c r="AC136" s="202"/>
      <c r="AD136" s="202" t="s">
        <v>1152</v>
      </c>
      <c r="AE136" s="202" t="s">
        <v>1153</v>
      </c>
      <c r="AF136" s="203" t="s">
        <v>1154</v>
      </c>
      <c r="AG136" s="202"/>
      <c r="AH136" s="203" t="s">
        <v>1155</v>
      </c>
      <c r="AI136" s="202">
        <v>0</v>
      </c>
      <c r="AJ136" s="202">
        <v>0</v>
      </c>
    </row>
    <row r="137" spans="2:36">
      <c r="B137" s="203">
        <v>2180</v>
      </c>
      <c r="C137" s="207">
        <v>240724</v>
      </c>
      <c r="D137" s="203" t="s">
        <v>97</v>
      </c>
      <c r="E137" s="202" t="s">
        <v>2988</v>
      </c>
      <c r="F137" s="203"/>
      <c r="G137" s="202"/>
      <c r="H137" s="202"/>
      <c r="I137" s="202"/>
      <c r="J137" s="202">
        <v>0</v>
      </c>
      <c r="K137" s="202" t="s">
        <v>1429</v>
      </c>
      <c r="L137" s="202"/>
      <c r="M137" s="202"/>
      <c r="N137" s="206">
        <v>44104</v>
      </c>
      <c r="O137" s="206">
        <v>44104</v>
      </c>
      <c r="P137" s="202" t="s">
        <v>2986</v>
      </c>
      <c r="Q137" s="203">
        <v>300</v>
      </c>
      <c r="R137" s="203">
        <v>14110</v>
      </c>
      <c r="S137" s="204">
        <v>401.49</v>
      </c>
      <c r="T137" s="203">
        <v>14116</v>
      </c>
      <c r="U137" s="204">
        <v>223.04</v>
      </c>
      <c r="V137" s="204">
        <f t="shared" si="13"/>
        <v>178.45000000000002</v>
      </c>
      <c r="W137" s="205">
        <v>55.76</v>
      </c>
      <c r="X137" s="203">
        <v>70260</v>
      </c>
      <c r="Y137" s="204">
        <v>11.15</v>
      </c>
      <c r="Z137" s="202" t="s">
        <v>97</v>
      </c>
      <c r="AA137" s="202"/>
      <c r="AB137" s="202">
        <v>2192741</v>
      </c>
      <c r="AC137" s="202"/>
      <c r="AD137" s="202" t="s">
        <v>1152</v>
      </c>
      <c r="AE137" s="202" t="s">
        <v>1153</v>
      </c>
      <c r="AF137" s="203" t="s">
        <v>1154</v>
      </c>
      <c r="AG137" s="202"/>
      <c r="AH137" s="203" t="s">
        <v>1155</v>
      </c>
      <c r="AI137" s="202">
        <v>0</v>
      </c>
      <c r="AJ137" s="202">
        <v>0</v>
      </c>
    </row>
    <row r="138" spans="2:36">
      <c r="B138" s="203">
        <v>2180</v>
      </c>
      <c r="C138" s="207">
        <v>240723</v>
      </c>
      <c r="D138" s="203" t="s">
        <v>97</v>
      </c>
      <c r="E138" s="202" t="s">
        <v>2987</v>
      </c>
      <c r="F138" s="203"/>
      <c r="G138" s="202"/>
      <c r="H138" s="202"/>
      <c r="I138" s="202"/>
      <c r="J138" s="202">
        <v>0</v>
      </c>
      <c r="K138" s="202" t="s">
        <v>1429</v>
      </c>
      <c r="L138" s="202"/>
      <c r="M138" s="202"/>
      <c r="N138" s="206">
        <v>44134</v>
      </c>
      <c r="O138" s="206">
        <v>44134</v>
      </c>
      <c r="P138" s="202" t="s">
        <v>2986</v>
      </c>
      <c r="Q138" s="203">
        <v>300</v>
      </c>
      <c r="R138" s="203">
        <v>14110</v>
      </c>
      <c r="S138" s="204">
        <v>401.48</v>
      </c>
      <c r="T138" s="203">
        <v>14116</v>
      </c>
      <c r="U138" s="204">
        <v>211.9</v>
      </c>
      <c r="V138" s="204">
        <f t="shared" si="13"/>
        <v>189.58</v>
      </c>
      <c r="W138" s="205">
        <v>55.76</v>
      </c>
      <c r="X138" s="203">
        <v>70260</v>
      </c>
      <c r="Y138" s="204">
        <v>11.15</v>
      </c>
      <c r="Z138" s="202" t="s">
        <v>97</v>
      </c>
      <c r="AA138" s="202"/>
      <c r="AB138" s="202">
        <v>2192741</v>
      </c>
      <c r="AC138" s="202"/>
      <c r="AD138" s="202" t="s">
        <v>1152</v>
      </c>
      <c r="AE138" s="202" t="s">
        <v>1153</v>
      </c>
      <c r="AF138" s="203" t="s">
        <v>1154</v>
      </c>
      <c r="AG138" s="202"/>
      <c r="AH138" s="203" t="s">
        <v>1155</v>
      </c>
      <c r="AI138" s="202">
        <v>0</v>
      </c>
      <c r="AJ138" s="202">
        <v>0</v>
      </c>
    </row>
    <row r="139" spans="2:36">
      <c r="B139" s="203">
        <v>2180</v>
      </c>
      <c r="C139" s="207">
        <v>240182</v>
      </c>
      <c r="D139" s="203" t="s">
        <v>97</v>
      </c>
      <c r="E139" s="202" t="s">
        <v>1271</v>
      </c>
      <c r="F139" s="203"/>
      <c r="G139" s="202"/>
      <c r="H139" s="202" t="s">
        <v>2985</v>
      </c>
      <c r="I139" s="202"/>
      <c r="J139" s="202">
        <v>2021</v>
      </c>
      <c r="K139" s="202" t="s">
        <v>1406</v>
      </c>
      <c r="L139" s="202" t="s">
        <v>2875</v>
      </c>
      <c r="M139" s="202" t="s">
        <v>1824</v>
      </c>
      <c r="N139" s="206">
        <v>44110</v>
      </c>
      <c r="O139" s="206">
        <v>44110</v>
      </c>
      <c r="P139" s="202" t="s">
        <v>2984</v>
      </c>
      <c r="Q139" s="203">
        <v>1000</v>
      </c>
      <c r="R139" s="203">
        <v>14040</v>
      </c>
      <c r="S139" s="204">
        <v>223888.25</v>
      </c>
      <c r="T139" s="203">
        <v>14046</v>
      </c>
      <c r="U139" s="204">
        <v>37314.720000000001</v>
      </c>
      <c r="V139" s="204">
        <f t="shared" si="13"/>
        <v>186573.53</v>
      </c>
      <c r="W139" s="205">
        <v>9328.68</v>
      </c>
      <c r="X139" s="203">
        <v>51260</v>
      </c>
      <c r="Y139" s="204">
        <v>1865.74</v>
      </c>
      <c r="Z139" s="202" t="s">
        <v>97</v>
      </c>
      <c r="AA139" s="202"/>
      <c r="AB139" s="202"/>
      <c r="AC139" s="202">
        <v>4094</v>
      </c>
      <c r="AD139" s="202" t="s">
        <v>1152</v>
      </c>
      <c r="AE139" s="202" t="s">
        <v>1153</v>
      </c>
      <c r="AF139" s="203" t="s">
        <v>1154</v>
      </c>
      <c r="AG139" s="202"/>
      <c r="AH139" s="203" t="s">
        <v>1155</v>
      </c>
      <c r="AI139" s="202">
        <v>0</v>
      </c>
      <c r="AJ139" s="202">
        <v>0</v>
      </c>
    </row>
    <row r="140" spans="2:36">
      <c r="B140" s="203">
        <v>2180</v>
      </c>
      <c r="C140" s="207">
        <v>240181</v>
      </c>
      <c r="D140" s="203" t="s">
        <v>97</v>
      </c>
      <c r="E140" s="202" t="s">
        <v>1297</v>
      </c>
      <c r="F140" s="203"/>
      <c r="G140" s="202"/>
      <c r="H140" s="202" t="s">
        <v>2983</v>
      </c>
      <c r="I140" s="202"/>
      <c r="J140" s="202">
        <v>2020</v>
      </c>
      <c r="K140" s="202" t="s">
        <v>1406</v>
      </c>
      <c r="L140" s="202" t="s">
        <v>2980</v>
      </c>
      <c r="M140" s="202" t="s">
        <v>1394</v>
      </c>
      <c r="N140" s="206">
        <v>44109</v>
      </c>
      <c r="O140" s="206">
        <v>44109</v>
      </c>
      <c r="P140" s="202" t="s">
        <v>2982</v>
      </c>
      <c r="Q140" s="203">
        <v>1000</v>
      </c>
      <c r="R140" s="203">
        <v>14040</v>
      </c>
      <c r="S140" s="204">
        <v>304666.09999999998</v>
      </c>
      <c r="T140" s="203">
        <v>14046</v>
      </c>
      <c r="U140" s="204">
        <v>50777.68</v>
      </c>
      <c r="V140" s="204">
        <f t="shared" si="13"/>
        <v>253888.41999999998</v>
      </c>
      <c r="W140" s="205">
        <v>12694.42</v>
      </c>
      <c r="X140" s="203">
        <v>51260</v>
      </c>
      <c r="Y140" s="204">
        <v>2538.88</v>
      </c>
      <c r="Z140" s="202" t="s">
        <v>97</v>
      </c>
      <c r="AA140" s="202"/>
      <c r="AB140" s="202"/>
      <c r="AC140" s="202">
        <v>1090</v>
      </c>
      <c r="AD140" s="202" t="s">
        <v>1152</v>
      </c>
      <c r="AE140" s="202" t="s">
        <v>1153</v>
      </c>
      <c r="AF140" s="203" t="s">
        <v>1154</v>
      </c>
      <c r="AG140" s="202"/>
      <c r="AH140" s="203" t="s">
        <v>1155</v>
      </c>
      <c r="AI140" s="202">
        <v>0</v>
      </c>
      <c r="AJ140" s="202">
        <v>0</v>
      </c>
    </row>
    <row r="141" spans="2:36">
      <c r="B141" s="203">
        <v>2180</v>
      </c>
      <c r="C141" s="207">
        <v>240180</v>
      </c>
      <c r="D141" s="203" t="s">
        <v>97</v>
      </c>
      <c r="E141" s="202" t="s">
        <v>1297</v>
      </c>
      <c r="F141" s="203"/>
      <c r="G141" s="202"/>
      <c r="H141" s="202" t="s">
        <v>2981</v>
      </c>
      <c r="I141" s="202"/>
      <c r="J141" s="202">
        <v>2020</v>
      </c>
      <c r="K141" s="202" t="s">
        <v>1406</v>
      </c>
      <c r="L141" s="202" t="s">
        <v>2980</v>
      </c>
      <c r="M141" s="202" t="s">
        <v>1394</v>
      </c>
      <c r="N141" s="206">
        <v>44104</v>
      </c>
      <c r="O141" s="206">
        <v>44104</v>
      </c>
      <c r="P141" s="202" t="s">
        <v>2979</v>
      </c>
      <c r="Q141" s="203">
        <v>1000</v>
      </c>
      <c r="R141" s="203">
        <v>14040</v>
      </c>
      <c r="S141" s="204">
        <v>189337.37</v>
      </c>
      <c r="T141" s="203">
        <v>14046</v>
      </c>
      <c r="U141" s="204">
        <v>31556.240000000002</v>
      </c>
      <c r="V141" s="204">
        <f t="shared" si="13"/>
        <v>157781.13</v>
      </c>
      <c r="W141" s="205">
        <v>7889.06</v>
      </c>
      <c r="X141" s="203">
        <v>51260</v>
      </c>
      <c r="Y141" s="204">
        <v>1577.81</v>
      </c>
      <c r="Z141" s="202" t="s">
        <v>97</v>
      </c>
      <c r="AA141" s="202"/>
      <c r="AB141" s="202"/>
      <c r="AC141" s="202">
        <v>1091</v>
      </c>
      <c r="AD141" s="202" t="s">
        <v>1152</v>
      </c>
      <c r="AE141" s="202" t="s">
        <v>1153</v>
      </c>
      <c r="AF141" s="203" t="s">
        <v>1154</v>
      </c>
      <c r="AG141" s="202"/>
      <c r="AH141" s="203" t="s">
        <v>1155</v>
      </c>
      <c r="AI141" s="202">
        <v>0</v>
      </c>
      <c r="AJ141" s="202">
        <v>0</v>
      </c>
    </row>
    <row r="142" spans="2:36">
      <c r="B142" s="203">
        <v>2180</v>
      </c>
      <c r="C142" s="207">
        <v>239506</v>
      </c>
      <c r="D142" s="203" t="s">
        <v>97</v>
      </c>
      <c r="E142" s="202" t="s">
        <v>1296</v>
      </c>
      <c r="F142" s="203"/>
      <c r="G142" s="202"/>
      <c r="H142" s="202"/>
      <c r="I142" s="202"/>
      <c r="J142" s="202">
        <v>0</v>
      </c>
      <c r="K142" s="202" t="s">
        <v>2978</v>
      </c>
      <c r="L142" s="202"/>
      <c r="M142" s="202"/>
      <c r="N142" s="206">
        <v>44104</v>
      </c>
      <c r="O142" s="206">
        <v>44104</v>
      </c>
      <c r="P142" s="202" t="s">
        <v>2977</v>
      </c>
      <c r="Q142" s="203">
        <v>100</v>
      </c>
      <c r="R142" s="203">
        <v>14110</v>
      </c>
      <c r="S142" s="204">
        <v>25147.040000000001</v>
      </c>
      <c r="T142" s="203">
        <v>14116</v>
      </c>
      <c r="U142" s="204">
        <v>25147.040000000001</v>
      </c>
      <c r="V142" s="204">
        <f t="shared" ref="V142:V205" si="14">S142-U142</f>
        <v>0</v>
      </c>
      <c r="W142" s="205">
        <v>0</v>
      </c>
      <c r="X142" s="203">
        <v>70260</v>
      </c>
      <c r="Y142" s="204">
        <v>0</v>
      </c>
      <c r="Z142" s="202" t="s">
        <v>97</v>
      </c>
      <c r="AA142" s="202"/>
      <c r="AB142" s="202" t="s">
        <v>2976</v>
      </c>
      <c r="AC142" s="202"/>
      <c r="AD142" s="202" t="s">
        <v>1152</v>
      </c>
      <c r="AE142" s="202" t="s">
        <v>1153</v>
      </c>
      <c r="AF142" s="203" t="s">
        <v>1154</v>
      </c>
      <c r="AG142" s="202"/>
      <c r="AH142" s="203" t="s">
        <v>1155</v>
      </c>
      <c r="AI142" s="202">
        <v>0</v>
      </c>
      <c r="AJ142" s="202">
        <v>0</v>
      </c>
    </row>
    <row r="143" spans="2:36">
      <c r="B143" s="203">
        <v>2180</v>
      </c>
      <c r="C143" s="207">
        <v>237476</v>
      </c>
      <c r="D143" s="203" t="s">
        <v>97</v>
      </c>
      <c r="E143" s="202" t="s">
        <v>2974</v>
      </c>
      <c r="F143" s="203">
        <v>702</v>
      </c>
      <c r="G143" s="202"/>
      <c r="H143" s="202"/>
      <c r="I143" s="202"/>
      <c r="J143" s="202">
        <v>0</v>
      </c>
      <c r="K143" s="202" t="s">
        <v>2445</v>
      </c>
      <c r="L143" s="202"/>
      <c r="M143" s="202" t="s">
        <v>2846</v>
      </c>
      <c r="N143" s="206">
        <v>44085</v>
      </c>
      <c r="O143" s="206">
        <v>44085</v>
      </c>
      <c r="P143" s="202" t="s">
        <v>2975</v>
      </c>
      <c r="Q143" s="203">
        <v>700</v>
      </c>
      <c r="R143" s="203">
        <v>14050</v>
      </c>
      <c r="S143" s="204">
        <v>30338.49</v>
      </c>
      <c r="T143" s="203">
        <v>14056</v>
      </c>
      <c r="U143" s="204">
        <v>7584.62</v>
      </c>
      <c r="V143" s="204">
        <f t="shared" si="14"/>
        <v>22753.870000000003</v>
      </c>
      <c r="W143" s="205">
        <v>1805.86</v>
      </c>
      <c r="X143" s="203">
        <v>54260</v>
      </c>
      <c r="Y143" s="204">
        <v>361.17</v>
      </c>
      <c r="Z143" s="202" t="s">
        <v>97</v>
      </c>
      <c r="AA143" s="202"/>
      <c r="AB143" s="202">
        <v>50121318</v>
      </c>
      <c r="AC143" s="202"/>
      <c r="AD143" s="202" t="s">
        <v>1152</v>
      </c>
      <c r="AE143" s="202" t="s">
        <v>1153</v>
      </c>
      <c r="AF143" s="203" t="s">
        <v>1154</v>
      </c>
      <c r="AG143" s="202"/>
      <c r="AH143" s="203" t="s">
        <v>1155</v>
      </c>
      <c r="AI143" s="202">
        <v>0</v>
      </c>
      <c r="AJ143" s="202">
        <v>0</v>
      </c>
    </row>
    <row r="144" spans="2:36">
      <c r="B144" s="203">
        <v>2180</v>
      </c>
      <c r="C144" s="207">
        <v>237475</v>
      </c>
      <c r="D144" s="203" t="s">
        <v>97</v>
      </c>
      <c r="E144" s="202" t="s">
        <v>2974</v>
      </c>
      <c r="F144" s="203">
        <v>702</v>
      </c>
      <c r="G144" s="202"/>
      <c r="H144" s="202"/>
      <c r="I144" s="202"/>
      <c r="J144" s="202">
        <v>0</v>
      </c>
      <c r="K144" s="202" t="s">
        <v>2445</v>
      </c>
      <c r="L144" s="202"/>
      <c r="M144" s="202" t="s">
        <v>2846</v>
      </c>
      <c r="N144" s="206">
        <v>44085</v>
      </c>
      <c r="O144" s="206">
        <v>44085</v>
      </c>
      <c r="P144" s="202" t="s">
        <v>2973</v>
      </c>
      <c r="Q144" s="203">
        <v>700</v>
      </c>
      <c r="R144" s="203">
        <v>14050</v>
      </c>
      <c r="S144" s="204">
        <v>30338.49</v>
      </c>
      <c r="T144" s="203">
        <v>14056</v>
      </c>
      <c r="U144" s="204">
        <v>7584.62</v>
      </c>
      <c r="V144" s="204">
        <f t="shared" si="14"/>
        <v>22753.870000000003</v>
      </c>
      <c r="W144" s="205">
        <v>1805.86</v>
      </c>
      <c r="X144" s="203">
        <v>54260</v>
      </c>
      <c r="Y144" s="204">
        <v>361.17</v>
      </c>
      <c r="Z144" s="202" t="s">
        <v>97</v>
      </c>
      <c r="AA144" s="202"/>
      <c r="AB144" s="202">
        <v>50121318</v>
      </c>
      <c r="AC144" s="202"/>
      <c r="AD144" s="202" t="s">
        <v>1152</v>
      </c>
      <c r="AE144" s="202" t="s">
        <v>1153</v>
      </c>
      <c r="AF144" s="203" t="s">
        <v>1154</v>
      </c>
      <c r="AG144" s="202"/>
      <c r="AH144" s="203" t="s">
        <v>1155</v>
      </c>
      <c r="AI144" s="202">
        <v>0</v>
      </c>
      <c r="AJ144" s="202">
        <v>0</v>
      </c>
    </row>
    <row r="145" spans="2:36">
      <c r="B145" s="203">
        <v>2180</v>
      </c>
      <c r="C145" s="207">
        <v>237474</v>
      </c>
      <c r="D145" s="203" t="s">
        <v>97</v>
      </c>
      <c r="E145" s="202" t="s">
        <v>1294</v>
      </c>
      <c r="F145" s="203">
        <v>702</v>
      </c>
      <c r="G145" s="202"/>
      <c r="H145" s="202"/>
      <c r="I145" s="202"/>
      <c r="J145" s="202">
        <v>0</v>
      </c>
      <c r="K145" s="202" t="s">
        <v>2445</v>
      </c>
      <c r="L145" s="202"/>
      <c r="M145" s="202" t="s">
        <v>2846</v>
      </c>
      <c r="N145" s="206">
        <v>44084</v>
      </c>
      <c r="O145" s="206">
        <v>44084</v>
      </c>
      <c r="P145" s="202" t="s">
        <v>2973</v>
      </c>
      <c r="Q145" s="203">
        <v>700</v>
      </c>
      <c r="R145" s="203">
        <v>14050</v>
      </c>
      <c r="S145" s="204">
        <v>30338.48</v>
      </c>
      <c r="T145" s="203">
        <v>14056</v>
      </c>
      <c r="U145" s="204">
        <v>7584.62</v>
      </c>
      <c r="V145" s="204">
        <f t="shared" si="14"/>
        <v>22753.86</v>
      </c>
      <c r="W145" s="205">
        <v>1805.86</v>
      </c>
      <c r="X145" s="203">
        <v>54260</v>
      </c>
      <c r="Y145" s="204">
        <v>361.17</v>
      </c>
      <c r="Z145" s="202" t="s">
        <v>97</v>
      </c>
      <c r="AA145" s="202"/>
      <c r="AB145" s="202">
        <v>50121155</v>
      </c>
      <c r="AC145" s="202"/>
      <c r="AD145" s="202" t="s">
        <v>1152</v>
      </c>
      <c r="AE145" s="202" t="s">
        <v>1153</v>
      </c>
      <c r="AF145" s="203" t="s">
        <v>1154</v>
      </c>
      <c r="AG145" s="202"/>
      <c r="AH145" s="203" t="s">
        <v>1155</v>
      </c>
      <c r="AI145" s="202">
        <v>0</v>
      </c>
      <c r="AJ145" s="202">
        <v>0</v>
      </c>
    </row>
    <row r="146" spans="2:36">
      <c r="B146" s="203">
        <v>2180</v>
      </c>
      <c r="C146" s="207">
        <v>237473</v>
      </c>
      <c r="D146" s="203" t="s">
        <v>97</v>
      </c>
      <c r="E146" s="202" t="s">
        <v>1293</v>
      </c>
      <c r="F146" s="203">
        <v>702</v>
      </c>
      <c r="G146" s="202"/>
      <c r="H146" s="202"/>
      <c r="I146" s="202"/>
      <c r="J146" s="202">
        <v>0</v>
      </c>
      <c r="K146" s="202" t="s">
        <v>2445</v>
      </c>
      <c r="L146" s="202"/>
      <c r="M146" s="202" t="s">
        <v>2846</v>
      </c>
      <c r="N146" s="206">
        <v>44088</v>
      </c>
      <c r="O146" s="206">
        <v>44088</v>
      </c>
      <c r="P146" s="202" t="s">
        <v>2972</v>
      </c>
      <c r="Q146" s="203">
        <v>700</v>
      </c>
      <c r="R146" s="203">
        <v>14050</v>
      </c>
      <c r="S146" s="204">
        <v>30338.49</v>
      </c>
      <c r="T146" s="203">
        <v>14056</v>
      </c>
      <c r="U146" s="204">
        <v>7584.62</v>
      </c>
      <c r="V146" s="204">
        <f t="shared" si="14"/>
        <v>22753.870000000003</v>
      </c>
      <c r="W146" s="205">
        <v>1805.86</v>
      </c>
      <c r="X146" s="203">
        <v>54260</v>
      </c>
      <c r="Y146" s="204">
        <v>361.17</v>
      </c>
      <c r="Z146" s="202" t="s">
        <v>97</v>
      </c>
      <c r="AA146" s="202"/>
      <c r="AB146" s="202">
        <v>50121823</v>
      </c>
      <c r="AC146" s="202"/>
      <c r="AD146" s="202" t="s">
        <v>1152</v>
      </c>
      <c r="AE146" s="202" t="s">
        <v>1153</v>
      </c>
      <c r="AF146" s="203" t="s">
        <v>1154</v>
      </c>
      <c r="AG146" s="202"/>
      <c r="AH146" s="203" t="s">
        <v>1155</v>
      </c>
      <c r="AI146" s="202">
        <v>0</v>
      </c>
      <c r="AJ146" s="202">
        <v>0</v>
      </c>
    </row>
    <row r="147" spans="2:36">
      <c r="B147" s="203">
        <v>2180</v>
      </c>
      <c r="C147" s="207">
        <v>237472</v>
      </c>
      <c r="D147" s="203" t="s">
        <v>97</v>
      </c>
      <c r="E147" s="202" t="s">
        <v>1292</v>
      </c>
      <c r="F147" s="203">
        <v>702</v>
      </c>
      <c r="G147" s="202"/>
      <c r="H147" s="202"/>
      <c r="I147" s="202"/>
      <c r="J147" s="202">
        <v>0</v>
      </c>
      <c r="K147" s="202" t="s">
        <v>2445</v>
      </c>
      <c r="L147" s="202"/>
      <c r="M147" s="202" t="s">
        <v>2846</v>
      </c>
      <c r="N147" s="206">
        <v>44082</v>
      </c>
      <c r="O147" s="206">
        <v>44082</v>
      </c>
      <c r="P147" s="202" t="s">
        <v>2972</v>
      </c>
      <c r="Q147" s="203">
        <v>700</v>
      </c>
      <c r="R147" s="203">
        <v>14050</v>
      </c>
      <c r="S147" s="204">
        <v>30338.49</v>
      </c>
      <c r="T147" s="203">
        <v>14056</v>
      </c>
      <c r="U147" s="204">
        <v>7584.62</v>
      </c>
      <c r="V147" s="204">
        <f t="shared" si="14"/>
        <v>22753.870000000003</v>
      </c>
      <c r="W147" s="205">
        <v>1805.86</v>
      </c>
      <c r="X147" s="203">
        <v>54260</v>
      </c>
      <c r="Y147" s="204">
        <v>361.17</v>
      </c>
      <c r="Z147" s="202" t="s">
        <v>97</v>
      </c>
      <c r="AA147" s="202"/>
      <c r="AB147" s="202">
        <v>50120778</v>
      </c>
      <c r="AC147" s="202"/>
      <c r="AD147" s="202" t="s">
        <v>1152</v>
      </c>
      <c r="AE147" s="202" t="s">
        <v>1153</v>
      </c>
      <c r="AF147" s="203" t="s">
        <v>1154</v>
      </c>
      <c r="AG147" s="202"/>
      <c r="AH147" s="203" t="s">
        <v>1155</v>
      </c>
      <c r="AI147" s="202">
        <v>0</v>
      </c>
      <c r="AJ147" s="202">
        <v>0</v>
      </c>
    </row>
    <row r="148" spans="2:36">
      <c r="B148" s="203">
        <v>2180</v>
      </c>
      <c r="C148" s="207">
        <v>237471</v>
      </c>
      <c r="D148" s="203" t="s">
        <v>97</v>
      </c>
      <c r="E148" s="202" t="s">
        <v>2971</v>
      </c>
      <c r="F148" s="203">
        <v>936</v>
      </c>
      <c r="G148" s="202"/>
      <c r="H148" s="202"/>
      <c r="I148" s="202"/>
      <c r="J148" s="202">
        <v>0</v>
      </c>
      <c r="K148" s="202" t="s">
        <v>2445</v>
      </c>
      <c r="L148" s="202"/>
      <c r="M148" s="202" t="s">
        <v>2846</v>
      </c>
      <c r="N148" s="206">
        <v>44085</v>
      </c>
      <c r="O148" s="206">
        <v>44085</v>
      </c>
      <c r="P148" s="202" t="s">
        <v>2970</v>
      </c>
      <c r="Q148" s="203">
        <v>700</v>
      </c>
      <c r="R148" s="203">
        <v>14050</v>
      </c>
      <c r="S148" s="204">
        <v>34722.25</v>
      </c>
      <c r="T148" s="203">
        <v>14056</v>
      </c>
      <c r="U148" s="204">
        <v>8680.56</v>
      </c>
      <c r="V148" s="204">
        <f t="shared" si="14"/>
        <v>26041.690000000002</v>
      </c>
      <c r="W148" s="205">
        <v>2066.8000000000002</v>
      </c>
      <c r="X148" s="203">
        <v>54260</v>
      </c>
      <c r="Y148" s="204">
        <v>413.36</v>
      </c>
      <c r="Z148" s="202" t="s">
        <v>97</v>
      </c>
      <c r="AA148" s="202"/>
      <c r="AB148" s="202">
        <v>50121318</v>
      </c>
      <c r="AC148" s="202"/>
      <c r="AD148" s="202" t="s">
        <v>1152</v>
      </c>
      <c r="AE148" s="202" t="s">
        <v>1153</v>
      </c>
      <c r="AF148" s="203" t="s">
        <v>1154</v>
      </c>
      <c r="AG148" s="202"/>
      <c r="AH148" s="203" t="s">
        <v>1155</v>
      </c>
      <c r="AI148" s="202">
        <v>0</v>
      </c>
      <c r="AJ148" s="202">
        <v>0</v>
      </c>
    </row>
    <row r="149" spans="2:36">
      <c r="B149" s="203">
        <v>2180</v>
      </c>
      <c r="C149" s="207">
        <v>237470</v>
      </c>
      <c r="D149" s="203" t="s">
        <v>97</v>
      </c>
      <c r="E149" s="202" t="s">
        <v>1290</v>
      </c>
      <c r="F149" s="203">
        <v>702</v>
      </c>
      <c r="G149" s="202"/>
      <c r="H149" s="202"/>
      <c r="I149" s="202"/>
      <c r="J149" s="202">
        <v>0</v>
      </c>
      <c r="K149" s="202" t="s">
        <v>2445</v>
      </c>
      <c r="L149" s="202"/>
      <c r="M149" s="202" t="s">
        <v>2846</v>
      </c>
      <c r="N149" s="206">
        <v>44067</v>
      </c>
      <c r="O149" s="206">
        <v>44067</v>
      </c>
      <c r="P149" s="202" t="s">
        <v>2969</v>
      </c>
      <c r="Q149" s="203">
        <v>700</v>
      </c>
      <c r="R149" s="203">
        <v>14050</v>
      </c>
      <c r="S149" s="204">
        <v>30031.57</v>
      </c>
      <c r="T149" s="203">
        <v>14056</v>
      </c>
      <c r="U149" s="204">
        <v>7507.91</v>
      </c>
      <c r="V149" s="204">
        <f t="shared" si="14"/>
        <v>22523.66</v>
      </c>
      <c r="W149" s="205">
        <v>1787.6</v>
      </c>
      <c r="X149" s="203">
        <v>54260</v>
      </c>
      <c r="Y149" s="204">
        <v>357.52</v>
      </c>
      <c r="Z149" s="202" t="s">
        <v>97</v>
      </c>
      <c r="AA149" s="202"/>
      <c r="AB149" s="202">
        <v>50117732</v>
      </c>
      <c r="AC149" s="202"/>
      <c r="AD149" s="202" t="s">
        <v>1152</v>
      </c>
      <c r="AE149" s="202" t="s">
        <v>1153</v>
      </c>
      <c r="AF149" s="203" t="s">
        <v>1154</v>
      </c>
      <c r="AG149" s="202"/>
      <c r="AH149" s="203" t="s">
        <v>1155</v>
      </c>
      <c r="AI149" s="202">
        <v>0</v>
      </c>
      <c r="AJ149" s="202">
        <v>0</v>
      </c>
    </row>
    <row r="150" spans="2:36">
      <c r="B150" s="203">
        <v>2180</v>
      </c>
      <c r="C150" s="207">
        <v>237326</v>
      </c>
      <c r="D150" s="203" t="s">
        <v>97</v>
      </c>
      <c r="E150" s="202" t="s">
        <v>1288</v>
      </c>
      <c r="F150" s="203">
        <v>702</v>
      </c>
      <c r="G150" s="202"/>
      <c r="H150" s="202"/>
      <c r="I150" s="202" t="s">
        <v>1147</v>
      </c>
      <c r="J150" s="202">
        <v>0</v>
      </c>
      <c r="K150" s="202" t="s">
        <v>2445</v>
      </c>
      <c r="L150" s="202"/>
      <c r="M150" s="202" t="s">
        <v>2846</v>
      </c>
      <c r="N150" s="206">
        <v>44071</v>
      </c>
      <c r="O150" s="206">
        <v>44071</v>
      </c>
      <c r="P150" s="202" t="s">
        <v>2964</v>
      </c>
      <c r="Q150" s="203">
        <v>700</v>
      </c>
      <c r="R150" s="203">
        <v>14050</v>
      </c>
      <c r="S150" s="204">
        <v>30031.57</v>
      </c>
      <c r="T150" s="203">
        <v>14056</v>
      </c>
      <c r="U150" s="204">
        <v>7507.91</v>
      </c>
      <c r="V150" s="204">
        <f t="shared" si="14"/>
        <v>22523.66</v>
      </c>
      <c r="W150" s="205">
        <v>1787.6</v>
      </c>
      <c r="X150" s="203">
        <v>54260</v>
      </c>
      <c r="Y150" s="204">
        <v>357.52</v>
      </c>
      <c r="Z150" s="202" t="s">
        <v>97</v>
      </c>
      <c r="AA150" s="202"/>
      <c r="AB150" s="202">
        <v>50118619</v>
      </c>
      <c r="AC150" s="202"/>
      <c r="AD150" s="202" t="s">
        <v>1152</v>
      </c>
      <c r="AE150" s="202" t="s">
        <v>1153</v>
      </c>
      <c r="AF150" s="203" t="s">
        <v>1154</v>
      </c>
      <c r="AG150" s="202"/>
      <c r="AH150" s="203" t="s">
        <v>1155</v>
      </c>
      <c r="AI150" s="202">
        <v>0</v>
      </c>
      <c r="AJ150" s="202">
        <v>0</v>
      </c>
    </row>
    <row r="151" spans="2:36">
      <c r="B151" s="203">
        <v>2180</v>
      </c>
      <c r="C151" s="207">
        <v>237325</v>
      </c>
      <c r="D151" s="203" t="s">
        <v>97</v>
      </c>
      <c r="E151" s="202" t="s">
        <v>2968</v>
      </c>
      <c r="F151" s="203">
        <v>702</v>
      </c>
      <c r="G151" s="202"/>
      <c r="H151" s="202"/>
      <c r="I151" s="202" t="s">
        <v>1147</v>
      </c>
      <c r="J151" s="202">
        <v>0</v>
      </c>
      <c r="K151" s="202" t="s">
        <v>2445</v>
      </c>
      <c r="L151" s="202"/>
      <c r="M151" s="202" t="s">
        <v>2846</v>
      </c>
      <c r="N151" s="206">
        <v>44069</v>
      </c>
      <c r="O151" s="206">
        <v>44069</v>
      </c>
      <c r="P151" s="202" t="s">
        <v>2967</v>
      </c>
      <c r="Q151" s="203">
        <v>700</v>
      </c>
      <c r="R151" s="203">
        <v>14050</v>
      </c>
      <c r="S151" s="204">
        <v>30031.58</v>
      </c>
      <c r="T151" s="203">
        <v>14056</v>
      </c>
      <c r="U151" s="204">
        <v>7507.91</v>
      </c>
      <c r="V151" s="204">
        <f t="shared" si="14"/>
        <v>22523.670000000002</v>
      </c>
      <c r="W151" s="205">
        <v>1787.6</v>
      </c>
      <c r="X151" s="203">
        <v>54260</v>
      </c>
      <c r="Y151" s="204">
        <v>357.52</v>
      </c>
      <c r="Z151" s="202" t="s">
        <v>97</v>
      </c>
      <c r="AA151" s="202"/>
      <c r="AB151" s="202">
        <v>50118384</v>
      </c>
      <c r="AC151" s="202"/>
      <c r="AD151" s="202" t="s">
        <v>1152</v>
      </c>
      <c r="AE151" s="202" t="s">
        <v>1153</v>
      </c>
      <c r="AF151" s="203" t="s">
        <v>1154</v>
      </c>
      <c r="AG151" s="202"/>
      <c r="AH151" s="203" t="s">
        <v>1155</v>
      </c>
      <c r="AI151" s="202">
        <v>0</v>
      </c>
      <c r="AJ151" s="202">
        <v>0</v>
      </c>
    </row>
    <row r="152" spans="2:36">
      <c r="B152" s="203">
        <v>2180</v>
      </c>
      <c r="C152" s="207">
        <v>236902</v>
      </c>
      <c r="D152" s="203">
        <v>233852</v>
      </c>
      <c r="E152" s="202" t="s">
        <v>1285</v>
      </c>
      <c r="F152" s="203"/>
      <c r="G152" s="202"/>
      <c r="H152" s="202"/>
      <c r="I152" s="202"/>
      <c r="J152" s="202">
        <v>0</v>
      </c>
      <c r="K152" s="202" t="s">
        <v>2902</v>
      </c>
      <c r="L152" s="202"/>
      <c r="M152" s="202" t="s">
        <v>1447</v>
      </c>
      <c r="N152" s="206">
        <v>43998</v>
      </c>
      <c r="O152" s="206">
        <v>43998</v>
      </c>
      <c r="P152" s="202" t="s">
        <v>2954</v>
      </c>
      <c r="Q152" s="203">
        <v>1000</v>
      </c>
      <c r="R152" s="203">
        <v>14040</v>
      </c>
      <c r="S152" s="204">
        <v>612.34</v>
      </c>
      <c r="T152" s="203">
        <v>14046</v>
      </c>
      <c r="U152" s="204">
        <v>117.35</v>
      </c>
      <c r="V152" s="204">
        <f t="shared" si="14"/>
        <v>494.99</v>
      </c>
      <c r="W152" s="205">
        <v>25.51</v>
      </c>
      <c r="X152" s="203">
        <v>51260</v>
      </c>
      <c r="Y152" s="204">
        <v>5.0999999999999996</v>
      </c>
      <c r="Z152" s="202" t="s">
        <v>97</v>
      </c>
      <c r="AA152" s="202"/>
      <c r="AB152" s="202">
        <v>111797421</v>
      </c>
      <c r="AC152" s="202"/>
      <c r="AD152" s="202" t="s">
        <v>1152</v>
      </c>
      <c r="AE152" s="202" t="s">
        <v>1153</v>
      </c>
      <c r="AF152" s="203" t="s">
        <v>1154</v>
      </c>
      <c r="AG152" s="202"/>
      <c r="AH152" s="203" t="s">
        <v>1155</v>
      </c>
      <c r="AI152" s="202">
        <v>0</v>
      </c>
      <c r="AJ152" s="202">
        <v>0</v>
      </c>
    </row>
    <row r="153" spans="2:36">
      <c r="B153" s="203">
        <v>2180</v>
      </c>
      <c r="C153" s="207">
        <v>236901</v>
      </c>
      <c r="D153" s="203">
        <v>233677</v>
      </c>
      <c r="E153" s="202" t="s">
        <v>2966</v>
      </c>
      <c r="F153" s="203"/>
      <c r="G153" s="202"/>
      <c r="H153" s="202"/>
      <c r="I153" s="202"/>
      <c r="J153" s="202">
        <v>0</v>
      </c>
      <c r="K153" s="202" t="s">
        <v>2902</v>
      </c>
      <c r="L153" s="202"/>
      <c r="M153" s="202" t="s">
        <v>1447</v>
      </c>
      <c r="N153" s="206">
        <v>43998</v>
      </c>
      <c r="O153" s="206">
        <v>43998</v>
      </c>
      <c r="P153" s="202" t="s">
        <v>2953</v>
      </c>
      <c r="Q153" s="203">
        <v>1000</v>
      </c>
      <c r="R153" s="203">
        <v>14040</v>
      </c>
      <c r="S153" s="204">
        <v>506.76</v>
      </c>
      <c r="T153" s="203">
        <v>14046</v>
      </c>
      <c r="U153" s="204">
        <v>97.14</v>
      </c>
      <c r="V153" s="204">
        <f t="shared" si="14"/>
        <v>409.62</v>
      </c>
      <c r="W153" s="205">
        <v>21.12</v>
      </c>
      <c r="X153" s="203">
        <v>51260</v>
      </c>
      <c r="Y153" s="204">
        <v>4.2300000000000004</v>
      </c>
      <c r="Z153" s="202" t="s">
        <v>97</v>
      </c>
      <c r="AA153" s="202"/>
      <c r="AB153" s="202">
        <v>111797421</v>
      </c>
      <c r="AC153" s="202"/>
      <c r="AD153" s="202" t="s">
        <v>1152</v>
      </c>
      <c r="AE153" s="202" t="s">
        <v>1153</v>
      </c>
      <c r="AF153" s="203" t="s">
        <v>1154</v>
      </c>
      <c r="AG153" s="202"/>
      <c r="AH153" s="203" t="s">
        <v>1155</v>
      </c>
      <c r="AI153" s="202">
        <v>0</v>
      </c>
      <c r="AJ153" s="202">
        <v>0</v>
      </c>
    </row>
    <row r="154" spans="2:36">
      <c r="B154" s="203">
        <v>2180</v>
      </c>
      <c r="C154" s="207">
        <v>236900</v>
      </c>
      <c r="D154" s="203">
        <v>233676</v>
      </c>
      <c r="E154" s="202" t="s">
        <v>2965</v>
      </c>
      <c r="F154" s="203"/>
      <c r="G154" s="202"/>
      <c r="H154" s="202"/>
      <c r="I154" s="202"/>
      <c r="J154" s="202">
        <v>0</v>
      </c>
      <c r="K154" s="202" t="s">
        <v>2902</v>
      </c>
      <c r="L154" s="202"/>
      <c r="M154" s="202" t="s">
        <v>1447</v>
      </c>
      <c r="N154" s="206">
        <v>43990</v>
      </c>
      <c r="O154" s="206">
        <v>43990</v>
      </c>
      <c r="P154" s="202" t="s">
        <v>2952</v>
      </c>
      <c r="Q154" s="203">
        <v>1000</v>
      </c>
      <c r="R154" s="203">
        <v>14040</v>
      </c>
      <c r="S154" s="204">
        <v>506.75</v>
      </c>
      <c r="T154" s="203">
        <v>14046</v>
      </c>
      <c r="U154" s="204">
        <v>101.36</v>
      </c>
      <c r="V154" s="204">
        <f t="shared" si="14"/>
        <v>405.39</v>
      </c>
      <c r="W154" s="205">
        <v>21.12</v>
      </c>
      <c r="X154" s="203">
        <v>51260</v>
      </c>
      <c r="Y154" s="204">
        <v>4.2300000000000004</v>
      </c>
      <c r="Z154" s="202" t="s">
        <v>97</v>
      </c>
      <c r="AA154" s="202"/>
      <c r="AB154" s="202">
        <v>111797421</v>
      </c>
      <c r="AC154" s="202"/>
      <c r="AD154" s="202" t="s">
        <v>1152</v>
      </c>
      <c r="AE154" s="202" t="s">
        <v>1153</v>
      </c>
      <c r="AF154" s="203" t="s">
        <v>1154</v>
      </c>
      <c r="AG154" s="202"/>
      <c r="AH154" s="203" t="s">
        <v>1155</v>
      </c>
      <c r="AI154" s="202">
        <v>0</v>
      </c>
      <c r="AJ154" s="202">
        <v>0</v>
      </c>
    </row>
    <row r="155" spans="2:36">
      <c r="B155" s="203">
        <v>2180</v>
      </c>
      <c r="C155" s="207">
        <v>236850</v>
      </c>
      <c r="D155" s="203" t="s">
        <v>97</v>
      </c>
      <c r="E155" s="202" t="s">
        <v>1284</v>
      </c>
      <c r="F155" s="203">
        <v>351</v>
      </c>
      <c r="G155" s="202"/>
      <c r="H155" s="202"/>
      <c r="I155" s="202"/>
      <c r="J155" s="202">
        <v>0</v>
      </c>
      <c r="K155" s="202" t="s">
        <v>2445</v>
      </c>
      <c r="L155" s="202"/>
      <c r="M155" s="202" t="s">
        <v>2846</v>
      </c>
      <c r="N155" s="206">
        <v>44071</v>
      </c>
      <c r="O155" s="206">
        <v>44071</v>
      </c>
      <c r="P155" s="202" t="s">
        <v>2964</v>
      </c>
      <c r="Q155" s="203">
        <v>700</v>
      </c>
      <c r="R155" s="203">
        <v>14050</v>
      </c>
      <c r="S155" s="204">
        <v>15015.3</v>
      </c>
      <c r="T155" s="203">
        <v>14056</v>
      </c>
      <c r="U155" s="204">
        <v>3753.83</v>
      </c>
      <c r="V155" s="204">
        <f t="shared" si="14"/>
        <v>11261.47</v>
      </c>
      <c r="W155" s="205">
        <v>893.77</v>
      </c>
      <c r="X155" s="203">
        <v>54260</v>
      </c>
      <c r="Y155" s="204">
        <v>178.76</v>
      </c>
      <c r="Z155" s="202" t="s">
        <v>97</v>
      </c>
      <c r="AA155" s="202"/>
      <c r="AB155" s="202">
        <v>50118828</v>
      </c>
      <c r="AC155" s="202"/>
      <c r="AD155" s="202" t="s">
        <v>1152</v>
      </c>
      <c r="AE155" s="202" t="s">
        <v>1153</v>
      </c>
      <c r="AF155" s="203" t="s">
        <v>1154</v>
      </c>
      <c r="AG155" s="202"/>
      <c r="AH155" s="203" t="s">
        <v>1155</v>
      </c>
      <c r="AI155" s="202">
        <v>0</v>
      </c>
      <c r="AJ155" s="202">
        <v>0</v>
      </c>
    </row>
    <row r="156" spans="2:36">
      <c r="B156" s="203">
        <v>2180</v>
      </c>
      <c r="C156" s="207">
        <v>236849</v>
      </c>
      <c r="D156" s="203" t="s">
        <v>97</v>
      </c>
      <c r="E156" s="202" t="s">
        <v>2963</v>
      </c>
      <c r="F156" s="203">
        <v>468</v>
      </c>
      <c r="G156" s="202"/>
      <c r="H156" s="202"/>
      <c r="I156" s="202"/>
      <c r="J156" s="202">
        <v>0</v>
      </c>
      <c r="K156" s="202" t="s">
        <v>2445</v>
      </c>
      <c r="L156" s="202"/>
      <c r="M156" s="202" t="s">
        <v>2846</v>
      </c>
      <c r="N156" s="206">
        <v>44072</v>
      </c>
      <c r="O156" s="206">
        <v>44072</v>
      </c>
      <c r="P156" s="202" t="s">
        <v>2962</v>
      </c>
      <c r="Q156" s="203">
        <v>700</v>
      </c>
      <c r="R156" s="203">
        <v>14050</v>
      </c>
      <c r="S156" s="204">
        <v>17157</v>
      </c>
      <c r="T156" s="203">
        <v>14056</v>
      </c>
      <c r="U156" s="204">
        <v>4289.25</v>
      </c>
      <c r="V156" s="204">
        <f t="shared" si="14"/>
        <v>12867.75</v>
      </c>
      <c r="W156" s="205">
        <v>1021.25</v>
      </c>
      <c r="X156" s="203">
        <v>54260</v>
      </c>
      <c r="Y156" s="204">
        <v>204.25</v>
      </c>
      <c r="Z156" s="202" t="s">
        <v>97</v>
      </c>
      <c r="AA156" s="202"/>
      <c r="AB156" s="202">
        <v>50118828</v>
      </c>
      <c r="AC156" s="202"/>
      <c r="AD156" s="202" t="s">
        <v>1152</v>
      </c>
      <c r="AE156" s="202" t="s">
        <v>1153</v>
      </c>
      <c r="AF156" s="203" t="s">
        <v>1154</v>
      </c>
      <c r="AG156" s="202"/>
      <c r="AH156" s="203" t="s">
        <v>1155</v>
      </c>
      <c r="AI156" s="202">
        <v>0</v>
      </c>
      <c r="AJ156" s="202">
        <v>0</v>
      </c>
    </row>
    <row r="157" spans="2:36">
      <c r="B157" s="203">
        <v>2180</v>
      </c>
      <c r="C157" s="207">
        <v>235267</v>
      </c>
      <c r="D157" s="203">
        <v>232601</v>
      </c>
      <c r="E157" s="202" t="s">
        <v>1282</v>
      </c>
      <c r="F157" s="203"/>
      <c r="G157" s="202"/>
      <c r="H157" s="202"/>
      <c r="I157" s="202"/>
      <c r="J157" s="202">
        <v>0</v>
      </c>
      <c r="K157" s="202" t="s">
        <v>2902</v>
      </c>
      <c r="L157" s="202"/>
      <c r="M157" s="202" t="s">
        <v>1447</v>
      </c>
      <c r="N157" s="206">
        <v>43970</v>
      </c>
      <c r="O157" s="206">
        <v>43970</v>
      </c>
      <c r="P157" s="202" t="s">
        <v>2935</v>
      </c>
      <c r="Q157" s="203">
        <v>1000</v>
      </c>
      <c r="R157" s="203">
        <v>14040</v>
      </c>
      <c r="S157" s="204">
        <v>573.48</v>
      </c>
      <c r="T157" s="203">
        <v>14046</v>
      </c>
      <c r="U157" s="204">
        <v>114.7</v>
      </c>
      <c r="V157" s="204">
        <f t="shared" si="14"/>
        <v>458.78000000000003</v>
      </c>
      <c r="W157" s="205">
        <v>23.9</v>
      </c>
      <c r="X157" s="203">
        <v>51260</v>
      </c>
      <c r="Y157" s="204">
        <v>4.78</v>
      </c>
      <c r="Z157" s="202" t="s">
        <v>97</v>
      </c>
      <c r="AA157" s="202"/>
      <c r="AB157" s="202">
        <v>110264098</v>
      </c>
      <c r="AC157" s="202"/>
      <c r="AD157" s="202" t="s">
        <v>1152</v>
      </c>
      <c r="AE157" s="202" t="s">
        <v>1153</v>
      </c>
      <c r="AF157" s="203" t="s">
        <v>1154</v>
      </c>
      <c r="AG157" s="202"/>
      <c r="AH157" s="203" t="s">
        <v>1155</v>
      </c>
      <c r="AI157" s="202">
        <v>0</v>
      </c>
      <c r="AJ157" s="202">
        <v>0</v>
      </c>
    </row>
    <row r="158" spans="2:36">
      <c r="B158" s="203">
        <v>2180</v>
      </c>
      <c r="C158" s="207">
        <v>235266</v>
      </c>
      <c r="D158" s="203">
        <v>233675</v>
      </c>
      <c r="E158" s="202" t="s">
        <v>1281</v>
      </c>
      <c r="F158" s="203"/>
      <c r="G158" s="202"/>
      <c r="H158" s="202"/>
      <c r="I158" s="202"/>
      <c r="J158" s="202">
        <v>0</v>
      </c>
      <c r="K158" s="202" t="s">
        <v>2902</v>
      </c>
      <c r="L158" s="202"/>
      <c r="M158" s="202" t="s">
        <v>1447</v>
      </c>
      <c r="N158" s="206">
        <v>43990</v>
      </c>
      <c r="O158" s="206">
        <v>43990</v>
      </c>
      <c r="P158" s="202" t="s">
        <v>2951</v>
      </c>
      <c r="Q158" s="203">
        <v>1000</v>
      </c>
      <c r="R158" s="203">
        <v>14040</v>
      </c>
      <c r="S158" s="204">
        <v>470.96</v>
      </c>
      <c r="T158" s="203">
        <v>14046</v>
      </c>
      <c r="U158" s="204">
        <v>94.2</v>
      </c>
      <c r="V158" s="204">
        <f t="shared" si="14"/>
        <v>376.76</v>
      </c>
      <c r="W158" s="205">
        <v>19.63</v>
      </c>
      <c r="X158" s="203">
        <v>51260</v>
      </c>
      <c r="Y158" s="204">
        <v>3.93</v>
      </c>
      <c r="Z158" s="202" t="s">
        <v>97</v>
      </c>
      <c r="AA158" s="202"/>
      <c r="AB158" s="202">
        <v>110264098</v>
      </c>
      <c r="AC158" s="202"/>
      <c r="AD158" s="202" t="s">
        <v>1152</v>
      </c>
      <c r="AE158" s="202" t="s">
        <v>1153</v>
      </c>
      <c r="AF158" s="203" t="s">
        <v>1154</v>
      </c>
      <c r="AG158" s="202"/>
      <c r="AH158" s="203" t="s">
        <v>1155</v>
      </c>
      <c r="AI158" s="202">
        <v>0</v>
      </c>
      <c r="AJ158" s="202">
        <v>0</v>
      </c>
    </row>
    <row r="159" spans="2:36">
      <c r="B159" s="203">
        <v>2180</v>
      </c>
      <c r="C159" s="207">
        <v>235265</v>
      </c>
      <c r="D159" s="203">
        <v>233674</v>
      </c>
      <c r="E159" s="202" t="s">
        <v>2961</v>
      </c>
      <c r="F159" s="203"/>
      <c r="G159" s="202"/>
      <c r="H159" s="202"/>
      <c r="I159" s="202"/>
      <c r="J159" s="202">
        <v>0</v>
      </c>
      <c r="K159" s="202" t="s">
        <v>2902</v>
      </c>
      <c r="L159" s="202"/>
      <c r="M159" s="202" t="s">
        <v>1447</v>
      </c>
      <c r="N159" s="206">
        <v>43978</v>
      </c>
      <c r="O159" s="206">
        <v>43978</v>
      </c>
      <c r="P159" s="202" t="s">
        <v>2950</v>
      </c>
      <c r="Q159" s="203">
        <v>1000</v>
      </c>
      <c r="R159" s="203">
        <v>14040</v>
      </c>
      <c r="S159" s="204">
        <v>470.96</v>
      </c>
      <c r="T159" s="203">
        <v>14046</v>
      </c>
      <c r="U159" s="204">
        <v>94.2</v>
      </c>
      <c r="V159" s="204">
        <f t="shared" si="14"/>
        <v>376.76</v>
      </c>
      <c r="W159" s="205">
        <v>19.63</v>
      </c>
      <c r="X159" s="203">
        <v>51260</v>
      </c>
      <c r="Y159" s="204">
        <v>3.93</v>
      </c>
      <c r="Z159" s="202" t="s">
        <v>97</v>
      </c>
      <c r="AA159" s="202"/>
      <c r="AB159" s="202">
        <v>110264098</v>
      </c>
      <c r="AC159" s="202"/>
      <c r="AD159" s="202" t="s">
        <v>1152</v>
      </c>
      <c r="AE159" s="202" t="s">
        <v>1153</v>
      </c>
      <c r="AF159" s="203" t="s">
        <v>1154</v>
      </c>
      <c r="AG159" s="202"/>
      <c r="AH159" s="203" t="s">
        <v>1155</v>
      </c>
      <c r="AI159" s="202">
        <v>0</v>
      </c>
      <c r="AJ159" s="202">
        <v>0</v>
      </c>
    </row>
    <row r="160" spans="2:36">
      <c r="B160" s="203">
        <v>2180</v>
      </c>
      <c r="C160" s="207">
        <v>235264</v>
      </c>
      <c r="D160" s="203">
        <v>232994</v>
      </c>
      <c r="E160" s="202" t="s">
        <v>2960</v>
      </c>
      <c r="F160" s="203"/>
      <c r="G160" s="202"/>
      <c r="H160" s="202"/>
      <c r="I160" s="202"/>
      <c r="J160" s="202">
        <v>0</v>
      </c>
      <c r="K160" s="202" t="s">
        <v>2902</v>
      </c>
      <c r="L160" s="202"/>
      <c r="M160" s="202" t="s">
        <v>1447</v>
      </c>
      <c r="N160" s="206">
        <v>43978</v>
      </c>
      <c r="O160" s="206">
        <v>43978</v>
      </c>
      <c r="P160" s="202" t="s">
        <v>2949</v>
      </c>
      <c r="Q160" s="203">
        <v>1000</v>
      </c>
      <c r="R160" s="203">
        <v>14040</v>
      </c>
      <c r="S160" s="204">
        <v>470.96</v>
      </c>
      <c r="T160" s="203">
        <v>14046</v>
      </c>
      <c r="U160" s="204">
        <v>94.2</v>
      </c>
      <c r="V160" s="204">
        <f t="shared" si="14"/>
        <v>376.76</v>
      </c>
      <c r="W160" s="205">
        <v>19.63</v>
      </c>
      <c r="X160" s="203">
        <v>51260</v>
      </c>
      <c r="Y160" s="204">
        <v>3.93</v>
      </c>
      <c r="Z160" s="202" t="s">
        <v>97</v>
      </c>
      <c r="AA160" s="202"/>
      <c r="AB160" s="202">
        <v>110264098</v>
      </c>
      <c r="AC160" s="202"/>
      <c r="AD160" s="202" t="s">
        <v>1152</v>
      </c>
      <c r="AE160" s="202" t="s">
        <v>1153</v>
      </c>
      <c r="AF160" s="203" t="s">
        <v>1154</v>
      </c>
      <c r="AG160" s="202"/>
      <c r="AH160" s="203" t="s">
        <v>1155</v>
      </c>
      <c r="AI160" s="202">
        <v>0</v>
      </c>
      <c r="AJ160" s="202">
        <v>0</v>
      </c>
    </row>
    <row r="161" spans="2:36">
      <c r="B161" s="203">
        <v>2180</v>
      </c>
      <c r="C161" s="207">
        <v>235101</v>
      </c>
      <c r="D161" s="203" t="s">
        <v>97</v>
      </c>
      <c r="E161" s="202" t="s">
        <v>1271</v>
      </c>
      <c r="F161" s="203"/>
      <c r="G161" s="202"/>
      <c r="H161" s="202" t="s">
        <v>2959</v>
      </c>
      <c r="I161" s="202"/>
      <c r="J161" s="202">
        <v>2021</v>
      </c>
      <c r="K161" s="202" t="s">
        <v>1406</v>
      </c>
      <c r="L161" s="202" t="s">
        <v>2875</v>
      </c>
      <c r="M161" s="202" t="s">
        <v>1824</v>
      </c>
      <c r="N161" s="206">
        <v>44028</v>
      </c>
      <c r="O161" s="206">
        <v>44028</v>
      </c>
      <c r="P161" s="202" t="s">
        <v>2958</v>
      </c>
      <c r="Q161" s="203">
        <v>1000</v>
      </c>
      <c r="R161" s="203">
        <v>14040</v>
      </c>
      <c r="S161" s="204">
        <v>223888.3</v>
      </c>
      <c r="T161" s="203">
        <v>14046</v>
      </c>
      <c r="U161" s="204">
        <v>41046.19</v>
      </c>
      <c r="V161" s="204">
        <f t="shared" si="14"/>
        <v>182842.11</v>
      </c>
      <c r="W161" s="205">
        <v>9328.68</v>
      </c>
      <c r="X161" s="203">
        <v>51260</v>
      </c>
      <c r="Y161" s="204">
        <v>1865.74</v>
      </c>
      <c r="Z161" s="202" t="s">
        <v>97</v>
      </c>
      <c r="AA161" s="202"/>
      <c r="AB161" s="202"/>
      <c r="AC161" s="202">
        <v>4093</v>
      </c>
      <c r="AD161" s="202" t="s">
        <v>1152</v>
      </c>
      <c r="AE161" s="202" t="s">
        <v>1153</v>
      </c>
      <c r="AF161" s="203" t="s">
        <v>1154</v>
      </c>
      <c r="AG161" s="202"/>
      <c r="AH161" s="203" t="s">
        <v>1155</v>
      </c>
      <c r="AI161" s="202">
        <v>0</v>
      </c>
      <c r="AJ161" s="202">
        <v>0</v>
      </c>
    </row>
    <row r="162" spans="2:36">
      <c r="B162" s="203">
        <v>2180</v>
      </c>
      <c r="C162" s="207">
        <v>235100</v>
      </c>
      <c r="D162" s="203" t="s">
        <v>97</v>
      </c>
      <c r="E162" s="202" t="s">
        <v>1274</v>
      </c>
      <c r="F162" s="203"/>
      <c r="G162" s="202"/>
      <c r="H162" s="202" t="s">
        <v>2957</v>
      </c>
      <c r="I162" s="202"/>
      <c r="J162" s="202">
        <v>2020</v>
      </c>
      <c r="K162" s="202" t="s">
        <v>1406</v>
      </c>
      <c r="L162" s="202" t="s">
        <v>2883</v>
      </c>
      <c r="M162" s="202" t="s">
        <v>1404</v>
      </c>
      <c r="N162" s="206">
        <v>44028</v>
      </c>
      <c r="O162" s="206">
        <v>44028</v>
      </c>
      <c r="P162" s="202" t="s">
        <v>2956</v>
      </c>
      <c r="Q162" s="203">
        <v>1000</v>
      </c>
      <c r="R162" s="203">
        <v>14040</v>
      </c>
      <c r="S162" s="204">
        <v>368682.05</v>
      </c>
      <c r="T162" s="203">
        <v>14046</v>
      </c>
      <c r="U162" s="204">
        <v>67591.710000000006</v>
      </c>
      <c r="V162" s="204">
        <f t="shared" si="14"/>
        <v>301090.33999999997</v>
      </c>
      <c r="W162" s="205">
        <v>15361.75</v>
      </c>
      <c r="X162" s="203">
        <v>51260</v>
      </c>
      <c r="Y162" s="204">
        <v>3072.35</v>
      </c>
      <c r="Z162" s="202" t="s">
        <v>97</v>
      </c>
      <c r="AA162" s="202"/>
      <c r="AB162" s="202"/>
      <c r="AC162" s="202">
        <v>3711</v>
      </c>
      <c r="AD162" s="202" t="s">
        <v>1152</v>
      </c>
      <c r="AE162" s="202" t="s">
        <v>1153</v>
      </c>
      <c r="AF162" s="203" t="s">
        <v>1154</v>
      </c>
      <c r="AG162" s="202"/>
      <c r="AH162" s="203" t="s">
        <v>1155</v>
      </c>
      <c r="AI162" s="202">
        <v>0</v>
      </c>
      <c r="AJ162" s="202">
        <v>0</v>
      </c>
    </row>
    <row r="163" spans="2:36">
      <c r="B163" s="203">
        <v>2180</v>
      </c>
      <c r="C163" s="207">
        <v>234062</v>
      </c>
      <c r="D163" s="203">
        <v>233852</v>
      </c>
      <c r="E163" s="202" t="s">
        <v>2955</v>
      </c>
      <c r="F163" s="203"/>
      <c r="G163" s="202"/>
      <c r="H163" s="202"/>
      <c r="I163" s="202"/>
      <c r="J163" s="202">
        <v>0</v>
      </c>
      <c r="K163" s="202" t="s">
        <v>2744</v>
      </c>
      <c r="L163" s="202"/>
      <c r="M163" s="202" t="s">
        <v>1447</v>
      </c>
      <c r="N163" s="206">
        <v>43998</v>
      </c>
      <c r="O163" s="206">
        <v>43998</v>
      </c>
      <c r="P163" s="202" t="s">
        <v>2954</v>
      </c>
      <c r="Q163" s="203">
        <v>1000</v>
      </c>
      <c r="R163" s="203">
        <v>14040</v>
      </c>
      <c r="S163" s="204">
        <v>191.75</v>
      </c>
      <c r="T163" s="203">
        <v>14046</v>
      </c>
      <c r="U163" s="204">
        <v>36.76</v>
      </c>
      <c r="V163" s="204">
        <f t="shared" si="14"/>
        <v>154.99</v>
      </c>
      <c r="W163" s="205">
        <v>7.99</v>
      </c>
      <c r="X163" s="203">
        <v>51260</v>
      </c>
      <c r="Y163" s="204">
        <v>1.6</v>
      </c>
      <c r="Z163" s="202" t="s">
        <v>97</v>
      </c>
      <c r="AA163" s="202"/>
      <c r="AB163" s="202">
        <v>859</v>
      </c>
      <c r="AC163" s="202"/>
      <c r="AD163" s="202" t="s">
        <v>1152</v>
      </c>
      <c r="AE163" s="202" t="s">
        <v>1153</v>
      </c>
      <c r="AF163" s="203" t="s">
        <v>1154</v>
      </c>
      <c r="AG163" s="202"/>
      <c r="AH163" s="203" t="s">
        <v>1155</v>
      </c>
      <c r="AI163" s="202">
        <v>0</v>
      </c>
      <c r="AJ163" s="202">
        <v>0</v>
      </c>
    </row>
    <row r="164" spans="2:36">
      <c r="B164" s="203">
        <v>2180</v>
      </c>
      <c r="C164" s="207">
        <v>234061</v>
      </c>
      <c r="D164" s="203">
        <v>233677</v>
      </c>
      <c r="E164" s="202" t="s">
        <v>1277</v>
      </c>
      <c r="F164" s="203"/>
      <c r="G164" s="202"/>
      <c r="H164" s="202"/>
      <c r="I164" s="202"/>
      <c r="J164" s="202">
        <v>0</v>
      </c>
      <c r="K164" s="202" t="s">
        <v>2744</v>
      </c>
      <c r="L164" s="202"/>
      <c r="M164" s="202" t="s">
        <v>1447</v>
      </c>
      <c r="N164" s="206">
        <v>43998</v>
      </c>
      <c r="O164" s="206">
        <v>43998</v>
      </c>
      <c r="P164" s="202" t="s">
        <v>2953</v>
      </c>
      <c r="Q164" s="203">
        <v>1000</v>
      </c>
      <c r="R164" s="203">
        <v>14040</v>
      </c>
      <c r="S164" s="204">
        <v>480.92</v>
      </c>
      <c r="T164" s="203">
        <v>14046</v>
      </c>
      <c r="U164" s="204">
        <v>92.18</v>
      </c>
      <c r="V164" s="204">
        <f t="shared" si="14"/>
        <v>388.74</v>
      </c>
      <c r="W164" s="205">
        <v>20.04</v>
      </c>
      <c r="X164" s="203">
        <v>51260</v>
      </c>
      <c r="Y164" s="204">
        <v>4.01</v>
      </c>
      <c r="Z164" s="202" t="s">
        <v>97</v>
      </c>
      <c r="AA164" s="202"/>
      <c r="AB164" s="202">
        <v>858</v>
      </c>
      <c r="AC164" s="202"/>
      <c r="AD164" s="202" t="s">
        <v>1152</v>
      </c>
      <c r="AE164" s="202" t="s">
        <v>1153</v>
      </c>
      <c r="AF164" s="203" t="s">
        <v>1154</v>
      </c>
      <c r="AG164" s="202"/>
      <c r="AH164" s="203" t="s">
        <v>1155</v>
      </c>
      <c r="AI164" s="202">
        <v>0</v>
      </c>
      <c r="AJ164" s="202">
        <v>0</v>
      </c>
    </row>
    <row r="165" spans="2:36">
      <c r="B165" s="203">
        <v>2180</v>
      </c>
      <c r="C165" s="207">
        <v>234060</v>
      </c>
      <c r="D165" s="203">
        <v>233676</v>
      </c>
      <c r="E165" s="202" t="s">
        <v>1277</v>
      </c>
      <c r="F165" s="203"/>
      <c r="G165" s="202"/>
      <c r="H165" s="202"/>
      <c r="I165" s="202"/>
      <c r="J165" s="202">
        <v>0</v>
      </c>
      <c r="K165" s="202" t="s">
        <v>2744</v>
      </c>
      <c r="L165" s="202"/>
      <c r="M165" s="202" t="s">
        <v>1447</v>
      </c>
      <c r="N165" s="206">
        <v>43990</v>
      </c>
      <c r="O165" s="206">
        <v>43990</v>
      </c>
      <c r="P165" s="202" t="s">
        <v>2952</v>
      </c>
      <c r="Q165" s="203">
        <v>1000</v>
      </c>
      <c r="R165" s="203">
        <v>14040</v>
      </c>
      <c r="S165" s="204">
        <v>480.92</v>
      </c>
      <c r="T165" s="203">
        <v>14046</v>
      </c>
      <c r="U165" s="204">
        <v>96.18</v>
      </c>
      <c r="V165" s="204">
        <f t="shared" si="14"/>
        <v>384.74</v>
      </c>
      <c r="W165" s="205">
        <v>20.04</v>
      </c>
      <c r="X165" s="203">
        <v>51260</v>
      </c>
      <c r="Y165" s="204">
        <v>4.01</v>
      </c>
      <c r="Z165" s="202" t="s">
        <v>97</v>
      </c>
      <c r="AA165" s="202"/>
      <c r="AB165" s="202">
        <v>853</v>
      </c>
      <c r="AC165" s="202"/>
      <c r="AD165" s="202" t="s">
        <v>1152</v>
      </c>
      <c r="AE165" s="202" t="s">
        <v>1153</v>
      </c>
      <c r="AF165" s="203" t="s">
        <v>1154</v>
      </c>
      <c r="AG165" s="202"/>
      <c r="AH165" s="203" t="s">
        <v>1155</v>
      </c>
      <c r="AI165" s="202">
        <v>0</v>
      </c>
      <c r="AJ165" s="202">
        <v>0</v>
      </c>
    </row>
    <row r="166" spans="2:36">
      <c r="B166" s="203">
        <v>2180</v>
      </c>
      <c r="C166" s="207">
        <v>234059</v>
      </c>
      <c r="D166" s="203">
        <v>233675</v>
      </c>
      <c r="E166" s="202" t="s">
        <v>1277</v>
      </c>
      <c r="F166" s="203"/>
      <c r="G166" s="202"/>
      <c r="H166" s="202"/>
      <c r="I166" s="202"/>
      <c r="J166" s="202">
        <v>0</v>
      </c>
      <c r="K166" s="202" t="s">
        <v>2744</v>
      </c>
      <c r="L166" s="202"/>
      <c r="M166" s="202" t="s">
        <v>1447</v>
      </c>
      <c r="N166" s="206">
        <v>43990</v>
      </c>
      <c r="O166" s="206">
        <v>43990</v>
      </c>
      <c r="P166" s="202" t="s">
        <v>2951</v>
      </c>
      <c r="Q166" s="203">
        <v>1000</v>
      </c>
      <c r="R166" s="203">
        <v>14040</v>
      </c>
      <c r="S166" s="204">
        <v>480.92</v>
      </c>
      <c r="T166" s="203">
        <v>14046</v>
      </c>
      <c r="U166" s="204">
        <v>96.18</v>
      </c>
      <c r="V166" s="204">
        <f t="shared" si="14"/>
        <v>384.74</v>
      </c>
      <c r="W166" s="205">
        <v>20.04</v>
      </c>
      <c r="X166" s="203">
        <v>51260</v>
      </c>
      <c r="Y166" s="204">
        <v>4.01</v>
      </c>
      <c r="Z166" s="202" t="s">
        <v>97</v>
      </c>
      <c r="AA166" s="202"/>
      <c r="AB166" s="202">
        <v>852</v>
      </c>
      <c r="AC166" s="202"/>
      <c r="AD166" s="202" t="s">
        <v>1152</v>
      </c>
      <c r="AE166" s="202" t="s">
        <v>1153</v>
      </c>
      <c r="AF166" s="203" t="s">
        <v>1154</v>
      </c>
      <c r="AG166" s="202"/>
      <c r="AH166" s="203" t="s">
        <v>1155</v>
      </c>
      <c r="AI166" s="202">
        <v>0</v>
      </c>
      <c r="AJ166" s="202">
        <v>0</v>
      </c>
    </row>
    <row r="167" spans="2:36">
      <c r="B167" s="203">
        <v>2180</v>
      </c>
      <c r="C167" s="207">
        <v>234058</v>
      </c>
      <c r="D167" s="203">
        <v>233674</v>
      </c>
      <c r="E167" s="202" t="s">
        <v>1277</v>
      </c>
      <c r="F167" s="203"/>
      <c r="G167" s="202"/>
      <c r="H167" s="202"/>
      <c r="I167" s="202"/>
      <c r="J167" s="202">
        <v>0</v>
      </c>
      <c r="K167" s="202" t="s">
        <v>2744</v>
      </c>
      <c r="L167" s="202"/>
      <c r="M167" s="202" t="s">
        <v>1447</v>
      </c>
      <c r="N167" s="206">
        <v>43978</v>
      </c>
      <c r="O167" s="206">
        <v>43978</v>
      </c>
      <c r="P167" s="202" t="s">
        <v>2950</v>
      </c>
      <c r="Q167" s="203">
        <v>1000</v>
      </c>
      <c r="R167" s="203">
        <v>14040</v>
      </c>
      <c r="S167" s="204">
        <v>480.92</v>
      </c>
      <c r="T167" s="203">
        <v>14046</v>
      </c>
      <c r="U167" s="204">
        <v>96.18</v>
      </c>
      <c r="V167" s="204">
        <f t="shared" si="14"/>
        <v>384.74</v>
      </c>
      <c r="W167" s="205">
        <v>20.04</v>
      </c>
      <c r="X167" s="203">
        <v>51260</v>
      </c>
      <c r="Y167" s="204">
        <v>4.01</v>
      </c>
      <c r="Z167" s="202" t="s">
        <v>97</v>
      </c>
      <c r="AA167" s="202"/>
      <c r="AB167" s="202">
        <v>843</v>
      </c>
      <c r="AC167" s="202"/>
      <c r="AD167" s="202" t="s">
        <v>1152</v>
      </c>
      <c r="AE167" s="202" t="s">
        <v>1153</v>
      </c>
      <c r="AF167" s="203" t="s">
        <v>1154</v>
      </c>
      <c r="AG167" s="202"/>
      <c r="AH167" s="203" t="s">
        <v>1155</v>
      </c>
      <c r="AI167" s="202">
        <v>0</v>
      </c>
      <c r="AJ167" s="202">
        <v>0</v>
      </c>
    </row>
    <row r="168" spans="2:36">
      <c r="B168" s="203">
        <v>2180</v>
      </c>
      <c r="C168" s="207">
        <v>234057</v>
      </c>
      <c r="D168" s="203">
        <v>232994</v>
      </c>
      <c r="E168" s="202" t="s">
        <v>1277</v>
      </c>
      <c r="F168" s="203"/>
      <c r="G168" s="202"/>
      <c r="H168" s="202"/>
      <c r="I168" s="202"/>
      <c r="J168" s="202">
        <v>0</v>
      </c>
      <c r="K168" s="202" t="s">
        <v>2744</v>
      </c>
      <c r="L168" s="202"/>
      <c r="M168" s="202" t="s">
        <v>1447</v>
      </c>
      <c r="N168" s="206">
        <v>43978</v>
      </c>
      <c r="O168" s="206">
        <v>43978</v>
      </c>
      <c r="P168" s="202" t="s">
        <v>2949</v>
      </c>
      <c r="Q168" s="203">
        <v>1000</v>
      </c>
      <c r="R168" s="203">
        <v>14040</v>
      </c>
      <c r="S168" s="204">
        <v>480.92</v>
      </c>
      <c r="T168" s="203">
        <v>14046</v>
      </c>
      <c r="U168" s="204">
        <v>96.18</v>
      </c>
      <c r="V168" s="204">
        <f t="shared" si="14"/>
        <v>384.74</v>
      </c>
      <c r="W168" s="205">
        <v>20.04</v>
      </c>
      <c r="X168" s="203">
        <v>51260</v>
      </c>
      <c r="Y168" s="204">
        <v>4.01</v>
      </c>
      <c r="Z168" s="202" t="s">
        <v>97</v>
      </c>
      <c r="AA168" s="202"/>
      <c r="AB168" s="202">
        <v>844</v>
      </c>
      <c r="AC168" s="202"/>
      <c r="AD168" s="202" t="s">
        <v>1152</v>
      </c>
      <c r="AE168" s="202" t="s">
        <v>1153</v>
      </c>
      <c r="AF168" s="203" t="s">
        <v>1154</v>
      </c>
      <c r="AG168" s="202"/>
      <c r="AH168" s="203" t="s">
        <v>1155</v>
      </c>
      <c r="AI168" s="202">
        <v>0</v>
      </c>
      <c r="AJ168" s="202">
        <v>0</v>
      </c>
    </row>
    <row r="169" spans="2:36">
      <c r="B169" s="203">
        <v>2180</v>
      </c>
      <c r="C169" s="207">
        <v>233852</v>
      </c>
      <c r="D169" s="203" t="s">
        <v>97</v>
      </c>
      <c r="E169" s="202" t="s">
        <v>1271</v>
      </c>
      <c r="F169" s="203"/>
      <c r="G169" s="202"/>
      <c r="H169" s="202" t="s">
        <v>2948</v>
      </c>
      <c r="I169" s="202"/>
      <c r="J169" s="202">
        <v>2021</v>
      </c>
      <c r="K169" s="202" t="s">
        <v>1406</v>
      </c>
      <c r="L169" s="202" t="s">
        <v>2875</v>
      </c>
      <c r="M169" s="202" t="s">
        <v>1824</v>
      </c>
      <c r="N169" s="206">
        <v>44012</v>
      </c>
      <c r="O169" s="206">
        <v>44012</v>
      </c>
      <c r="P169" s="202" t="s">
        <v>2947</v>
      </c>
      <c r="Q169" s="203">
        <v>1000</v>
      </c>
      <c r="R169" s="203">
        <v>14040</v>
      </c>
      <c r="S169" s="204">
        <v>223875.18</v>
      </c>
      <c r="T169" s="203">
        <v>14046</v>
      </c>
      <c r="U169" s="204">
        <v>42909.41</v>
      </c>
      <c r="V169" s="204">
        <f t="shared" si="14"/>
        <v>180965.77</v>
      </c>
      <c r="W169" s="205">
        <v>9328.1299999999992</v>
      </c>
      <c r="X169" s="203">
        <v>51260</v>
      </c>
      <c r="Y169" s="204">
        <v>1865.62</v>
      </c>
      <c r="Z169" s="202" t="s">
        <v>97</v>
      </c>
      <c r="AA169" s="202"/>
      <c r="AB169" s="202"/>
      <c r="AC169" s="202">
        <v>4091</v>
      </c>
      <c r="AD169" s="202" t="s">
        <v>1152</v>
      </c>
      <c r="AE169" s="202" t="s">
        <v>1153</v>
      </c>
      <c r="AF169" s="203" t="s">
        <v>1154</v>
      </c>
      <c r="AG169" s="202"/>
      <c r="AH169" s="203" t="s">
        <v>1155</v>
      </c>
      <c r="AI169" s="202">
        <v>0</v>
      </c>
      <c r="AJ169" s="202">
        <v>0</v>
      </c>
    </row>
    <row r="170" spans="2:36">
      <c r="B170" s="203">
        <v>2180</v>
      </c>
      <c r="C170" s="207">
        <v>233735</v>
      </c>
      <c r="D170" s="203" t="s">
        <v>97</v>
      </c>
      <c r="E170" s="202" t="s">
        <v>1276</v>
      </c>
      <c r="F170" s="203">
        <v>11</v>
      </c>
      <c r="G170" s="202"/>
      <c r="H170" s="202"/>
      <c r="I170" s="202"/>
      <c r="J170" s="202">
        <v>0</v>
      </c>
      <c r="K170" s="202" t="s">
        <v>2041</v>
      </c>
      <c r="L170" s="202"/>
      <c r="M170" s="202" t="s">
        <v>1975</v>
      </c>
      <c r="N170" s="206">
        <v>43914</v>
      </c>
      <c r="O170" s="206">
        <v>43914</v>
      </c>
      <c r="P170" s="202" t="s">
        <v>2937</v>
      </c>
      <c r="Q170" s="203">
        <v>1200</v>
      </c>
      <c r="R170" s="203">
        <v>14050</v>
      </c>
      <c r="S170" s="204">
        <v>9558.2900000000009</v>
      </c>
      <c r="T170" s="203">
        <v>14056</v>
      </c>
      <c r="U170" s="204">
        <v>1725.81</v>
      </c>
      <c r="V170" s="204">
        <f t="shared" si="14"/>
        <v>7832.4800000000014</v>
      </c>
      <c r="W170" s="205">
        <v>331.89</v>
      </c>
      <c r="X170" s="203">
        <v>54260</v>
      </c>
      <c r="Y170" s="204">
        <v>66.38</v>
      </c>
      <c r="Z170" s="202" t="s">
        <v>97</v>
      </c>
      <c r="AA170" s="202"/>
      <c r="AB170" s="202">
        <v>160225</v>
      </c>
      <c r="AC170" s="202"/>
      <c r="AD170" s="202" t="s">
        <v>1152</v>
      </c>
      <c r="AE170" s="202" t="s">
        <v>1153</v>
      </c>
      <c r="AF170" s="203" t="s">
        <v>1154</v>
      </c>
      <c r="AG170" s="202"/>
      <c r="AH170" s="203" t="s">
        <v>1155</v>
      </c>
      <c r="AI170" s="202">
        <v>0</v>
      </c>
      <c r="AJ170" s="202">
        <v>0</v>
      </c>
    </row>
    <row r="171" spans="2:36">
      <c r="B171" s="203">
        <v>2180</v>
      </c>
      <c r="C171" s="207">
        <v>233734</v>
      </c>
      <c r="D171" s="203" t="s">
        <v>97</v>
      </c>
      <c r="E171" s="202" t="s">
        <v>1276</v>
      </c>
      <c r="F171" s="203">
        <v>11</v>
      </c>
      <c r="G171" s="202"/>
      <c r="H171" s="202"/>
      <c r="I171" s="202"/>
      <c r="J171" s="202">
        <v>0</v>
      </c>
      <c r="K171" s="202" t="s">
        <v>2041</v>
      </c>
      <c r="L171" s="202"/>
      <c r="M171" s="202" t="s">
        <v>1975</v>
      </c>
      <c r="N171" s="206">
        <v>43914</v>
      </c>
      <c r="O171" s="206">
        <v>43914</v>
      </c>
      <c r="P171" s="202" t="s">
        <v>2937</v>
      </c>
      <c r="Q171" s="203">
        <v>1200</v>
      </c>
      <c r="R171" s="203">
        <v>14050</v>
      </c>
      <c r="S171" s="204">
        <v>9558.2900000000009</v>
      </c>
      <c r="T171" s="203">
        <v>14056</v>
      </c>
      <c r="U171" s="204">
        <v>1725.81</v>
      </c>
      <c r="V171" s="204">
        <f t="shared" si="14"/>
        <v>7832.4800000000014</v>
      </c>
      <c r="W171" s="205">
        <v>331.89</v>
      </c>
      <c r="X171" s="203">
        <v>54260</v>
      </c>
      <c r="Y171" s="204">
        <v>66.38</v>
      </c>
      <c r="Z171" s="202" t="s">
        <v>97</v>
      </c>
      <c r="AA171" s="202"/>
      <c r="AB171" s="202">
        <v>160224</v>
      </c>
      <c r="AC171" s="202"/>
      <c r="AD171" s="202" t="s">
        <v>1152</v>
      </c>
      <c r="AE171" s="202" t="s">
        <v>1153</v>
      </c>
      <c r="AF171" s="203" t="s">
        <v>1154</v>
      </c>
      <c r="AG171" s="202"/>
      <c r="AH171" s="203" t="s">
        <v>1155</v>
      </c>
      <c r="AI171" s="202">
        <v>0</v>
      </c>
      <c r="AJ171" s="202">
        <v>0</v>
      </c>
    </row>
    <row r="172" spans="2:36">
      <c r="B172" s="203">
        <v>2180</v>
      </c>
      <c r="C172" s="207">
        <v>233677</v>
      </c>
      <c r="D172" s="203" t="s">
        <v>97</v>
      </c>
      <c r="E172" s="202" t="s">
        <v>1274</v>
      </c>
      <c r="F172" s="203"/>
      <c r="G172" s="202"/>
      <c r="H172" s="202" t="s">
        <v>2946</v>
      </c>
      <c r="I172" s="202"/>
      <c r="J172" s="202">
        <v>2020</v>
      </c>
      <c r="K172" s="202" t="s">
        <v>1406</v>
      </c>
      <c r="L172" s="202" t="s">
        <v>2883</v>
      </c>
      <c r="M172" s="202" t="s">
        <v>2945</v>
      </c>
      <c r="N172" s="206">
        <v>43986</v>
      </c>
      <c r="O172" s="206">
        <v>43986</v>
      </c>
      <c r="P172" s="202" t="s">
        <v>2944</v>
      </c>
      <c r="Q172" s="203">
        <v>1000</v>
      </c>
      <c r="R172" s="203">
        <v>14040</v>
      </c>
      <c r="S172" s="204">
        <v>368682.05</v>
      </c>
      <c r="T172" s="203">
        <v>14046</v>
      </c>
      <c r="U172" s="204">
        <v>73736.41</v>
      </c>
      <c r="V172" s="204">
        <f t="shared" si="14"/>
        <v>294945.64</v>
      </c>
      <c r="W172" s="205">
        <v>15361.75</v>
      </c>
      <c r="X172" s="203">
        <v>51260</v>
      </c>
      <c r="Y172" s="204">
        <v>3072.35</v>
      </c>
      <c r="Z172" s="202" t="s">
        <v>97</v>
      </c>
      <c r="AA172" s="202"/>
      <c r="AB172" s="202"/>
      <c r="AC172" s="202">
        <v>3710</v>
      </c>
      <c r="AD172" s="202" t="s">
        <v>1152</v>
      </c>
      <c r="AE172" s="202" t="s">
        <v>1153</v>
      </c>
      <c r="AF172" s="203" t="s">
        <v>1154</v>
      </c>
      <c r="AG172" s="202"/>
      <c r="AH172" s="203" t="s">
        <v>1155</v>
      </c>
      <c r="AI172" s="202">
        <v>0</v>
      </c>
      <c r="AJ172" s="202">
        <v>0</v>
      </c>
    </row>
    <row r="173" spans="2:36">
      <c r="B173" s="203">
        <v>2180</v>
      </c>
      <c r="C173" s="207">
        <v>233676</v>
      </c>
      <c r="D173" s="203" t="s">
        <v>97</v>
      </c>
      <c r="E173" s="202" t="s">
        <v>1274</v>
      </c>
      <c r="F173" s="203"/>
      <c r="G173" s="202"/>
      <c r="H173" s="202" t="s">
        <v>2943</v>
      </c>
      <c r="I173" s="202"/>
      <c r="J173" s="202">
        <v>2020</v>
      </c>
      <c r="K173" s="202" t="s">
        <v>1406</v>
      </c>
      <c r="L173" s="202" t="s">
        <v>2883</v>
      </c>
      <c r="M173" s="202" t="s">
        <v>1404</v>
      </c>
      <c r="N173" s="206">
        <v>43987</v>
      </c>
      <c r="O173" s="206">
        <v>43987</v>
      </c>
      <c r="P173" s="202" t="s">
        <v>2942</v>
      </c>
      <c r="Q173" s="203">
        <v>1000</v>
      </c>
      <c r="R173" s="203">
        <v>14040</v>
      </c>
      <c r="S173" s="204">
        <v>368682.05</v>
      </c>
      <c r="T173" s="203">
        <v>14046</v>
      </c>
      <c r="U173" s="204">
        <v>73736.41</v>
      </c>
      <c r="V173" s="204">
        <f t="shared" si="14"/>
        <v>294945.64</v>
      </c>
      <c r="W173" s="205">
        <v>15361.75</v>
      </c>
      <c r="X173" s="203">
        <v>51260</v>
      </c>
      <c r="Y173" s="204">
        <v>3072.35</v>
      </c>
      <c r="Z173" s="202" t="s">
        <v>97</v>
      </c>
      <c r="AA173" s="202"/>
      <c r="AB173" s="202"/>
      <c r="AC173" s="202">
        <v>3709</v>
      </c>
      <c r="AD173" s="202" t="s">
        <v>1152</v>
      </c>
      <c r="AE173" s="202" t="s">
        <v>1153</v>
      </c>
      <c r="AF173" s="203" t="s">
        <v>1154</v>
      </c>
      <c r="AG173" s="202"/>
      <c r="AH173" s="203" t="s">
        <v>1155</v>
      </c>
      <c r="AI173" s="202">
        <v>0</v>
      </c>
      <c r="AJ173" s="202">
        <v>0</v>
      </c>
    </row>
    <row r="174" spans="2:36">
      <c r="B174" s="203">
        <v>2180</v>
      </c>
      <c r="C174" s="207">
        <v>233675</v>
      </c>
      <c r="D174" s="203" t="s">
        <v>97</v>
      </c>
      <c r="E174" s="202" t="s">
        <v>1274</v>
      </c>
      <c r="F174" s="203"/>
      <c r="G174" s="202"/>
      <c r="H174" s="202" t="s">
        <v>2941</v>
      </c>
      <c r="I174" s="202"/>
      <c r="J174" s="202">
        <v>2020</v>
      </c>
      <c r="K174" s="202" t="s">
        <v>1406</v>
      </c>
      <c r="L174" s="202" t="s">
        <v>2883</v>
      </c>
      <c r="M174" s="202" t="s">
        <v>1404</v>
      </c>
      <c r="N174" s="206">
        <v>43980</v>
      </c>
      <c r="O174" s="206">
        <v>43980</v>
      </c>
      <c r="P174" s="202" t="s">
        <v>2940</v>
      </c>
      <c r="Q174" s="203">
        <v>1000</v>
      </c>
      <c r="R174" s="203">
        <v>14040</v>
      </c>
      <c r="S174" s="204">
        <v>368682.05</v>
      </c>
      <c r="T174" s="203">
        <v>14046</v>
      </c>
      <c r="U174" s="204">
        <v>73736.41</v>
      </c>
      <c r="V174" s="204">
        <f t="shared" si="14"/>
        <v>294945.64</v>
      </c>
      <c r="W174" s="205">
        <v>15361.75</v>
      </c>
      <c r="X174" s="203">
        <v>51260</v>
      </c>
      <c r="Y174" s="204">
        <v>3072.35</v>
      </c>
      <c r="Z174" s="202" t="s">
        <v>97</v>
      </c>
      <c r="AA174" s="202"/>
      <c r="AB174" s="202"/>
      <c r="AC174" s="202">
        <v>3707</v>
      </c>
      <c r="AD174" s="202" t="s">
        <v>1152</v>
      </c>
      <c r="AE174" s="202" t="s">
        <v>1153</v>
      </c>
      <c r="AF174" s="203" t="s">
        <v>1154</v>
      </c>
      <c r="AG174" s="202"/>
      <c r="AH174" s="203" t="s">
        <v>1155</v>
      </c>
      <c r="AI174" s="202">
        <v>0</v>
      </c>
      <c r="AJ174" s="202">
        <v>0</v>
      </c>
    </row>
    <row r="175" spans="2:36">
      <c r="B175" s="203">
        <v>2180</v>
      </c>
      <c r="C175" s="207">
        <v>233674</v>
      </c>
      <c r="D175" s="203" t="s">
        <v>97</v>
      </c>
      <c r="E175" s="202" t="s">
        <v>1274</v>
      </c>
      <c r="F175" s="203"/>
      <c r="G175" s="202"/>
      <c r="H175" s="202" t="s">
        <v>2939</v>
      </c>
      <c r="I175" s="202"/>
      <c r="J175" s="202">
        <v>2020</v>
      </c>
      <c r="K175" s="202" t="s">
        <v>1406</v>
      </c>
      <c r="L175" s="202" t="s">
        <v>2883</v>
      </c>
      <c r="M175" s="202" t="s">
        <v>1404</v>
      </c>
      <c r="N175" s="206">
        <v>43980</v>
      </c>
      <c r="O175" s="206">
        <v>43980</v>
      </c>
      <c r="P175" s="202" t="s">
        <v>2938</v>
      </c>
      <c r="Q175" s="203">
        <v>1000</v>
      </c>
      <c r="R175" s="203">
        <v>14040</v>
      </c>
      <c r="S175" s="204">
        <v>368680.96000000002</v>
      </c>
      <c r="T175" s="203">
        <v>14046</v>
      </c>
      <c r="U175" s="204">
        <v>73736.2</v>
      </c>
      <c r="V175" s="204">
        <f t="shared" si="14"/>
        <v>294944.76</v>
      </c>
      <c r="W175" s="205">
        <v>15361.71</v>
      </c>
      <c r="X175" s="203">
        <v>51260</v>
      </c>
      <c r="Y175" s="204">
        <v>3072.34</v>
      </c>
      <c r="Z175" s="202" t="s">
        <v>97</v>
      </c>
      <c r="AA175" s="202"/>
      <c r="AB175" s="202"/>
      <c r="AC175" s="202">
        <v>3708</v>
      </c>
      <c r="AD175" s="202" t="s">
        <v>1152</v>
      </c>
      <c r="AE175" s="202" t="s">
        <v>1153</v>
      </c>
      <c r="AF175" s="203" t="s">
        <v>1154</v>
      </c>
      <c r="AG175" s="202"/>
      <c r="AH175" s="203" t="s">
        <v>1155</v>
      </c>
      <c r="AI175" s="202">
        <v>0</v>
      </c>
      <c r="AJ175" s="202">
        <v>0</v>
      </c>
    </row>
    <row r="176" spans="2:36">
      <c r="B176" s="203">
        <v>2180</v>
      </c>
      <c r="C176" s="207">
        <v>233560</v>
      </c>
      <c r="D176" s="203" t="s">
        <v>97</v>
      </c>
      <c r="E176" s="202" t="s">
        <v>1276</v>
      </c>
      <c r="F176" s="203">
        <v>8</v>
      </c>
      <c r="G176" s="202"/>
      <c r="H176" s="202"/>
      <c r="I176" s="202"/>
      <c r="J176" s="202">
        <v>0</v>
      </c>
      <c r="K176" s="202" t="s">
        <v>2041</v>
      </c>
      <c r="L176" s="202"/>
      <c r="M176" s="202" t="s">
        <v>1975</v>
      </c>
      <c r="N176" s="206">
        <v>43914</v>
      </c>
      <c r="O176" s="206">
        <v>43914</v>
      </c>
      <c r="P176" s="202" t="s">
        <v>2937</v>
      </c>
      <c r="Q176" s="203">
        <v>1200</v>
      </c>
      <c r="R176" s="203">
        <v>14050</v>
      </c>
      <c r="S176" s="204">
        <v>6951.48</v>
      </c>
      <c r="T176" s="203">
        <v>14056</v>
      </c>
      <c r="U176" s="204">
        <v>1255.1300000000001</v>
      </c>
      <c r="V176" s="204">
        <f t="shared" si="14"/>
        <v>5696.3499999999995</v>
      </c>
      <c r="W176" s="205">
        <v>241.37</v>
      </c>
      <c r="X176" s="203">
        <v>54260</v>
      </c>
      <c r="Y176" s="204">
        <v>48.27</v>
      </c>
      <c r="Z176" s="202" t="s">
        <v>97</v>
      </c>
      <c r="AA176" s="202"/>
      <c r="AB176" s="202">
        <v>160218</v>
      </c>
      <c r="AC176" s="202"/>
      <c r="AD176" s="202" t="s">
        <v>1152</v>
      </c>
      <c r="AE176" s="202" t="s">
        <v>1153</v>
      </c>
      <c r="AF176" s="203" t="s">
        <v>1154</v>
      </c>
      <c r="AG176" s="202"/>
      <c r="AH176" s="203" t="s">
        <v>1155</v>
      </c>
      <c r="AI176" s="202">
        <v>0</v>
      </c>
      <c r="AJ176" s="202">
        <v>0</v>
      </c>
    </row>
    <row r="177" spans="2:36">
      <c r="B177" s="203">
        <v>2180</v>
      </c>
      <c r="C177" s="207">
        <v>233282</v>
      </c>
      <c r="D177" s="203">
        <v>232601</v>
      </c>
      <c r="E177" s="202" t="s">
        <v>2936</v>
      </c>
      <c r="F177" s="203"/>
      <c r="G177" s="202"/>
      <c r="H177" s="202"/>
      <c r="I177" s="202"/>
      <c r="J177" s="202">
        <v>0</v>
      </c>
      <c r="K177" s="202" t="s">
        <v>2744</v>
      </c>
      <c r="L177" s="202"/>
      <c r="M177" s="202" t="s">
        <v>1447</v>
      </c>
      <c r="N177" s="206">
        <v>43970</v>
      </c>
      <c r="O177" s="206">
        <v>43970</v>
      </c>
      <c r="P177" s="202" t="s">
        <v>2935</v>
      </c>
      <c r="Q177" s="203">
        <v>1000</v>
      </c>
      <c r="R177" s="203">
        <v>14040</v>
      </c>
      <c r="S177" s="204">
        <v>191.75</v>
      </c>
      <c r="T177" s="203">
        <v>14046</v>
      </c>
      <c r="U177" s="204">
        <v>38.36</v>
      </c>
      <c r="V177" s="204">
        <f t="shared" si="14"/>
        <v>153.38999999999999</v>
      </c>
      <c r="W177" s="205">
        <v>7.99</v>
      </c>
      <c r="X177" s="203">
        <v>51260</v>
      </c>
      <c r="Y177" s="204">
        <v>1.6</v>
      </c>
      <c r="Z177" s="202" t="s">
        <v>97</v>
      </c>
      <c r="AA177" s="202"/>
      <c r="AB177" s="202">
        <v>834</v>
      </c>
      <c r="AC177" s="202"/>
      <c r="AD177" s="202" t="s">
        <v>1152</v>
      </c>
      <c r="AE177" s="202" t="s">
        <v>1153</v>
      </c>
      <c r="AF177" s="203" t="s">
        <v>1154</v>
      </c>
      <c r="AG177" s="202"/>
      <c r="AH177" s="203" t="s">
        <v>1155</v>
      </c>
      <c r="AI177" s="202">
        <v>0</v>
      </c>
      <c r="AJ177" s="202">
        <v>0</v>
      </c>
    </row>
    <row r="178" spans="2:36">
      <c r="B178" s="203">
        <v>2180</v>
      </c>
      <c r="C178" s="207">
        <v>232995</v>
      </c>
      <c r="D178" s="203">
        <v>232601</v>
      </c>
      <c r="E178" s="202" t="s">
        <v>2926</v>
      </c>
      <c r="F178" s="203"/>
      <c r="G178" s="202"/>
      <c r="H178" s="202"/>
      <c r="I178" s="202"/>
      <c r="J178" s="202">
        <v>2021</v>
      </c>
      <c r="K178" s="202"/>
      <c r="L178" s="202"/>
      <c r="M178" s="202" t="s">
        <v>1447</v>
      </c>
      <c r="N178" s="206">
        <v>43958</v>
      </c>
      <c r="O178" s="206">
        <v>43958</v>
      </c>
      <c r="P178" s="202" t="s">
        <v>2923</v>
      </c>
      <c r="Q178" s="203">
        <v>100</v>
      </c>
      <c r="R178" s="203">
        <v>14110</v>
      </c>
      <c r="S178" s="204">
        <v>1427.87</v>
      </c>
      <c r="T178" s="203">
        <v>14116</v>
      </c>
      <c r="U178" s="204">
        <v>1427.87</v>
      </c>
      <c r="V178" s="204">
        <f t="shared" si="14"/>
        <v>0</v>
      </c>
      <c r="W178" s="205">
        <v>0</v>
      </c>
      <c r="X178" s="203">
        <v>70260</v>
      </c>
      <c r="Y178" s="204">
        <v>0</v>
      </c>
      <c r="Z178" s="202" t="s">
        <v>97</v>
      </c>
      <c r="AA178" s="202"/>
      <c r="AB178" s="202"/>
      <c r="AC178" s="202"/>
      <c r="AD178" s="202" t="s">
        <v>1152</v>
      </c>
      <c r="AE178" s="202" t="s">
        <v>1153</v>
      </c>
      <c r="AF178" s="203" t="s">
        <v>1154</v>
      </c>
      <c r="AG178" s="202"/>
      <c r="AH178" s="203" t="s">
        <v>1155</v>
      </c>
      <c r="AI178" s="202">
        <v>0</v>
      </c>
      <c r="AJ178" s="202">
        <v>0</v>
      </c>
    </row>
    <row r="179" spans="2:36">
      <c r="B179" s="203">
        <v>2180</v>
      </c>
      <c r="C179" s="207">
        <v>232994</v>
      </c>
      <c r="D179" s="203" t="s">
        <v>97</v>
      </c>
      <c r="E179" s="202" t="s">
        <v>1274</v>
      </c>
      <c r="F179" s="203"/>
      <c r="G179" s="202"/>
      <c r="H179" s="202" t="s">
        <v>2934</v>
      </c>
      <c r="I179" s="202"/>
      <c r="J179" s="202">
        <v>2020</v>
      </c>
      <c r="K179" s="202" t="s">
        <v>1406</v>
      </c>
      <c r="L179" s="202" t="s">
        <v>2883</v>
      </c>
      <c r="M179" s="202" t="s">
        <v>1404</v>
      </c>
      <c r="N179" s="206">
        <v>43973</v>
      </c>
      <c r="O179" s="206">
        <v>43973</v>
      </c>
      <c r="P179" s="202" t="s">
        <v>2933</v>
      </c>
      <c r="Q179" s="203">
        <v>1000</v>
      </c>
      <c r="R179" s="203">
        <v>14040</v>
      </c>
      <c r="S179" s="204">
        <v>365253.95</v>
      </c>
      <c r="T179" s="203">
        <v>14046</v>
      </c>
      <c r="U179" s="204">
        <v>73050.8</v>
      </c>
      <c r="V179" s="204">
        <f t="shared" si="14"/>
        <v>292203.15000000002</v>
      </c>
      <c r="W179" s="205">
        <v>15218.92</v>
      </c>
      <c r="X179" s="203">
        <v>51260</v>
      </c>
      <c r="Y179" s="204">
        <v>3043.79</v>
      </c>
      <c r="Z179" s="202" t="s">
        <v>97</v>
      </c>
      <c r="AA179" s="202"/>
      <c r="AB179" s="202"/>
      <c r="AC179" s="202">
        <v>3706</v>
      </c>
      <c r="AD179" s="202" t="s">
        <v>1152</v>
      </c>
      <c r="AE179" s="202" t="s">
        <v>1153</v>
      </c>
      <c r="AF179" s="203" t="s">
        <v>1154</v>
      </c>
      <c r="AG179" s="202"/>
      <c r="AH179" s="203" t="s">
        <v>1155</v>
      </c>
      <c r="AI179" s="202">
        <v>0</v>
      </c>
      <c r="AJ179" s="202">
        <v>0</v>
      </c>
    </row>
    <row r="180" spans="2:36">
      <c r="B180" s="203">
        <v>2180</v>
      </c>
      <c r="C180" s="207">
        <v>232863</v>
      </c>
      <c r="D180" s="203" t="s">
        <v>97</v>
      </c>
      <c r="E180" s="202" t="s">
        <v>2932</v>
      </c>
      <c r="F180" s="203">
        <v>702</v>
      </c>
      <c r="G180" s="202"/>
      <c r="H180" s="202"/>
      <c r="I180" s="202"/>
      <c r="J180" s="202">
        <v>0</v>
      </c>
      <c r="K180" s="202" t="s">
        <v>2445</v>
      </c>
      <c r="L180" s="202"/>
      <c r="M180" s="202" t="s">
        <v>2846</v>
      </c>
      <c r="N180" s="206">
        <v>43967</v>
      </c>
      <c r="O180" s="206">
        <v>43967</v>
      </c>
      <c r="P180" s="202" t="s">
        <v>2930</v>
      </c>
      <c r="Q180" s="203">
        <v>700</v>
      </c>
      <c r="R180" s="203">
        <v>14050</v>
      </c>
      <c r="S180" s="204">
        <v>27791.1</v>
      </c>
      <c r="T180" s="203">
        <v>14056</v>
      </c>
      <c r="U180" s="204">
        <v>7940.32</v>
      </c>
      <c r="V180" s="204">
        <f t="shared" si="14"/>
        <v>19850.78</v>
      </c>
      <c r="W180" s="205">
        <v>1654.23</v>
      </c>
      <c r="X180" s="203">
        <v>54260</v>
      </c>
      <c r="Y180" s="204">
        <v>330.84</v>
      </c>
      <c r="Z180" s="202" t="s">
        <v>97</v>
      </c>
      <c r="AA180" s="202"/>
      <c r="AB180" s="202">
        <v>50097658</v>
      </c>
      <c r="AC180" s="202"/>
      <c r="AD180" s="202" t="s">
        <v>1152</v>
      </c>
      <c r="AE180" s="202" t="s">
        <v>1153</v>
      </c>
      <c r="AF180" s="203" t="s">
        <v>1154</v>
      </c>
      <c r="AG180" s="202"/>
      <c r="AH180" s="203" t="s">
        <v>1155</v>
      </c>
      <c r="AI180" s="202">
        <v>0</v>
      </c>
      <c r="AJ180" s="202">
        <v>0</v>
      </c>
    </row>
    <row r="181" spans="2:36">
      <c r="B181" s="203">
        <v>2180</v>
      </c>
      <c r="C181" s="207">
        <v>232862</v>
      </c>
      <c r="D181" s="203" t="s">
        <v>97</v>
      </c>
      <c r="E181" s="202" t="s">
        <v>2931</v>
      </c>
      <c r="F181" s="203">
        <v>702</v>
      </c>
      <c r="G181" s="202"/>
      <c r="H181" s="202"/>
      <c r="I181" s="202"/>
      <c r="J181" s="202">
        <v>0</v>
      </c>
      <c r="K181" s="202" t="s">
        <v>2445</v>
      </c>
      <c r="L181" s="202"/>
      <c r="M181" s="202" t="s">
        <v>2846</v>
      </c>
      <c r="N181" s="206">
        <v>43966</v>
      </c>
      <c r="O181" s="206">
        <v>43966</v>
      </c>
      <c r="P181" s="202" t="s">
        <v>2930</v>
      </c>
      <c r="Q181" s="203">
        <v>700</v>
      </c>
      <c r="R181" s="203">
        <v>14050</v>
      </c>
      <c r="S181" s="204">
        <v>27791.1</v>
      </c>
      <c r="T181" s="203">
        <v>14056</v>
      </c>
      <c r="U181" s="204">
        <v>8271.16</v>
      </c>
      <c r="V181" s="204">
        <f t="shared" si="14"/>
        <v>19519.939999999999</v>
      </c>
      <c r="W181" s="205">
        <v>1654.23</v>
      </c>
      <c r="X181" s="203">
        <v>54260</v>
      </c>
      <c r="Y181" s="204">
        <v>330.84</v>
      </c>
      <c r="Z181" s="202" t="s">
        <v>97</v>
      </c>
      <c r="AA181" s="202"/>
      <c r="AB181" s="202">
        <v>50097531</v>
      </c>
      <c r="AC181" s="202"/>
      <c r="AD181" s="202" t="s">
        <v>1152</v>
      </c>
      <c r="AE181" s="202" t="s">
        <v>1153</v>
      </c>
      <c r="AF181" s="203" t="s">
        <v>1154</v>
      </c>
      <c r="AG181" s="202"/>
      <c r="AH181" s="203" t="s">
        <v>1155</v>
      </c>
      <c r="AI181" s="202">
        <v>0</v>
      </c>
      <c r="AJ181" s="202">
        <v>0</v>
      </c>
    </row>
    <row r="182" spans="2:36">
      <c r="B182" s="203">
        <v>2180</v>
      </c>
      <c r="C182" s="207">
        <v>232775</v>
      </c>
      <c r="D182" s="203" t="s">
        <v>97</v>
      </c>
      <c r="E182" s="202" t="s">
        <v>2929</v>
      </c>
      <c r="F182" s="203">
        <v>702</v>
      </c>
      <c r="G182" s="202"/>
      <c r="H182" s="202"/>
      <c r="I182" s="202"/>
      <c r="J182" s="202">
        <v>0</v>
      </c>
      <c r="K182" s="202" t="s">
        <v>2445</v>
      </c>
      <c r="L182" s="202"/>
      <c r="M182" s="202" t="s">
        <v>2846</v>
      </c>
      <c r="N182" s="206">
        <v>43949</v>
      </c>
      <c r="O182" s="206">
        <v>43949</v>
      </c>
      <c r="P182" s="202" t="s">
        <v>2928</v>
      </c>
      <c r="Q182" s="203">
        <v>700</v>
      </c>
      <c r="R182" s="203">
        <v>14050</v>
      </c>
      <c r="S182" s="204">
        <v>30039.24</v>
      </c>
      <c r="T182" s="203">
        <v>14056</v>
      </c>
      <c r="U182" s="204">
        <v>8940.25</v>
      </c>
      <c r="V182" s="204">
        <f t="shared" si="14"/>
        <v>21098.99</v>
      </c>
      <c r="W182" s="205">
        <v>1788.05</v>
      </c>
      <c r="X182" s="203">
        <v>54260</v>
      </c>
      <c r="Y182" s="204">
        <v>357.61</v>
      </c>
      <c r="Z182" s="202" t="s">
        <v>97</v>
      </c>
      <c r="AA182" s="202"/>
      <c r="AB182" s="202">
        <v>50094323</v>
      </c>
      <c r="AC182" s="202"/>
      <c r="AD182" s="202" t="s">
        <v>1152</v>
      </c>
      <c r="AE182" s="202" t="s">
        <v>1153</v>
      </c>
      <c r="AF182" s="203" t="s">
        <v>1154</v>
      </c>
      <c r="AG182" s="202"/>
      <c r="AH182" s="203" t="s">
        <v>1155</v>
      </c>
      <c r="AI182" s="202">
        <v>0</v>
      </c>
      <c r="AJ182" s="202">
        <v>0</v>
      </c>
    </row>
    <row r="183" spans="2:36">
      <c r="B183" s="203">
        <v>2180</v>
      </c>
      <c r="C183" s="207">
        <v>232774</v>
      </c>
      <c r="D183" s="203" t="s">
        <v>97</v>
      </c>
      <c r="E183" s="202" t="s">
        <v>638</v>
      </c>
      <c r="F183" s="203">
        <v>702</v>
      </c>
      <c r="G183" s="202"/>
      <c r="H183" s="202"/>
      <c r="I183" s="202"/>
      <c r="J183" s="202">
        <v>0</v>
      </c>
      <c r="K183" s="202" t="s">
        <v>2445</v>
      </c>
      <c r="L183" s="202"/>
      <c r="M183" s="202" t="s">
        <v>2846</v>
      </c>
      <c r="N183" s="206">
        <v>43949</v>
      </c>
      <c r="O183" s="206">
        <v>43949</v>
      </c>
      <c r="P183" s="202" t="s">
        <v>2927</v>
      </c>
      <c r="Q183" s="203">
        <v>700</v>
      </c>
      <c r="R183" s="203">
        <v>14050</v>
      </c>
      <c r="S183" s="204">
        <v>30039.25</v>
      </c>
      <c r="T183" s="203">
        <v>14056</v>
      </c>
      <c r="U183" s="204">
        <v>8940.25</v>
      </c>
      <c r="V183" s="204">
        <f t="shared" si="14"/>
        <v>21099</v>
      </c>
      <c r="W183" s="205">
        <v>1788.05</v>
      </c>
      <c r="X183" s="203">
        <v>54260</v>
      </c>
      <c r="Y183" s="204">
        <v>357.61</v>
      </c>
      <c r="Z183" s="202" t="s">
        <v>97</v>
      </c>
      <c r="AA183" s="202"/>
      <c r="AB183" s="202">
        <v>50094323</v>
      </c>
      <c r="AC183" s="202"/>
      <c r="AD183" s="202" t="s">
        <v>1152</v>
      </c>
      <c r="AE183" s="202" t="s">
        <v>1153</v>
      </c>
      <c r="AF183" s="203" t="s">
        <v>1154</v>
      </c>
      <c r="AG183" s="202"/>
      <c r="AH183" s="203" t="s">
        <v>1155</v>
      </c>
      <c r="AI183" s="202">
        <v>0</v>
      </c>
      <c r="AJ183" s="202">
        <v>0</v>
      </c>
    </row>
    <row r="184" spans="2:36">
      <c r="B184" s="203">
        <v>2180</v>
      </c>
      <c r="C184" s="207">
        <v>232766</v>
      </c>
      <c r="D184" s="203">
        <v>228661</v>
      </c>
      <c r="E184" s="202" t="s">
        <v>2926</v>
      </c>
      <c r="F184" s="203"/>
      <c r="G184" s="202"/>
      <c r="H184" s="202"/>
      <c r="I184" s="202"/>
      <c r="J184" s="202">
        <v>0</v>
      </c>
      <c r="K184" s="202" t="s">
        <v>1576</v>
      </c>
      <c r="L184" s="202"/>
      <c r="M184" s="202" t="s">
        <v>1447</v>
      </c>
      <c r="N184" s="206">
        <v>43862</v>
      </c>
      <c r="O184" s="206">
        <v>43862</v>
      </c>
      <c r="P184" s="202" t="s">
        <v>2910</v>
      </c>
      <c r="Q184" s="203">
        <v>100</v>
      </c>
      <c r="R184" s="203">
        <v>14110</v>
      </c>
      <c r="S184" s="204">
        <v>1427.87</v>
      </c>
      <c r="T184" s="203">
        <v>14116</v>
      </c>
      <c r="U184" s="204">
        <v>1427.87</v>
      </c>
      <c r="V184" s="204">
        <f t="shared" si="14"/>
        <v>0</v>
      </c>
      <c r="W184" s="205">
        <v>0</v>
      </c>
      <c r="X184" s="203">
        <v>70260</v>
      </c>
      <c r="Y184" s="204">
        <v>0</v>
      </c>
      <c r="Z184" s="202" t="s">
        <v>97</v>
      </c>
      <c r="AA184" s="202"/>
      <c r="AB184" s="202" t="s">
        <v>2925</v>
      </c>
      <c r="AC184" s="202"/>
      <c r="AD184" s="202" t="s">
        <v>1152</v>
      </c>
      <c r="AE184" s="202" t="s">
        <v>1153</v>
      </c>
      <c r="AF184" s="203" t="s">
        <v>1154</v>
      </c>
      <c r="AG184" s="202"/>
      <c r="AH184" s="203" t="s">
        <v>1155</v>
      </c>
      <c r="AI184" s="202">
        <v>0</v>
      </c>
      <c r="AJ184" s="202">
        <v>0</v>
      </c>
    </row>
    <row r="185" spans="2:36">
      <c r="B185" s="203">
        <v>2180</v>
      </c>
      <c r="C185" s="207">
        <v>232601</v>
      </c>
      <c r="D185" s="203" t="s">
        <v>97</v>
      </c>
      <c r="E185" s="202" t="s">
        <v>1271</v>
      </c>
      <c r="F185" s="203"/>
      <c r="G185" s="202"/>
      <c r="H185" s="202" t="s">
        <v>2924</v>
      </c>
      <c r="I185" s="202"/>
      <c r="J185" s="202">
        <v>2021</v>
      </c>
      <c r="K185" s="202" t="s">
        <v>1406</v>
      </c>
      <c r="L185" s="202" t="s">
        <v>2476</v>
      </c>
      <c r="M185" s="202" t="s">
        <v>1824</v>
      </c>
      <c r="N185" s="206">
        <v>43958</v>
      </c>
      <c r="O185" s="206">
        <v>43958</v>
      </c>
      <c r="P185" s="202" t="s">
        <v>2923</v>
      </c>
      <c r="Q185" s="203">
        <v>1000</v>
      </c>
      <c r="R185" s="203">
        <v>14040</v>
      </c>
      <c r="S185" s="204">
        <v>222512.89</v>
      </c>
      <c r="T185" s="203">
        <v>14046</v>
      </c>
      <c r="U185" s="204">
        <v>46356.85</v>
      </c>
      <c r="V185" s="204">
        <f t="shared" si="14"/>
        <v>176156.04</v>
      </c>
      <c r="W185" s="205">
        <v>9271.3700000000008</v>
      </c>
      <c r="X185" s="203">
        <v>51260</v>
      </c>
      <c r="Y185" s="204">
        <v>1854.27</v>
      </c>
      <c r="Z185" s="202" t="s">
        <v>97</v>
      </c>
      <c r="AA185" s="202"/>
      <c r="AB185" s="202"/>
      <c r="AC185" s="202">
        <v>4090</v>
      </c>
      <c r="AD185" s="202" t="s">
        <v>1152</v>
      </c>
      <c r="AE185" s="202" t="s">
        <v>1153</v>
      </c>
      <c r="AF185" s="203" t="s">
        <v>1154</v>
      </c>
      <c r="AG185" s="202"/>
      <c r="AH185" s="203" t="s">
        <v>1155</v>
      </c>
      <c r="AI185" s="202">
        <v>0</v>
      </c>
      <c r="AJ185" s="202">
        <v>0</v>
      </c>
    </row>
    <row r="186" spans="2:36">
      <c r="B186" s="203">
        <v>2180</v>
      </c>
      <c r="C186" s="207">
        <v>232230</v>
      </c>
      <c r="D186" s="203" t="s">
        <v>97</v>
      </c>
      <c r="E186" s="202" t="s">
        <v>1270</v>
      </c>
      <c r="F186" s="203"/>
      <c r="G186" s="202"/>
      <c r="H186" s="202"/>
      <c r="I186" s="202"/>
      <c r="J186" s="202">
        <v>0</v>
      </c>
      <c r="K186" s="202" t="s">
        <v>1429</v>
      </c>
      <c r="L186" s="202"/>
      <c r="M186" s="202"/>
      <c r="N186" s="206">
        <v>43932</v>
      </c>
      <c r="O186" s="206">
        <v>43932</v>
      </c>
      <c r="P186" s="202" t="s">
        <v>2922</v>
      </c>
      <c r="Q186" s="203">
        <v>200</v>
      </c>
      <c r="R186" s="203">
        <v>14110</v>
      </c>
      <c r="S186" s="204">
        <v>2188.9699999999998</v>
      </c>
      <c r="T186" s="203">
        <v>14116</v>
      </c>
      <c r="U186" s="204">
        <v>2188.9699999999998</v>
      </c>
      <c r="V186" s="204">
        <f t="shared" si="14"/>
        <v>0</v>
      </c>
      <c r="W186" s="205">
        <v>273.62</v>
      </c>
      <c r="X186" s="203">
        <v>70260</v>
      </c>
      <c r="Y186" s="204">
        <v>0</v>
      </c>
      <c r="Z186" s="202" t="s">
        <v>97</v>
      </c>
      <c r="AA186" s="202"/>
      <c r="AB186" s="202" t="s">
        <v>2921</v>
      </c>
      <c r="AC186" s="202"/>
      <c r="AD186" s="202" t="s">
        <v>1152</v>
      </c>
      <c r="AE186" s="202" t="s">
        <v>1153</v>
      </c>
      <c r="AF186" s="203" t="s">
        <v>1154</v>
      </c>
      <c r="AG186" s="202"/>
      <c r="AH186" s="203" t="s">
        <v>1155</v>
      </c>
      <c r="AI186" s="202">
        <v>0</v>
      </c>
      <c r="AJ186" s="202">
        <v>0</v>
      </c>
    </row>
    <row r="187" spans="2:36">
      <c r="B187" s="203">
        <v>2180</v>
      </c>
      <c r="C187" s="207">
        <v>231986</v>
      </c>
      <c r="D187" s="203" t="s">
        <v>97</v>
      </c>
      <c r="E187" s="202" t="s">
        <v>639</v>
      </c>
      <c r="F187" s="203">
        <v>936</v>
      </c>
      <c r="G187" s="202"/>
      <c r="H187" s="202"/>
      <c r="I187" s="202"/>
      <c r="J187" s="202">
        <v>0</v>
      </c>
      <c r="K187" s="202" t="s">
        <v>2445</v>
      </c>
      <c r="L187" s="202"/>
      <c r="M187" s="202" t="s">
        <v>2846</v>
      </c>
      <c r="N187" s="206">
        <v>43945</v>
      </c>
      <c r="O187" s="206">
        <v>43945</v>
      </c>
      <c r="P187" s="202" t="s">
        <v>2920</v>
      </c>
      <c r="Q187" s="203">
        <v>700</v>
      </c>
      <c r="R187" s="203">
        <v>14050</v>
      </c>
      <c r="S187" s="204">
        <v>34619.94</v>
      </c>
      <c r="T187" s="203">
        <v>14056</v>
      </c>
      <c r="U187" s="204">
        <v>10303.56</v>
      </c>
      <c r="V187" s="204">
        <f t="shared" si="14"/>
        <v>24316.380000000005</v>
      </c>
      <c r="W187" s="205">
        <v>2060.71</v>
      </c>
      <c r="X187" s="203">
        <v>54260</v>
      </c>
      <c r="Y187" s="204">
        <v>412.14</v>
      </c>
      <c r="Z187" s="202" t="s">
        <v>97</v>
      </c>
      <c r="AA187" s="202"/>
      <c r="AB187" s="202">
        <v>50093539</v>
      </c>
      <c r="AC187" s="202"/>
      <c r="AD187" s="202" t="s">
        <v>1152</v>
      </c>
      <c r="AE187" s="202" t="s">
        <v>1153</v>
      </c>
      <c r="AF187" s="203" t="s">
        <v>1154</v>
      </c>
      <c r="AG187" s="202"/>
      <c r="AH187" s="203" t="s">
        <v>1155</v>
      </c>
      <c r="AI187" s="202">
        <v>0</v>
      </c>
      <c r="AJ187" s="202">
        <v>0</v>
      </c>
    </row>
    <row r="188" spans="2:36">
      <c r="B188" s="203">
        <v>2180</v>
      </c>
      <c r="C188" s="207">
        <v>230972</v>
      </c>
      <c r="D188" s="203" t="s">
        <v>97</v>
      </c>
      <c r="E188" s="202" t="s">
        <v>639</v>
      </c>
      <c r="F188" s="203">
        <v>816</v>
      </c>
      <c r="G188" s="202"/>
      <c r="H188" s="202"/>
      <c r="I188" s="202"/>
      <c r="J188" s="202">
        <v>0</v>
      </c>
      <c r="K188" s="202" t="s">
        <v>2601</v>
      </c>
      <c r="L188" s="202"/>
      <c r="M188" s="202" t="s">
        <v>2846</v>
      </c>
      <c r="N188" s="206">
        <v>43875</v>
      </c>
      <c r="O188" s="206">
        <v>43875</v>
      </c>
      <c r="P188" s="202" t="s">
        <v>2919</v>
      </c>
      <c r="Q188" s="203">
        <v>700</v>
      </c>
      <c r="R188" s="203">
        <v>14050</v>
      </c>
      <c r="S188" s="204">
        <v>34293.089999999997</v>
      </c>
      <c r="T188" s="203">
        <v>14056</v>
      </c>
      <c r="U188" s="204">
        <v>11431.02</v>
      </c>
      <c r="V188" s="204">
        <f t="shared" si="14"/>
        <v>22862.069999999996</v>
      </c>
      <c r="W188" s="205">
        <v>2041.25</v>
      </c>
      <c r="X188" s="203">
        <v>54260</v>
      </c>
      <c r="Y188" s="204">
        <v>408.25</v>
      </c>
      <c r="Z188" s="202" t="s">
        <v>97</v>
      </c>
      <c r="AA188" s="202"/>
      <c r="AB188" s="202">
        <v>2519</v>
      </c>
      <c r="AC188" s="202"/>
      <c r="AD188" s="202" t="s">
        <v>1152</v>
      </c>
      <c r="AE188" s="202" t="s">
        <v>1153</v>
      </c>
      <c r="AF188" s="203" t="s">
        <v>1154</v>
      </c>
      <c r="AG188" s="202"/>
      <c r="AH188" s="203" t="s">
        <v>1155</v>
      </c>
      <c r="AI188" s="202">
        <v>0</v>
      </c>
      <c r="AJ188" s="202">
        <v>0</v>
      </c>
    </row>
    <row r="189" spans="2:36">
      <c r="B189" s="203">
        <v>2180</v>
      </c>
      <c r="C189" s="207">
        <v>229401</v>
      </c>
      <c r="D189" s="203" t="s">
        <v>97</v>
      </c>
      <c r="E189" s="202" t="s">
        <v>1269</v>
      </c>
      <c r="F189" s="203"/>
      <c r="G189" s="202"/>
      <c r="H189" s="202"/>
      <c r="I189" s="202"/>
      <c r="J189" s="202">
        <v>0</v>
      </c>
      <c r="K189" s="202" t="s">
        <v>1429</v>
      </c>
      <c r="L189" s="202"/>
      <c r="M189" s="202"/>
      <c r="N189" s="206">
        <v>43871</v>
      </c>
      <c r="O189" s="206">
        <v>43871</v>
      </c>
      <c r="P189" s="202" t="s">
        <v>2918</v>
      </c>
      <c r="Q189" s="203">
        <v>300</v>
      </c>
      <c r="R189" s="203">
        <v>14110</v>
      </c>
      <c r="S189" s="204">
        <v>980.03</v>
      </c>
      <c r="T189" s="203">
        <v>14116</v>
      </c>
      <c r="U189" s="204">
        <v>762.25</v>
      </c>
      <c r="V189" s="204">
        <f t="shared" si="14"/>
        <v>217.77999999999997</v>
      </c>
      <c r="W189" s="205">
        <v>136.12</v>
      </c>
      <c r="X189" s="203">
        <v>70260</v>
      </c>
      <c r="Y189" s="204">
        <v>27.23</v>
      </c>
      <c r="Z189" s="202" t="s">
        <v>97</v>
      </c>
      <c r="AA189" s="202"/>
      <c r="AB189" s="202" t="s">
        <v>2917</v>
      </c>
      <c r="AC189" s="202"/>
      <c r="AD189" s="202" t="s">
        <v>1152</v>
      </c>
      <c r="AE189" s="202" t="s">
        <v>1153</v>
      </c>
      <c r="AF189" s="203" t="s">
        <v>1154</v>
      </c>
      <c r="AG189" s="202"/>
      <c r="AH189" s="203" t="s">
        <v>1155</v>
      </c>
      <c r="AI189" s="202">
        <v>0</v>
      </c>
      <c r="AJ189" s="202">
        <v>0</v>
      </c>
    </row>
    <row r="190" spans="2:36">
      <c r="B190" s="203">
        <v>2180</v>
      </c>
      <c r="C190" s="207">
        <v>229179</v>
      </c>
      <c r="D190" s="203" t="s">
        <v>97</v>
      </c>
      <c r="E190" s="202" t="s">
        <v>2916</v>
      </c>
      <c r="F190" s="203"/>
      <c r="G190" s="202"/>
      <c r="H190" s="202"/>
      <c r="I190" s="202"/>
      <c r="J190" s="202">
        <v>0</v>
      </c>
      <c r="K190" s="202" t="s">
        <v>1429</v>
      </c>
      <c r="L190" s="202"/>
      <c r="M190" s="202"/>
      <c r="N190" s="206">
        <v>43878</v>
      </c>
      <c r="O190" s="206">
        <v>43878</v>
      </c>
      <c r="P190" s="202" t="s">
        <v>2914</v>
      </c>
      <c r="Q190" s="203">
        <v>300</v>
      </c>
      <c r="R190" s="203">
        <v>14110</v>
      </c>
      <c r="S190" s="204">
        <v>69.39</v>
      </c>
      <c r="T190" s="203">
        <v>14116</v>
      </c>
      <c r="U190" s="204">
        <v>52.05</v>
      </c>
      <c r="V190" s="204">
        <f t="shared" si="14"/>
        <v>17.340000000000003</v>
      </c>
      <c r="W190" s="205">
        <v>9.64</v>
      </c>
      <c r="X190" s="203">
        <v>70260</v>
      </c>
      <c r="Y190" s="204">
        <v>1.93</v>
      </c>
      <c r="Z190" s="202" t="s">
        <v>97</v>
      </c>
      <c r="AA190" s="202"/>
      <c r="AB190" s="211">
        <v>43878</v>
      </c>
      <c r="AC190" s="202"/>
      <c r="AD190" s="202" t="s">
        <v>1152</v>
      </c>
      <c r="AE190" s="202" t="s">
        <v>1153</v>
      </c>
      <c r="AF190" s="203" t="s">
        <v>1154</v>
      </c>
      <c r="AG190" s="202"/>
      <c r="AH190" s="203" t="s">
        <v>1155</v>
      </c>
      <c r="AI190" s="202">
        <v>0</v>
      </c>
      <c r="AJ190" s="202">
        <v>0</v>
      </c>
    </row>
    <row r="191" spans="2:36">
      <c r="B191" s="203">
        <v>2180</v>
      </c>
      <c r="C191" s="207">
        <v>229178</v>
      </c>
      <c r="D191" s="203" t="s">
        <v>97</v>
      </c>
      <c r="E191" s="202" t="s">
        <v>2915</v>
      </c>
      <c r="F191" s="203"/>
      <c r="G191" s="202"/>
      <c r="H191" s="202"/>
      <c r="I191" s="202"/>
      <c r="J191" s="202">
        <v>0</v>
      </c>
      <c r="K191" s="202" t="s">
        <v>1429</v>
      </c>
      <c r="L191" s="202"/>
      <c r="M191" s="202"/>
      <c r="N191" s="206">
        <v>43878</v>
      </c>
      <c r="O191" s="206">
        <v>43878</v>
      </c>
      <c r="P191" s="202" t="s">
        <v>2914</v>
      </c>
      <c r="Q191" s="203">
        <v>300</v>
      </c>
      <c r="R191" s="203">
        <v>14110</v>
      </c>
      <c r="S191" s="204">
        <v>1579.99</v>
      </c>
      <c r="T191" s="203">
        <v>14116</v>
      </c>
      <c r="U191" s="204">
        <v>1184.99</v>
      </c>
      <c r="V191" s="204">
        <f t="shared" si="14"/>
        <v>395</v>
      </c>
      <c r="W191" s="205">
        <v>219.44</v>
      </c>
      <c r="X191" s="203">
        <v>70260</v>
      </c>
      <c r="Y191" s="204">
        <v>43.89</v>
      </c>
      <c r="Z191" s="202" t="s">
        <v>97</v>
      </c>
      <c r="AA191" s="202"/>
      <c r="AB191" s="202" t="s">
        <v>2913</v>
      </c>
      <c r="AC191" s="202"/>
      <c r="AD191" s="202" t="s">
        <v>1152</v>
      </c>
      <c r="AE191" s="202" t="s">
        <v>1153</v>
      </c>
      <c r="AF191" s="203" t="s">
        <v>1154</v>
      </c>
      <c r="AG191" s="202"/>
      <c r="AH191" s="203" t="s">
        <v>1155</v>
      </c>
      <c r="AI191" s="202">
        <v>0</v>
      </c>
      <c r="AJ191" s="202">
        <v>0</v>
      </c>
    </row>
    <row r="192" spans="2:36">
      <c r="B192" s="203">
        <v>2180</v>
      </c>
      <c r="C192" s="207">
        <v>229177</v>
      </c>
      <c r="D192" s="203" t="s">
        <v>97</v>
      </c>
      <c r="E192" s="202" t="s">
        <v>1266</v>
      </c>
      <c r="F192" s="203"/>
      <c r="G192" s="202"/>
      <c r="H192" s="202"/>
      <c r="I192" s="202"/>
      <c r="J192" s="202">
        <v>0</v>
      </c>
      <c r="K192" s="202" t="s">
        <v>1429</v>
      </c>
      <c r="L192" s="202"/>
      <c r="M192" s="202"/>
      <c r="N192" s="206">
        <v>43872</v>
      </c>
      <c r="O192" s="206">
        <v>43872</v>
      </c>
      <c r="P192" s="202" t="s">
        <v>2912</v>
      </c>
      <c r="Q192" s="203">
        <v>300</v>
      </c>
      <c r="R192" s="203">
        <v>14110</v>
      </c>
      <c r="S192" s="204">
        <v>893.55</v>
      </c>
      <c r="T192" s="203">
        <v>14116</v>
      </c>
      <c r="U192" s="204">
        <v>694.95</v>
      </c>
      <c r="V192" s="204">
        <f t="shared" si="14"/>
        <v>198.59999999999991</v>
      </c>
      <c r="W192" s="205">
        <v>124.1</v>
      </c>
      <c r="X192" s="203">
        <v>70260</v>
      </c>
      <c r="Y192" s="204">
        <v>24.82</v>
      </c>
      <c r="Z192" s="202" t="s">
        <v>97</v>
      </c>
      <c r="AA192" s="202"/>
      <c r="AB192" s="202" t="s">
        <v>2911</v>
      </c>
      <c r="AC192" s="202"/>
      <c r="AD192" s="202" t="s">
        <v>1152</v>
      </c>
      <c r="AE192" s="202" t="s">
        <v>1153</v>
      </c>
      <c r="AF192" s="203" t="s">
        <v>1154</v>
      </c>
      <c r="AG192" s="202"/>
      <c r="AH192" s="203" t="s">
        <v>1155</v>
      </c>
      <c r="AI192" s="202">
        <v>0</v>
      </c>
      <c r="AJ192" s="202">
        <v>0</v>
      </c>
    </row>
    <row r="193" spans="2:36">
      <c r="B193" s="203">
        <v>2180</v>
      </c>
      <c r="C193" s="207">
        <v>229086</v>
      </c>
      <c r="D193" s="203">
        <v>228661</v>
      </c>
      <c r="E193" s="202" t="s">
        <v>1265</v>
      </c>
      <c r="F193" s="203"/>
      <c r="G193" s="202"/>
      <c r="H193" s="202"/>
      <c r="I193" s="202"/>
      <c r="J193" s="202">
        <v>0</v>
      </c>
      <c r="K193" s="202" t="s">
        <v>2902</v>
      </c>
      <c r="L193" s="202"/>
      <c r="M193" s="202" t="s">
        <v>1447</v>
      </c>
      <c r="N193" s="206">
        <v>43852</v>
      </c>
      <c r="O193" s="206">
        <v>43852</v>
      </c>
      <c r="P193" s="202" t="s">
        <v>2910</v>
      </c>
      <c r="Q193" s="203">
        <v>1000</v>
      </c>
      <c r="R193" s="203">
        <v>14040</v>
      </c>
      <c r="S193" s="204">
        <v>745.9</v>
      </c>
      <c r="T193" s="203">
        <v>14046</v>
      </c>
      <c r="U193" s="204">
        <v>174.05</v>
      </c>
      <c r="V193" s="204">
        <f t="shared" si="14"/>
        <v>571.84999999999991</v>
      </c>
      <c r="W193" s="205">
        <v>31.08</v>
      </c>
      <c r="X193" s="203">
        <v>51260</v>
      </c>
      <c r="Y193" s="204">
        <v>6.22</v>
      </c>
      <c r="Z193" s="202" t="s">
        <v>97</v>
      </c>
      <c r="AA193" s="202"/>
      <c r="AB193" s="202">
        <v>105183269</v>
      </c>
      <c r="AC193" s="202"/>
      <c r="AD193" s="202" t="s">
        <v>1152</v>
      </c>
      <c r="AE193" s="202" t="s">
        <v>1153</v>
      </c>
      <c r="AF193" s="203" t="s">
        <v>1154</v>
      </c>
      <c r="AG193" s="202"/>
      <c r="AH193" s="203" t="s">
        <v>1155</v>
      </c>
      <c r="AI193" s="202">
        <v>0</v>
      </c>
      <c r="AJ193" s="202">
        <v>0</v>
      </c>
    </row>
    <row r="194" spans="2:36">
      <c r="B194" s="203">
        <v>2180</v>
      </c>
      <c r="C194" s="207">
        <v>228661</v>
      </c>
      <c r="D194" s="203" t="s">
        <v>97</v>
      </c>
      <c r="E194" s="202" t="s">
        <v>1263</v>
      </c>
      <c r="F194" s="203"/>
      <c r="G194" s="202"/>
      <c r="H194" s="202" t="s">
        <v>2909</v>
      </c>
      <c r="I194" s="202"/>
      <c r="J194" s="202">
        <v>2020</v>
      </c>
      <c r="K194" s="202" t="s">
        <v>2290</v>
      </c>
      <c r="L194" s="202" t="s">
        <v>2785</v>
      </c>
      <c r="M194" s="202" t="s">
        <v>1999</v>
      </c>
      <c r="N194" s="206">
        <v>43862</v>
      </c>
      <c r="O194" s="206">
        <v>43862</v>
      </c>
      <c r="P194" s="202" t="s">
        <v>2908</v>
      </c>
      <c r="Q194" s="203">
        <v>1000</v>
      </c>
      <c r="R194" s="203">
        <v>14040</v>
      </c>
      <c r="S194" s="204">
        <v>350190.23</v>
      </c>
      <c r="T194" s="203">
        <v>14046</v>
      </c>
      <c r="U194" s="204">
        <v>81711.05</v>
      </c>
      <c r="V194" s="204">
        <f t="shared" si="14"/>
        <v>268479.18</v>
      </c>
      <c r="W194" s="205">
        <v>14591.26</v>
      </c>
      <c r="X194" s="203">
        <v>51260</v>
      </c>
      <c r="Y194" s="204">
        <v>2918.25</v>
      </c>
      <c r="Z194" s="202" t="s">
        <v>97</v>
      </c>
      <c r="AA194" s="202"/>
      <c r="AB194" s="202"/>
      <c r="AC194" s="202">
        <v>2060</v>
      </c>
      <c r="AD194" s="202" t="s">
        <v>1152</v>
      </c>
      <c r="AE194" s="202" t="s">
        <v>1153</v>
      </c>
      <c r="AF194" s="203" t="s">
        <v>1154</v>
      </c>
      <c r="AG194" s="202"/>
      <c r="AH194" s="203" t="s">
        <v>1155</v>
      </c>
      <c r="AI194" s="202">
        <v>0</v>
      </c>
      <c r="AJ194" s="202">
        <v>0</v>
      </c>
    </row>
    <row r="195" spans="2:36">
      <c r="B195" s="203">
        <v>2180</v>
      </c>
      <c r="C195" s="207">
        <v>228615</v>
      </c>
      <c r="D195" s="203" t="s">
        <v>97</v>
      </c>
      <c r="E195" s="202" t="s">
        <v>2907</v>
      </c>
      <c r="F195" s="203">
        <v>676</v>
      </c>
      <c r="G195" s="202"/>
      <c r="H195" s="202"/>
      <c r="I195" s="202"/>
      <c r="J195" s="202">
        <v>0</v>
      </c>
      <c r="K195" s="202" t="s">
        <v>2601</v>
      </c>
      <c r="L195" s="202"/>
      <c r="M195" s="202" t="s">
        <v>2846</v>
      </c>
      <c r="N195" s="206">
        <v>43872</v>
      </c>
      <c r="O195" s="206">
        <v>43872</v>
      </c>
      <c r="P195" s="202" t="s">
        <v>2906</v>
      </c>
      <c r="Q195" s="203">
        <v>700</v>
      </c>
      <c r="R195" s="203">
        <v>14050</v>
      </c>
      <c r="S195" s="204">
        <v>31941.26</v>
      </c>
      <c r="T195" s="203">
        <v>14056</v>
      </c>
      <c r="U195" s="204">
        <v>10647.09</v>
      </c>
      <c r="V195" s="204">
        <f t="shared" si="14"/>
        <v>21294.17</v>
      </c>
      <c r="W195" s="205">
        <v>1901.27</v>
      </c>
      <c r="X195" s="203">
        <v>54260</v>
      </c>
      <c r="Y195" s="204">
        <v>380.26</v>
      </c>
      <c r="Z195" s="202" t="s">
        <v>97</v>
      </c>
      <c r="AA195" s="202"/>
      <c r="AB195" s="202">
        <v>2502</v>
      </c>
      <c r="AC195" s="202"/>
      <c r="AD195" s="202" t="s">
        <v>1152</v>
      </c>
      <c r="AE195" s="202" t="s">
        <v>1153</v>
      </c>
      <c r="AF195" s="203" t="s">
        <v>1154</v>
      </c>
      <c r="AG195" s="202"/>
      <c r="AH195" s="203" t="s">
        <v>1155</v>
      </c>
      <c r="AI195" s="202">
        <v>0</v>
      </c>
      <c r="AJ195" s="202">
        <v>0</v>
      </c>
    </row>
    <row r="196" spans="2:36">
      <c r="B196" s="203">
        <v>2180</v>
      </c>
      <c r="C196" s="207">
        <v>228614</v>
      </c>
      <c r="D196" s="203" t="s">
        <v>97</v>
      </c>
      <c r="E196" s="202" t="s">
        <v>1262</v>
      </c>
      <c r="F196" s="203">
        <v>676</v>
      </c>
      <c r="G196" s="202"/>
      <c r="H196" s="202"/>
      <c r="I196" s="202"/>
      <c r="J196" s="202">
        <v>0</v>
      </c>
      <c r="K196" s="202" t="s">
        <v>2601</v>
      </c>
      <c r="L196" s="202"/>
      <c r="M196" s="202" t="s">
        <v>2846</v>
      </c>
      <c r="N196" s="206">
        <v>43872</v>
      </c>
      <c r="O196" s="206">
        <v>43872</v>
      </c>
      <c r="P196" s="202" t="s">
        <v>2905</v>
      </c>
      <c r="Q196" s="203">
        <v>700</v>
      </c>
      <c r="R196" s="203">
        <v>14050</v>
      </c>
      <c r="S196" s="204">
        <v>31941.26</v>
      </c>
      <c r="T196" s="203">
        <v>14056</v>
      </c>
      <c r="U196" s="204">
        <v>10647.09</v>
      </c>
      <c r="V196" s="204">
        <f t="shared" si="14"/>
        <v>21294.17</v>
      </c>
      <c r="W196" s="205">
        <v>1901.27</v>
      </c>
      <c r="X196" s="203">
        <v>54260</v>
      </c>
      <c r="Y196" s="204">
        <v>380.26</v>
      </c>
      <c r="Z196" s="202" t="s">
        <v>97</v>
      </c>
      <c r="AA196" s="202"/>
      <c r="AB196" s="202">
        <v>2502</v>
      </c>
      <c r="AC196" s="202"/>
      <c r="AD196" s="202" t="s">
        <v>1152</v>
      </c>
      <c r="AE196" s="202" t="s">
        <v>1153</v>
      </c>
      <c r="AF196" s="203" t="s">
        <v>1154</v>
      </c>
      <c r="AG196" s="202"/>
      <c r="AH196" s="203" t="s">
        <v>1155</v>
      </c>
      <c r="AI196" s="202">
        <v>0</v>
      </c>
      <c r="AJ196" s="202">
        <v>0</v>
      </c>
    </row>
    <row r="197" spans="2:36">
      <c r="B197" s="203">
        <v>2180</v>
      </c>
      <c r="C197" s="207">
        <v>228613</v>
      </c>
      <c r="D197" s="203" t="s">
        <v>97</v>
      </c>
      <c r="E197" s="202" t="s">
        <v>638</v>
      </c>
      <c r="F197" s="203">
        <v>676</v>
      </c>
      <c r="G197" s="202"/>
      <c r="H197" s="202"/>
      <c r="I197" s="202"/>
      <c r="J197" s="202">
        <v>0</v>
      </c>
      <c r="K197" s="202" t="s">
        <v>2601</v>
      </c>
      <c r="L197" s="202"/>
      <c r="M197" s="202" t="s">
        <v>2846</v>
      </c>
      <c r="N197" s="206">
        <v>43872</v>
      </c>
      <c r="O197" s="206">
        <v>43872</v>
      </c>
      <c r="P197" s="202" t="s">
        <v>2904</v>
      </c>
      <c r="Q197" s="203">
        <v>700</v>
      </c>
      <c r="R197" s="203">
        <v>14050</v>
      </c>
      <c r="S197" s="204">
        <v>31941.27</v>
      </c>
      <c r="T197" s="203">
        <v>14056</v>
      </c>
      <c r="U197" s="204">
        <v>10647.1</v>
      </c>
      <c r="V197" s="204">
        <f t="shared" si="14"/>
        <v>21294.17</v>
      </c>
      <c r="W197" s="205">
        <v>1901.27</v>
      </c>
      <c r="X197" s="203">
        <v>54260</v>
      </c>
      <c r="Y197" s="204">
        <v>380.26</v>
      </c>
      <c r="Z197" s="202" t="s">
        <v>97</v>
      </c>
      <c r="AA197" s="202"/>
      <c r="AB197" s="202">
        <v>2502</v>
      </c>
      <c r="AC197" s="202"/>
      <c r="AD197" s="202" t="s">
        <v>1152</v>
      </c>
      <c r="AE197" s="202" t="s">
        <v>1153</v>
      </c>
      <c r="AF197" s="203" t="s">
        <v>1154</v>
      </c>
      <c r="AG197" s="202"/>
      <c r="AH197" s="203" t="s">
        <v>1155</v>
      </c>
      <c r="AI197" s="202">
        <v>0</v>
      </c>
      <c r="AJ197" s="202">
        <v>0</v>
      </c>
    </row>
    <row r="198" spans="2:36">
      <c r="B198" s="203">
        <v>2180</v>
      </c>
      <c r="C198" s="207">
        <v>228259</v>
      </c>
      <c r="D198" s="203">
        <v>225681</v>
      </c>
      <c r="E198" s="202" t="s">
        <v>1261</v>
      </c>
      <c r="F198" s="203"/>
      <c r="G198" s="202"/>
      <c r="H198" s="202"/>
      <c r="I198" s="202"/>
      <c r="J198" s="202">
        <v>0</v>
      </c>
      <c r="K198" s="202"/>
      <c r="L198" s="202"/>
      <c r="M198" s="202" t="s">
        <v>1447</v>
      </c>
      <c r="N198" s="206">
        <v>43831</v>
      </c>
      <c r="O198" s="206">
        <v>43831</v>
      </c>
      <c r="P198" s="202" t="s">
        <v>2899</v>
      </c>
      <c r="Q198" s="203">
        <v>1000</v>
      </c>
      <c r="R198" s="203">
        <v>14040</v>
      </c>
      <c r="S198" s="204">
        <v>818.34</v>
      </c>
      <c r="T198" s="203">
        <v>14046</v>
      </c>
      <c r="U198" s="204">
        <v>197.76</v>
      </c>
      <c r="V198" s="204">
        <f t="shared" si="14"/>
        <v>620.58000000000004</v>
      </c>
      <c r="W198" s="205">
        <v>34.1</v>
      </c>
      <c r="X198" s="203">
        <v>51260</v>
      </c>
      <c r="Y198" s="204">
        <v>6.82</v>
      </c>
      <c r="Z198" s="202" t="s">
        <v>97</v>
      </c>
      <c r="AA198" s="202"/>
      <c r="AB198" s="202" t="s">
        <v>2903</v>
      </c>
      <c r="AC198" s="202"/>
      <c r="AD198" s="202" t="s">
        <v>1152</v>
      </c>
      <c r="AE198" s="202" t="s">
        <v>1153</v>
      </c>
      <c r="AF198" s="203" t="s">
        <v>1154</v>
      </c>
      <c r="AG198" s="202"/>
      <c r="AH198" s="203" t="s">
        <v>1155</v>
      </c>
      <c r="AI198" s="202">
        <v>0</v>
      </c>
      <c r="AJ198" s="202">
        <v>0</v>
      </c>
    </row>
    <row r="199" spans="2:36">
      <c r="B199" s="203">
        <v>2180</v>
      </c>
      <c r="C199" s="207">
        <v>228258</v>
      </c>
      <c r="D199" s="203">
        <v>225678</v>
      </c>
      <c r="E199" s="202" t="s">
        <v>1259</v>
      </c>
      <c r="F199" s="203"/>
      <c r="G199" s="202"/>
      <c r="H199" s="202"/>
      <c r="I199" s="202"/>
      <c r="J199" s="202">
        <v>0</v>
      </c>
      <c r="K199" s="202" t="s">
        <v>2901</v>
      </c>
      <c r="L199" s="202"/>
      <c r="M199" s="202" t="s">
        <v>1447</v>
      </c>
      <c r="N199" s="206">
        <v>43831</v>
      </c>
      <c r="O199" s="206">
        <v>43831</v>
      </c>
      <c r="P199" s="202" t="s">
        <v>2896</v>
      </c>
      <c r="Q199" s="203">
        <v>1000</v>
      </c>
      <c r="R199" s="203">
        <v>14040</v>
      </c>
      <c r="S199" s="204">
        <v>-995.67</v>
      </c>
      <c r="T199" s="203">
        <v>14046</v>
      </c>
      <c r="U199" s="204">
        <v>-240.63</v>
      </c>
      <c r="V199" s="204">
        <f t="shared" si="14"/>
        <v>-755.04</v>
      </c>
      <c r="W199" s="205">
        <v>-41.49</v>
      </c>
      <c r="X199" s="203">
        <v>51260</v>
      </c>
      <c r="Y199" s="204">
        <v>-8.3000000000000007</v>
      </c>
      <c r="Z199" s="202" t="s">
        <v>97</v>
      </c>
      <c r="AA199" s="202"/>
      <c r="AB199" s="202" t="s">
        <v>2900</v>
      </c>
      <c r="AC199" s="202"/>
      <c r="AD199" s="202" t="s">
        <v>1152</v>
      </c>
      <c r="AE199" s="202" t="s">
        <v>1153</v>
      </c>
      <c r="AF199" s="203" t="s">
        <v>1154</v>
      </c>
      <c r="AG199" s="202"/>
      <c r="AH199" s="203" t="s">
        <v>1155</v>
      </c>
      <c r="AI199" s="202">
        <v>0</v>
      </c>
      <c r="AJ199" s="202">
        <v>0</v>
      </c>
    </row>
    <row r="200" spans="2:36">
      <c r="B200" s="203">
        <v>2180</v>
      </c>
      <c r="C200" s="207">
        <v>228257</v>
      </c>
      <c r="D200" s="203">
        <v>225678</v>
      </c>
      <c r="E200" s="202" t="s">
        <v>1260</v>
      </c>
      <c r="F200" s="203"/>
      <c r="G200" s="202"/>
      <c r="H200" s="202"/>
      <c r="I200" s="202"/>
      <c r="J200" s="202">
        <v>0</v>
      </c>
      <c r="K200" s="202" t="s">
        <v>2902</v>
      </c>
      <c r="L200" s="202"/>
      <c r="M200" s="202" t="s">
        <v>1447</v>
      </c>
      <c r="N200" s="206">
        <v>43831</v>
      </c>
      <c r="O200" s="206">
        <v>43831</v>
      </c>
      <c r="P200" s="202" t="s">
        <v>2896</v>
      </c>
      <c r="Q200" s="203">
        <v>1000</v>
      </c>
      <c r="R200" s="203">
        <v>14040</v>
      </c>
      <c r="S200" s="204">
        <v>926.15</v>
      </c>
      <c r="T200" s="203">
        <v>14046</v>
      </c>
      <c r="U200" s="204">
        <v>223.83</v>
      </c>
      <c r="V200" s="204">
        <f t="shared" si="14"/>
        <v>702.31999999999994</v>
      </c>
      <c r="W200" s="205">
        <v>38.590000000000003</v>
      </c>
      <c r="X200" s="203">
        <v>51260</v>
      </c>
      <c r="Y200" s="204">
        <v>7.72</v>
      </c>
      <c r="Z200" s="202" t="s">
        <v>97</v>
      </c>
      <c r="AA200" s="202"/>
      <c r="AB200" s="202">
        <v>103000522</v>
      </c>
      <c r="AC200" s="202"/>
      <c r="AD200" s="202" t="s">
        <v>1152</v>
      </c>
      <c r="AE200" s="202" t="s">
        <v>1153</v>
      </c>
      <c r="AF200" s="203" t="s">
        <v>1154</v>
      </c>
      <c r="AG200" s="202"/>
      <c r="AH200" s="203" t="s">
        <v>1155</v>
      </c>
      <c r="AI200" s="202">
        <v>0</v>
      </c>
      <c r="AJ200" s="202">
        <v>0</v>
      </c>
    </row>
    <row r="201" spans="2:36">
      <c r="B201" s="203">
        <v>2180</v>
      </c>
      <c r="C201" s="207">
        <v>228256</v>
      </c>
      <c r="D201" s="203">
        <v>223827</v>
      </c>
      <c r="E201" s="202" t="s">
        <v>1259</v>
      </c>
      <c r="F201" s="203"/>
      <c r="G201" s="202"/>
      <c r="H201" s="202"/>
      <c r="I201" s="202"/>
      <c r="J201" s="202">
        <v>0</v>
      </c>
      <c r="K201" s="202" t="s">
        <v>2901</v>
      </c>
      <c r="L201" s="202"/>
      <c r="M201" s="202" t="s">
        <v>1447</v>
      </c>
      <c r="N201" s="206">
        <v>43831</v>
      </c>
      <c r="O201" s="206">
        <v>43831</v>
      </c>
      <c r="P201" s="202" t="s">
        <v>2895</v>
      </c>
      <c r="Q201" s="203">
        <v>1000</v>
      </c>
      <c r="R201" s="203">
        <v>14040</v>
      </c>
      <c r="S201" s="204">
        <v>995.67</v>
      </c>
      <c r="T201" s="203">
        <v>14046</v>
      </c>
      <c r="U201" s="204">
        <v>240.63</v>
      </c>
      <c r="V201" s="204">
        <f t="shared" si="14"/>
        <v>755.04</v>
      </c>
      <c r="W201" s="205">
        <v>41.49</v>
      </c>
      <c r="X201" s="203">
        <v>51260</v>
      </c>
      <c r="Y201" s="204">
        <v>8.3000000000000007</v>
      </c>
      <c r="Z201" s="202" t="s">
        <v>97</v>
      </c>
      <c r="AA201" s="202"/>
      <c r="AB201" s="202" t="s">
        <v>2900</v>
      </c>
      <c r="AC201" s="202"/>
      <c r="AD201" s="202" t="s">
        <v>1152</v>
      </c>
      <c r="AE201" s="202" t="s">
        <v>1153</v>
      </c>
      <c r="AF201" s="203" t="s">
        <v>1154</v>
      </c>
      <c r="AG201" s="202"/>
      <c r="AH201" s="203" t="s">
        <v>1155</v>
      </c>
      <c r="AI201" s="202">
        <v>0</v>
      </c>
      <c r="AJ201" s="202">
        <v>0</v>
      </c>
    </row>
    <row r="202" spans="2:36">
      <c r="B202" s="203">
        <v>2180</v>
      </c>
      <c r="C202" s="207">
        <v>227348</v>
      </c>
      <c r="D202" s="203">
        <v>225681</v>
      </c>
      <c r="E202" s="202" t="s">
        <v>1257</v>
      </c>
      <c r="F202" s="203"/>
      <c r="G202" s="202"/>
      <c r="H202" s="202"/>
      <c r="I202" s="202"/>
      <c r="J202" s="202">
        <v>0</v>
      </c>
      <c r="K202" s="202" t="s">
        <v>2744</v>
      </c>
      <c r="L202" s="202"/>
      <c r="M202" s="202" t="s">
        <v>1447</v>
      </c>
      <c r="N202" s="206">
        <v>43831</v>
      </c>
      <c r="O202" s="206">
        <v>43831</v>
      </c>
      <c r="P202" s="202" t="s">
        <v>2899</v>
      </c>
      <c r="Q202" s="203">
        <v>1000</v>
      </c>
      <c r="R202" s="203">
        <v>14040</v>
      </c>
      <c r="S202" s="204">
        <v>388.48</v>
      </c>
      <c r="T202" s="203">
        <v>14046</v>
      </c>
      <c r="U202" s="204">
        <v>93.89</v>
      </c>
      <c r="V202" s="204">
        <f t="shared" si="14"/>
        <v>294.59000000000003</v>
      </c>
      <c r="W202" s="205">
        <v>16.190000000000001</v>
      </c>
      <c r="X202" s="203">
        <v>51260</v>
      </c>
      <c r="Y202" s="204">
        <v>3.24</v>
      </c>
      <c r="Z202" s="202" t="s">
        <v>97</v>
      </c>
      <c r="AA202" s="202"/>
      <c r="AB202" s="202">
        <v>721</v>
      </c>
      <c r="AC202" s="202"/>
      <c r="AD202" s="202" t="s">
        <v>1152</v>
      </c>
      <c r="AE202" s="202" t="s">
        <v>1153</v>
      </c>
      <c r="AF202" s="203" t="s">
        <v>1154</v>
      </c>
      <c r="AG202" s="202"/>
      <c r="AH202" s="203" t="s">
        <v>1155</v>
      </c>
      <c r="AI202" s="202">
        <v>0</v>
      </c>
      <c r="AJ202" s="202">
        <v>0</v>
      </c>
    </row>
    <row r="203" spans="2:36">
      <c r="B203" s="203">
        <v>2180</v>
      </c>
      <c r="C203" s="207">
        <v>227347</v>
      </c>
      <c r="D203" s="203">
        <v>223828</v>
      </c>
      <c r="E203" s="202" t="s">
        <v>1349</v>
      </c>
      <c r="F203" s="203"/>
      <c r="G203" s="202"/>
      <c r="H203" s="202"/>
      <c r="I203" s="202"/>
      <c r="J203" s="202">
        <v>0</v>
      </c>
      <c r="K203" s="202" t="s">
        <v>2744</v>
      </c>
      <c r="L203" s="202"/>
      <c r="M203" s="202" t="s">
        <v>1447</v>
      </c>
      <c r="N203" s="206">
        <v>43831</v>
      </c>
      <c r="O203" s="206">
        <v>43831</v>
      </c>
      <c r="P203" s="202" t="s">
        <v>2898</v>
      </c>
      <c r="Q203" s="203">
        <v>1000</v>
      </c>
      <c r="R203" s="203">
        <v>14040</v>
      </c>
      <c r="S203" s="204">
        <v>174.88</v>
      </c>
      <c r="T203" s="203">
        <v>14046</v>
      </c>
      <c r="U203" s="204">
        <v>42.27</v>
      </c>
      <c r="V203" s="204">
        <f t="shared" si="14"/>
        <v>132.60999999999999</v>
      </c>
      <c r="W203" s="205">
        <v>7.29</v>
      </c>
      <c r="X203" s="203">
        <v>51260</v>
      </c>
      <c r="Y203" s="204">
        <v>1.46</v>
      </c>
      <c r="Z203" s="202" t="s">
        <v>97</v>
      </c>
      <c r="AA203" s="202"/>
      <c r="AB203" s="202">
        <v>719</v>
      </c>
      <c r="AC203" s="202"/>
      <c r="AD203" s="202" t="s">
        <v>1152</v>
      </c>
      <c r="AE203" s="202" t="s">
        <v>1153</v>
      </c>
      <c r="AF203" s="203" t="s">
        <v>1154</v>
      </c>
      <c r="AG203" s="202"/>
      <c r="AH203" s="203" t="s">
        <v>1155</v>
      </c>
      <c r="AI203" s="202">
        <v>0</v>
      </c>
      <c r="AJ203" s="202">
        <v>0</v>
      </c>
    </row>
    <row r="204" spans="2:36">
      <c r="B204" s="203">
        <v>2180</v>
      </c>
      <c r="C204" s="207">
        <v>227346</v>
      </c>
      <c r="D204" s="203">
        <v>225679</v>
      </c>
      <c r="E204" s="202" t="s">
        <v>1257</v>
      </c>
      <c r="F204" s="203"/>
      <c r="G204" s="202"/>
      <c r="H204" s="202"/>
      <c r="I204" s="202"/>
      <c r="J204" s="202">
        <v>0</v>
      </c>
      <c r="K204" s="202" t="s">
        <v>2744</v>
      </c>
      <c r="L204" s="202"/>
      <c r="M204" s="202" t="s">
        <v>1447</v>
      </c>
      <c r="N204" s="206">
        <v>43831</v>
      </c>
      <c r="O204" s="206">
        <v>43831</v>
      </c>
      <c r="P204" s="202" t="s">
        <v>2897</v>
      </c>
      <c r="Q204" s="203">
        <v>1000</v>
      </c>
      <c r="R204" s="203">
        <v>14040</v>
      </c>
      <c r="S204" s="204">
        <v>388.48</v>
      </c>
      <c r="T204" s="203">
        <v>14046</v>
      </c>
      <c r="U204" s="204">
        <v>93.89</v>
      </c>
      <c r="V204" s="204">
        <f t="shared" si="14"/>
        <v>294.59000000000003</v>
      </c>
      <c r="W204" s="205">
        <v>16.190000000000001</v>
      </c>
      <c r="X204" s="203">
        <v>51260</v>
      </c>
      <c r="Y204" s="204">
        <v>3.24</v>
      </c>
      <c r="Z204" s="202" t="s">
        <v>97</v>
      </c>
      <c r="AA204" s="202"/>
      <c r="AB204" s="202">
        <v>720</v>
      </c>
      <c r="AC204" s="202"/>
      <c r="AD204" s="202" t="s">
        <v>1152</v>
      </c>
      <c r="AE204" s="202" t="s">
        <v>1153</v>
      </c>
      <c r="AF204" s="203" t="s">
        <v>1154</v>
      </c>
      <c r="AG204" s="202"/>
      <c r="AH204" s="203" t="s">
        <v>1155</v>
      </c>
      <c r="AI204" s="202">
        <v>0</v>
      </c>
      <c r="AJ204" s="202">
        <v>0</v>
      </c>
    </row>
    <row r="205" spans="2:36">
      <c r="B205" s="203">
        <v>2180</v>
      </c>
      <c r="C205" s="207">
        <v>227345</v>
      </c>
      <c r="D205" s="203">
        <v>225678</v>
      </c>
      <c r="E205" s="202" t="s">
        <v>1256</v>
      </c>
      <c r="F205" s="203"/>
      <c r="G205" s="202"/>
      <c r="H205" s="202"/>
      <c r="I205" s="202"/>
      <c r="J205" s="202">
        <v>0</v>
      </c>
      <c r="K205" s="202" t="s">
        <v>2744</v>
      </c>
      <c r="L205" s="202"/>
      <c r="M205" s="202" t="s">
        <v>1447</v>
      </c>
      <c r="N205" s="206">
        <v>43831</v>
      </c>
      <c r="O205" s="206">
        <v>43831</v>
      </c>
      <c r="P205" s="202" t="s">
        <v>2896</v>
      </c>
      <c r="Q205" s="203">
        <v>1000</v>
      </c>
      <c r="R205" s="203">
        <v>14040</v>
      </c>
      <c r="S205" s="204">
        <v>535.35</v>
      </c>
      <c r="T205" s="203">
        <v>14046</v>
      </c>
      <c r="U205" s="204">
        <v>129.38999999999999</v>
      </c>
      <c r="V205" s="204">
        <f t="shared" si="14"/>
        <v>405.96000000000004</v>
      </c>
      <c r="W205" s="205">
        <v>22.31</v>
      </c>
      <c r="X205" s="203">
        <v>51260</v>
      </c>
      <c r="Y205" s="204">
        <v>4.46</v>
      </c>
      <c r="Z205" s="202" t="s">
        <v>97</v>
      </c>
      <c r="AA205" s="202"/>
      <c r="AB205" s="202">
        <v>722</v>
      </c>
      <c r="AC205" s="202"/>
      <c r="AD205" s="202" t="s">
        <v>1152</v>
      </c>
      <c r="AE205" s="202" t="s">
        <v>1153</v>
      </c>
      <c r="AF205" s="203" t="s">
        <v>1154</v>
      </c>
      <c r="AG205" s="202"/>
      <c r="AH205" s="203" t="s">
        <v>1155</v>
      </c>
      <c r="AI205" s="202">
        <v>0</v>
      </c>
      <c r="AJ205" s="202">
        <v>0</v>
      </c>
    </row>
    <row r="206" spans="2:36">
      <c r="B206" s="203">
        <v>2180</v>
      </c>
      <c r="C206" s="207">
        <v>227344</v>
      </c>
      <c r="D206" s="203">
        <v>223827</v>
      </c>
      <c r="E206" s="202" t="s">
        <v>1256</v>
      </c>
      <c r="F206" s="203"/>
      <c r="G206" s="202"/>
      <c r="H206" s="202"/>
      <c r="I206" s="202"/>
      <c r="J206" s="202">
        <v>0</v>
      </c>
      <c r="K206" s="202" t="s">
        <v>2744</v>
      </c>
      <c r="L206" s="202"/>
      <c r="M206" s="202" t="s">
        <v>1447</v>
      </c>
      <c r="N206" s="206">
        <v>43831</v>
      </c>
      <c r="O206" s="206">
        <v>43831</v>
      </c>
      <c r="P206" s="202" t="s">
        <v>2895</v>
      </c>
      <c r="Q206" s="203">
        <v>1000</v>
      </c>
      <c r="R206" s="203">
        <v>14040</v>
      </c>
      <c r="S206" s="204">
        <v>535.35</v>
      </c>
      <c r="T206" s="203">
        <v>14046</v>
      </c>
      <c r="U206" s="204">
        <v>129.38999999999999</v>
      </c>
      <c r="V206" s="204">
        <f t="shared" ref="V206:V269" si="15">S206-U206</f>
        <v>405.96000000000004</v>
      </c>
      <c r="W206" s="205">
        <v>22.31</v>
      </c>
      <c r="X206" s="203">
        <v>51260</v>
      </c>
      <c r="Y206" s="204">
        <v>4.46</v>
      </c>
      <c r="Z206" s="202" t="s">
        <v>97</v>
      </c>
      <c r="AA206" s="202"/>
      <c r="AB206" s="202">
        <v>723</v>
      </c>
      <c r="AC206" s="202"/>
      <c r="AD206" s="202" t="s">
        <v>1152</v>
      </c>
      <c r="AE206" s="202" t="s">
        <v>1153</v>
      </c>
      <c r="AF206" s="203" t="s">
        <v>1154</v>
      </c>
      <c r="AG206" s="202"/>
      <c r="AH206" s="203" t="s">
        <v>1155</v>
      </c>
      <c r="AI206" s="202">
        <v>0</v>
      </c>
      <c r="AJ206" s="202">
        <v>0</v>
      </c>
    </row>
    <row r="207" spans="2:36">
      <c r="B207" s="203">
        <v>2180</v>
      </c>
      <c r="C207" s="207">
        <v>225820</v>
      </c>
      <c r="D207" s="203" t="s">
        <v>97</v>
      </c>
      <c r="E207" s="202" t="s">
        <v>639</v>
      </c>
      <c r="F207" s="203">
        <v>936</v>
      </c>
      <c r="G207" s="202"/>
      <c r="H207" s="202"/>
      <c r="I207" s="202"/>
      <c r="J207" s="202">
        <v>0</v>
      </c>
      <c r="K207" s="202" t="s">
        <v>2445</v>
      </c>
      <c r="L207" s="202"/>
      <c r="M207" s="202" t="s">
        <v>2846</v>
      </c>
      <c r="N207" s="206">
        <v>43739</v>
      </c>
      <c r="O207" s="206">
        <v>43739</v>
      </c>
      <c r="P207" s="202" t="s">
        <v>2894</v>
      </c>
      <c r="Q207" s="203">
        <v>700</v>
      </c>
      <c r="R207" s="203">
        <v>14050</v>
      </c>
      <c r="S207" s="204">
        <v>37525.4</v>
      </c>
      <c r="T207" s="203">
        <v>14056</v>
      </c>
      <c r="U207" s="204">
        <v>14295.36</v>
      </c>
      <c r="V207" s="204">
        <f t="shared" si="15"/>
        <v>23230.04</v>
      </c>
      <c r="W207" s="205">
        <v>2233.65</v>
      </c>
      <c r="X207" s="203">
        <v>54260</v>
      </c>
      <c r="Y207" s="204">
        <v>446.73</v>
      </c>
      <c r="Z207" s="202" t="s">
        <v>97</v>
      </c>
      <c r="AA207" s="202"/>
      <c r="AB207" s="202">
        <v>50051524</v>
      </c>
      <c r="AC207" s="202"/>
      <c r="AD207" s="202" t="s">
        <v>1152</v>
      </c>
      <c r="AE207" s="202" t="s">
        <v>1153</v>
      </c>
      <c r="AF207" s="203" t="s">
        <v>1154</v>
      </c>
      <c r="AG207" s="202"/>
      <c r="AH207" s="203" t="s">
        <v>1155</v>
      </c>
      <c r="AI207" s="202">
        <v>0</v>
      </c>
      <c r="AJ207" s="202">
        <v>0</v>
      </c>
    </row>
    <row r="208" spans="2:36">
      <c r="B208" s="203">
        <v>2180</v>
      </c>
      <c r="C208" s="207">
        <v>225681</v>
      </c>
      <c r="D208" s="203" t="s">
        <v>97</v>
      </c>
      <c r="E208" s="202" t="s">
        <v>1297</v>
      </c>
      <c r="F208" s="203"/>
      <c r="G208" s="202"/>
      <c r="H208" s="202" t="s">
        <v>2893</v>
      </c>
      <c r="I208" s="202"/>
      <c r="J208" s="202">
        <v>2020</v>
      </c>
      <c r="K208" s="202" t="s">
        <v>2290</v>
      </c>
      <c r="L208" s="202" t="s">
        <v>2635</v>
      </c>
      <c r="M208" s="202" t="s">
        <v>1394</v>
      </c>
      <c r="N208" s="206">
        <v>43818</v>
      </c>
      <c r="O208" s="206">
        <v>43818</v>
      </c>
      <c r="P208" s="202" t="s">
        <v>2892</v>
      </c>
      <c r="Q208" s="203">
        <v>1000</v>
      </c>
      <c r="R208" s="203">
        <v>14040</v>
      </c>
      <c r="S208" s="204">
        <v>306072.98</v>
      </c>
      <c r="T208" s="203">
        <v>14046</v>
      </c>
      <c r="U208" s="204">
        <v>73967.64</v>
      </c>
      <c r="V208" s="204">
        <f t="shared" si="15"/>
        <v>232105.33999999997</v>
      </c>
      <c r="W208" s="205">
        <v>12753.04</v>
      </c>
      <c r="X208" s="203">
        <v>51260</v>
      </c>
      <c r="Y208" s="204">
        <v>2550.61</v>
      </c>
      <c r="Z208" s="202" t="s">
        <v>97</v>
      </c>
      <c r="AA208" s="202"/>
      <c r="AB208" s="202"/>
      <c r="AC208" s="202">
        <v>1086</v>
      </c>
      <c r="AD208" s="202" t="s">
        <v>1152</v>
      </c>
      <c r="AE208" s="202" t="s">
        <v>1153</v>
      </c>
      <c r="AF208" s="203" t="s">
        <v>1154</v>
      </c>
      <c r="AG208" s="202"/>
      <c r="AH208" s="203" t="s">
        <v>1155</v>
      </c>
      <c r="AI208" s="202">
        <v>0</v>
      </c>
      <c r="AJ208" s="202">
        <v>0</v>
      </c>
    </row>
    <row r="209" spans="2:36">
      <c r="B209" s="203">
        <v>2180</v>
      </c>
      <c r="C209" s="207">
        <v>225680</v>
      </c>
      <c r="D209" s="203" t="s">
        <v>97</v>
      </c>
      <c r="E209" s="202" t="s">
        <v>2891</v>
      </c>
      <c r="F209" s="203"/>
      <c r="G209" s="202"/>
      <c r="H209" s="202" t="s">
        <v>2890</v>
      </c>
      <c r="I209" s="202"/>
      <c r="J209" s="202">
        <v>2020</v>
      </c>
      <c r="K209" s="202" t="s">
        <v>2290</v>
      </c>
      <c r="L209" s="202" t="s">
        <v>2476</v>
      </c>
      <c r="M209" s="202" t="s">
        <v>1824</v>
      </c>
      <c r="N209" s="206">
        <v>43794</v>
      </c>
      <c r="O209" s="206">
        <v>43794</v>
      </c>
      <c r="P209" s="202" t="s">
        <v>2889</v>
      </c>
      <c r="Q209" s="203">
        <v>1000</v>
      </c>
      <c r="R209" s="203">
        <v>14040</v>
      </c>
      <c r="S209" s="204">
        <v>270731.48</v>
      </c>
      <c r="T209" s="203">
        <v>14046</v>
      </c>
      <c r="U209" s="204">
        <v>67682.880000000005</v>
      </c>
      <c r="V209" s="204">
        <f t="shared" si="15"/>
        <v>203048.59999999998</v>
      </c>
      <c r="W209" s="205">
        <v>11280.48</v>
      </c>
      <c r="X209" s="203">
        <v>51260</v>
      </c>
      <c r="Y209" s="204">
        <v>2256.1</v>
      </c>
      <c r="Z209" s="202" t="s">
        <v>97</v>
      </c>
      <c r="AA209" s="202"/>
      <c r="AB209" s="202"/>
      <c r="AC209" s="202">
        <v>4088</v>
      </c>
      <c r="AD209" s="202" t="s">
        <v>1152</v>
      </c>
      <c r="AE209" s="202" t="s">
        <v>1153</v>
      </c>
      <c r="AF209" s="203" t="s">
        <v>1154</v>
      </c>
      <c r="AG209" s="202"/>
      <c r="AH209" s="203" t="s">
        <v>1155</v>
      </c>
      <c r="AI209" s="202">
        <v>0</v>
      </c>
      <c r="AJ209" s="202">
        <v>0</v>
      </c>
    </row>
    <row r="210" spans="2:36">
      <c r="B210" s="203">
        <v>2180</v>
      </c>
      <c r="C210" s="207">
        <v>225679</v>
      </c>
      <c r="D210" s="203" t="s">
        <v>97</v>
      </c>
      <c r="E210" s="202" t="s">
        <v>1297</v>
      </c>
      <c r="F210" s="203"/>
      <c r="G210" s="202"/>
      <c r="H210" s="202" t="s">
        <v>2888</v>
      </c>
      <c r="I210" s="202"/>
      <c r="J210" s="202">
        <v>2020</v>
      </c>
      <c r="K210" s="202" t="s">
        <v>2290</v>
      </c>
      <c r="L210" s="202" t="s">
        <v>2635</v>
      </c>
      <c r="M210" s="202" t="s">
        <v>1394</v>
      </c>
      <c r="N210" s="206">
        <v>43812</v>
      </c>
      <c r="O210" s="206">
        <v>43812</v>
      </c>
      <c r="P210" s="202" t="s">
        <v>2887</v>
      </c>
      <c r="Q210" s="203">
        <v>1000</v>
      </c>
      <c r="R210" s="203">
        <v>14040</v>
      </c>
      <c r="S210" s="204">
        <v>305751.65000000002</v>
      </c>
      <c r="T210" s="203">
        <v>14046</v>
      </c>
      <c r="U210" s="204">
        <v>76437.820000000007</v>
      </c>
      <c r="V210" s="204">
        <f t="shared" si="15"/>
        <v>229313.83000000002</v>
      </c>
      <c r="W210" s="205">
        <v>12739.65</v>
      </c>
      <c r="X210" s="203">
        <v>51260</v>
      </c>
      <c r="Y210" s="204">
        <v>2547.9299999999998</v>
      </c>
      <c r="Z210" s="202" t="s">
        <v>97</v>
      </c>
      <c r="AA210" s="202"/>
      <c r="AB210" s="202"/>
      <c r="AC210" s="202">
        <v>1085</v>
      </c>
      <c r="AD210" s="202" t="s">
        <v>1152</v>
      </c>
      <c r="AE210" s="202" t="s">
        <v>1153</v>
      </c>
      <c r="AF210" s="203" t="s">
        <v>1154</v>
      </c>
      <c r="AG210" s="202"/>
      <c r="AH210" s="203" t="s">
        <v>1155</v>
      </c>
      <c r="AI210" s="202">
        <v>0</v>
      </c>
      <c r="AJ210" s="202">
        <v>0</v>
      </c>
    </row>
    <row r="211" spans="2:36">
      <c r="B211" s="203">
        <v>2180</v>
      </c>
      <c r="C211" s="207">
        <v>225678</v>
      </c>
      <c r="D211" s="203" t="s">
        <v>97</v>
      </c>
      <c r="E211" s="202" t="s">
        <v>1274</v>
      </c>
      <c r="F211" s="203"/>
      <c r="G211" s="202"/>
      <c r="H211" s="202" t="s">
        <v>2886</v>
      </c>
      <c r="I211" s="202"/>
      <c r="J211" s="202">
        <v>2020</v>
      </c>
      <c r="K211" s="202" t="s">
        <v>2290</v>
      </c>
      <c r="L211" s="202" t="s">
        <v>2883</v>
      </c>
      <c r="M211" s="202" t="s">
        <v>1404</v>
      </c>
      <c r="N211" s="206">
        <v>43792</v>
      </c>
      <c r="O211" s="206">
        <v>43792</v>
      </c>
      <c r="P211" s="202" t="s">
        <v>2885</v>
      </c>
      <c r="Q211" s="203">
        <v>1000</v>
      </c>
      <c r="R211" s="203">
        <v>14040</v>
      </c>
      <c r="S211" s="204">
        <v>368277.14</v>
      </c>
      <c r="T211" s="203">
        <v>14046</v>
      </c>
      <c r="U211" s="204">
        <v>92069.28</v>
      </c>
      <c r="V211" s="204">
        <f t="shared" si="15"/>
        <v>276207.86</v>
      </c>
      <c r="W211" s="205">
        <v>15344.88</v>
      </c>
      <c r="X211" s="203">
        <v>51260</v>
      </c>
      <c r="Y211" s="204">
        <v>3068.98</v>
      </c>
      <c r="Z211" s="202" t="s">
        <v>97</v>
      </c>
      <c r="AA211" s="202"/>
      <c r="AB211" s="202"/>
      <c r="AC211" s="202">
        <v>3700</v>
      </c>
      <c r="AD211" s="202" t="s">
        <v>1152</v>
      </c>
      <c r="AE211" s="202" t="s">
        <v>1153</v>
      </c>
      <c r="AF211" s="203" t="s">
        <v>1154</v>
      </c>
      <c r="AG211" s="202"/>
      <c r="AH211" s="203" t="s">
        <v>1155</v>
      </c>
      <c r="AI211" s="202">
        <v>0</v>
      </c>
      <c r="AJ211" s="202">
        <v>0</v>
      </c>
    </row>
    <row r="212" spans="2:36">
      <c r="B212" s="203">
        <v>2180</v>
      </c>
      <c r="C212" s="207">
        <v>225677</v>
      </c>
      <c r="D212" s="203" t="s">
        <v>97</v>
      </c>
      <c r="E212" s="202" t="s">
        <v>1274</v>
      </c>
      <c r="F212" s="203"/>
      <c r="G212" s="202"/>
      <c r="H212" s="202" t="s">
        <v>2884</v>
      </c>
      <c r="I212" s="202"/>
      <c r="J212" s="202">
        <v>2020</v>
      </c>
      <c r="K212" s="202" t="s">
        <v>2290</v>
      </c>
      <c r="L212" s="202" t="s">
        <v>2883</v>
      </c>
      <c r="M212" s="202" t="s">
        <v>1404</v>
      </c>
      <c r="N212" s="206">
        <v>43789</v>
      </c>
      <c r="O212" s="206">
        <v>43789</v>
      </c>
      <c r="P212" s="202" t="s">
        <v>2882</v>
      </c>
      <c r="Q212" s="203">
        <v>1000</v>
      </c>
      <c r="R212" s="203">
        <v>14040</v>
      </c>
      <c r="S212" s="204">
        <v>367858.22</v>
      </c>
      <c r="T212" s="203">
        <v>14046</v>
      </c>
      <c r="U212" s="204">
        <v>91964.56</v>
      </c>
      <c r="V212" s="204">
        <f t="shared" si="15"/>
        <v>275893.65999999997</v>
      </c>
      <c r="W212" s="205">
        <v>15327.43</v>
      </c>
      <c r="X212" s="203">
        <v>51260</v>
      </c>
      <c r="Y212" s="204">
        <v>3065.49</v>
      </c>
      <c r="Z212" s="202" t="s">
        <v>97</v>
      </c>
      <c r="AA212" s="202"/>
      <c r="AB212" s="202"/>
      <c r="AC212" s="202">
        <v>3699</v>
      </c>
      <c r="AD212" s="202" t="s">
        <v>1152</v>
      </c>
      <c r="AE212" s="202" t="s">
        <v>1153</v>
      </c>
      <c r="AF212" s="203" t="s">
        <v>1154</v>
      </c>
      <c r="AG212" s="202"/>
      <c r="AH212" s="203" t="s">
        <v>1155</v>
      </c>
      <c r="AI212" s="202">
        <v>0</v>
      </c>
      <c r="AJ212" s="202">
        <v>0</v>
      </c>
    </row>
    <row r="213" spans="2:36">
      <c r="B213" s="203">
        <v>2180</v>
      </c>
      <c r="C213" s="207">
        <v>225386</v>
      </c>
      <c r="D213" s="203" t="s">
        <v>97</v>
      </c>
      <c r="E213" s="202" t="s">
        <v>2881</v>
      </c>
      <c r="F213" s="203">
        <v>5</v>
      </c>
      <c r="G213" s="202"/>
      <c r="H213" s="202"/>
      <c r="I213" s="202"/>
      <c r="J213" s="202">
        <v>0</v>
      </c>
      <c r="K213" s="202" t="s">
        <v>2041</v>
      </c>
      <c r="L213" s="202"/>
      <c r="M213" s="202" t="s">
        <v>1417</v>
      </c>
      <c r="N213" s="206">
        <v>43810</v>
      </c>
      <c r="O213" s="206">
        <v>43810</v>
      </c>
      <c r="P213" s="202" t="s">
        <v>2880</v>
      </c>
      <c r="Q213" s="203">
        <v>1200</v>
      </c>
      <c r="R213" s="203">
        <v>14050</v>
      </c>
      <c r="S213" s="204">
        <v>39000</v>
      </c>
      <c r="T213" s="203">
        <v>14056</v>
      </c>
      <c r="U213" s="204">
        <v>8125</v>
      </c>
      <c r="V213" s="204">
        <f t="shared" si="15"/>
        <v>30875</v>
      </c>
      <c r="W213" s="205">
        <v>1354.17</v>
      </c>
      <c r="X213" s="203">
        <v>54260</v>
      </c>
      <c r="Y213" s="204">
        <v>270.83999999999997</v>
      </c>
      <c r="Z213" s="202" t="s">
        <v>97</v>
      </c>
      <c r="AA213" s="202"/>
      <c r="AB213" s="202">
        <v>158068</v>
      </c>
      <c r="AC213" s="202"/>
      <c r="AD213" s="202" t="s">
        <v>1152</v>
      </c>
      <c r="AE213" s="202" t="s">
        <v>1153</v>
      </c>
      <c r="AF213" s="203" t="s">
        <v>1154</v>
      </c>
      <c r="AG213" s="202"/>
      <c r="AH213" s="203" t="s">
        <v>1155</v>
      </c>
      <c r="AI213" s="202">
        <v>0</v>
      </c>
      <c r="AJ213" s="202">
        <v>0</v>
      </c>
    </row>
    <row r="214" spans="2:36">
      <c r="B214" s="203">
        <v>2180</v>
      </c>
      <c r="C214" s="207">
        <v>225385</v>
      </c>
      <c r="D214" s="203" t="s">
        <v>97</v>
      </c>
      <c r="E214" s="202" t="s">
        <v>2879</v>
      </c>
      <c r="F214" s="203">
        <v>8</v>
      </c>
      <c r="G214" s="202"/>
      <c r="H214" s="202"/>
      <c r="I214" s="202"/>
      <c r="J214" s="202">
        <v>0</v>
      </c>
      <c r="K214" s="202" t="s">
        <v>2041</v>
      </c>
      <c r="L214" s="202"/>
      <c r="M214" s="202" t="s">
        <v>1458</v>
      </c>
      <c r="N214" s="206">
        <v>43810</v>
      </c>
      <c r="O214" s="206">
        <v>43810</v>
      </c>
      <c r="P214" s="202" t="s">
        <v>2878</v>
      </c>
      <c r="Q214" s="203">
        <v>1200</v>
      </c>
      <c r="R214" s="203">
        <v>14050</v>
      </c>
      <c r="S214" s="204">
        <v>48800</v>
      </c>
      <c r="T214" s="203">
        <v>14056</v>
      </c>
      <c r="U214" s="204">
        <v>10166.68</v>
      </c>
      <c r="V214" s="204">
        <f t="shared" si="15"/>
        <v>38633.32</v>
      </c>
      <c r="W214" s="205">
        <v>1694.45</v>
      </c>
      <c r="X214" s="203">
        <v>54260</v>
      </c>
      <c r="Y214" s="204">
        <v>338.89</v>
      </c>
      <c r="Z214" s="202" t="s">
        <v>97</v>
      </c>
      <c r="AA214" s="202"/>
      <c r="AB214" s="202">
        <v>158067</v>
      </c>
      <c r="AC214" s="202"/>
      <c r="AD214" s="202" t="s">
        <v>1152</v>
      </c>
      <c r="AE214" s="202" t="s">
        <v>1153</v>
      </c>
      <c r="AF214" s="203" t="s">
        <v>1154</v>
      </c>
      <c r="AG214" s="202"/>
      <c r="AH214" s="203" t="s">
        <v>1155</v>
      </c>
      <c r="AI214" s="202">
        <v>0</v>
      </c>
      <c r="AJ214" s="202">
        <v>0</v>
      </c>
    </row>
    <row r="215" spans="2:36">
      <c r="B215" s="203">
        <v>2180</v>
      </c>
      <c r="C215" s="207">
        <v>223828</v>
      </c>
      <c r="D215" s="203" t="s">
        <v>97</v>
      </c>
      <c r="E215" s="202" t="s">
        <v>2877</v>
      </c>
      <c r="F215" s="203"/>
      <c r="G215" s="202"/>
      <c r="H215" s="202" t="s">
        <v>2876</v>
      </c>
      <c r="I215" s="202"/>
      <c r="J215" s="202">
        <v>2019</v>
      </c>
      <c r="K215" s="202" t="s">
        <v>2290</v>
      </c>
      <c r="L215" s="202" t="s">
        <v>2875</v>
      </c>
      <c r="M215" s="202" t="s">
        <v>1824</v>
      </c>
      <c r="N215" s="206">
        <v>43770</v>
      </c>
      <c r="O215" s="206">
        <v>43770</v>
      </c>
      <c r="P215" s="202" t="s">
        <v>2874</v>
      </c>
      <c r="Q215" s="203">
        <v>1000</v>
      </c>
      <c r="R215" s="203">
        <v>14040</v>
      </c>
      <c r="S215" s="204">
        <v>269330.87</v>
      </c>
      <c r="T215" s="203">
        <v>14046</v>
      </c>
      <c r="U215" s="204">
        <v>69577.149999999994</v>
      </c>
      <c r="V215" s="204">
        <f t="shared" si="15"/>
        <v>199753.72</v>
      </c>
      <c r="W215" s="205">
        <v>11222.12</v>
      </c>
      <c r="X215" s="203">
        <v>51260</v>
      </c>
      <c r="Y215" s="204">
        <v>2244.42</v>
      </c>
      <c r="Z215" s="202" t="s">
        <v>97</v>
      </c>
      <c r="AA215" s="202"/>
      <c r="AB215" s="202"/>
      <c r="AC215" s="202">
        <v>4087</v>
      </c>
      <c r="AD215" s="202" t="s">
        <v>1152</v>
      </c>
      <c r="AE215" s="202" t="s">
        <v>1153</v>
      </c>
      <c r="AF215" s="203" t="s">
        <v>1154</v>
      </c>
      <c r="AG215" s="202"/>
      <c r="AH215" s="203" t="s">
        <v>1155</v>
      </c>
      <c r="AI215" s="202">
        <v>0</v>
      </c>
      <c r="AJ215" s="202">
        <v>0</v>
      </c>
    </row>
    <row r="216" spans="2:36">
      <c r="B216" s="203">
        <v>2180</v>
      </c>
      <c r="C216" s="207">
        <v>223827</v>
      </c>
      <c r="D216" s="203" t="s">
        <v>97</v>
      </c>
      <c r="E216" s="202" t="s">
        <v>1274</v>
      </c>
      <c r="F216" s="203"/>
      <c r="G216" s="202"/>
      <c r="H216" s="202" t="s">
        <v>2873</v>
      </c>
      <c r="I216" s="202"/>
      <c r="J216" s="202">
        <v>2020</v>
      </c>
      <c r="K216" s="202" t="s">
        <v>2290</v>
      </c>
      <c r="L216" s="202" t="s">
        <v>2413</v>
      </c>
      <c r="M216" s="202" t="s">
        <v>1404</v>
      </c>
      <c r="N216" s="206">
        <v>43770</v>
      </c>
      <c r="O216" s="206">
        <v>43770</v>
      </c>
      <c r="P216" s="202" t="s">
        <v>2872</v>
      </c>
      <c r="Q216" s="203">
        <v>1000</v>
      </c>
      <c r="R216" s="203">
        <v>14040</v>
      </c>
      <c r="S216" s="204">
        <v>367281.47</v>
      </c>
      <c r="T216" s="203">
        <v>14046</v>
      </c>
      <c r="U216" s="204">
        <v>94881.06</v>
      </c>
      <c r="V216" s="204">
        <f t="shared" si="15"/>
        <v>272400.40999999997</v>
      </c>
      <c r="W216" s="205">
        <v>15303.4</v>
      </c>
      <c r="X216" s="203">
        <v>51260</v>
      </c>
      <c r="Y216" s="204">
        <v>3060.68</v>
      </c>
      <c r="Z216" s="202" t="s">
        <v>97</v>
      </c>
      <c r="AA216" s="202"/>
      <c r="AB216" s="202"/>
      <c r="AC216" s="202">
        <v>3698</v>
      </c>
      <c r="AD216" s="202" t="s">
        <v>1152</v>
      </c>
      <c r="AE216" s="202" t="s">
        <v>1153</v>
      </c>
      <c r="AF216" s="203" t="s">
        <v>1154</v>
      </c>
      <c r="AG216" s="202"/>
      <c r="AH216" s="203" t="s">
        <v>1155</v>
      </c>
      <c r="AI216" s="202">
        <v>0</v>
      </c>
      <c r="AJ216" s="202">
        <v>0</v>
      </c>
    </row>
    <row r="217" spans="2:36">
      <c r="B217" s="203">
        <v>2180</v>
      </c>
      <c r="C217" s="207">
        <v>222650</v>
      </c>
      <c r="D217" s="203" t="s">
        <v>97</v>
      </c>
      <c r="E217" s="202" t="s">
        <v>2864</v>
      </c>
      <c r="F217" s="203">
        <v>48</v>
      </c>
      <c r="G217" s="202"/>
      <c r="H217" s="202"/>
      <c r="I217" s="202"/>
      <c r="J217" s="202">
        <v>0</v>
      </c>
      <c r="K217" s="202" t="s">
        <v>1549</v>
      </c>
      <c r="L217" s="202"/>
      <c r="M217" s="202" t="s">
        <v>1456</v>
      </c>
      <c r="N217" s="206">
        <v>43760</v>
      </c>
      <c r="O217" s="206">
        <v>43760</v>
      </c>
      <c r="P217" s="202" t="s">
        <v>2871</v>
      </c>
      <c r="Q217" s="203">
        <v>1200</v>
      </c>
      <c r="R217" s="203">
        <v>14050</v>
      </c>
      <c r="S217" s="204">
        <v>46489.19</v>
      </c>
      <c r="T217" s="203">
        <v>14056</v>
      </c>
      <c r="U217" s="204">
        <v>10008.030000000001</v>
      </c>
      <c r="V217" s="204">
        <f t="shared" si="15"/>
        <v>36481.160000000003</v>
      </c>
      <c r="W217" s="205">
        <v>1614.21</v>
      </c>
      <c r="X217" s="203">
        <v>54260</v>
      </c>
      <c r="Y217" s="204">
        <v>322.83999999999997</v>
      </c>
      <c r="Z217" s="202" t="s">
        <v>97</v>
      </c>
      <c r="AA217" s="202"/>
      <c r="AB217" s="202" t="s">
        <v>2865</v>
      </c>
      <c r="AC217" s="202"/>
      <c r="AD217" s="202" t="s">
        <v>1152</v>
      </c>
      <c r="AE217" s="202" t="s">
        <v>1153</v>
      </c>
      <c r="AF217" s="203" t="s">
        <v>1154</v>
      </c>
      <c r="AG217" s="202"/>
      <c r="AH217" s="203" t="s">
        <v>1155</v>
      </c>
      <c r="AI217" s="202">
        <v>0</v>
      </c>
      <c r="AJ217" s="202">
        <v>0</v>
      </c>
    </row>
    <row r="218" spans="2:36">
      <c r="B218" s="203">
        <v>2180</v>
      </c>
      <c r="C218" s="207">
        <v>222649</v>
      </c>
      <c r="D218" s="203" t="s">
        <v>97</v>
      </c>
      <c r="E218" s="202" t="s">
        <v>2862</v>
      </c>
      <c r="F218" s="203">
        <v>12</v>
      </c>
      <c r="G218" s="202"/>
      <c r="H218" s="202"/>
      <c r="I218" s="202"/>
      <c r="J218" s="202">
        <v>0</v>
      </c>
      <c r="K218" s="202" t="s">
        <v>1549</v>
      </c>
      <c r="L218" s="202"/>
      <c r="M218" s="202" t="s">
        <v>1464</v>
      </c>
      <c r="N218" s="206">
        <v>43760</v>
      </c>
      <c r="O218" s="206">
        <v>43760</v>
      </c>
      <c r="P218" s="202" t="s">
        <v>2870</v>
      </c>
      <c r="Q218" s="203">
        <v>1200</v>
      </c>
      <c r="R218" s="203">
        <v>14050</v>
      </c>
      <c r="S218" s="204">
        <v>10507.44</v>
      </c>
      <c r="T218" s="203">
        <v>14056</v>
      </c>
      <c r="U218" s="204">
        <v>2262.02</v>
      </c>
      <c r="V218" s="204">
        <f t="shared" si="15"/>
        <v>8245.42</v>
      </c>
      <c r="W218" s="205">
        <v>364.84</v>
      </c>
      <c r="X218" s="203">
        <v>54260</v>
      </c>
      <c r="Y218" s="204">
        <v>72.97</v>
      </c>
      <c r="Z218" s="202" t="s">
        <v>97</v>
      </c>
      <c r="AA218" s="202"/>
      <c r="AB218" s="202" t="s">
        <v>2865</v>
      </c>
      <c r="AC218" s="202"/>
      <c r="AD218" s="202" t="s">
        <v>1152</v>
      </c>
      <c r="AE218" s="202" t="s">
        <v>1153</v>
      </c>
      <c r="AF218" s="203" t="s">
        <v>1154</v>
      </c>
      <c r="AG218" s="202"/>
      <c r="AH218" s="203" t="s">
        <v>1155</v>
      </c>
      <c r="AI218" s="202">
        <v>0</v>
      </c>
      <c r="AJ218" s="202">
        <v>0</v>
      </c>
    </row>
    <row r="219" spans="2:36">
      <c r="B219" s="203">
        <v>2180</v>
      </c>
      <c r="C219" s="207">
        <v>222648</v>
      </c>
      <c r="D219" s="203" t="s">
        <v>97</v>
      </c>
      <c r="E219" s="202" t="s">
        <v>2860</v>
      </c>
      <c r="F219" s="203">
        <v>54</v>
      </c>
      <c r="G219" s="202"/>
      <c r="H219" s="202"/>
      <c r="I219" s="202"/>
      <c r="J219" s="202">
        <v>0</v>
      </c>
      <c r="K219" s="202" t="s">
        <v>1549</v>
      </c>
      <c r="L219" s="202"/>
      <c r="M219" s="202" t="s">
        <v>1421</v>
      </c>
      <c r="N219" s="206">
        <v>43760</v>
      </c>
      <c r="O219" s="206">
        <v>43760</v>
      </c>
      <c r="P219" s="202" t="s">
        <v>2869</v>
      </c>
      <c r="Q219" s="203">
        <v>1200</v>
      </c>
      <c r="R219" s="203">
        <v>14050</v>
      </c>
      <c r="S219" s="204">
        <v>34652.76</v>
      </c>
      <c r="T219" s="203">
        <v>14056</v>
      </c>
      <c r="U219" s="204">
        <v>7459.97</v>
      </c>
      <c r="V219" s="204">
        <f t="shared" si="15"/>
        <v>27192.79</v>
      </c>
      <c r="W219" s="205">
        <v>1203.22</v>
      </c>
      <c r="X219" s="203">
        <v>54260</v>
      </c>
      <c r="Y219" s="204">
        <v>240.64</v>
      </c>
      <c r="Z219" s="202" t="s">
        <v>97</v>
      </c>
      <c r="AA219" s="202"/>
      <c r="AB219" s="202" t="s">
        <v>2865</v>
      </c>
      <c r="AC219" s="202"/>
      <c r="AD219" s="202" t="s">
        <v>1152</v>
      </c>
      <c r="AE219" s="202" t="s">
        <v>1153</v>
      </c>
      <c r="AF219" s="203" t="s">
        <v>1154</v>
      </c>
      <c r="AG219" s="202"/>
      <c r="AH219" s="203" t="s">
        <v>1155</v>
      </c>
      <c r="AI219" s="202">
        <v>0</v>
      </c>
      <c r="AJ219" s="202">
        <v>0</v>
      </c>
    </row>
    <row r="220" spans="2:36">
      <c r="B220" s="203">
        <v>2180</v>
      </c>
      <c r="C220" s="207">
        <v>222647</v>
      </c>
      <c r="D220" s="203" t="s">
        <v>97</v>
      </c>
      <c r="E220" s="202" t="s">
        <v>2868</v>
      </c>
      <c r="F220" s="203">
        <v>12</v>
      </c>
      <c r="G220" s="202"/>
      <c r="H220" s="202"/>
      <c r="I220" s="202"/>
      <c r="J220" s="202">
        <v>0</v>
      </c>
      <c r="K220" s="202" t="s">
        <v>1549</v>
      </c>
      <c r="L220" s="202"/>
      <c r="M220" s="202" t="s">
        <v>1462</v>
      </c>
      <c r="N220" s="206">
        <v>43760</v>
      </c>
      <c r="O220" s="206">
        <v>43760</v>
      </c>
      <c r="P220" s="202" t="s">
        <v>2867</v>
      </c>
      <c r="Q220" s="203">
        <v>1200</v>
      </c>
      <c r="R220" s="203">
        <v>14050</v>
      </c>
      <c r="S220" s="204">
        <v>6808.72</v>
      </c>
      <c r="T220" s="203">
        <v>14056</v>
      </c>
      <c r="U220" s="204">
        <v>1465.76</v>
      </c>
      <c r="V220" s="204">
        <f t="shared" si="15"/>
        <v>5342.96</v>
      </c>
      <c r="W220" s="205">
        <v>236.41</v>
      </c>
      <c r="X220" s="203">
        <v>54260</v>
      </c>
      <c r="Y220" s="204">
        <v>47.28</v>
      </c>
      <c r="Z220" s="202" t="s">
        <v>97</v>
      </c>
      <c r="AA220" s="202"/>
      <c r="AB220" s="202" t="s">
        <v>2865</v>
      </c>
      <c r="AC220" s="202"/>
      <c r="AD220" s="202" t="s">
        <v>1152</v>
      </c>
      <c r="AE220" s="202" t="s">
        <v>1153</v>
      </c>
      <c r="AF220" s="203" t="s">
        <v>1154</v>
      </c>
      <c r="AG220" s="202"/>
      <c r="AH220" s="203" t="s">
        <v>1155</v>
      </c>
      <c r="AI220" s="202">
        <v>0</v>
      </c>
      <c r="AJ220" s="202">
        <v>0</v>
      </c>
    </row>
    <row r="221" spans="2:36">
      <c r="B221" s="203">
        <v>2180</v>
      </c>
      <c r="C221" s="207">
        <v>222646</v>
      </c>
      <c r="D221" s="203" t="s">
        <v>97</v>
      </c>
      <c r="E221" s="202" t="s">
        <v>2858</v>
      </c>
      <c r="F221" s="203">
        <v>12</v>
      </c>
      <c r="G221" s="202"/>
      <c r="H221" s="202"/>
      <c r="I221" s="202"/>
      <c r="J221" s="202">
        <v>0</v>
      </c>
      <c r="K221" s="202" t="s">
        <v>1549</v>
      </c>
      <c r="L221" s="202"/>
      <c r="M221" s="202" t="s">
        <v>1573</v>
      </c>
      <c r="N221" s="206">
        <v>43760</v>
      </c>
      <c r="O221" s="206">
        <v>43760</v>
      </c>
      <c r="P221" s="202" t="s">
        <v>2866</v>
      </c>
      <c r="Q221" s="203">
        <v>1200</v>
      </c>
      <c r="R221" s="203">
        <v>14050</v>
      </c>
      <c r="S221" s="204">
        <v>6480.82</v>
      </c>
      <c r="T221" s="203">
        <v>14056</v>
      </c>
      <c r="U221" s="204">
        <v>1395.18</v>
      </c>
      <c r="V221" s="204">
        <f t="shared" si="15"/>
        <v>5085.6399999999994</v>
      </c>
      <c r="W221" s="205">
        <v>225.03</v>
      </c>
      <c r="X221" s="203">
        <v>54260</v>
      </c>
      <c r="Y221" s="204">
        <v>45.01</v>
      </c>
      <c r="Z221" s="202" t="s">
        <v>97</v>
      </c>
      <c r="AA221" s="202"/>
      <c r="AB221" s="202" t="s">
        <v>2865</v>
      </c>
      <c r="AC221" s="202"/>
      <c r="AD221" s="202" t="s">
        <v>1152</v>
      </c>
      <c r="AE221" s="202" t="s">
        <v>1153</v>
      </c>
      <c r="AF221" s="203" t="s">
        <v>1154</v>
      </c>
      <c r="AG221" s="202"/>
      <c r="AH221" s="203" t="s">
        <v>1155</v>
      </c>
      <c r="AI221" s="202">
        <v>0</v>
      </c>
      <c r="AJ221" s="202">
        <v>0</v>
      </c>
    </row>
    <row r="222" spans="2:36">
      <c r="B222" s="203">
        <v>2180</v>
      </c>
      <c r="C222" s="207">
        <v>222645</v>
      </c>
      <c r="D222" s="203" t="s">
        <v>97</v>
      </c>
      <c r="E222" s="202" t="s">
        <v>2864</v>
      </c>
      <c r="F222" s="203">
        <v>36</v>
      </c>
      <c r="G222" s="202"/>
      <c r="H222" s="202"/>
      <c r="I222" s="202"/>
      <c r="J222" s="202">
        <v>0</v>
      </c>
      <c r="K222" s="202" t="s">
        <v>1549</v>
      </c>
      <c r="L222" s="202"/>
      <c r="M222" s="202" t="s">
        <v>1456</v>
      </c>
      <c r="N222" s="206">
        <v>43760</v>
      </c>
      <c r="O222" s="206">
        <v>43760</v>
      </c>
      <c r="P222" s="202" t="s">
        <v>2863</v>
      </c>
      <c r="Q222" s="203">
        <v>1200</v>
      </c>
      <c r="R222" s="203">
        <v>14050</v>
      </c>
      <c r="S222" s="204">
        <v>33917.97</v>
      </c>
      <c r="T222" s="203">
        <v>14056</v>
      </c>
      <c r="U222" s="204">
        <v>7301.79</v>
      </c>
      <c r="V222" s="204">
        <f t="shared" si="15"/>
        <v>26616.18</v>
      </c>
      <c r="W222" s="205">
        <v>1177.71</v>
      </c>
      <c r="X222" s="203">
        <v>54260</v>
      </c>
      <c r="Y222" s="204">
        <v>235.54</v>
      </c>
      <c r="Z222" s="202" t="s">
        <v>97</v>
      </c>
      <c r="AA222" s="202"/>
      <c r="AB222" s="202" t="s">
        <v>2856</v>
      </c>
      <c r="AC222" s="202"/>
      <c r="AD222" s="202" t="s">
        <v>1152</v>
      </c>
      <c r="AE222" s="202" t="s">
        <v>1153</v>
      </c>
      <c r="AF222" s="203" t="s">
        <v>1154</v>
      </c>
      <c r="AG222" s="202"/>
      <c r="AH222" s="203" t="s">
        <v>1155</v>
      </c>
      <c r="AI222" s="202">
        <v>0</v>
      </c>
      <c r="AJ222" s="202">
        <v>0</v>
      </c>
    </row>
    <row r="223" spans="2:36">
      <c r="B223" s="203">
        <v>2180</v>
      </c>
      <c r="C223" s="207">
        <v>222644</v>
      </c>
      <c r="D223" s="203" t="s">
        <v>97</v>
      </c>
      <c r="E223" s="202" t="s">
        <v>2862</v>
      </c>
      <c r="F223" s="203">
        <v>24</v>
      </c>
      <c r="G223" s="202"/>
      <c r="H223" s="202"/>
      <c r="I223" s="202"/>
      <c r="J223" s="202">
        <v>0</v>
      </c>
      <c r="K223" s="202" t="s">
        <v>1549</v>
      </c>
      <c r="L223" s="202"/>
      <c r="M223" s="202" t="s">
        <v>1464</v>
      </c>
      <c r="N223" s="206">
        <v>43760</v>
      </c>
      <c r="O223" s="206">
        <v>43760</v>
      </c>
      <c r="P223" s="202" t="s">
        <v>2861</v>
      </c>
      <c r="Q223" s="203">
        <v>1200</v>
      </c>
      <c r="R223" s="203">
        <v>14050</v>
      </c>
      <c r="S223" s="204">
        <v>18126.310000000001</v>
      </c>
      <c r="T223" s="203">
        <v>14056</v>
      </c>
      <c r="U223" s="204">
        <v>3902.21</v>
      </c>
      <c r="V223" s="204">
        <f t="shared" si="15"/>
        <v>14224.100000000002</v>
      </c>
      <c r="W223" s="205">
        <v>629.39</v>
      </c>
      <c r="X223" s="203">
        <v>54260</v>
      </c>
      <c r="Y223" s="204">
        <v>125.88</v>
      </c>
      <c r="Z223" s="202" t="s">
        <v>97</v>
      </c>
      <c r="AA223" s="202"/>
      <c r="AB223" s="202" t="s">
        <v>2856</v>
      </c>
      <c r="AC223" s="202"/>
      <c r="AD223" s="202" t="s">
        <v>1152</v>
      </c>
      <c r="AE223" s="202" t="s">
        <v>1153</v>
      </c>
      <c r="AF223" s="203" t="s">
        <v>1154</v>
      </c>
      <c r="AG223" s="202"/>
      <c r="AH223" s="203" t="s">
        <v>1155</v>
      </c>
      <c r="AI223" s="202">
        <v>0</v>
      </c>
      <c r="AJ223" s="202">
        <v>0</v>
      </c>
    </row>
    <row r="224" spans="2:36">
      <c r="B224" s="203">
        <v>2180</v>
      </c>
      <c r="C224" s="207">
        <v>222643</v>
      </c>
      <c r="D224" s="203" t="s">
        <v>97</v>
      </c>
      <c r="E224" s="202" t="s">
        <v>2860</v>
      </c>
      <c r="F224" s="203">
        <v>36</v>
      </c>
      <c r="G224" s="202"/>
      <c r="H224" s="202"/>
      <c r="I224" s="202"/>
      <c r="J224" s="202">
        <v>0</v>
      </c>
      <c r="K224" s="202" t="s">
        <v>1549</v>
      </c>
      <c r="L224" s="202"/>
      <c r="M224" s="202" t="s">
        <v>1421</v>
      </c>
      <c r="N224" s="206">
        <v>43760</v>
      </c>
      <c r="O224" s="206">
        <v>43760</v>
      </c>
      <c r="P224" s="202" t="s">
        <v>2859</v>
      </c>
      <c r="Q224" s="203">
        <v>1200</v>
      </c>
      <c r="R224" s="203">
        <v>14050</v>
      </c>
      <c r="S224" s="204">
        <v>23490.76</v>
      </c>
      <c r="T224" s="203">
        <v>14056</v>
      </c>
      <c r="U224" s="204">
        <v>5057.03</v>
      </c>
      <c r="V224" s="204">
        <f t="shared" si="15"/>
        <v>18433.73</v>
      </c>
      <c r="W224" s="205">
        <v>815.65</v>
      </c>
      <c r="X224" s="203">
        <v>54260</v>
      </c>
      <c r="Y224" s="204">
        <v>163.13</v>
      </c>
      <c r="Z224" s="202" t="s">
        <v>97</v>
      </c>
      <c r="AA224" s="202"/>
      <c r="AB224" s="202" t="s">
        <v>2856</v>
      </c>
      <c r="AC224" s="202"/>
      <c r="AD224" s="202" t="s">
        <v>1152</v>
      </c>
      <c r="AE224" s="202" t="s">
        <v>1153</v>
      </c>
      <c r="AF224" s="203" t="s">
        <v>1154</v>
      </c>
      <c r="AG224" s="202"/>
      <c r="AH224" s="203" t="s">
        <v>1155</v>
      </c>
      <c r="AI224" s="202">
        <v>0</v>
      </c>
      <c r="AJ224" s="202">
        <v>0</v>
      </c>
    </row>
    <row r="225" spans="2:36">
      <c r="B225" s="203">
        <v>2180</v>
      </c>
      <c r="C225" s="207">
        <v>222642</v>
      </c>
      <c r="D225" s="203" t="s">
        <v>97</v>
      </c>
      <c r="E225" s="202" t="s">
        <v>2858</v>
      </c>
      <c r="F225" s="203">
        <v>24</v>
      </c>
      <c r="G225" s="202"/>
      <c r="H225" s="202"/>
      <c r="I225" s="202"/>
      <c r="J225" s="202">
        <v>0</v>
      </c>
      <c r="K225" s="202" t="s">
        <v>1549</v>
      </c>
      <c r="L225" s="202"/>
      <c r="M225" s="202" t="s">
        <v>1573</v>
      </c>
      <c r="N225" s="206">
        <v>43760</v>
      </c>
      <c r="O225" s="206">
        <v>43760</v>
      </c>
      <c r="P225" s="202" t="s">
        <v>2857</v>
      </c>
      <c r="Q225" s="203">
        <v>1200</v>
      </c>
      <c r="R225" s="203">
        <v>14050</v>
      </c>
      <c r="S225" s="204">
        <v>13142.23</v>
      </c>
      <c r="T225" s="203">
        <v>14056</v>
      </c>
      <c r="U225" s="204">
        <v>2829.24</v>
      </c>
      <c r="V225" s="204">
        <f t="shared" si="15"/>
        <v>10312.99</v>
      </c>
      <c r="W225" s="205">
        <v>456.33</v>
      </c>
      <c r="X225" s="203">
        <v>54260</v>
      </c>
      <c r="Y225" s="204">
        <v>91.27</v>
      </c>
      <c r="Z225" s="202" t="s">
        <v>97</v>
      </c>
      <c r="AA225" s="202"/>
      <c r="AB225" s="202" t="s">
        <v>2856</v>
      </c>
      <c r="AC225" s="202"/>
      <c r="AD225" s="202" t="s">
        <v>1152</v>
      </c>
      <c r="AE225" s="202" t="s">
        <v>1153</v>
      </c>
      <c r="AF225" s="203" t="s">
        <v>1154</v>
      </c>
      <c r="AG225" s="202"/>
      <c r="AH225" s="203" t="s">
        <v>1155</v>
      </c>
      <c r="AI225" s="202">
        <v>0</v>
      </c>
      <c r="AJ225" s="202">
        <v>0</v>
      </c>
    </row>
    <row r="226" spans="2:36">
      <c r="B226" s="203">
        <v>2180</v>
      </c>
      <c r="C226" s="207">
        <v>222124</v>
      </c>
      <c r="D226" s="203" t="s">
        <v>97</v>
      </c>
      <c r="E226" s="202" t="s">
        <v>1489</v>
      </c>
      <c r="F226" s="203">
        <v>0</v>
      </c>
      <c r="G226" s="202"/>
      <c r="H226" s="202" t="s">
        <v>2855</v>
      </c>
      <c r="I226" s="202"/>
      <c r="J226" s="202">
        <v>2004</v>
      </c>
      <c r="K226" s="202" t="s">
        <v>1255</v>
      </c>
      <c r="L226" s="202" t="s">
        <v>1255</v>
      </c>
      <c r="M226" s="202" t="s">
        <v>280</v>
      </c>
      <c r="N226" s="206">
        <v>39755</v>
      </c>
      <c r="O226" s="206">
        <v>39755</v>
      </c>
      <c r="P226" s="202"/>
      <c r="Q226" s="203">
        <v>300</v>
      </c>
      <c r="R226" s="203">
        <v>14040</v>
      </c>
      <c r="S226" s="204">
        <v>13000</v>
      </c>
      <c r="T226" s="203">
        <v>14046</v>
      </c>
      <c r="U226" s="204">
        <v>13000</v>
      </c>
      <c r="V226" s="204">
        <f t="shared" si="15"/>
        <v>0</v>
      </c>
      <c r="W226" s="205">
        <v>0</v>
      </c>
      <c r="X226" s="203">
        <v>51260</v>
      </c>
      <c r="Y226" s="204">
        <v>0</v>
      </c>
      <c r="Z226" s="202" t="s">
        <v>1153</v>
      </c>
      <c r="AA226" s="202" t="s">
        <v>1383</v>
      </c>
      <c r="AB226" s="202"/>
      <c r="AC226" s="202">
        <v>8881</v>
      </c>
      <c r="AD226" s="202" t="s">
        <v>1152</v>
      </c>
      <c r="AE226" s="202" t="s">
        <v>1153</v>
      </c>
      <c r="AF226" s="203" t="s">
        <v>1154</v>
      </c>
      <c r="AG226" s="208">
        <v>43738</v>
      </c>
      <c r="AH226" s="203" t="s">
        <v>1155</v>
      </c>
      <c r="AI226" s="202">
        <v>0</v>
      </c>
      <c r="AJ226" s="202">
        <v>13000</v>
      </c>
    </row>
    <row r="227" spans="2:36">
      <c r="B227" s="203">
        <v>2180</v>
      </c>
      <c r="C227" s="207">
        <v>221855</v>
      </c>
      <c r="D227" s="203">
        <v>218236</v>
      </c>
      <c r="E227" s="202" t="s">
        <v>2854</v>
      </c>
      <c r="F227" s="203"/>
      <c r="G227" s="202"/>
      <c r="H227" s="202"/>
      <c r="I227" s="202"/>
      <c r="J227" s="202">
        <v>0</v>
      </c>
      <c r="K227" s="202"/>
      <c r="L227" s="202"/>
      <c r="M227" s="202" t="s">
        <v>1447</v>
      </c>
      <c r="N227" s="206">
        <v>43769</v>
      </c>
      <c r="O227" s="206">
        <v>43769</v>
      </c>
      <c r="P227" s="202" t="s">
        <v>2853</v>
      </c>
      <c r="Q227" s="203">
        <v>1000</v>
      </c>
      <c r="R227" s="203">
        <v>14040</v>
      </c>
      <c r="S227" s="204">
        <v>358.34</v>
      </c>
      <c r="T227" s="203">
        <v>14046</v>
      </c>
      <c r="U227" s="204">
        <v>92.56</v>
      </c>
      <c r="V227" s="204">
        <f t="shared" si="15"/>
        <v>265.77999999999997</v>
      </c>
      <c r="W227" s="205">
        <v>14.93</v>
      </c>
      <c r="X227" s="203">
        <v>51260</v>
      </c>
      <c r="Y227" s="204">
        <v>2.99</v>
      </c>
      <c r="Z227" s="202" t="s">
        <v>97</v>
      </c>
      <c r="AA227" s="202"/>
      <c r="AB227" s="202"/>
      <c r="AC227" s="202"/>
      <c r="AD227" s="202" t="s">
        <v>1152</v>
      </c>
      <c r="AE227" s="202" t="s">
        <v>1153</v>
      </c>
      <c r="AF227" s="203" t="s">
        <v>1154</v>
      </c>
      <c r="AG227" s="202"/>
      <c r="AH227" s="203" t="s">
        <v>1155</v>
      </c>
      <c r="AI227" s="202">
        <v>0</v>
      </c>
      <c r="AJ227" s="202">
        <v>0</v>
      </c>
    </row>
    <row r="228" spans="2:36">
      <c r="B228" s="203">
        <v>2180</v>
      </c>
      <c r="C228" s="207">
        <v>221750</v>
      </c>
      <c r="D228" s="203">
        <v>219754</v>
      </c>
      <c r="E228" s="202" t="s">
        <v>2852</v>
      </c>
      <c r="F228" s="203"/>
      <c r="G228" s="202"/>
      <c r="H228" s="202"/>
      <c r="I228" s="202"/>
      <c r="J228" s="202">
        <v>2019</v>
      </c>
      <c r="K228" s="202"/>
      <c r="L228" s="202"/>
      <c r="M228" s="202" t="s">
        <v>1404</v>
      </c>
      <c r="N228" s="206">
        <v>43738</v>
      </c>
      <c r="O228" s="206">
        <v>43738</v>
      </c>
      <c r="P228" s="202" t="s">
        <v>2836</v>
      </c>
      <c r="Q228" s="203">
        <v>1000</v>
      </c>
      <c r="R228" s="203">
        <v>14040</v>
      </c>
      <c r="S228" s="204">
        <v>175049.79</v>
      </c>
      <c r="T228" s="203">
        <v>14046</v>
      </c>
      <c r="U228" s="204">
        <v>46679.95</v>
      </c>
      <c r="V228" s="204">
        <f t="shared" si="15"/>
        <v>128369.84000000001</v>
      </c>
      <c r="W228" s="205">
        <v>7293.74</v>
      </c>
      <c r="X228" s="203">
        <v>51260</v>
      </c>
      <c r="Y228" s="204">
        <v>1458.75</v>
      </c>
      <c r="Z228" s="202" t="s">
        <v>97</v>
      </c>
      <c r="AA228" s="202"/>
      <c r="AB228" s="202"/>
      <c r="AC228" s="202"/>
      <c r="AD228" s="202" t="s">
        <v>1152</v>
      </c>
      <c r="AE228" s="202" t="s">
        <v>1153</v>
      </c>
      <c r="AF228" s="203" t="s">
        <v>1154</v>
      </c>
      <c r="AG228" s="202"/>
      <c r="AH228" s="203" t="s">
        <v>1155</v>
      </c>
      <c r="AI228" s="202">
        <v>0</v>
      </c>
      <c r="AJ228" s="202">
        <v>0</v>
      </c>
    </row>
    <row r="229" spans="2:36">
      <c r="B229" s="203">
        <v>2180</v>
      </c>
      <c r="C229" s="207">
        <v>221708</v>
      </c>
      <c r="D229" s="203" t="s">
        <v>97</v>
      </c>
      <c r="E229" s="202" t="s">
        <v>2851</v>
      </c>
      <c r="F229" s="203">
        <v>1404</v>
      </c>
      <c r="G229" s="202"/>
      <c r="H229" s="202"/>
      <c r="I229" s="202"/>
      <c r="J229" s="202">
        <v>0</v>
      </c>
      <c r="K229" s="202" t="s">
        <v>2445</v>
      </c>
      <c r="L229" s="202"/>
      <c r="M229" s="202" t="s">
        <v>2846</v>
      </c>
      <c r="N229" s="206">
        <v>43736</v>
      </c>
      <c r="O229" s="206">
        <v>43736</v>
      </c>
      <c r="P229" s="202" t="s">
        <v>2850</v>
      </c>
      <c r="Q229" s="203">
        <v>700</v>
      </c>
      <c r="R229" s="203">
        <v>14050</v>
      </c>
      <c r="S229" s="204">
        <v>64666.87</v>
      </c>
      <c r="T229" s="203">
        <v>14056</v>
      </c>
      <c r="U229" s="204">
        <v>24635.01</v>
      </c>
      <c r="V229" s="204">
        <f t="shared" si="15"/>
        <v>40031.86</v>
      </c>
      <c r="W229" s="205">
        <v>3849.22</v>
      </c>
      <c r="X229" s="203">
        <v>54260</v>
      </c>
      <c r="Y229" s="204">
        <v>769.84</v>
      </c>
      <c r="Z229" s="202" t="s">
        <v>97</v>
      </c>
      <c r="AA229" s="202"/>
      <c r="AB229" s="202">
        <v>50050527</v>
      </c>
      <c r="AC229" s="202"/>
      <c r="AD229" s="202" t="s">
        <v>1152</v>
      </c>
      <c r="AE229" s="202" t="s">
        <v>1153</v>
      </c>
      <c r="AF229" s="203" t="s">
        <v>1154</v>
      </c>
      <c r="AG229" s="202"/>
      <c r="AH229" s="203" t="s">
        <v>1155</v>
      </c>
      <c r="AI229" s="202">
        <v>0</v>
      </c>
      <c r="AJ229" s="202">
        <v>0</v>
      </c>
    </row>
    <row r="230" spans="2:36">
      <c r="B230" s="203">
        <v>2180</v>
      </c>
      <c r="C230" s="207">
        <v>221426</v>
      </c>
      <c r="D230" s="203" t="s">
        <v>97</v>
      </c>
      <c r="E230" s="202" t="s">
        <v>2849</v>
      </c>
      <c r="F230" s="203">
        <v>702</v>
      </c>
      <c r="G230" s="202"/>
      <c r="H230" s="202"/>
      <c r="I230" s="202"/>
      <c r="J230" s="202">
        <v>0</v>
      </c>
      <c r="K230" s="202" t="s">
        <v>2445</v>
      </c>
      <c r="L230" s="202"/>
      <c r="M230" s="202" t="s">
        <v>2846</v>
      </c>
      <c r="N230" s="206">
        <v>43731</v>
      </c>
      <c r="O230" s="206">
        <v>43731</v>
      </c>
      <c r="P230" s="202" t="s">
        <v>2848</v>
      </c>
      <c r="Q230" s="203">
        <v>700</v>
      </c>
      <c r="R230" s="203">
        <v>14050</v>
      </c>
      <c r="S230" s="204">
        <v>32333.43</v>
      </c>
      <c r="T230" s="203">
        <v>14056</v>
      </c>
      <c r="U230" s="204">
        <v>12317.5</v>
      </c>
      <c r="V230" s="204">
        <f t="shared" si="15"/>
        <v>20015.93</v>
      </c>
      <c r="W230" s="205">
        <v>1924.61</v>
      </c>
      <c r="X230" s="203">
        <v>54260</v>
      </c>
      <c r="Y230" s="204">
        <v>384.92</v>
      </c>
      <c r="Z230" s="202" t="s">
        <v>97</v>
      </c>
      <c r="AA230" s="202"/>
      <c r="AB230" s="202">
        <v>50048316</v>
      </c>
      <c r="AC230" s="202"/>
      <c r="AD230" s="202" t="s">
        <v>1152</v>
      </c>
      <c r="AE230" s="202" t="s">
        <v>1153</v>
      </c>
      <c r="AF230" s="203" t="s">
        <v>1154</v>
      </c>
      <c r="AG230" s="202"/>
      <c r="AH230" s="203" t="s">
        <v>1155</v>
      </c>
      <c r="AI230" s="202">
        <v>0</v>
      </c>
      <c r="AJ230" s="202">
        <v>0</v>
      </c>
    </row>
    <row r="231" spans="2:36">
      <c r="B231" s="203">
        <v>2180</v>
      </c>
      <c r="C231" s="207">
        <v>221022</v>
      </c>
      <c r="D231" s="203" t="s">
        <v>97</v>
      </c>
      <c r="E231" s="202" t="s">
        <v>638</v>
      </c>
      <c r="F231" s="203">
        <v>351</v>
      </c>
      <c r="G231" s="202"/>
      <c r="H231" s="202"/>
      <c r="I231" s="202"/>
      <c r="J231" s="202">
        <v>0</v>
      </c>
      <c r="K231" s="202" t="s">
        <v>2445</v>
      </c>
      <c r="L231" s="202"/>
      <c r="M231" s="202" t="s">
        <v>2846</v>
      </c>
      <c r="N231" s="206">
        <v>43736</v>
      </c>
      <c r="O231" s="206">
        <v>43736</v>
      </c>
      <c r="P231" s="202" t="s">
        <v>2847</v>
      </c>
      <c r="Q231" s="203">
        <v>700</v>
      </c>
      <c r="R231" s="203">
        <v>14050</v>
      </c>
      <c r="S231" s="204">
        <v>16166.72</v>
      </c>
      <c r="T231" s="203">
        <v>14056</v>
      </c>
      <c r="U231" s="204">
        <v>6158.72</v>
      </c>
      <c r="V231" s="204">
        <f t="shared" si="15"/>
        <v>10008</v>
      </c>
      <c r="W231" s="205">
        <v>962.3</v>
      </c>
      <c r="X231" s="203">
        <v>54260</v>
      </c>
      <c r="Y231" s="204">
        <v>192.46</v>
      </c>
      <c r="Z231" s="202" t="s">
        <v>97</v>
      </c>
      <c r="AA231" s="202"/>
      <c r="AB231" s="202">
        <v>50050364</v>
      </c>
      <c r="AC231" s="202"/>
      <c r="AD231" s="202" t="s">
        <v>1152</v>
      </c>
      <c r="AE231" s="202" t="s">
        <v>1153</v>
      </c>
      <c r="AF231" s="203" t="s">
        <v>1154</v>
      </c>
      <c r="AG231" s="202"/>
      <c r="AH231" s="203" t="s">
        <v>1155</v>
      </c>
      <c r="AI231" s="202">
        <v>0</v>
      </c>
      <c r="AJ231" s="202">
        <v>0</v>
      </c>
    </row>
    <row r="232" spans="2:36">
      <c r="B232" s="203">
        <v>2180</v>
      </c>
      <c r="C232" s="207">
        <v>221021</v>
      </c>
      <c r="D232" s="203" t="s">
        <v>97</v>
      </c>
      <c r="E232" s="202" t="s">
        <v>647</v>
      </c>
      <c r="F232" s="203">
        <v>540</v>
      </c>
      <c r="G232" s="202"/>
      <c r="H232" s="202"/>
      <c r="I232" s="202"/>
      <c r="J232" s="202">
        <v>0</v>
      </c>
      <c r="K232" s="202" t="s">
        <v>2445</v>
      </c>
      <c r="L232" s="202"/>
      <c r="M232" s="202" t="s">
        <v>2846</v>
      </c>
      <c r="N232" s="206">
        <v>43736</v>
      </c>
      <c r="O232" s="206">
        <v>43736</v>
      </c>
      <c r="P232" s="202" t="s">
        <v>2845</v>
      </c>
      <c r="Q232" s="203">
        <v>700</v>
      </c>
      <c r="R232" s="203">
        <v>14050</v>
      </c>
      <c r="S232" s="204">
        <v>17865.96</v>
      </c>
      <c r="T232" s="203">
        <v>14056</v>
      </c>
      <c r="U232" s="204">
        <v>6806.08</v>
      </c>
      <c r="V232" s="204">
        <f t="shared" si="15"/>
        <v>11059.88</v>
      </c>
      <c r="W232" s="205">
        <v>1063.45</v>
      </c>
      <c r="X232" s="203">
        <v>54260</v>
      </c>
      <c r="Y232" s="204">
        <v>212.69</v>
      </c>
      <c r="Z232" s="202" t="s">
        <v>97</v>
      </c>
      <c r="AA232" s="202"/>
      <c r="AB232" s="202">
        <v>50050364</v>
      </c>
      <c r="AC232" s="202"/>
      <c r="AD232" s="202" t="s">
        <v>1152</v>
      </c>
      <c r="AE232" s="202" t="s">
        <v>1153</v>
      </c>
      <c r="AF232" s="203" t="s">
        <v>1154</v>
      </c>
      <c r="AG232" s="202"/>
      <c r="AH232" s="203" t="s">
        <v>1155</v>
      </c>
      <c r="AI232" s="202">
        <v>0</v>
      </c>
      <c r="AJ232" s="202">
        <v>0</v>
      </c>
    </row>
    <row r="233" spans="2:36">
      <c r="B233" s="203">
        <v>2180</v>
      </c>
      <c r="C233" s="207">
        <v>220524</v>
      </c>
      <c r="D233" s="203">
        <v>218236</v>
      </c>
      <c r="E233" s="202" t="s">
        <v>2843</v>
      </c>
      <c r="F233" s="203"/>
      <c r="G233" s="202"/>
      <c r="H233" s="202"/>
      <c r="I233" s="202"/>
      <c r="J233" s="202">
        <v>0</v>
      </c>
      <c r="K233" s="202" t="s">
        <v>2844</v>
      </c>
      <c r="L233" s="202"/>
      <c r="M233" s="202" t="s">
        <v>1447</v>
      </c>
      <c r="N233" s="206">
        <v>43682</v>
      </c>
      <c r="O233" s="206">
        <v>43682</v>
      </c>
      <c r="P233" s="202" t="s">
        <v>2826</v>
      </c>
      <c r="Q233" s="203">
        <v>1000</v>
      </c>
      <c r="R233" s="203">
        <v>14040</v>
      </c>
      <c r="S233" s="204">
        <v>530</v>
      </c>
      <c r="T233" s="203">
        <v>14046</v>
      </c>
      <c r="U233" s="204">
        <v>150.16</v>
      </c>
      <c r="V233" s="204">
        <f t="shared" si="15"/>
        <v>379.84000000000003</v>
      </c>
      <c r="W233" s="205">
        <v>22.08</v>
      </c>
      <c r="X233" s="203">
        <v>51260</v>
      </c>
      <c r="Y233" s="204">
        <v>4.41</v>
      </c>
      <c r="Z233" s="202" t="s">
        <v>97</v>
      </c>
      <c r="AA233" s="202"/>
      <c r="AB233" s="202">
        <v>1045</v>
      </c>
      <c r="AC233" s="202"/>
      <c r="AD233" s="202" t="s">
        <v>1152</v>
      </c>
      <c r="AE233" s="202" t="s">
        <v>1153</v>
      </c>
      <c r="AF233" s="203" t="s">
        <v>1154</v>
      </c>
      <c r="AG233" s="202"/>
      <c r="AH233" s="203" t="s">
        <v>1155</v>
      </c>
      <c r="AI233" s="202">
        <v>0</v>
      </c>
      <c r="AJ233" s="202">
        <v>0</v>
      </c>
    </row>
    <row r="234" spans="2:36">
      <c r="B234" s="203">
        <v>2180</v>
      </c>
      <c r="C234" s="207">
        <v>220523</v>
      </c>
      <c r="D234" s="203">
        <v>218213</v>
      </c>
      <c r="E234" s="202" t="s">
        <v>2843</v>
      </c>
      <c r="F234" s="203"/>
      <c r="G234" s="202"/>
      <c r="H234" s="202"/>
      <c r="I234" s="202"/>
      <c r="J234" s="202">
        <v>0</v>
      </c>
      <c r="K234" s="202" t="s">
        <v>2842</v>
      </c>
      <c r="L234" s="202"/>
      <c r="M234" s="202" t="s">
        <v>1447</v>
      </c>
      <c r="N234" s="206">
        <v>43666</v>
      </c>
      <c r="O234" s="206">
        <v>43666</v>
      </c>
      <c r="P234" s="202" t="s">
        <v>2824</v>
      </c>
      <c r="Q234" s="203">
        <v>1000</v>
      </c>
      <c r="R234" s="203">
        <v>14040</v>
      </c>
      <c r="S234" s="204">
        <v>1016.48</v>
      </c>
      <c r="T234" s="203">
        <v>14046</v>
      </c>
      <c r="U234" s="204">
        <v>288</v>
      </c>
      <c r="V234" s="204">
        <f t="shared" si="15"/>
        <v>728.48</v>
      </c>
      <c r="W234" s="205">
        <v>42.35</v>
      </c>
      <c r="X234" s="203">
        <v>51260</v>
      </c>
      <c r="Y234" s="204">
        <v>8.4700000000000006</v>
      </c>
      <c r="Z234" s="202" t="s">
        <v>97</v>
      </c>
      <c r="AA234" s="202"/>
      <c r="AB234" s="202">
        <v>25884</v>
      </c>
      <c r="AC234" s="202"/>
      <c r="AD234" s="202" t="s">
        <v>1152</v>
      </c>
      <c r="AE234" s="202" t="s">
        <v>1153</v>
      </c>
      <c r="AF234" s="203" t="s">
        <v>1154</v>
      </c>
      <c r="AG234" s="202"/>
      <c r="AH234" s="203" t="s">
        <v>1155</v>
      </c>
      <c r="AI234" s="202">
        <v>0</v>
      </c>
      <c r="AJ234" s="202">
        <v>0</v>
      </c>
    </row>
    <row r="235" spans="2:36">
      <c r="B235" s="203">
        <v>2180</v>
      </c>
      <c r="C235" s="207">
        <v>220407</v>
      </c>
      <c r="D235" s="203">
        <v>219754</v>
      </c>
      <c r="E235" s="202" t="s">
        <v>1256</v>
      </c>
      <c r="F235" s="203"/>
      <c r="G235" s="202"/>
      <c r="H235" s="202"/>
      <c r="I235" s="202"/>
      <c r="J235" s="202">
        <v>0</v>
      </c>
      <c r="K235" s="202" t="s">
        <v>2744</v>
      </c>
      <c r="L235" s="202"/>
      <c r="M235" s="202" t="s">
        <v>1447</v>
      </c>
      <c r="N235" s="206">
        <v>43738</v>
      </c>
      <c r="O235" s="206">
        <v>43738</v>
      </c>
      <c r="P235" s="202" t="s">
        <v>2841</v>
      </c>
      <c r="Q235" s="203">
        <v>1000</v>
      </c>
      <c r="R235" s="203">
        <v>14040</v>
      </c>
      <c r="S235" s="204">
        <v>576.75</v>
      </c>
      <c r="T235" s="203">
        <v>14046</v>
      </c>
      <c r="U235" s="204">
        <v>153.81</v>
      </c>
      <c r="V235" s="204">
        <f t="shared" si="15"/>
        <v>422.94</v>
      </c>
      <c r="W235" s="205">
        <v>24.03</v>
      </c>
      <c r="X235" s="203">
        <v>51260</v>
      </c>
      <c r="Y235" s="204">
        <v>4.8</v>
      </c>
      <c r="Z235" s="202" t="s">
        <v>97</v>
      </c>
      <c r="AA235" s="202"/>
      <c r="AB235" s="202">
        <v>663</v>
      </c>
      <c r="AC235" s="202"/>
      <c r="AD235" s="202" t="s">
        <v>1152</v>
      </c>
      <c r="AE235" s="202" t="s">
        <v>1153</v>
      </c>
      <c r="AF235" s="203" t="s">
        <v>1154</v>
      </c>
      <c r="AG235" s="202"/>
      <c r="AH235" s="203" t="s">
        <v>1155</v>
      </c>
      <c r="AI235" s="202">
        <v>0</v>
      </c>
      <c r="AJ235" s="202">
        <v>0</v>
      </c>
    </row>
    <row r="236" spans="2:36">
      <c r="B236" s="203">
        <v>2180</v>
      </c>
      <c r="C236" s="207">
        <v>219755</v>
      </c>
      <c r="D236" s="203">
        <v>219049</v>
      </c>
      <c r="E236" s="202" t="s">
        <v>2840</v>
      </c>
      <c r="F236" s="203"/>
      <c r="G236" s="202"/>
      <c r="H236" s="202"/>
      <c r="I236" s="202"/>
      <c r="J236" s="202">
        <v>0</v>
      </c>
      <c r="K236" s="202"/>
      <c r="L236" s="202"/>
      <c r="M236" s="202"/>
      <c r="N236" s="206">
        <v>43738</v>
      </c>
      <c r="O236" s="206">
        <v>43738</v>
      </c>
      <c r="P236" s="202" t="s">
        <v>2839</v>
      </c>
      <c r="Q236" s="203">
        <v>500</v>
      </c>
      <c r="R236" s="203">
        <v>14070</v>
      </c>
      <c r="S236" s="204">
        <v>17409.41</v>
      </c>
      <c r="T236" s="203">
        <v>14076</v>
      </c>
      <c r="U236" s="204">
        <v>9285.01</v>
      </c>
      <c r="V236" s="204">
        <f t="shared" si="15"/>
        <v>8124.4</v>
      </c>
      <c r="W236" s="205">
        <v>1450.78</v>
      </c>
      <c r="X236" s="203">
        <v>51260</v>
      </c>
      <c r="Y236" s="204">
        <v>290.14999999999998</v>
      </c>
      <c r="Z236" s="202" t="s">
        <v>97</v>
      </c>
      <c r="AA236" s="202"/>
      <c r="AB236" s="202"/>
      <c r="AC236" s="202"/>
      <c r="AD236" s="202" t="s">
        <v>1152</v>
      </c>
      <c r="AE236" s="202" t="s">
        <v>1153</v>
      </c>
      <c r="AF236" s="203" t="s">
        <v>1154</v>
      </c>
      <c r="AG236" s="202"/>
      <c r="AH236" s="203" t="s">
        <v>1155</v>
      </c>
      <c r="AI236" s="202">
        <v>0</v>
      </c>
      <c r="AJ236" s="202">
        <v>0</v>
      </c>
    </row>
    <row r="237" spans="2:36">
      <c r="B237" s="203">
        <v>2180</v>
      </c>
      <c r="C237" s="207">
        <v>219754</v>
      </c>
      <c r="D237" s="203" t="s">
        <v>97</v>
      </c>
      <c r="E237" s="202" t="s">
        <v>2838</v>
      </c>
      <c r="F237" s="203"/>
      <c r="G237" s="202"/>
      <c r="H237" s="202" t="s">
        <v>2837</v>
      </c>
      <c r="I237" s="202"/>
      <c r="J237" s="202">
        <v>2019</v>
      </c>
      <c r="K237" s="202" t="s">
        <v>2290</v>
      </c>
      <c r="L237" s="202" t="s">
        <v>2413</v>
      </c>
      <c r="M237" s="202" t="s">
        <v>1404</v>
      </c>
      <c r="N237" s="206">
        <v>43738</v>
      </c>
      <c r="O237" s="206">
        <v>43738</v>
      </c>
      <c r="P237" s="202" t="s">
        <v>2836</v>
      </c>
      <c r="Q237" s="203">
        <v>1000</v>
      </c>
      <c r="R237" s="203">
        <v>14040</v>
      </c>
      <c r="S237" s="204">
        <v>192346.45</v>
      </c>
      <c r="T237" s="203">
        <v>14046</v>
      </c>
      <c r="U237" s="204">
        <v>51292.4</v>
      </c>
      <c r="V237" s="204">
        <f t="shared" si="15"/>
        <v>141054.05000000002</v>
      </c>
      <c r="W237" s="205">
        <v>8014.44</v>
      </c>
      <c r="X237" s="203">
        <v>51260</v>
      </c>
      <c r="Y237" s="204">
        <v>1602.89</v>
      </c>
      <c r="Z237" s="202" t="s">
        <v>97</v>
      </c>
      <c r="AA237" s="202"/>
      <c r="AB237" s="202"/>
      <c r="AC237" s="202">
        <v>3684</v>
      </c>
      <c r="AD237" s="202" t="s">
        <v>1152</v>
      </c>
      <c r="AE237" s="202" t="s">
        <v>1153</v>
      </c>
      <c r="AF237" s="203" t="s">
        <v>1154</v>
      </c>
      <c r="AG237" s="202"/>
      <c r="AH237" s="203" t="s">
        <v>1155</v>
      </c>
      <c r="AI237" s="202">
        <v>0</v>
      </c>
      <c r="AJ237" s="202">
        <v>0</v>
      </c>
    </row>
    <row r="238" spans="2:36">
      <c r="B238" s="203">
        <v>2180</v>
      </c>
      <c r="C238" s="207">
        <v>219637</v>
      </c>
      <c r="D238" s="203" t="s">
        <v>97</v>
      </c>
      <c r="E238" s="202" t="s">
        <v>2835</v>
      </c>
      <c r="F238" s="203"/>
      <c r="G238" s="202"/>
      <c r="H238" s="202"/>
      <c r="I238" s="202"/>
      <c r="J238" s="202">
        <v>0</v>
      </c>
      <c r="K238" s="202" t="s">
        <v>2834</v>
      </c>
      <c r="L238" s="202"/>
      <c r="M238" s="202"/>
      <c r="N238" s="206">
        <v>43683</v>
      </c>
      <c r="O238" s="206">
        <v>43683</v>
      </c>
      <c r="P238" s="202" t="s">
        <v>2829</v>
      </c>
      <c r="Q238" s="203">
        <v>300</v>
      </c>
      <c r="R238" s="203">
        <v>14110</v>
      </c>
      <c r="S238" s="204">
        <v>1475.55</v>
      </c>
      <c r="T238" s="203">
        <v>14116</v>
      </c>
      <c r="U238" s="204">
        <v>1393.58</v>
      </c>
      <c r="V238" s="204">
        <f t="shared" si="15"/>
        <v>81.970000000000027</v>
      </c>
      <c r="W238" s="205">
        <v>204.94</v>
      </c>
      <c r="X238" s="203">
        <v>70260</v>
      </c>
      <c r="Y238" s="204">
        <v>40.99</v>
      </c>
      <c r="Z238" s="202" t="s">
        <v>97</v>
      </c>
      <c r="AA238" s="202"/>
      <c r="AB238" s="202">
        <v>3229</v>
      </c>
      <c r="AC238" s="202"/>
      <c r="AD238" s="202" t="s">
        <v>1152</v>
      </c>
      <c r="AE238" s="202" t="s">
        <v>1153</v>
      </c>
      <c r="AF238" s="203" t="s">
        <v>1154</v>
      </c>
      <c r="AG238" s="202"/>
      <c r="AH238" s="203" t="s">
        <v>1155</v>
      </c>
      <c r="AI238" s="202">
        <v>0</v>
      </c>
      <c r="AJ238" s="202">
        <v>0</v>
      </c>
    </row>
    <row r="239" spans="2:36">
      <c r="B239" s="203">
        <v>2180</v>
      </c>
      <c r="C239" s="207">
        <v>219050</v>
      </c>
      <c r="D239" s="203" t="s">
        <v>97</v>
      </c>
      <c r="E239" s="202" t="s">
        <v>985</v>
      </c>
      <c r="F239" s="203"/>
      <c r="G239" s="202"/>
      <c r="H239" s="202"/>
      <c r="I239" s="202"/>
      <c r="J239" s="202">
        <v>0</v>
      </c>
      <c r="K239" s="202" t="s">
        <v>1429</v>
      </c>
      <c r="L239" s="202"/>
      <c r="M239" s="202"/>
      <c r="N239" s="206">
        <v>43706</v>
      </c>
      <c r="O239" s="206">
        <v>43706</v>
      </c>
      <c r="P239" s="202" t="s">
        <v>2833</v>
      </c>
      <c r="Q239" s="203">
        <v>300</v>
      </c>
      <c r="R239" s="203">
        <v>14110</v>
      </c>
      <c r="S239" s="204">
        <v>1408.73</v>
      </c>
      <c r="T239" s="203">
        <v>14116</v>
      </c>
      <c r="U239" s="204">
        <v>1291.3399999999999</v>
      </c>
      <c r="V239" s="204">
        <f t="shared" si="15"/>
        <v>117.3900000000001</v>
      </c>
      <c r="W239" s="205">
        <v>195.65</v>
      </c>
      <c r="X239" s="203">
        <v>70260</v>
      </c>
      <c r="Y239" s="204">
        <v>39.130000000000003</v>
      </c>
      <c r="Z239" s="202" t="s">
        <v>97</v>
      </c>
      <c r="AA239" s="202"/>
      <c r="AB239" s="202" t="s">
        <v>2832</v>
      </c>
      <c r="AC239" s="202"/>
      <c r="AD239" s="202" t="s">
        <v>1152</v>
      </c>
      <c r="AE239" s="202" t="s">
        <v>1153</v>
      </c>
      <c r="AF239" s="203" t="s">
        <v>1154</v>
      </c>
      <c r="AG239" s="202"/>
      <c r="AH239" s="203" t="s">
        <v>1155</v>
      </c>
      <c r="AI239" s="202">
        <v>0</v>
      </c>
      <c r="AJ239" s="202">
        <v>0</v>
      </c>
    </row>
    <row r="240" spans="2:36">
      <c r="B240" s="203">
        <v>2180</v>
      </c>
      <c r="C240" s="207">
        <v>219049</v>
      </c>
      <c r="D240" s="203" t="s">
        <v>97</v>
      </c>
      <c r="E240" s="202" t="s">
        <v>2831</v>
      </c>
      <c r="F240" s="203"/>
      <c r="G240" s="202"/>
      <c r="H240" s="202"/>
      <c r="I240" s="202"/>
      <c r="J240" s="202">
        <v>0</v>
      </c>
      <c r="K240" s="202" t="s">
        <v>2830</v>
      </c>
      <c r="L240" s="202"/>
      <c r="M240" s="202"/>
      <c r="N240" s="206">
        <v>43683</v>
      </c>
      <c r="O240" s="206">
        <v>43683</v>
      </c>
      <c r="P240" s="202" t="s">
        <v>2829</v>
      </c>
      <c r="Q240" s="203">
        <v>500</v>
      </c>
      <c r="R240" s="203">
        <v>14070</v>
      </c>
      <c r="S240" s="204">
        <v>1265.69</v>
      </c>
      <c r="T240" s="203">
        <v>14076</v>
      </c>
      <c r="U240" s="204">
        <v>717.24</v>
      </c>
      <c r="V240" s="204">
        <f t="shared" si="15"/>
        <v>548.45000000000005</v>
      </c>
      <c r="W240" s="205">
        <v>105.48</v>
      </c>
      <c r="X240" s="203">
        <v>51260</v>
      </c>
      <c r="Y240" s="204">
        <v>21.1</v>
      </c>
      <c r="Z240" s="202" t="s">
        <v>97</v>
      </c>
      <c r="AA240" s="202"/>
      <c r="AB240" s="202">
        <v>816913890</v>
      </c>
      <c r="AC240" s="202"/>
      <c r="AD240" s="202" t="s">
        <v>1152</v>
      </c>
      <c r="AE240" s="202" t="s">
        <v>1153</v>
      </c>
      <c r="AF240" s="203" t="s">
        <v>1154</v>
      </c>
      <c r="AG240" s="202"/>
      <c r="AH240" s="203" t="s">
        <v>1155</v>
      </c>
      <c r="AI240" s="202">
        <v>0</v>
      </c>
      <c r="AJ240" s="202">
        <v>0</v>
      </c>
    </row>
    <row r="241" spans="2:36">
      <c r="B241" s="203">
        <v>2180</v>
      </c>
      <c r="C241" s="207">
        <v>218236</v>
      </c>
      <c r="D241" s="203" t="s">
        <v>97</v>
      </c>
      <c r="E241" s="202" t="s">
        <v>2828</v>
      </c>
      <c r="F241" s="203"/>
      <c r="G241" s="202"/>
      <c r="H241" s="202" t="s">
        <v>2827</v>
      </c>
      <c r="I241" s="202"/>
      <c r="J241" s="202">
        <v>2019</v>
      </c>
      <c r="K241" s="202" t="s">
        <v>2290</v>
      </c>
      <c r="L241" s="202" t="s">
        <v>2413</v>
      </c>
      <c r="M241" s="202" t="s">
        <v>1999</v>
      </c>
      <c r="N241" s="206">
        <v>43682</v>
      </c>
      <c r="O241" s="206">
        <v>43682</v>
      </c>
      <c r="P241" s="202" t="s">
        <v>2826</v>
      </c>
      <c r="Q241" s="203">
        <v>1000</v>
      </c>
      <c r="R241" s="203">
        <v>14040</v>
      </c>
      <c r="S241" s="204">
        <v>355897.69</v>
      </c>
      <c r="T241" s="203">
        <v>14046</v>
      </c>
      <c r="U241" s="204">
        <v>100837.68</v>
      </c>
      <c r="V241" s="204">
        <f t="shared" si="15"/>
        <v>255060.01</v>
      </c>
      <c r="W241" s="205">
        <v>14829.07</v>
      </c>
      <c r="X241" s="203">
        <v>51260</v>
      </c>
      <c r="Y241" s="204">
        <v>2965.81</v>
      </c>
      <c r="Z241" s="202" t="s">
        <v>97</v>
      </c>
      <c r="AA241" s="202"/>
      <c r="AB241" s="202"/>
      <c r="AC241" s="202">
        <v>2058</v>
      </c>
      <c r="AD241" s="202" t="s">
        <v>1152</v>
      </c>
      <c r="AE241" s="202" t="s">
        <v>1153</v>
      </c>
      <c r="AF241" s="203" t="s">
        <v>1154</v>
      </c>
      <c r="AG241" s="202"/>
      <c r="AH241" s="203" t="s">
        <v>1155</v>
      </c>
      <c r="AI241" s="202">
        <v>0</v>
      </c>
      <c r="AJ241" s="202">
        <v>0</v>
      </c>
    </row>
    <row r="242" spans="2:36">
      <c r="B242" s="203">
        <v>2180</v>
      </c>
      <c r="C242" s="207">
        <v>218213</v>
      </c>
      <c r="D242" s="203" t="s">
        <v>97</v>
      </c>
      <c r="E242" s="202" t="s">
        <v>125</v>
      </c>
      <c r="F242" s="203">
        <v>0</v>
      </c>
      <c r="G242" s="202"/>
      <c r="H242" s="202" t="s">
        <v>2825</v>
      </c>
      <c r="I242" s="202"/>
      <c r="J242" s="202">
        <v>2019</v>
      </c>
      <c r="K242" s="202" t="s">
        <v>2290</v>
      </c>
      <c r="L242" s="202" t="s">
        <v>2785</v>
      </c>
      <c r="M242" s="202" t="s">
        <v>1999</v>
      </c>
      <c r="N242" s="206">
        <v>43666</v>
      </c>
      <c r="O242" s="206">
        <v>43666</v>
      </c>
      <c r="P242" s="202" t="s">
        <v>2824</v>
      </c>
      <c r="Q242" s="203">
        <v>1000</v>
      </c>
      <c r="R242" s="203">
        <v>14040</v>
      </c>
      <c r="S242" s="204">
        <v>355897.69</v>
      </c>
      <c r="T242" s="203">
        <v>14046</v>
      </c>
      <c r="U242" s="204">
        <v>100837.68</v>
      </c>
      <c r="V242" s="204">
        <f t="shared" si="15"/>
        <v>255060.01</v>
      </c>
      <c r="W242" s="205">
        <v>14829.07</v>
      </c>
      <c r="X242" s="203">
        <v>51260</v>
      </c>
      <c r="Y242" s="204">
        <v>2965.81</v>
      </c>
      <c r="Z242" s="202" t="s">
        <v>97</v>
      </c>
      <c r="AA242" s="202"/>
      <c r="AB242" s="202"/>
      <c r="AC242" s="202">
        <v>2059</v>
      </c>
      <c r="AD242" s="202" t="s">
        <v>1152</v>
      </c>
      <c r="AE242" s="202" t="s">
        <v>1153</v>
      </c>
      <c r="AF242" s="203" t="s">
        <v>1154</v>
      </c>
      <c r="AG242" s="202"/>
      <c r="AH242" s="203" t="s">
        <v>1155</v>
      </c>
      <c r="AI242" s="202">
        <v>0</v>
      </c>
      <c r="AJ242" s="202">
        <v>0</v>
      </c>
    </row>
    <row r="243" spans="2:36">
      <c r="B243" s="203">
        <v>2180</v>
      </c>
      <c r="C243" s="207">
        <v>218089</v>
      </c>
      <c r="D243" s="203" t="s">
        <v>97</v>
      </c>
      <c r="E243" s="202" t="s">
        <v>607</v>
      </c>
      <c r="F243" s="203">
        <v>5</v>
      </c>
      <c r="G243" s="202"/>
      <c r="H243" s="202"/>
      <c r="I243" s="202"/>
      <c r="J243" s="202">
        <v>0</v>
      </c>
      <c r="K243" s="202" t="s">
        <v>2041</v>
      </c>
      <c r="L243" s="202"/>
      <c r="M243" s="202" t="s">
        <v>1417</v>
      </c>
      <c r="N243" s="206">
        <v>43661</v>
      </c>
      <c r="O243" s="206">
        <v>43661</v>
      </c>
      <c r="P243" s="202" t="s">
        <v>2823</v>
      </c>
      <c r="Q243" s="203">
        <v>1200</v>
      </c>
      <c r="R243" s="203">
        <v>14050</v>
      </c>
      <c r="S243" s="204">
        <v>39950</v>
      </c>
      <c r="T243" s="203">
        <v>14056</v>
      </c>
      <c r="U243" s="204">
        <v>9710.07</v>
      </c>
      <c r="V243" s="204">
        <f t="shared" si="15"/>
        <v>30239.93</v>
      </c>
      <c r="W243" s="205">
        <v>1387.15</v>
      </c>
      <c r="X243" s="203">
        <v>54260</v>
      </c>
      <c r="Y243" s="204">
        <v>277.43</v>
      </c>
      <c r="Z243" s="202" t="s">
        <v>97</v>
      </c>
      <c r="AA243" s="202"/>
      <c r="AB243" s="202">
        <v>154666</v>
      </c>
      <c r="AC243" s="202"/>
      <c r="AD243" s="202" t="s">
        <v>1152</v>
      </c>
      <c r="AE243" s="202" t="s">
        <v>1153</v>
      </c>
      <c r="AF243" s="203" t="s">
        <v>1154</v>
      </c>
      <c r="AG243" s="202"/>
      <c r="AH243" s="203" t="s">
        <v>1155</v>
      </c>
      <c r="AI243" s="202">
        <v>0</v>
      </c>
      <c r="AJ243" s="202">
        <v>0</v>
      </c>
    </row>
    <row r="244" spans="2:36">
      <c r="B244" s="203">
        <v>2180</v>
      </c>
      <c r="C244" s="207">
        <v>217278</v>
      </c>
      <c r="D244" s="203" t="s">
        <v>97</v>
      </c>
      <c r="E244" s="202" t="s">
        <v>676</v>
      </c>
      <c r="F244" s="203">
        <v>624</v>
      </c>
      <c r="G244" s="202"/>
      <c r="H244" s="202"/>
      <c r="I244" s="202"/>
      <c r="J244" s="202">
        <v>0</v>
      </c>
      <c r="K244" s="202" t="s">
        <v>2502</v>
      </c>
      <c r="L244" s="202"/>
      <c r="M244" s="202"/>
      <c r="N244" s="206">
        <v>43647</v>
      </c>
      <c r="O244" s="206">
        <v>43647</v>
      </c>
      <c r="P244" s="202" t="s">
        <v>2822</v>
      </c>
      <c r="Q244" s="203">
        <v>700</v>
      </c>
      <c r="R244" s="203">
        <v>14050</v>
      </c>
      <c r="S244" s="204">
        <v>30698.34</v>
      </c>
      <c r="T244" s="203">
        <v>14056</v>
      </c>
      <c r="U244" s="204">
        <v>12790.98</v>
      </c>
      <c r="V244" s="204">
        <f t="shared" si="15"/>
        <v>17907.36</v>
      </c>
      <c r="W244" s="205">
        <v>1827.28</v>
      </c>
      <c r="X244" s="203">
        <v>54260</v>
      </c>
      <c r="Y244" s="204">
        <v>365.45</v>
      </c>
      <c r="Z244" s="202" t="s">
        <v>97</v>
      </c>
      <c r="AA244" s="202"/>
      <c r="AB244" s="202">
        <v>65607968</v>
      </c>
      <c r="AC244" s="202"/>
      <c r="AD244" s="202" t="s">
        <v>1152</v>
      </c>
      <c r="AE244" s="202" t="s">
        <v>1153</v>
      </c>
      <c r="AF244" s="203" t="s">
        <v>1154</v>
      </c>
      <c r="AG244" s="202"/>
      <c r="AH244" s="203" t="s">
        <v>1155</v>
      </c>
      <c r="AI244" s="202">
        <v>0</v>
      </c>
      <c r="AJ244" s="202">
        <v>0</v>
      </c>
    </row>
    <row r="245" spans="2:36">
      <c r="B245" s="203">
        <v>2180</v>
      </c>
      <c r="C245" s="207">
        <v>217052</v>
      </c>
      <c r="D245" s="203" t="s">
        <v>97</v>
      </c>
      <c r="E245" s="202" t="s">
        <v>696</v>
      </c>
      <c r="F245" s="203">
        <v>1248</v>
      </c>
      <c r="G245" s="202"/>
      <c r="H245" s="202"/>
      <c r="I245" s="202"/>
      <c r="J245" s="202">
        <v>0</v>
      </c>
      <c r="K245" s="202" t="s">
        <v>2502</v>
      </c>
      <c r="L245" s="202"/>
      <c r="M245" s="202"/>
      <c r="N245" s="206">
        <v>43638</v>
      </c>
      <c r="O245" s="206">
        <v>43638</v>
      </c>
      <c r="P245" s="202" t="s">
        <v>2821</v>
      </c>
      <c r="Q245" s="203">
        <v>700</v>
      </c>
      <c r="R245" s="203">
        <v>14050</v>
      </c>
      <c r="S245" s="204">
        <v>61396.68</v>
      </c>
      <c r="T245" s="203">
        <v>14056</v>
      </c>
      <c r="U245" s="204">
        <v>25581.97</v>
      </c>
      <c r="V245" s="204">
        <f t="shared" si="15"/>
        <v>35814.71</v>
      </c>
      <c r="W245" s="205">
        <v>3654.57</v>
      </c>
      <c r="X245" s="203">
        <v>54260</v>
      </c>
      <c r="Y245" s="204">
        <v>730.92</v>
      </c>
      <c r="Z245" s="202" t="s">
        <v>97</v>
      </c>
      <c r="AA245" s="202"/>
      <c r="AB245" s="202">
        <v>65606762</v>
      </c>
      <c r="AC245" s="202"/>
      <c r="AD245" s="202" t="s">
        <v>1152</v>
      </c>
      <c r="AE245" s="202" t="s">
        <v>1153</v>
      </c>
      <c r="AF245" s="203" t="s">
        <v>1154</v>
      </c>
      <c r="AG245" s="202"/>
      <c r="AH245" s="203" t="s">
        <v>1155</v>
      </c>
      <c r="AI245" s="202">
        <v>0</v>
      </c>
      <c r="AJ245" s="202">
        <v>0</v>
      </c>
    </row>
    <row r="246" spans="2:36">
      <c r="B246" s="203">
        <v>2180</v>
      </c>
      <c r="C246" s="207">
        <v>217051</v>
      </c>
      <c r="D246" s="203" t="s">
        <v>97</v>
      </c>
      <c r="E246" s="202" t="s">
        <v>646</v>
      </c>
      <c r="F246" s="203">
        <v>624</v>
      </c>
      <c r="G246" s="202"/>
      <c r="H246" s="202"/>
      <c r="I246" s="202"/>
      <c r="J246" s="202">
        <v>0</v>
      </c>
      <c r="K246" s="202" t="s">
        <v>2502</v>
      </c>
      <c r="L246" s="202"/>
      <c r="M246" s="202"/>
      <c r="N246" s="206">
        <v>43637</v>
      </c>
      <c r="O246" s="206">
        <v>43637</v>
      </c>
      <c r="P246" s="202" t="s">
        <v>2820</v>
      </c>
      <c r="Q246" s="203">
        <v>700</v>
      </c>
      <c r="R246" s="203">
        <v>14050</v>
      </c>
      <c r="S246" s="204">
        <v>30698.34</v>
      </c>
      <c r="T246" s="203">
        <v>14056</v>
      </c>
      <c r="U246" s="204">
        <v>12790.98</v>
      </c>
      <c r="V246" s="204">
        <f t="shared" si="15"/>
        <v>17907.36</v>
      </c>
      <c r="W246" s="205">
        <v>1827.28</v>
      </c>
      <c r="X246" s="203">
        <v>54260</v>
      </c>
      <c r="Y246" s="204">
        <v>365.45</v>
      </c>
      <c r="Z246" s="202" t="s">
        <v>97</v>
      </c>
      <c r="AA246" s="202"/>
      <c r="AB246" s="202">
        <v>65606627</v>
      </c>
      <c r="AC246" s="202"/>
      <c r="AD246" s="202" t="s">
        <v>1152</v>
      </c>
      <c r="AE246" s="202" t="s">
        <v>1153</v>
      </c>
      <c r="AF246" s="203" t="s">
        <v>1154</v>
      </c>
      <c r="AG246" s="202"/>
      <c r="AH246" s="203" t="s">
        <v>1155</v>
      </c>
      <c r="AI246" s="202">
        <v>0</v>
      </c>
      <c r="AJ246" s="202">
        <v>0</v>
      </c>
    </row>
    <row r="247" spans="2:36">
      <c r="B247" s="203">
        <v>2180</v>
      </c>
      <c r="C247" s="207">
        <v>217050</v>
      </c>
      <c r="D247" s="203" t="s">
        <v>97</v>
      </c>
      <c r="E247" s="202" t="s">
        <v>606</v>
      </c>
      <c r="F247" s="203">
        <v>5</v>
      </c>
      <c r="G247" s="202"/>
      <c r="H247" s="202"/>
      <c r="I247" s="202"/>
      <c r="J247" s="202">
        <v>0</v>
      </c>
      <c r="K247" s="202" t="s">
        <v>2041</v>
      </c>
      <c r="L247" s="202"/>
      <c r="M247" s="202" t="s">
        <v>1454</v>
      </c>
      <c r="N247" s="206">
        <v>43643</v>
      </c>
      <c r="O247" s="206">
        <v>43643</v>
      </c>
      <c r="P247" s="202" t="s">
        <v>2819</v>
      </c>
      <c r="Q247" s="203">
        <v>1200</v>
      </c>
      <c r="R247" s="203">
        <v>14050</v>
      </c>
      <c r="S247" s="204">
        <v>34425</v>
      </c>
      <c r="T247" s="203">
        <v>14056</v>
      </c>
      <c r="U247" s="204">
        <v>8367.19</v>
      </c>
      <c r="V247" s="204">
        <f t="shared" si="15"/>
        <v>26057.809999999998</v>
      </c>
      <c r="W247" s="205">
        <v>1195.31</v>
      </c>
      <c r="X247" s="203">
        <v>54260</v>
      </c>
      <c r="Y247" s="204">
        <v>239.06</v>
      </c>
      <c r="Z247" s="202" t="s">
        <v>97</v>
      </c>
      <c r="AA247" s="202"/>
      <c r="AB247" s="202">
        <v>154079</v>
      </c>
      <c r="AC247" s="202"/>
      <c r="AD247" s="202" t="s">
        <v>1152</v>
      </c>
      <c r="AE247" s="202" t="s">
        <v>1153</v>
      </c>
      <c r="AF247" s="203" t="s">
        <v>1154</v>
      </c>
      <c r="AG247" s="202"/>
      <c r="AH247" s="203" t="s">
        <v>1155</v>
      </c>
      <c r="AI247" s="202">
        <v>0</v>
      </c>
      <c r="AJ247" s="202">
        <v>0</v>
      </c>
    </row>
    <row r="248" spans="2:36">
      <c r="B248" s="203">
        <v>2180</v>
      </c>
      <c r="C248" s="207">
        <v>217049</v>
      </c>
      <c r="D248" s="203" t="s">
        <v>97</v>
      </c>
      <c r="E248" s="202" t="s">
        <v>605</v>
      </c>
      <c r="F248" s="203">
        <v>3</v>
      </c>
      <c r="G248" s="202"/>
      <c r="H248" s="202"/>
      <c r="I248" s="202"/>
      <c r="J248" s="202">
        <v>0</v>
      </c>
      <c r="K248" s="202" t="s">
        <v>2041</v>
      </c>
      <c r="L248" s="202"/>
      <c r="M248" s="202" t="s">
        <v>1458</v>
      </c>
      <c r="N248" s="206">
        <v>43643</v>
      </c>
      <c r="O248" s="206">
        <v>43643</v>
      </c>
      <c r="P248" s="202" t="s">
        <v>2818</v>
      </c>
      <c r="Q248" s="203">
        <v>1200</v>
      </c>
      <c r="R248" s="203">
        <v>14050</v>
      </c>
      <c r="S248" s="204">
        <v>18900</v>
      </c>
      <c r="T248" s="203">
        <v>14056</v>
      </c>
      <c r="U248" s="204">
        <v>4593.75</v>
      </c>
      <c r="V248" s="204">
        <f t="shared" si="15"/>
        <v>14306.25</v>
      </c>
      <c r="W248" s="205">
        <v>656.25</v>
      </c>
      <c r="X248" s="203">
        <v>54260</v>
      </c>
      <c r="Y248" s="204">
        <v>131.25</v>
      </c>
      <c r="Z248" s="202" t="s">
        <v>97</v>
      </c>
      <c r="AA248" s="202"/>
      <c r="AB248" s="202">
        <v>154023</v>
      </c>
      <c r="AC248" s="202"/>
      <c r="AD248" s="202" t="s">
        <v>1152</v>
      </c>
      <c r="AE248" s="202" t="s">
        <v>1153</v>
      </c>
      <c r="AF248" s="203" t="s">
        <v>1154</v>
      </c>
      <c r="AG248" s="202"/>
      <c r="AH248" s="203" t="s">
        <v>1155</v>
      </c>
      <c r="AI248" s="202">
        <v>0</v>
      </c>
      <c r="AJ248" s="202">
        <v>0</v>
      </c>
    </row>
    <row r="249" spans="2:36">
      <c r="B249" s="203">
        <v>2180</v>
      </c>
      <c r="C249" s="207">
        <v>216382</v>
      </c>
      <c r="D249" s="203" t="s">
        <v>97</v>
      </c>
      <c r="E249" s="202" t="s">
        <v>697</v>
      </c>
      <c r="F249" s="203">
        <v>936</v>
      </c>
      <c r="G249" s="202"/>
      <c r="H249" s="202"/>
      <c r="I249" s="202"/>
      <c r="J249" s="202">
        <v>0</v>
      </c>
      <c r="K249" s="202" t="s">
        <v>2502</v>
      </c>
      <c r="L249" s="202"/>
      <c r="M249" s="202"/>
      <c r="N249" s="206">
        <v>43622</v>
      </c>
      <c r="O249" s="206">
        <v>43622</v>
      </c>
      <c r="P249" s="202" t="s">
        <v>2817</v>
      </c>
      <c r="Q249" s="203">
        <v>700</v>
      </c>
      <c r="R249" s="203">
        <v>14050</v>
      </c>
      <c r="S249" s="204">
        <v>46475.57</v>
      </c>
      <c r="T249" s="203">
        <v>14056</v>
      </c>
      <c r="U249" s="204">
        <v>19918.11</v>
      </c>
      <c r="V249" s="204">
        <f t="shared" si="15"/>
        <v>26557.46</v>
      </c>
      <c r="W249" s="205">
        <v>2766.4</v>
      </c>
      <c r="X249" s="203">
        <v>54260</v>
      </c>
      <c r="Y249" s="204">
        <v>553.28</v>
      </c>
      <c r="Z249" s="202" t="s">
        <v>97</v>
      </c>
      <c r="AA249" s="202"/>
      <c r="AB249" s="202">
        <v>65603513</v>
      </c>
      <c r="AC249" s="202"/>
      <c r="AD249" s="202" t="s">
        <v>1152</v>
      </c>
      <c r="AE249" s="202" t="s">
        <v>1153</v>
      </c>
      <c r="AF249" s="203" t="s">
        <v>1154</v>
      </c>
      <c r="AG249" s="202"/>
      <c r="AH249" s="203" t="s">
        <v>1155</v>
      </c>
      <c r="AI249" s="202">
        <v>0</v>
      </c>
      <c r="AJ249" s="202">
        <v>0</v>
      </c>
    </row>
    <row r="250" spans="2:36">
      <c r="B250" s="203">
        <v>2180</v>
      </c>
      <c r="C250" s="207">
        <v>216381</v>
      </c>
      <c r="D250" s="203" t="s">
        <v>97</v>
      </c>
      <c r="E250" s="202" t="s">
        <v>2816</v>
      </c>
      <c r="F250" s="203">
        <v>432</v>
      </c>
      <c r="G250" s="202"/>
      <c r="H250" s="202"/>
      <c r="I250" s="202"/>
      <c r="J250" s="202">
        <v>0</v>
      </c>
      <c r="K250" s="202" t="s">
        <v>2502</v>
      </c>
      <c r="L250" s="202"/>
      <c r="M250" s="202"/>
      <c r="N250" s="206">
        <v>43623</v>
      </c>
      <c r="O250" s="206">
        <v>43623</v>
      </c>
      <c r="P250" s="202" t="s">
        <v>2815</v>
      </c>
      <c r="Q250" s="203">
        <v>700</v>
      </c>
      <c r="R250" s="203">
        <v>14050</v>
      </c>
      <c r="S250" s="204">
        <v>19561.55</v>
      </c>
      <c r="T250" s="203">
        <v>14056</v>
      </c>
      <c r="U250" s="204">
        <v>8383.5300000000007</v>
      </c>
      <c r="V250" s="204">
        <f t="shared" si="15"/>
        <v>11178.019999999999</v>
      </c>
      <c r="W250" s="205">
        <v>1164.3800000000001</v>
      </c>
      <c r="X250" s="203">
        <v>54260</v>
      </c>
      <c r="Y250" s="204">
        <v>232.88</v>
      </c>
      <c r="Z250" s="202" t="s">
        <v>97</v>
      </c>
      <c r="AA250" s="202"/>
      <c r="AB250" s="202">
        <v>65603545</v>
      </c>
      <c r="AC250" s="202"/>
      <c r="AD250" s="202" t="s">
        <v>1152</v>
      </c>
      <c r="AE250" s="202" t="s">
        <v>1153</v>
      </c>
      <c r="AF250" s="203" t="s">
        <v>1154</v>
      </c>
      <c r="AG250" s="202"/>
      <c r="AH250" s="203" t="s">
        <v>1155</v>
      </c>
      <c r="AI250" s="202">
        <v>0</v>
      </c>
      <c r="AJ250" s="202">
        <v>0</v>
      </c>
    </row>
    <row r="251" spans="2:36">
      <c r="B251" s="203">
        <v>2180</v>
      </c>
      <c r="C251" s="207">
        <v>215456</v>
      </c>
      <c r="D251" s="203" t="s">
        <v>97</v>
      </c>
      <c r="E251" s="202" t="s">
        <v>528</v>
      </c>
      <c r="F251" s="203">
        <v>24</v>
      </c>
      <c r="G251" s="202"/>
      <c r="H251" s="202"/>
      <c r="I251" s="202"/>
      <c r="J251" s="202">
        <v>0</v>
      </c>
      <c r="K251" s="202" t="s">
        <v>1549</v>
      </c>
      <c r="L251" s="202"/>
      <c r="M251" s="202" t="s">
        <v>1456</v>
      </c>
      <c r="N251" s="206">
        <v>43614</v>
      </c>
      <c r="O251" s="206">
        <v>43614</v>
      </c>
      <c r="P251" s="202" t="s">
        <v>2814</v>
      </c>
      <c r="Q251" s="203">
        <v>1200</v>
      </c>
      <c r="R251" s="203">
        <v>14050</v>
      </c>
      <c r="S251" s="204">
        <v>23273.69</v>
      </c>
      <c r="T251" s="203">
        <v>14056</v>
      </c>
      <c r="U251" s="204">
        <v>5818.44</v>
      </c>
      <c r="V251" s="204">
        <f t="shared" si="15"/>
        <v>17455.25</v>
      </c>
      <c r="W251" s="205">
        <v>808.12</v>
      </c>
      <c r="X251" s="203">
        <v>54260</v>
      </c>
      <c r="Y251" s="204">
        <v>161.63</v>
      </c>
      <c r="Z251" s="202" t="s">
        <v>97</v>
      </c>
      <c r="AA251" s="202"/>
      <c r="AB251" s="202" t="s">
        <v>2805</v>
      </c>
      <c r="AC251" s="202"/>
      <c r="AD251" s="202" t="s">
        <v>1152</v>
      </c>
      <c r="AE251" s="202" t="s">
        <v>1153</v>
      </c>
      <c r="AF251" s="203" t="s">
        <v>1154</v>
      </c>
      <c r="AG251" s="202"/>
      <c r="AH251" s="203" t="s">
        <v>1155</v>
      </c>
      <c r="AI251" s="202">
        <v>0</v>
      </c>
      <c r="AJ251" s="202">
        <v>0</v>
      </c>
    </row>
    <row r="252" spans="2:36">
      <c r="B252" s="203">
        <v>2180</v>
      </c>
      <c r="C252" s="207">
        <v>215455</v>
      </c>
      <c r="D252" s="203" t="s">
        <v>97</v>
      </c>
      <c r="E252" s="202" t="s">
        <v>2813</v>
      </c>
      <c r="F252" s="203">
        <v>24</v>
      </c>
      <c r="G252" s="202"/>
      <c r="H252" s="202"/>
      <c r="I252" s="202"/>
      <c r="J252" s="202">
        <v>0</v>
      </c>
      <c r="K252" s="202" t="s">
        <v>1549</v>
      </c>
      <c r="L252" s="202"/>
      <c r="M252" s="202" t="s">
        <v>1464</v>
      </c>
      <c r="N252" s="206">
        <v>43614</v>
      </c>
      <c r="O252" s="206">
        <v>43614</v>
      </c>
      <c r="P252" s="202" t="s">
        <v>2812</v>
      </c>
      <c r="Q252" s="203">
        <v>1200</v>
      </c>
      <c r="R252" s="203">
        <v>14050</v>
      </c>
      <c r="S252" s="204">
        <v>17476.41</v>
      </c>
      <c r="T252" s="203">
        <v>14056</v>
      </c>
      <c r="U252" s="204">
        <v>4369.1099999999997</v>
      </c>
      <c r="V252" s="204">
        <f t="shared" si="15"/>
        <v>13107.3</v>
      </c>
      <c r="W252" s="205">
        <v>606.82000000000005</v>
      </c>
      <c r="X252" s="203">
        <v>54260</v>
      </c>
      <c r="Y252" s="204">
        <v>121.36</v>
      </c>
      <c r="Z252" s="202" t="s">
        <v>97</v>
      </c>
      <c r="AA252" s="202"/>
      <c r="AB252" s="202" t="s">
        <v>2805</v>
      </c>
      <c r="AC252" s="202"/>
      <c r="AD252" s="202" t="s">
        <v>1152</v>
      </c>
      <c r="AE252" s="202" t="s">
        <v>1153</v>
      </c>
      <c r="AF252" s="203" t="s">
        <v>1154</v>
      </c>
      <c r="AG252" s="202"/>
      <c r="AH252" s="203" t="s">
        <v>1155</v>
      </c>
      <c r="AI252" s="202">
        <v>0</v>
      </c>
      <c r="AJ252" s="202">
        <v>0</v>
      </c>
    </row>
    <row r="253" spans="2:36">
      <c r="B253" s="203">
        <v>2180</v>
      </c>
      <c r="C253" s="207">
        <v>215454</v>
      </c>
      <c r="D253" s="203" t="s">
        <v>97</v>
      </c>
      <c r="E253" s="202" t="s">
        <v>2811</v>
      </c>
      <c r="F253" s="203">
        <v>48</v>
      </c>
      <c r="G253" s="202"/>
      <c r="H253" s="202"/>
      <c r="I253" s="202"/>
      <c r="J253" s="202">
        <v>0</v>
      </c>
      <c r="K253" s="202" t="s">
        <v>1549</v>
      </c>
      <c r="L253" s="202"/>
      <c r="M253" s="202" t="s">
        <v>1701</v>
      </c>
      <c r="N253" s="206">
        <v>43614</v>
      </c>
      <c r="O253" s="206">
        <v>43614</v>
      </c>
      <c r="P253" s="202" t="s">
        <v>2810</v>
      </c>
      <c r="Q253" s="203">
        <v>1200</v>
      </c>
      <c r="R253" s="203">
        <v>14050</v>
      </c>
      <c r="S253" s="204">
        <v>33378.47</v>
      </c>
      <c r="T253" s="203">
        <v>14056</v>
      </c>
      <c r="U253" s="204">
        <v>8344.6299999999992</v>
      </c>
      <c r="V253" s="204">
        <f t="shared" si="15"/>
        <v>25033.840000000004</v>
      </c>
      <c r="W253" s="205">
        <v>1158.98</v>
      </c>
      <c r="X253" s="203">
        <v>54260</v>
      </c>
      <c r="Y253" s="204">
        <v>231.8</v>
      </c>
      <c r="Z253" s="202" t="s">
        <v>97</v>
      </c>
      <c r="AA253" s="202"/>
      <c r="AB253" s="202" t="s">
        <v>2805</v>
      </c>
      <c r="AC253" s="202"/>
      <c r="AD253" s="202" t="s">
        <v>1152</v>
      </c>
      <c r="AE253" s="202" t="s">
        <v>1153</v>
      </c>
      <c r="AF253" s="203" t="s">
        <v>1154</v>
      </c>
      <c r="AG253" s="202"/>
      <c r="AH253" s="203" t="s">
        <v>1155</v>
      </c>
      <c r="AI253" s="202">
        <v>0</v>
      </c>
      <c r="AJ253" s="202">
        <v>0</v>
      </c>
    </row>
    <row r="254" spans="2:36">
      <c r="B254" s="203">
        <v>2180</v>
      </c>
      <c r="C254" s="207">
        <v>215453</v>
      </c>
      <c r="D254" s="203" t="s">
        <v>97</v>
      </c>
      <c r="E254" s="202" t="s">
        <v>2809</v>
      </c>
      <c r="F254" s="203">
        <v>24</v>
      </c>
      <c r="G254" s="202"/>
      <c r="H254" s="202"/>
      <c r="I254" s="202"/>
      <c r="J254" s="202">
        <v>0</v>
      </c>
      <c r="K254" s="202" t="s">
        <v>1549</v>
      </c>
      <c r="L254" s="202"/>
      <c r="M254" s="202" t="s">
        <v>1421</v>
      </c>
      <c r="N254" s="206">
        <v>43614</v>
      </c>
      <c r="O254" s="206">
        <v>43614</v>
      </c>
      <c r="P254" s="202" t="s">
        <v>2808</v>
      </c>
      <c r="Q254" s="203">
        <v>1200</v>
      </c>
      <c r="R254" s="203">
        <v>14050</v>
      </c>
      <c r="S254" s="204">
        <v>15299.16</v>
      </c>
      <c r="T254" s="203">
        <v>14056</v>
      </c>
      <c r="U254" s="204">
        <v>3824.79</v>
      </c>
      <c r="V254" s="204">
        <f t="shared" si="15"/>
        <v>11474.369999999999</v>
      </c>
      <c r="W254" s="205">
        <v>531.22</v>
      </c>
      <c r="X254" s="203">
        <v>54260</v>
      </c>
      <c r="Y254" s="204">
        <v>106.24</v>
      </c>
      <c r="Z254" s="202" t="s">
        <v>97</v>
      </c>
      <c r="AA254" s="202"/>
      <c r="AB254" s="202" t="s">
        <v>2805</v>
      </c>
      <c r="AC254" s="202"/>
      <c r="AD254" s="202" t="s">
        <v>1152</v>
      </c>
      <c r="AE254" s="202" t="s">
        <v>1153</v>
      </c>
      <c r="AF254" s="203" t="s">
        <v>1154</v>
      </c>
      <c r="AG254" s="202"/>
      <c r="AH254" s="203" t="s">
        <v>1155</v>
      </c>
      <c r="AI254" s="202">
        <v>0</v>
      </c>
      <c r="AJ254" s="202">
        <v>0</v>
      </c>
    </row>
    <row r="255" spans="2:36">
      <c r="B255" s="203">
        <v>2180</v>
      </c>
      <c r="C255" s="207">
        <v>215452</v>
      </c>
      <c r="D255" s="203" t="s">
        <v>97</v>
      </c>
      <c r="E255" s="202" t="s">
        <v>2807</v>
      </c>
      <c r="F255" s="203">
        <v>24</v>
      </c>
      <c r="G255" s="202"/>
      <c r="H255" s="202"/>
      <c r="I255" s="202"/>
      <c r="J255" s="202">
        <v>0</v>
      </c>
      <c r="K255" s="202" t="s">
        <v>1549</v>
      </c>
      <c r="L255" s="202"/>
      <c r="M255" s="202" t="s">
        <v>1421</v>
      </c>
      <c r="N255" s="206">
        <v>43614</v>
      </c>
      <c r="O255" s="206">
        <v>43614</v>
      </c>
      <c r="P255" s="202" t="s">
        <v>2806</v>
      </c>
      <c r="Q255" s="203">
        <v>1200</v>
      </c>
      <c r="R255" s="203">
        <v>14050</v>
      </c>
      <c r="S255" s="204">
        <v>15194.23</v>
      </c>
      <c r="T255" s="203">
        <v>14056</v>
      </c>
      <c r="U255" s="204">
        <v>3798.57</v>
      </c>
      <c r="V255" s="204">
        <f t="shared" si="15"/>
        <v>11395.66</v>
      </c>
      <c r="W255" s="205">
        <v>527.58000000000004</v>
      </c>
      <c r="X255" s="203">
        <v>54260</v>
      </c>
      <c r="Y255" s="204">
        <v>105.52</v>
      </c>
      <c r="Z255" s="202" t="s">
        <v>97</v>
      </c>
      <c r="AA255" s="202"/>
      <c r="AB255" s="202" t="s">
        <v>2805</v>
      </c>
      <c r="AC255" s="202"/>
      <c r="AD255" s="202" t="s">
        <v>1152</v>
      </c>
      <c r="AE255" s="202" t="s">
        <v>1153</v>
      </c>
      <c r="AF255" s="203" t="s">
        <v>1154</v>
      </c>
      <c r="AG255" s="202"/>
      <c r="AH255" s="203" t="s">
        <v>1155</v>
      </c>
      <c r="AI255" s="202">
        <v>0</v>
      </c>
      <c r="AJ255" s="202">
        <v>0</v>
      </c>
    </row>
    <row r="256" spans="2:36">
      <c r="B256" s="203">
        <v>2180</v>
      </c>
      <c r="C256" s="207">
        <v>212308</v>
      </c>
      <c r="D256" s="203" t="s">
        <v>97</v>
      </c>
      <c r="E256" s="202" t="s">
        <v>698</v>
      </c>
      <c r="F256" s="203">
        <v>624</v>
      </c>
      <c r="G256" s="202"/>
      <c r="H256" s="202"/>
      <c r="I256" s="202"/>
      <c r="J256" s="202">
        <v>0</v>
      </c>
      <c r="K256" s="202" t="s">
        <v>2502</v>
      </c>
      <c r="L256" s="202"/>
      <c r="M256" s="202"/>
      <c r="N256" s="206">
        <v>43554</v>
      </c>
      <c r="O256" s="206">
        <v>43554</v>
      </c>
      <c r="P256" s="202" t="s">
        <v>2804</v>
      </c>
      <c r="Q256" s="203">
        <v>700</v>
      </c>
      <c r="R256" s="203">
        <v>14050</v>
      </c>
      <c r="S256" s="204">
        <v>31901.46</v>
      </c>
      <c r="T256" s="203">
        <v>14056</v>
      </c>
      <c r="U256" s="204">
        <v>14431.61</v>
      </c>
      <c r="V256" s="204">
        <f t="shared" si="15"/>
        <v>17469.849999999999</v>
      </c>
      <c r="W256" s="205">
        <v>1898.9</v>
      </c>
      <c r="X256" s="203">
        <v>54260</v>
      </c>
      <c r="Y256" s="204">
        <v>379.78</v>
      </c>
      <c r="Z256" s="202" t="s">
        <v>97</v>
      </c>
      <c r="AA256" s="202"/>
      <c r="AB256" s="202">
        <v>65582199</v>
      </c>
      <c r="AC256" s="202"/>
      <c r="AD256" s="202" t="s">
        <v>1152</v>
      </c>
      <c r="AE256" s="202" t="s">
        <v>1153</v>
      </c>
      <c r="AF256" s="203" t="s">
        <v>1154</v>
      </c>
      <c r="AG256" s="202"/>
      <c r="AH256" s="203" t="s">
        <v>1155</v>
      </c>
      <c r="AI256" s="202">
        <v>0</v>
      </c>
      <c r="AJ256" s="202">
        <v>0</v>
      </c>
    </row>
    <row r="257" spans="2:36">
      <c r="B257" s="203">
        <v>2180</v>
      </c>
      <c r="C257" s="207">
        <v>211431</v>
      </c>
      <c r="D257" s="203" t="s">
        <v>97</v>
      </c>
      <c r="E257" s="202" t="s">
        <v>1001</v>
      </c>
      <c r="F257" s="203"/>
      <c r="G257" s="202"/>
      <c r="H257" s="202"/>
      <c r="I257" s="202" t="s">
        <v>1147</v>
      </c>
      <c r="J257" s="202">
        <v>0</v>
      </c>
      <c r="K257" s="202" t="s">
        <v>2803</v>
      </c>
      <c r="L257" s="202"/>
      <c r="M257" s="202"/>
      <c r="N257" s="206">
        <v>43466</v>
      </c>
      <c r="O257" s="206">
        <v>43466</v>
      </c>
      <c r="P257" s="202" t="s">
        <v>2791</v>
      </c>
      <c r="Q257" s="203">
        <v>1000</v>
      </c>
      <c r="R257" s="203">
        <v>14080</v>
      </c>
      <c r="S257" s="204">
        <v>-2575.16</v>
      </c>
      <c r="T257" s="203">
        <v>14086</v>
      </c>
      <c r="U257" s="204">
        <v>-879.86</v>
      </c>
      <c r="V257" s="204">
        <f t="shared" si="15"/>
        <v>-1695.2999999999997</v>
      </c>
      <c r="W257" s="205">
        <v>-107.3</v>
      </c>
      <c r="X257" s="203">
        <v>57260</v>
      </c>
      <c r="Y257" s="204">
        <v>-21.46</v>
      </c>
      <c r="Z257" s="202" t="s">
        <v>97</v>
      </c>
      <c r="AA257" s="202"/>
      <c r="AB257" s="202">
        <v>2001775529</v>
      </c>
      <c r="AC257" s="202"/>
      <c r="AD257" s="202" t="s">
        <v>1152</v>
      </c>
      <c r="AE257" s="202" t="s">
        <v>1153</v>
      </c>
      <c r="AF257" s="203" t="s">
        <v>1154</v>
      </c>
      <c r="AG257" s="202"/>
      <c r="AH257" s="203" t="s">
        <v>1155</v>
      </c>
      <c r="AI257" s="202">
        <v>0</v>
      </c>
      <c r="AJ257" s="202">
        <v>0</v>
      </c>
    </row>
    <row r="258" spans="2:36">
      <c r="B258" s="203">
        <v>2180</v>
      </c>
      <c r="C258" s="207">
        <v>211014</v>
      </c>
      <c r="D258" s="203" t="s">
        <v>97</v>
      </c>
      <c r="E258" s="202" t="s">
        <v>643</v>
      </c>
      <c r="F258" s="203">
        <v>864</v>
      </c>
      <c r="G258" s="202"/>
      <c r="H258" s="202"/>
      <c r="I258" s="202"/>
      <c r="J258" s="202">
        <v>0</v>
      </c>
      <c r="K258" s="202" t="s">
        <v>2800</v>
      </c>
      <c r="L258" s="202"/>
      <c r="M258" s="202"/>
      <c r="N258" s="206">
        <v>43522</v>
      </c>
      <c r="O258" s="206">
        <v>43522</v>
      </c>
      <c r="P258" s="202" t="s">
        <v>2802</v>
      </c>
      <c r="Q258" s="203">
        <v>700</v>
      </c>
      <c r="R258" s="203">
        <v>14050</v>
      </c>
      <c r="S258" s="204">
        <v>39272.65</v>
      </c>
      <c r="T258" s="203">
        <v>14056</v>
      </c>
      <c r="U258" s="204">
        <v>18233.740000000002</v>
      </c>
      <c r="V258" s="204">
        <f t="shared" si="15"/>
        <v>21038.91</v>
      </c>
      <c r="W258" s="205">
        <v>2337.66</v>
      </c>
      <c r="X258" s="203">
        <v>54260</v>
      </c>
      <c r="Y258" s="204">
        <v>467.53</v>
      </c>
      <c r="Z258" s="202" t="s">
        <v>97</v>
      </c>
      <c r="AA258" s="202"/>
      <c r="AB258" s="202">
        <v>65581119</v>
      </c>
      <c r="AC258" s="202"/>
      <c r="AD258" s="202" t="s">
        <v>1152</v>
      </c>
      <c r="AE258" s="202" t="s">
        <v>1153</v>
      </c>
      <c r="AF258" s="203" t="s">
        <v>1154</v>
      </c>
      <c r="AG258" s="202"/>
      <c r="AH258" s="203" t="s">
        <v>1155</v>
      </c>
      <c r="AI258" s="202">
        <v>0</v>
      </c>
      <c r="AJ258" s="202">
        <v>0</v>
      </c>
    </row>
    <row r="259" spans="2:36">
      <c r="B259" s="203">
        <v>2180</v>
      </c>
      <c r="C259" s="207">
        <v>211013</v>
      </c>
      <c r="D259" s="203" t="s">
        <v>97</v>
      </c>
      <c r="E259" s="202" t="s">
        <v>643</v>
      </c>
      <c r="F259" s="203">
        <v>864</v>
      </c>
      <c r="G259" s="202"/>
      <c r="H259" s="202"/>
      <c r="I259" s="202"/>
      <c r="J259" s="202">
        <v>0</v>
      </c>
      <c r="K259" s="202" t="s">
        <v>2800</v>
      </c>
      <c r="L259" s="202"/>
      <c r="M259" s="202"/>
      <c r="N259" s="206">
        <v>43518</v>
      </c>
      <c r="O259" s="206">
        <v>43518</v>
      </c>
      <c r="P259" s="202" t="s">
        <v>2802</v>
      </c>
      <c r="Q259" s="203">
        <v>700</v>
      </c>
      <c r="R259" s="203">
        <v>14050</v>
      </c>
      <c r="S259" s="204">
        <v>39272.65</v>
      </c>
      <c r="T259" s="203">
        <v>14056</v>
      </c>
      <c r="U259" s="204">
        <v>18233.740000000002</v>
      </c>
      <c r="V259" s="204">
        <f t="shared" si="15"/>
        <v>21038.91</v>
      </c>
      <c r="W259" s="205">
        <v>2337.66</v>
      </c>
      <c r="X259" s="203">
        <v>54260</v>
      </c>
      <c r="Y259" s="204">
        <v>467.53</v>
      </c>
      <c r="Z259" s="202" t="s">
        <v>97</v>
      </c>
      <c r="AA259" s="202"/>
      <c r="AB259" s="202">
        <v>65580973</v>
      </c>
      <c r="AC259" s="202"/>
      <c r="AD259" s="202" t="s">
        <v>1152</v>
      </c>
      <c r="AE259" s="202" t="s">
        <v>1153</v>
      </c>
      <c r="AF259" s="203" t="s">
        <v>1154</v>
      </c>
      <c r="AG259" s="202"/>
      <c r="AH259" s="203" t="s">
        <v>1155</v>
      </c>
      <c r="AI259" s="202">
        <v>0</v>
      </c>
      <c r="AJ259" s="202">
        <v>0</v>
      </c>
    </row>
    <row r="260" spans="2:36">
      <c r="B260" s="203">
        <v>2180</v>
      </c>
      <c r="C260" s="207">
        <v>211012</v>
      </c>
      <c r="D260" s="203" t="s">
        <v>97</v>
      </c>
      <c r="E260" s="202" t="s">
        <v>645</v>
      </c>
      <c r="F260" s="203">
        <v>624</v>
      </c>
      <c r="G260" s="202"/>
      <c r="H260" s="202"/>
      <c r="I260" s="202"/>
      <c r="J260" s="202">
        <v>0</v>
      </c>
      <c r="K260" s="202" t="s">
        <v>2800</v>
      </c>
      <c r="L260" s="202"/>
      <c r="M260" s="202"/>
      <c r="N260" s="206">
        <v>43525</v>
      </c>
      <c r="O260" s="206">
        <v>43525</v>
      </c>
      <c r="P260" s="202" t="s">
        <v>2801</v>
      </c>
      <c r="Q260" s="203">
        <v>700</v>
      </c>
      <c r="R260" s="203">
        <v>14050</v>
      </c>
      <c r="S260" s="204">
        <v>31901.46</v>
      </c>
      <c r="T260" s="203">
        <v>14056</v>
      </c>
      <c r="U260" s="204">
        <v>14811.39</v>
      </c>
      <c r="V260" s="204">
        <f t="shared" si="15"/>
        <v>17090.07</v>
      </c>
      <c r="W260" s="205">
        <v>1898.9</v>
      </c>
      <c r="X260" s="203">
        <v>54260</v>
      </c>
      <c r="Y260" s="204">
        <v>379.78</v>
      </c>
      <c r="Z260" s="202" t="s">
        <v>97</v>
      </c>
      <c r="AA260" s="202"/>
      <c r="AB260" s="202">
        <v>65581754</v>
      </c>
      <c r="AC260" s="202"/>
      <c r="AD260" s="202" t="s">
        <v>1152</v>
      </c>
      <c r="AE260" s="202" t="s">
        <v>1153</v>
      </c>
      <c r="AF260" s="203" t="s">
        <v>1154</v>
      </c>
      <c r="AG260" s="202"/>
      <c r="AH260" s="203" t="s">
        <v>1155</v>
      </c>
      <c r="AI260" s="202">
        <v>0</v>
      </c>
      <c r="AJ260" s="202">
        <v>0</v>
      </c>
    </row>
    <row r="261" spans="2:36">
      <c r="B261" s="203">
        <v>2180</v>
      </c>
      <c r="C261" s="207">
        <v>211011</v>
      </c>
      <c r="D261" s="203" t="s">
        <v>97</v>
      </c>
      <c r="E261" s="202" t="s">
        <v>642</v>
      </c>
      <c r="F261" s="203">
        <v>1248</v>
      </c>
      <c r="G261" s="202"/>
      <c r="H261" s="202"/>
      <c r="I261" s="202"/>
      <c r="J261" s="202">
        <v>0</v>
      </c>
      <c r="K261" s="202" t="s">
        <v>2800</v>
      </c>
      <c r="L261" s="202"/>
      <c r="M261" s="202"/>
      <c r="N261" s="206">
        <v>43522</v>
      </c>
      <c r="O261" s="206">
        <v>43522</v>
      </c>
      <c r="P261" s="202" t="s">
        <v>2799</v>
      </c>
      <c r="Q261" s="203">
        <v>700</v>
      </c>
      <c r="R261" s="203">
        <v>14050</v>
      </c>
      <c r="S261" s="204">
        <v>63802.92</v>
      </c>
      <c r="T261" s="203">
        <v>14056</v>
      </c>
      <c r="U261" s="204">
        <v>29622.78</v>
      </c>
      <c r="V261" s="204">
        <f t="shared" si="15"/>
        <v>34180.14</v>
      </c>
      <c r="W261" s="205">
        <v>3797.79</v>
      </c>
      <c r="X261" s="203">
        <v>54260</v>
      </c>
      <c r="Y261" s="204">
        <v>759.56</v>
      </c>
      <c r="Z261" s="202" t="s">
        <v>97</v>
      </c>
      <c r="AA261" s="202"/>
      <c r="AB261" s="202">
        <v>65581120</v>
      </c>
      <c r="AC261" s="202"/>
      <c r="AD261" s="202" t="s">
        <v>1152</v>
      </c>
      <c r="AE261" s="202" t="s">
        <v>1153</v>
      </c>
      <c r="AF261" s="203" t="s">
        <v>1154</v>
      </c>
      <c r="AG261" s="202"/>
      <c r="AH261" s="203" t="s">
        <v>1155</v>
      </c>
      <c r="AI261" s="202">
        <v>0</v>
      </c>
      <c r="AJ261" s="202">
        <v>0</v>
      </c>
    </row>
    <row r="262" spans="2:36">
      <c r="B262" s="203">
        <v>2180</v>
      </c>
      <c r="C262" s="207">
        <v>210086</v>
      </c>
      <c r="D262" s="203" t="s">
        <v>97</v>
      </c>
      <c r="E262" s="202" t="s">
        <v>2798</v>
      </c>
      <c r="F262" s="203"/>
      <c r="G262" s="202"/>
      <c r="H262" s="202"/>
      <c r="I262" s="202"/>
      <c r="J262" s="202">
        <v>0</v>
      </c>
      <c r="K262" s="202" t="s">
        <v>2797</v>
      </c>
      <c r="L262" s="202"/>
      <c r="M262" s="202"/>
      <c r="N262" s="206">
        <v>43466</v>
      </c>
      <c r="O262" s="206">
        <v>43466</v>
      </c>
      <c r="P262" s="202" t="s">
        <v>2791</v>
      </c>
      <c r="Q262" s="203">
        <v>1000</v>
      </c>
      <c r="R262" s="203">
        <v>14080</v>
      </c>
      <c r="S262" s="204">
        <v>9037</v>
      </c>
      <c r="T262" s="203">
        <v>14086</v>
      </c>
      <c r="U262" s="204">
        <v>3087.64</v>
      </c>
      <c r="V262" s="204">
        <f t="shared" si="15"/>
        <v>5949.3600000000006</v>
      </c>
      <c r="W262" s="205">
        <v>376.54</v>
      </c>
      <c r="X262" s="203">
        <v>57260</v>
      </c>
      <c r="Y262" s="204">
        <v>75.31</v>
      </c>
      <c r="Z262" s="202" t="s">
        <v>97</v>
      </c>
      <c r="AA262" s="202"/>
      <c r="AB262" s="202">
        <v>46340</v>
      </c>
      <c r="AC262" s="202"/>
      <c r="AD262" s="202" t="s">
        <v>1152</v>
      </c>
      <c r="AE262" s="202" t="s">
        <v>1153</v>
      </c>
      <c r="AF262" s="203" t="s">
        <v>1154</v>
      </c>
      <c r="AG262" s="202"/>
      <c r="AH262" s="203" t="s">
        <v>1155</v>
      </c>
      <c r="AI262" s="202">
        <v>0</v>
      </c>
      <c r="AJ262" s="202">
        <v>0</v>
      </c>
    </row>
    <row r="263" spans="2:36">
      <c r="B263" s="203">
        <v>2180</v>
      </c>
      <c r="C263" s="207">
        <v>210007</v>
      </c>
      <c r="D263" s="203" t="s">
        <v>97</v>
      </c>
      <c r="E263" s="202" t="s">
        <v>986</v>
      </c>
      <c r="F263" s="203"/>
      <c r="G263" s="202"/>
      <c r="H263" s="202"/>
      <c r="I263" s="202"/>
      <c r="J263" s="202">
        <v>0</v>
      </c>
      <c r="K263" s="202" t="s">
        <v>1429</v>
      </c>
      <c r="L263" s="202"/>
      <c r="M263" s="202"/>
      <c r="N263" s="206">
        <v>43488</v>
      </c>
      <c r="O263" s="206">
        <v>43488</v>
      </c>
      <c r="P263" s="202" t="s">
        <v>2796</v>
      </c>
      <c r="Q263" s="203">
        <v>300</v>
      </c>
      <c r="R263" s="203">
        <v>14110</v>
      </c>
      <c r="S263" s="204">
        <v>1670.66</v>
      </c>
      <c r="T263" s="203">
        <v>14116</v>
      </c>
      <c r="U263" s="204">
        <v>1670.66</v>
      </c>
      <c r="V263" s="204">
        <f t="shared" si="15"/>
        <v>0</v>
      </c>
      <c r="W263" s="205">
        <v>46.4</v>
      </c>
      <c r="X263" s="203">
        <v>70260</v>
      </c>
      <c r="Y263" s="204">
        <v>0</v>
      </c>
      <c r="Z263" s="202" t="s">
        <v>97</v>
      </c>
      <c r="AA263" s="202"/>
      <c r="AB263" s="202" t="s">
        <v>2795</v>
      </c>
      <c r="AC263" s="202"/>
      <c r="AD263" s="202" t="s">
        <v>1152</v>
      </c>
      <c r="AE263" s="202" t="s">
        <v>1153</v>
      </c>
      <c r="AF263" s="203" t="s">
        <v>1154</v>
      </c>
      <c r="AG263" s="202"/>
      <c r="AH263" s="203" t="s">
        <v>1155</v>
      </c>
      <c r="AI263" s="202">
        <v>0</v>
      </c>
      <c r="AJ263" s="202">
        <v>0</v>
      </c>
    </row>
    <row r="264" spans="2:36">
      <c r="B264" s="203">
        <v>2180</v>
      </c>
      <c r="C264" s="207">
        <v>209134</v>
      </c>
      <c r="D264" s="203" t="s">
        <v>97</v>
      </c>
      <c r="E264" s="202" t="s">
        <v>674</v>
      </c>
      <c r="F264" s="203">
        <v>702</v>
      </c>
      <c r="G264" s="202"/>
      <c r="H264" s="202"/>
      <c r="I264" s="202"/>
      <c r="J264" s="202">
        <v>0</v>
      </c>
      <c r="K264" s="202" t="s">
        <v>2445</v>
      </c>
      <c r="L264" s="202"/>
      <c r="M264" s="202"/>
      <c r="N264" s="206">
        <v>43466</v>
      </c>
      <c r="O264" s="206">
        <v>43466</v>
      </c>
      <c r="P264" s="202" t="s">
        <v>2757</v>
      </c>
      <c r="Q264" s="203">
        <v>608</v>
      </c>
      <c r="R264" s="203">
        <v>14050</v>
      </c>
      <c r="S264" s="204">
        <v>38279.9</v>
      </c>
      <c r="T264" s="203">
        <v>14056</v>
      </c>
      <c r="U264" s="204">
        <v>19618.47</v>
      </c>
      <c r="V264" s="204">
        <f t="shared" si="15"/>
        <v>18661.43</v>
      </c>
      <c r="W264" s="205">
        <v>2392.5</v>
      </c>
      <c r="X264" s="203">
        <v>54260</v>
      </c>
      <c r="Y264" s="204">
        <v>478.5</v>
      </c>
      <c r="Z264" s="202" t="s">
        <v>97</v>
      </c>
      <c r="AA264" s="202"/>
      <c r="AB264" s="202" t="s">
        <v>2794</v>
      </c>
      <c r="AC264" s="202"/>
      <c r="AD264" s="202" t="s">
        <v>1152</v>
      </c>
      <c r="AE264" s="202" t="s">
        <v>1153</v>
      </c>
      <c r="AF264" s="203" t="s">
        <v>1154</v>
      </c>
      <c r="AG264" s="202"/>
      <c r="AH264" s="203" t="s">
        <v>1155</v>
      </c>
      <c r="AI264" s="202">
        <v>0</v>
      </c>
      <c r="AJ264" s="202">
        <v>0</v>
      </c>
    </row>
    <row r="265" spans="2:36">
      <c r="B265" s="203">
        <v>2180</v>
      </c>
      <c r="C265" s="207">
        <v>208977</v>
      </c>
      <c r="D265" s="203" t="s">
        <v>97</v>
      </c>
      <c r="E265" s="202" t="s">
        <v>2793</v>
      </c>
      <c r="F265" s="203"/>
      <c r="G265" s="202"/>
      <c r="H265" s="202"/>
      <c r="I265" s="202"/>
      <c r="J265" s="202">
        <v>0</v>
      </c>
      <c r="K265" s="202" t="s">
        <v>2792</v>
      </c>
      <c r="L265" s="202"/>
      <c r="M265" s="202"/>
      <c r="N265" s="206">
        <v>43466</v>
      </c>
      <c r="O265" s="206">
        <v>43466</v>
      </c>
      <c r="P265" s="202" t="s">
        <v>2791</v>
      </c>
      <c r="Q265" s="203">
        <v>911</v>
      </c>
      <c r="R265" s="203">
        <v>14080</v>
      </c>
      <c r="S265" s="204">
        <v>24602.39</v>
      </c>
      <c r="T265" s="203">
        <v>14086</v>
      </c>
      <c r="U265" s="204">
        <v>8476.44</v>
      </c>
      <c r="V265" s="204">
        <f t="shared" si="15"/>
        <v>16125.949999999999</v>
      </c>
      <c r="W265" s="205">
        <v>1033.71</v>
      </c>
      <c r="X265" s="203">
        <v>57260</v>
      </c>
      <c r="Y265" s="204">
        <v>206.74</v>
      </c>
      <c r="Z265" s="202" t="s">
        <v>97</v>
      </c>
      <c r="AA265" s="202"/>
      <c r="AB265" s="202" t="s">
        <v>2790</v>
      </c>
      <c r="AC265" s="202"/>
      <c r="AD265" s="202" t="s">
        <v>1152</v>
      </c>
      <c r="AE265" s="202" t="s">
        <v>1153</v>
      </c>
      <c r="AF265" s="203" t="s">
        <v>1154</v>
      </c>
      <c r="AG265" s="202"/>
      <c r="AH265" s="203" t="s">
        <v>1155</v>
      </c>
      <c r="AI265" s="202">
        <v>0</v>
      </c>
      <c r="AJ265" s="202">
        <v>0</v>
      </c>
    </row>
    <row r="266" spans="2:36">
      <c r="B266" s="203">
        <v>2180</v>
      </c>
      <c r="C266" s="207">
        <v>208946</v>
      </c>
      <c r="D266" s="203" t="s">
        <v>97</v>
      </c>
      <c r="E266" s="202" t="s">
        <v>2789</v>
      </c>
      <c r="F266" s="203">
        <v>2</v>
      </c>
      <c r="G266" s="202"/>
      <c r="H266" s="202"/>
      <c r="I266" s="202"/>
      <c r="J266" s="202">
        <v>0</v>
      </c>
      <c r="K266" s="202" t="s">
        <v>2318</v>
      </c>
      <c r="L266" s="202"/>
      <c r="M266" s="202" t="s">
        <v>1417</v>
      </c>
      <c r="N266" s="206">
        <v>43466</v>
      </c>
      <c r="O266" s="206">
        <v>43466</v>
      </c>
      <c r="P266" s="202" t="s">
        <v>2781</v>
      </c>
      <c r="Q266" s="203">
        <v>1111</v>
      </c>
      <c r="R266" s="203">
        <v>14050</v>
      </c>
      <c r="S266" s="204">
        <v>15795</v>
      </c>
      <c r="T266" s="203">
        <v>14056</v>
      </c>
      <c r="U266" s="204">
        <v>4528.66</v>
      </c>
      <c r="V266" s="204">
        <f t="shared" si="15"/>
        <v>11266.34</v>
      </c>
      <c r="W266" s="205">
        <v>552.28</v>
      </c>
      <c r="X266" s="203">
        <v>54260</v>
      </c>
      <c r="Y266" s="204">
        <v>110.46</v>
      </c>
      <c r="Z266" s="202" t="s">
        <v>97</v>
      </c>
      <c r="AA266" s="202"/>
      <c r="AB266" s="202">
        <v>37218254</v>
      </c>
      <c r="AC266" s="202"/>
      <c r="AD266" s="202" t="s">
        <v>1152</v>
      </c>
      <c r="AE266" s="202" t="s">
        <v>1153</v>
      </c>
      <c r="AF266" s="203" t="s">
        <v>1154</v>
      </c>
      <c r="AG266" s="202"/>
      <c r="AH266" s="203" t="s">
        <v>1155</v>
      </c>
      <c r="AI266" s="202">
        <v>0</v>
      </c>
      <c r="AJ266" s="202">
        <v>0</v>
      </c>
    </row>
    <row r="267" spans="2:36">
      <c r="B267" s="203">
        <v>2180</v>
      </c>
      <c r="C267" s="207">
        <v>208945</v>
      </c>
      <c r="D267" s="203" t="s">
        <v>97</v>
      </c>
      <c r="E267" s="202" t="s">
        <v>2788</v>
      </c>
      <c r="F267" s="203">
        <v>12</v>
      </c>
      <c r="G267" s="202"/>
      <c r="H267" s="202"/>
      <c r="I267" s="202"/>
      <c r="J267" s="202">
        <v>0</v>
      </c>
      <c r="K267" s="202" t="s">
        <v>2318</v>
      </c>
      <c r="L267" s="202"/>
      <c r="M267" s="202" t="s">
        <v>1462</v>
      </c>
      <c r="N267" s="206">
        <v>43466</v>
      </c>
      <c r="O267" s="206">
        <v>43466</v>
      </c>
      <c r="P267" s="202" t="s">
        <v>2787</v>
      </c>
      <c r="Q267" s="203">
        <v>1111</v>
      </c>
      <c r="R267" s="203">
        <v>14050</v>
      </c>
      <c r="S267" s="204">
        <v>6662.92</v>
      </c>
      <c r="T267" s="203">
        <v>14056</v>
      </c>
      <c r="U267" s="204">
        <v>1910.36</v>
      </c>
      <c r="V267" s="204">
        <f t="shared" si="15"/>
        <v>4752.5600000000004</v>
      </c>
      <c r="W267" s="205">
        <v>232.97</v>
      </c>
      <c r="X267" s="203">
        <v>54260</v>
      </c>
      <c r="Y267" s="204">
        <v>46.59</v>
      </c>
      <c r="Z267" s="202" t="s">
        <v>97</v>
      </c>
      <c r="AA267" s="202"/>
      <c r="AB267" s="202">
        <v>37218254</v>
      </c>
      <c r="AC267" s="202"/>
      <c r="AD267" s="202" t="s">
        <v>1152</v>
      </c>
      <c r="AE267" s="202" t="s">
        <v>1153</v>
      </c>
      <c r="AF267" s="203" t="s">
        <v>1154</v>
      </c>
      <c r="AG267" s="202"/>
      <c r="AH267" s="203" t="s">
        <v>1155</v>
      </c>
      <c r="AI267" s="202">
        <v>0</v>
      </c>
      <c r="AJ267" s="202">
        <v>0</v>
      </c>
    </row>
    <row r="268" spans="2:36">
      <c r="B268" s="203">
        <v>2180</v>
      </c>
      <c r="C268" s="207">
        <v>207236</v>
      </c>
      <c r="D268" s="203" t="s">
        <v>97</v>
      </c>
      <c r="E268" s="202" t="s">
        <v>125</v>
      </c>
      <c r="F268" s="203"/>
      <c r="G268" s="202"/>
      <c r="H268" s="202" t="s">
        <v>2786</v>
      </c>
      <c r="I268" s="202"/>
      <c r="J268" s="202">
        <v>2019</v>
      </c>
      <c r="K268" s="202" t="s">
        <v>2290</v>
      </c>
      <c r="L268" s="202" t="s">
        <v>2785</v>
      </c>
      <c r="M268" s="202" t="s">
        <v>1999</v>
      </c>
      <c r="N268" s="206">
        <v>43440</v>
      </c>
      <c r="O268" s="206">
        <v>43440</v>
      </c>
      <c r="P268" s="202" t="s">
        <v>2784</v>
      </c>
      <c r="Q268" s="203">
        <v>1000</v>
      </c>
      <c r="R268" s="203">
        <v>14040</v>
      </c>
      <c r="S268" s="204">
        <v>336698.51</v>
      </c>
      <c r="T268" s="203">
        <v>14046</v>
      </c>
      <c r="U268" s="204">
        <v>117844.47</v>
      </c>
      <c r="V268" s="204">
        <f t="shared" si="15"/>
        <v>218854.04</v>
      </c>
      <c r="W268" s="205">
        <v>14029.1</v>
      </c>
      <c r="X268" s="203">
        <v>51260</v>
      </c>
      <c r="Y268" s="204">
        <v>2805.82</v>
      </c>
      <c r="Z268" s="202" t="s">
        <v>97</v>
      </c>
      <c r="AA268" s="202"/>
      <c r="AB268" s="202">
        <v>238420</v>
      </c>
      <c r="AC268" s="202">
        <v>2053</v>
      </c>
      <c r="AD268" s="202" t="s">
        <v>1152</v>
      </c>
      <c r="AE268" s="202" t="s">
        <v>1153</v>
      </c>
      <c r="AF268" s="203" t="s">
        <v>1154</v>
      </c>
      <c r="AG268" s="202"/>
      <c r="AH268" s="203" t="s">
        <v>1155</v>
      </c>
      <c r="AI268" s="202">
        <v>0</v>
      </c>
      <c r="AJ268" s="202">
        <v>0</v>
      </c>
    </row>
    <row r="269" spans="2:36">
      <c r="B269" s="203">
        <v>2180</v>
      </c>
      <c r="C269" s="207">
        <v>207203</v>
      </c>
      <c r="D269" s="203" t="s">
        <v>97</v>
      </c>
      <c r="E269" s="202" t="s">
        <v>504</v>
      </c>
      <c r="F269" s="203">
        <v>24</v>
      </c>
      <c r="G269" s="202"/>
      <c r="H269" s="202"/>
      <c r="I269" s="202"/>
      <c r="J269" s="202">
        <v>0</v>
      </c>
      <c r="K269" s="202" t="s">
        <v>2318</v>
      </c>
      <c r="L269" s="202"/>
      <c r="M269" s="202" t="s">
        <v>1464</v>
      </c>
      <c r="N269" s="206">
        <v>43389</v>
      </c>
      <c r="O269" s="206">
        <v>43389</v>
      </c>
      <c r="P269" s="202" t="s">
        <v>2783</v>
      </c>
      <c r="Q269" s="203">
        <v>1200</v>
      </c>
      <c r="R269" s="203">
        <v>14050</v>
      </c>
      <c r="S269" s="204">
        <v>17313.12</v>
      </c>
      <c r="T269" s="203">
        <v>14056</v>
      </c>
      <c r="U269" s="204">
        <v>5169.8900000000003</v>
      </c>
      <c r="V269" s="204">
        <f t="shared" si="15"/>
        <v>12143.23</v>
      </c>
      <c r="W269" s="205">
        <v>601.15</v>
      </c>
      <c r="X269" s="203">
        <v>54260</v>
      </c>
      <c r="Y269" s="204">
        <v>120.23</v>
      </c>
      <c r="Z269" s="202" t="s">
        <v>97</v>
      </c>
      <c r="AA269" s="202"/>
      <c r="AB269" s="202">
        <v>37217881</v>
      </c>
      <c r="AC269" s="202"/>
      <c r="AD269" s="202" t="s">
        <v>1152</v>
      </c>
      <c r="AE269" s="202" t="s">
        <v>1153</v>
      </c>
      <c r="AF269" s="203" t="s">
        <v>1154</v>
      </c>
      <c r="AG269" s="202"/>
      <c r="AH269" s="203" t="s">
        <v>1155</v>
      </c>
      <c r="AI269" s="202">
        <v>0</v>
      </c>
      <c r="AJ269" s="202">
        <v>0</v>
      </c>
    </row>
    <row r="270" spans="2:36">
      <c r="B270" s="203">
        <v>2180</v>
      </c>
      <c r="C270" s="207">
        <v>206690</v>
      </c>
      <c r="D270" s="203" t="s">
        <v>97</v>
      </c>
      <c r="E270" s="202" t="s">
        <v>603</v>
      </c>
      <c r="F270" s="203">
        <v>2</v>
      </c>
      <c r="G270" s="202"/>
      <c r="H270" s="202"/>
      <c r="I270" s="202"/>
      <c r="J270" s="202">
        <v>0</v>
      </c>
      <c r="K270" s="202" t="s">
        <v>2318</v>
      </c>
      <c r="L270" s="202"/>
      <c r="M270" s="202" t="s">
        <v>1454</v>
      </c>
      <c r="N270" s="206">
        <v>43417</v>
      </c>
      <c r="O270" s="206">
        <v>43417</v>
      </c>
      <c r="P270" s="202" t="s">
        <v>2782</v>
      </c>
      <c r="Q270" s="203">
        <v>1200</v>
      </c>
      <c r="R270" s="203">
        <v>14050</v>
      </c>
      <c r="S270" s="204">
        <v>13562</v>
      </c>
      <c r="T270" s="203">
        <v>14056</v>
      </c>
      <c r="U270" s="204">
        <v>4049.77</v>
      </c>
      <c r="V270" s="204">
        <f t="shared" ref="V270:V333" si="16">S270-U270</f>
        <v>9512.23</v>
      </c>
      <c r="W270" s="205">
        <v>470.9</v>
      </c>
      <c r="X270" s="203">
        <v>54260</v>
      </c>
      <c r="Y270" s="204">
        <v>94.18</v>
      </c>
      <c r="Z270" s="202" t="s">
        <v>97</v>
      </c>
      <c r="AA270" s="202"/>
      <c r="AB270" s="202">
        <v>37218111</v>
      </c>
      <c r="AC270" s="202"/>
      <c r="AD270" s="202" t="s">
        <v>1152</v>
      </c>
      <c r="AE270" s="202" t="s">
        <v>1153</v>
      </c>
      <c r="AF270" s="203" t="s">
        <v>1154</v>
      </c>
      <c r="AG270" s="202"/>
      <c r="AH270" s="203" t="s">
        <v>1155</v>
      </c>
      <c r="AI270" s="202">
        <v>0</v>
      </c>
      <c r="AJ270" s="202">
        <v>0</v>
      </c>
    </row>
    <row r="271" spans="2:36">
      <c r="B271" s="203">
        <v>2180</v>
      </c>
      <c r="C271" s="207">
        <v>206689</v>
      </c>
      <c r="D271" s="203" t="s">
        <v>97</v>
      </c>
      <c r="E271" s="202" t="s">
        <v>603</v>
      </c>
      <c r="F271" s="203">
        <v>2</v>
      </c>
      <c r="G271" s="202"/>
      <c r="H271" s="202"/>
      <c r="I271" s="202"/>
      <c r="J271" s="202">
        <v>0</v>
      </c>
      <c r="K271" s="202" t="s">
        <v>2318</v>
      </c>
      <c r="L271" s="202"/>
      <c r="M271" s="202" t="s">
        <v>1454</v>
      </c>
      <c r="N271" s="206">
        <v>43416</v>
      </c>
      <c r="O271" s="206">
        <v>43416</v>
      </c>
      <c r="P271" s="202" t="s">
        <v>2782</v>
      </c>
      <c r="Q271" s="203">
        <v>1200</v>
      </c>
      <c r="R271" s="203">
        <v>14050</v>
      </c>
      <c r="S271" s="204">
        <v>15488</v>
      </c>
      <c r="T271" s="203">
        <v>14056</v>
      </c>
      <c r="U271" s="204">
        <v>4624.8999999999996</v>
      </c>
      <c r="V271" s="204">
        <f t="shared" si="16"/>
        <v>10863.1</v>
      </c>
      <c r="W271" s="205">
        <v>537.78</v>
      </c>
      <c r="X271" s="203">
        <v>54260</v>
      </c>
      <c r="Y271" s="204">
        <v>107.56</v>
      </c>
      <c r="Z271" s="202" t="s">
        <v>97</v>
      </c>
      <c r="AA271" s="202"/>
      <c r="AB271" s="202">
        <v>37218097</v>
      </c>
      <c r="AC271" s="202"/>
      <c r="AD271" s="202" t="s">
        <v>1152</v>
      </c>
      <c r="AE271" s="202" t="s">
        <v>1153</v>
      </c>
      <c r="AF271" s="203" t="s">
        <v>1154</v>
      </c>
      <c r="AG271" s="202"/>
      <c r="AH271" s="203" t="s">
        <v>1155</v>
      </c>
      <c r="AI271" s="202">
        <v>0</v>
      </c>
      <c r="AJ271" s="202">
        <v>0</v>
      </c>
    </row>
    <row r="272" spans="2:36">
      <c r="B272" s="203">
        <v>2180</v>
      </c>
      <c r="C272" s="207">
        <v>206688</v>
      </c>
      <c r="D272" s="203" t="s">
        <v>97</v>
      </c>
      <c r="E272" s="202" t="s">
        <v>602</v>
      </c>
      <c r="F272" s="203">
        <v>1</v>
      </c>
      <c r="G272" s="202"/>
      <c r="H272" s="202"/>
      <c r="I272" s="202"/>
      <c r="J272" s="202">
        <v>0</v>
      </c>
      <c r="K272" s="202" t="s">
        <v>2318</v>
      </c>
      <c r="L272" s="202"/>
      <c r="M272" s="202" t="s">
        <v>1454</v>
      </c>
      <c r="N272" s="206">
        <v>43414</v>
      </c>
      <c r="O272" s="206">
        <v>43414</v>
      </c>
      <c r="P272" s="202" t="s">
        <v>2782</v>
      </c>
      <c r="Q272" s="203">
        <v>1200</v>
      </c>
      <c r="R272" s="203">
        <v>14050</v>
      </c>
      <c r="S272" s="204">
        <v>7262.5</v>
      </c>
      <c r="T272" s="203">
        <v>14056</v>
      </c>
      <c r="U272" s="204">
        <v>2168.67</v>
      </c>
      <c r="V272" s="204">
        <f t="shared" si="16"/>
        <v>5093.83</v>
      </c>
      <c r="W272" s="205">
        <v>252.17</v>
      </c>
      <c r="X272" s="203">
        <v>54260</v>
      </c>
      <c r="Y272" s="204">
        <v>50.43</v>
      </c>
      <c r="Z272" s="202" t="s">
        <v>97</v>
      </c>
      <c r="AA272" s="202"/>
      <c r="AB272" s="202">
        <v>37218072</v>
      </c>
      <c r="AC272" s="202"/>
      <c r="AD272" s="202" t="s">
        <v>1152</v>
      </c>
      <c r="AE272" s="202" t="s">
        <v>1153</v>
      </c>
      <c r="AF272" s="203" t="s">
        <v>1154</v>
      </c>
      <c r="AG272" s="202"/>
      <c r="AH272" s="203" t="s">
        <v>1155</v>
      </c>
      <c r="AI272" s="202">
        <v>0</v>
      </c>
      <c r="AJ272" s="202">
        <v>0</v>
      </c>
    </row>
    <row r="273" spans="2:36">
      <c r="B273" s="203">
        <v>2180</v>
      </c>
      <c r="C273" s="207">
        <v>206687</v>
      </c>
      <c r="D273" s="203" t="s">
        <v>97</v>
      </c>
      <c r="E273" s="202" t="s">
        <v>601</v>
      </c>
      <c r="F273" s="203">
        <v>1</v>
      </c>
      <c r="G273" s="202"/>
      <c r="H273" s="202"/>
      <c r="I273" s="202"/>
      <c r="J273" s="202">
        <v>0</v>
      </c>
      <c r="K273" s="202" t="s">
        <v>2318</v>
      </c>
      <c r="L273" s="202"/>
      <c r="M273" s="202" t="s">
        <v>1458</v>
      </c>
      <c r="N273" s="206">
        <v>43414</v>
      </c>
      <c r="O273" s="206">
        <v>43414</v>
      </c>
      <c r="P273" s="202" t="s">
        <v>2766</v>
      </c>
      <c r="Q273" s="203">
        <v>1200</v>
      </c>
      <c r="R273" s="203">
        <v>14050</v>
      </c>
      <c r="S273" s="204">
        <v>6584.5</v>
      </c>
      <c r="T273" s="203">
        <v>14056</v>
      </c>
      <c r="U273" s="204">
        <v>1966.21</v>
      </c>
      <c r="V273" s="204">
        <f t="shared" si="16"/>
        <v>4618.29</v>
      </c>
      <c r="W273" s="205">
        <v>228.63</v>
      </c>
      <c r="X273" s="203">
        <v>54260</v>
      </c>
      <c r="Y273" s="204">
        <v>45.73</v>
      </c>
      <c r="Z273" s="202" t="s">
        <v>97</v>
      </c>
      <c r="AA273" s="202"/>
      <c r="AB273" s="202">
        <v>37218072</v>
      </c>
      <c r="AC273" s="202"/>
      <c r="AD273" s="202" t="s">
        <v>1152</v>
      </c>
      <c r="AE273" s="202" t="s">
        <v>1153</v>
      </c>
      <c r="AF273" s="203" t="s">
        <v>1154</v>
      </c>
      <c r="AG273" s="202"/>
      <c r="AH273" s="203" t="s">
        <v>1155</v>
      </c>
      <c r="AI273" s="202">
        <v>0</v>
      </c>
      <c r="AJ273" s="202">
        <v>0</v>
      </c>
    </row>
    <row r="274" spans="2:36">
      <c r="B274" s="203">
        <v>2180</v>
      </c>
      <c r="C274" s="207">
        <v>206686</v>
      </c>
      <c r="D274" s="203" t="s">
        <v>97</v>
      </c>
      <c r="E274" s="202" t="s">
        <v>476</v>
      </c>
      <c r="F274" s="203">
        <v>3</v>
      </c>
      <c r="G274" s="202"/>
      <c r="H274" s="202"/>
      <c r="I274" s="202"/>
      <c r="J274" s="202">
        <v>0</v>
      </c>
      <c r="K274" s="202" t="s">
        <v>2318</v>
      </c>
      <c r="L274" s="202"/>
      <c r="M274" s="202" t="s">
        <v>1421</v>
      </c>
      <c r="N274" s="206">
        <v>43424</v>
      </c>
      <c r="O274" s="206">
        <v>43424</v>
      </c>
      <c r="P274" s="202" t="s">
        <v>2779</v>
      </c>
      <c r="Q274" s="203">
        <v>1200</v>
      </c>
      <c r="R274" s="203">
        <v>14050</v>
      </c>
      <c r="S274" s="204">
        <v>1911.65</v>
      </c>
      <c r="T274" s="203">
        <v>14056</v>
      </c>
      <c r="U274" s="204">
        <v>557.59</v>
      </c>
      <c r="V274" s="204">
        <f t="shared" si="16"/>
        <v>1354.06</v>
      </c>
      <c r="W274" s="205">
        <v>66.38</v>
      </c>
      <c r="X274" s="203">
        <v>54260</v>
      </c>
      <c r="Y274" s="204">
        <v>13.28</v>
      </c>
      <c r="Z274" s="202" t="s">
        <v>97</v>
      </c>
      <c r="AA274" s="202"/>
      <c r="AB274" s="202">
        <v>37218167</v>
      </c>
      <c r="AC274" s="202"/>
      <c r="AD274" s="202" t="s">
        <v>1152</v>
      </c>
      <c r="AE274" s="202" t="s">
        <v>1153</v>
      </c>
      <c r="AF274" s="203" t="s">
        <v>1154</v>
      </c>
      <c r="AG274" s="202"/>
      <c r="AH274" s="203" t="s">
        <v>1155</v>
      </c>
      <c r="AI274" s="202">
        <v>0</v>
      </c>
      <c r="AJ274" s="202">
        <v>0</v>
      </c>
    </row>
    <row r="275" spans="2:36">
      <c r="B275" s="203">
        <v>2180</v>
      </c>
      <c r="C275" s="207">
        <v>206685</v>
      </c>
      <c r="D275" s="203" t="s">
        <v>97</v>
      </c>
      <c r="E275" s="202" t="s">
        <v>452</v>
      </c>
      <c r="F275" s="203">
        <v>6</v>
      </c>
      <c r="G275" s="202"/>
      <c r="H275" s="202"/>
      <c r="I275" s="202"/>
      <c r="J275" s="202">
        <v>0</v>
      </c>
      <c r="K275" s="202" t="s">
        <v>2318</v>
      </c>
      <c r="L275" s="202"/>
      <c r="M275" s="202" t="s">
        <v>1573</v>
      </c>
      <c r="N275" s="206">
        <v>43424</v>
      </c>
      <c r="O275" s="206">
        <v>43424</v>
      </c>
      <c r="P275" s="202" t="s">
        <v>2780</v>
      </c>
      <c r="Q275" s="203">
        <v>1200</v>
      </c>
      <c r="R275" s="203">
        <v>14050</v>
      </c>
      <c r="S275" s="204">
        <v>3423.27</v>
      </c>
      <c r="T275" s="203">
        <v>14056</v>
      </c>
      <c r="U275" s="204">
        <v>998.41</v>
      </c>
      <c r="V275" s="204">
        <f t="shared" si="16"/>
        <v>2424.86</v>
      </c>
      <c r="W275" s="205">
        <v>118.86</v>
      </c>
      <c r="X275" s="203">
        <v>54260</v>
      </c>
      <c r="Y275" s="204">
        <v>23.77</v>
      </c>
      <c r="Z275" s="202" t="s">
        <v>97</v>
      </c>
      <c r="AA275" s="202"/>
      <c r="AB275" s="202">
        <v>37218167</v>
      </c>
      <c r="AC275" s="202"/>
      <c r="AD275" s="202" t="s">
        <v>1152</v>
      </c>
      <c r="AE275" s="202" t="s">
        <v>1153</v>
      </c>
      <c r="AF275" s="203" t="s">
        <v>1154</v>
      </c>
      <c r="AG275" s="202"/>
      <c r="AH275" s="203" t="s">
        <v>1155</v>
      </c>
      <c r="AI275" s="202">
        <v>0</v>
      </c>
      <c r="AJ275" s="202">
        <v>0</v>
      </c>
    </row>
    <row r="276" spans="2:36">
      <c r="B276" s="203">
        <v>2180</v>
      </c>
      <c r="C276" s="207">
        <v>206684</v>
      </c>
      <c r="D276" s="203" t="s">
        <v>97</v>
      </c>
      <c r="E276" s="202" t="s">
        <v>599</v>
      </c>
      <c r="F276" s="203">
        <v>2</v>
      </c>
      <c r="G276" s="202"/>
      <c r="H276" s="202"/>
      <c r="I276" s="202"/>
      <c r="J276" s="202">
        <v>0</v>
      </c>
      <c r="K276" s="202" t="s">
        <v>2318</v>
      </c>
      <c r="L276" s="202"/>
      <c r="M276" s="202" t="s">
        <v>1417</v>
      </c>
      <c r="N276" s="206">
        <v>43424</v>
      </c>
      <c r="O276" s="206">
        <v>43424</v>
      </c>
      <c r="P276" s="202" t="s">
        <v>2781</v>
      </c>
      <c r="Q276" s="203">
        <v>1200</v>
      </c>
      <c r="R276" s="203">
        <v>14050</v>
      </c>
      <c r="S276" s="204">
        <v>15795</v>
      </c>
      <c r="T276" s="203">
        <v>14056</v>
      </c>
      <c r="U276" s="204">
        <v>4606.88</v>
      </c>
      <c r="V276" s="204">
        <f t="shared" si="16"/>
        <v>11188.119999999999</v>
      </c>
      <c r="W276" s="205">
        <v>548.44000000000005</v>
      </c>
      <c r="X276" s="203">
        <v>54260</v>
      </c>
      <c r="Y276" s="204">
        <v>109.69</v>
      </c>
      <c r="Z276" s="202" t="s">
        <v>97</v>
      </c>
      <c r="AA276" s="202"/>
      <c r="AB276" s="202">
        <v>37218167</v>
      </c>
      <c r="AC276" s="202"/>
      <c r="AD276" s="202" t="s">
        <v>1152</v>
      </c>
      <c r="AE276" s="202" t="s">
        <v>1153</v>
      </c>
      <c r="AF276" s="203" t="s">
        <v>1154</v>
      </c>
      <c r="AG276" s="202"/>
      <c r="AH276" s="203" t="s">
        <v>1155</v>
      </c>
      <c r="AI276" s="202">
        <v>0</v>
      </c>
      <c r="AJ276" s="202">
        <v>0</v>
      </c>
    </row>
    <row r="277" spans="2:36">
      <c r="B277" s="203">
        <v>2180</v>
      </c>
      <c r="C277" s="207">
        <v>206683</v>
      </c>
      <c r="D277" s="203" t="s">
        <v>97</v>
      </c>
      <c r="E277" s="202" t="s">
        <v>475</v>
      </c>
      <c r="F277" s="203">
        <v>6</v>
      </c>
      <c r="G277" s="202"/>
      <c r="H277" s="202"/>
      <c r="I277" s="202"/>
      <c r="J277" s="202">
        <v>0</v>
      </c>
      <c r="K277" s="202" t="s">
        <v>2318</v>
      </c>
      <c r="L277" s="202"/>
      <c r="M277" s="202" t="s">
        <v>1421</v>
      </c>
      <c r="N277" s="206">
        <v>43417</v>
      </c>
      <c r="O277" s="206">
        <v>43417</v>
      </c>
      <c r="P277" s="202" t="s">
        <v>2779</v>
      </c>
      <c r="Q277" s="203">
        <v>1200</v>
      </c>
      <c r="R277" s="203">
        <v>14050</v>
      </c>
      <c r="S277" s="204">
        <v>3823.32</v>
      </c>
      <c r="T277" s="203">
        <v>14056</v>
      </c>
      <c r="U277" s="204">
        <v>1141.68</v>
      </c>
      <c r="V277" s="204">
        <f t="shared" si="16"/>
        <v>2681.6400000000003</v>
      </c>
      <c r="W277" s="205">
        <v>132.75</v>
      </c>
      <c r="X277" s="203">
        <v>54260</v>
      </c>
      <c r="Y277" s="204">
        <v>26.55</v>
      </c>
      <c r="Z277" s="202" t="s">
        <v>97</v>
      </c>
      <c r="AA277" s="202"/>
      <c r="AB277" s="202">
        <v>37218107</v>
      </c>
      <c r="AC277" s="202"/>
      <c r="AD277" s="202" t="s">
        <v>1152</v>
      </c>
      <c r="AE277" s="202" t="s">
        <v>1153</v>
      </c>
      <c r="AF277" s="203" t="s">
        <v>1154</v>
      </c>
      <c r="AG277" s="202"/>
      <c r="AH277" s="203" t="s">
        <v>1155</v>
      </c>
      <c r="AI277" s="202">
        <v>0</v>
      </c>
      <c r="AJ277" s="202">
        <v>0</v>
      </c>
    </row>
    <row r="278" spans="2:36">
      <c r="B278" s="203">
        <v>2180</v>
      </c>
      <c r="C278" s="207">
        <v>206682</v>
      </c>
      <c r="D278" s="203" t="s">
        <v>97</v>
      </c>
      <c r="E278" s="202" t="s">
        <v>452</v>
      </c>
      <c r="F278" s="203">
        <v>6</v>
      </c>
      <c r="G278" s="202"/>
      <c r="H278" s="202"/>
      <c r="I278" s="202"/>
      <c r="J278" s="202">
        <v>0</v>
      </c>
      <c r="K278" s="202" t="s">
        <v>2318</v>
      </c>
      <c r="L278" s="202"/>
      <c r="M278" s="202" t="s">
        <v>1573</v>
      </c>
      <c r="N278" s="206">
        <v>43417</v>
      </c>
      <c r="O278" s="206">
        <v>43417</v>
      </c>
      <c r="P278" s="202" t="s">
        <v>2780</v>
      </c>
      <c r="Q278" s="203">
        <v>1200</v>
      </c>
      <c r="R278" s="203">
        <v>14050</v>
      </c>
      <c r="S278" s="204">
        <v>3423.27</v>
      </c>
      <c r="T278" s="203">
        <v>14056</v>
      </c>
      <c r="U278" s="204">
        <v>1022.19</v>
      </c>
      <c r="V278" s="204">
        <f t="shared" si="16"/>
        <v>2401.08</v>
      </c>
      <c r="W278" s="205">
        <v>118.86</v>
      </c>
      <c r="X278" s="203">
        <v>54260</v>
      </c>
      <c r="Y278" s="204">
        <v>23.77</v>
      </c>
      <c r="Z278" s="202" t="s">
        <v>97</v>
      </c>
      <c r="AA278" s="202"/>
      <c r="AB278" s="202">
        <v>37218107</v>
      </c>
      <c r="AC278" s="202"/>
      <c r="AD278" s="202" t="s">
        <v>1152</v>
      </c>
      <c r="AE278" s="202" t="s">
        <v>1153</v>
      </c>
      <c r="AF278" s="203" t="s">
        <v>1154</v>
      </c>
      <c r="AG278" s="202"/>
      <c r="AH278" s="203" t="s">
        <v>1155</v>
      </c>
      <c r="AI278" s="202">
        <v>0</v>
      </c>
      <c r="AJ278" s="202">
        <v>0</v>
      </c>
    </row>
    <row r="279" spans="2:36">
      <c r="B279" s="203">
        <v>2180</v>
      </c>
      <c r="C279" s="207">
        <v>206681</v>
      </c>
      <c r="D279" s="203" t="s">
        <v>97</v>
      </c>
      <c r="E279" s="202" t="s">
        <v>476</v>
      </c>
      <c r="F279" s="203">
        <v>5</v>
      </c>
      <c r="G279" s="202"/>
      <c r="H279" s="202"/>
      <c r="I279" s="202"/>
      <c r="J279" s="202">
        <v>0</v>
      </c>
      <c r="K279" s="202" t="s">
        <v>2318</v>
      </c>
      <c r="L279" s="202"/>
      <c r="M279" s="202" t="s">
        <v>1421</v>
      </c>
      <c r="N279" s="206">
        <v>43383</v>
      </c>
      <c r="O279" s="206">
        <v>43383</v>
      </c>
      <c r="P279" s="202" t="s">
        <v>2779</v>
      </c>
      <c r="Q279" s="203">
        <v>1200</v>
      </c>
      <c r="R279" s="203">
        <v>14050</v>
      </c>
      <c r="S279" s="204">
        <v>3186.1</v>
      </c>
      <c r="T279" s="203">
        <v>14056</v>
      </c>
      <c r="U279" s="204">
        <v>973.54</v>
      </c>
      <c r="V279" s="204">
        <f t="shared" si="16"/>
        <v>2212.56</v>
      </c>
      <c r="W279" s="205">
        <v>110.63</v>
      </c>
      <c r="X279" s="203">
        <v>54260</v>
      </c>
      <c r="Y279" s="204">
        <v>22.13</v>
      </c>
      <c r="Z279" s="202" t="s">
        <v>97</v>
      </c>
      <c r="AA279" s="202"/>
      <c r="AB279" s="202">
        <v>37218074</v>
      </c>
      <c r="AC279" s="202"/>
      <c r="AD279" s="202" t="s">
        <v>1152</v>
      </c>
      <c r="AE279" s="202" t="s">
        <v>1153</v>
      </c>
      <c r="AF279" s="203" t="s">
        <v>1154</v>
      </c>
      <c r="AG279" s="202"/>
      <c r="AH279" s="203" t="s">
        <v>1155</v>
      </c>
      <c r="AI279" s="202">
        <v>0</v>
      </c>
      <c r="AJ279" s="202">
        <v>0</v>
      </c>
    </row>
    <row r="280" spans="2:36">
      <c r="B280" s="203">
        <v>2180</v>
      </c>
      <c r="C280" s="207">
        <v>206680</v>
      </c>
      <c r="D280" s="203" t="s">
        <v>97</v>
      </c>
      <c r="E280" s="202" t="s">
        <v>476</v>
      </c>
      <c r="F280" s="203">
        <v>10</v>
      </c>
      <c r="G280" s="202"/>
      <c r="H280" s="202"/>
      <c r="I280" s="202"/>
      <c r="J280" s="202">
        <v>0</v>
      </c>
      <c r="K280" s="202" t="s">
        <v>2318</v>
      </c>
      <c r="L280" s="202"/>
      <c r="M280" s="202" t="s">
        <v>1421</v>
      </c>
      <c r="N280" s="206">
        <v>43416</v>
      </c>
      <c r="O280" s="206">
        <v>43416</v>
      </c>
      <c r="P280" s="202" t="s">
        <v>2779</v>
      </c>
      <c r="Q280" s="203">
        <v>1200</v>
      </c>
      <c r="R280" s="203">
        <v>14050</v>
      </c>
      <c r="S280" s="204">
        <v>6372.19</v>
      </c>
      <c r="T280" s="203">
        <v>14056</v>
      </c>
      <c r="U280" s="204">
        <v>1902.82</v>
      </c>
      <c r="V280" s="204">
        <f t="shared" si="16"/>
        <v>4469.37</v>
      </c>
      <c r="W280" s="205">
        <v>221.26</v>
      </c>
      <c r="X280" s="203">
        <v>54260</v>
      </c>
      <c r="Y280" s="204">
        <v>44.25</v>
      </c>
      <c r="Z280" s="202" t="s">
        <v>97</v>
      </c>
      <c r="AA280" s="202"/>
      <c r="AB280" s="202">
        <v>37218098</v>
      </c>
      <c r="AC280" s="202"/>
      <c r="AD280" s="202" t="s">
        <v>1152</v>
      </c>
      <c r="AE280" s="202" t="s">
        <v>1153</v>
      </c>
      <c r="AF280" s="203" t="s">
        <v>1154</v>
      </c>
      <c r="AG280" s="202"/>
      <c r="AH280" s="203" t="s">
        <v>1155</v>
      </c>
      <c r="AI280" s="202">
        <v>0</v>
      </c>
      <c r="AJ280" s="202">
        <v>0</v>
      </c>
    </row>
    <row r="281" spans="2:36">
      <c r="B281" s="203">
        <v>2180</v>
      </c>
      <c r="C281" s="207">
        <v>206679</v>
      </c>
      <c r="D281" s="203" t="s">
        <v>97</v>
      </c>
      <c r="E281" s="202" t="s">
        <v>519</v>
      </c>
      <c r="F281" s="203">
        <v>13</v>
      </c>
      <c r="G281" s="202"/>
      <c r="H281" s="202"/>
      <c r="I281" s="202"/>
      <c r="J281" s="202">
        <v>0</v>
      </c>
      <c r="K281" s="202" t="s">
        <v>2318</v>
      </c>
      <c r="L281" s="202"/>
      <c r="M281" s="202" t="s">
        <v>1456</v>
      </c>
      <c r="N281" s="206">
        <v>43377</v>
      </c>
      <c r="O281" s="206">
        <v>43377</v>
      </c>
      <c r="P281" s="202" t="s">
        <v>2764</v>
      </c>
      <c r="Q281" s="203">
        <v>1200</v>
      </c>
      <c r="R281" s="203">
        <v>14050</v>
      </c>
      <c r="S281" s="204">
        <v>12844.93</v>
      </c>
      <c r="T281" s="203">
        <v>14056</v>
      </c>
      <c r="U281" s="204">
        <v>3924.83</v>
      </c>
      <c r="V281" s="204">
        <f t="shared" si="16"/>
        <v>8920.1</v>
      </c>
      <c r="W281" s="205">
        <v>446</v>
      </c>
      <c r="X281" s="203">
        <v>54260</v>
      </c>
      <c r="Y281" s="204">
        <v>89.2</v>
      </c>
      <c r="Z281" s="202" t="s">
        <v>97</v>
      </c>
      <c r="AA281" s="202"/>
      <c r="AB281" s="202">
        <v>37217829</v>
      </c>
      <c r="AC281" s="202"/>
      <c r="AD281" s="202" t="s">
        <v>1152</v>
      </c>
      <c r="AE281" s="202" t="s">
        <v>1153</v>
      </c>
      <c r="AF281" s="203" t="s">
        <v>1154</v>
      </c>
      <c r="AG281" s="202"/>
      <c r="AH281" s="203" t="s">
        <v>1155</v>
      </c>
      <c r="AI281" s="202">
        <v>0</v>
      </c>
      <c r="AJ281" s="202">
        <v>0</v>
      </c>
    </row>
    <row r="282" spans="2:36">
      <c r="B282" s="203">
        <v>2180</v>
      </c>
      <c r="C282" s="207">
        <v>206678</v>
      </c>
      <c r="D282" s="203" t="s">
        <v>97</v>
      </c>
      <c r="E282" s="202" t="s">
        <v>518</v>
      </c>
      <c r="F282" s="203">
        <v>8</v>
      </c>
      <c r="G282" s="202"/>
      <c r="H282" s="202"/>
      <c r="I282" s="202"/>
      <c r="J282" s="202">
        <v>0</v>
      </c>
      <c r="K282" s="202" t="s">
        <v>2318</v>
      </c>
      <c r="L282" s="202"/>
      <c r="M282" s="202" t="s">
        <v>1456</v>
      </c>
      <c r="N282" s="206">
        <v>43388</v>
      </c>
      <c r="O282" s="206">
        <v>43388</v>
      </c>
      <c r="P282" s="202" t="s">
        <v>2764</v>
      </c>
      <c r="Q282" s="203">
        <v>1200</v>
      </c>
      <c r="R282" s="203">
        <v>14050</v>
      </c>
      <c r="S282" s="204">
        <v>7904.57</v>
      </c>
      <c r="T282" s="203">
        <v>14056</v>
      </c>
      <c r="U282" s="204">
        <v>2415.31</v>
      </c>
      <c r="V282" s="204">
        <f t="shared" si="16"/>
        <v>5489.26</v>
      </c>
      <c r="W282" s="205">
        <v>274.47000000000003</v>
      </c>
      <c r="X282" s="203">
        <v>54260</v>
      </c>
      <c r="Y282" s="204">
        <v>54.9</v>
      </c>
      <c r="Z282" s="202" t="s">
        <v>97</v>
      </c>
      <c r="AA282" s="202"/>
      <c r="AB282" s="202">
        <v>37217871</v>
      </c>
      <c r="AC282" s="202"/>
      <c r="AD282" s="202" t="s">
        <v>1152</v>
      </c>
      <c r="AE282" s="202" t="s">
        <v>1153</v>
      </c>
      <c r="AF282" s="203" t="s">
        <v>1154</v>
      </c>
      <c r="AG282" s="202"/>
      <c r="AH282" s="203" t="s">
        <v>1155</v>
      </c>
      <c r="AI282" s="202">
        <v>0</v>
      </c>
      <c r="AJ282" s="202">
        <v>0</v>
      </c>
    </row>
    <row r="283" spans="2:36">
      <c r="B283" s="203">
        <v>2180</v>
      </c>
      <c r="C283" s="207">
        <v>206677</v>
      </c>
      <c r="D283" s="203" t="s">
        <v>97</v>
      </c>
      <c r="E283" s="202" t="s">
        <v>640</v>
      </c>
      <c r="F283" s="203">
        <v>864</v>
      </c>
      <c r="G283" s="202"/>
      <c r="H283" s="202"/>
      <c r="I283" s="202"/>
      <c r="J283" s="202">
        <v>0</v>
      </c>
      <c r="K283" s="202" t="s">
        <v>2502</v>
      </c>
      <c r="L283" s="202"/>
      <c r="M283" s="202"/>
      <c r="N283" s="206">
        <v>43418</v>
      </c>
      <c r="O283" s="206">
        <v>43418</v>
      </c>
      <c r="P283" s="202" t="s">
        <v>2778</v>
      </c>
      <c r="Q283" s="203">
        <v>700</v>
      </c>
      <c r="R283" s="203">
        <v>14050</v>
      </c>
      <c r="S283" s="204">
        <v>39910.019999999997</v>
      </c>
      <c r="T283" s="203">
        <v>14056</v>
      </c>
      <c r="U283" s="204">
        <v>20430.13</v>
      </c>
      <c r="V283" s="204">
        <f t="shared" si="16"/>
        <v>19479.889999999996</v>
      </c>
      <c r="W283" s="205">
        <v>2375.6</v>
      </c>
      <c r="X283" s="203">
        <v>54260</v>
      </c>
      <c r="Y283" s="204">
        <v>475.12</v>
      </c>
      <c r="Z283" s="202" t="s">
        <v>97</v>
      </c>
      <c r="AA283" s="202"/>
      <c r="AB283" s="202">
        <v>65563356</v>
      </c>
      <c r="AC283" s="202"/>
      <c r="AD283" s="202" t="s">
        <v>1152</v>
      </c>
      <c r="AE283" s="202" t="s">
        <v>1153</v>
      </c>
      <c r="AF283" s="203" t="s">
        <v>1154</v>
      </c>
      <c r="AG283" s="202"/>
      <c r="AH283" s="203" t="s">
        <v>1155</v>
      </c>
      <c r="AI283" s="202">
        <v>0</v>
      </c>
      <c r="AJ283" s="202">
        <v>0</v>
      </c>
    </row>
    <row r="284" spans="2:36">
      <c r="B284" s="203">
        <v>2180</v>
      </c>
      <c r="C284" s="207">
        <v>206414</v>
      </c>
      <c r="D284" s="203" t="s">
        <v>97</v>
      </c>
      <c r="E284" s="202" t="s">
        <v>641</v>
      </c>
      <c r="F284" s="203">
        <v>624</v>
      </c>
      <c r="G284" s="202"/>
      <c r="H284" s="202"/>
      <c r="I284" s="202"/>
      <c r="J284" s="202">
        <v>0</v>
      </c>
      <c r="K284" s="202" t="s">
        <v>2318</v>
      </c>
      <c r="L284" s="202"/>
      <c r="M284" s="202"/>
      <c r="N284" s="206">
        <v>43411</v>
      </c>
      <c r="O284" s="206">
        <v>43411</v>
      </c>
      <c r="P284" s="202" t="s">
        <v>2777</v>
      </c>
      <c r="Q284" s="203">
        <v>700</v>
      </c>
      <c r="R284" s="203">
        <v>14050</v>
      </c>
      <c r="S284" s="204">
        <v>33601.22</v>
      </c>
      <c r="T284" s="203">
        <v>14056</v>
      </c>
      <c r="U284" s="204">
        <v>17200.650000000001</v>
      </c>
      <c r="V284" s="204">
        <f t="shared" si="16"/>
        <v>16400.57</v>
      </c>
      <c r="W284" s="205">
        <v>2000.08</v>
      </c>
      <c r="X284" s="203">
        <v>54260</v>
      </c>
      <c r="Y284" s="204">
        <v>400.02</v>
      </c>
      <c r="Z284" s="202" t="s">
        <v>97</v>
      </c>
      <c r="AA284" s="202"/>
      <c r="AB284" s="202">
        <v>65561803</v>
      </c>
      <c r="AC284" s="202"/>
      <c r="AD284" s="202" t="s">
        <v>1152</v>
      </c>
      <c r="AE284" s="202" t="s">
        <v>1153</v>
      </c>
      <c r="AF284" s="203" t="s">
        <v>1154</v>
      </c>
      <c r="AG284" s="202"/>
      <c r="AH284" s="203" t="s">
        <v>1155</v>
      </c>
      <c r="AI284" s="202">
        <v>0</v>
      </c>
      <c r="AJ284" s="202">
        <v>0</v>
      </c>
    </row>
    <row r="285" spans="2:36">
      <c r="B285" s="203">
        <v>2180</v>
      </c>
      <c r="C285" s="207">
        <v>206413</v>
      </c>
      <c r="D285" s="203" t="s">
        <v>97</v>
      </c>
      <c r="E285" s="202" t="s">
        <v>600</v>
      </c>
      <c r="F285" s="203">
        <v>2</v>
      </c>
      <c r="G285" s="202"/>
      <c r="H285" s="202"/>
      <c r="I285" s="202"/>
      <c r="J285" s="202">
        <v>0</v>
      </c>
      <c r="K285" s="202" t="s">
        <v>2318</v>
      </c>
      <c r="L285" s="202"/>
      <c r="M285" s="202" t="s">
        <v>1970</v>
      </c>
      <c r="N285" s="206">
        <v>43397</v>
      </c>
      <c r="O285" s="206">
        <v>43397</v>
      </c>
      <c r="P285" s="202" t="s">
        <v>2776</v>
      </c>
      <c r="Q285" s="203">
        <v>1200</v>
      </c>
      <c r="R285" s="203">
        <v>14050</v>
      </c>
      <c r="S285" s="204">
        <v>12066</v>
      </c>
      <c r="T285" s="203">
        <v>14056</v>
      </c>
      <c r="U285" s="204">
        <v>3603.05</v>
      </c>
      <c r="V285" s="204">
        <f t="shared" si="16"/>
        <v>8462.9500000000007</v>
      </c>
      <c r="W285" s="205">
        <v>418.96</v>
      </c>
      <c r="X285" s="203">
        <v>54260</v>
      </c>
      <c r="Y285" s="204">
        <v>83.79</v>
      </c>
      <c r="Z285" s="202" t="s">
        <v>97</v>
      </c>
      <c r="AA285" s="202"/>
      <c r="AB285" s="202">
        <v>37217957</v>
      </c>
      <c r="AC285" s="202"/>
      <c r="AD285" s="202" t="s">
        <v>1152</v>
      </c>
      <c r="AE285" s="202" t="s">
        <v>1153</v>
      </c>
      <c r="AF285" s="203" t="s">
        <v>1154</v>
      </c>
      <c r="AG285" s="202"/>
      <c r="AH285" s="203" t="s">
        <v>1155</v>
      </c>
      <c r="AI285" s="202">
        <v>2</v>
      </c>
      <c r="AJ285" s="202">
        <v>0</v>
      </c>
    </row>
    <row r="286" spans="2:36">
      <c r="B286" s="203">
        <v>2180</v>
      </c>
      <c r="C286" s="207">
        <v>206412</v>
      </c>
      <c r="D286" s="203" t="s">
        <v>97</v>
      </c>
      <c r="E286" s="202" t="s">
        <v>601</v>
      </c>
      <c r="F286" s="203">
        <v>2</v>
      </c>
      <c r="G286" s="202"/>
      <c r="H286" s="202"/>
      <c r="I286" s="202"/>
      <c r="J286" s="202">
        <v>0</v>
      </c>
      <c r="K286" s="202" t="s">
        <v>2318</v>
      </c>
      <c r="L286" s="202"/>
      <c r="M286" s="202" t="s">
        <v>1458</v>
      </c>
      <c r="N286" s="206">
        <v>43398</v>
      </c>
      <c r="O286" s="206">
        <v>43398</v>
      </c>
      <c r="P286" s="202" t="s">
        <v>2766</v>
      </c>
      <c r="Q286" s="203">
        <v>1200</v>
      </c>
      <c r="R286" s="203">
        <v>14050</v>
      </c>
      <c r="S286" s="204">
        <v>13169</v>
      </c>
      <c r="T286" s="203">
        <v>14056</v>
      </c>
      <c r="U286" s="204">
        <v>3932.42</v>
      </c>
      <c r="V286" s="204">
        <f t="shared" si="16"/>
        <v>9236.58</v>
      </c>
      <c r="W286" s="205">
        <v>457.26</v>
      </c>
      <c r="X286" s="203">
        <v>54260</v>
      </c>
      <c r="Y286" s="204">
        <v>91.45</v>
      </c>
      <c r="Z286" s="202" t="s">
        <v>97</v>
      </c>
      <c r="AA286" s="202"/>
      <c r="AB286" s="202">
        <v>37217974</v>
      </c>
      <c r="AC286" s="202"/>
      <c r="AD286" s="202" t="s">
        <v>1152</v>
      </c>
      <c r="AE286" s="202" t="s">
        <v>1153</v>
      </c>
      <c r="AF286" s="203" t="s">
        <v>1154</v>
      </c>
      <c r="AG286" s="202"/>
      <c r="AH286" s="203" t="s">
        <v>1155</v>
      </c>
      <c r="AI286" s="202">
        <v>0</v>
      </c>
      <c r="AJ286" s="202">
        <v>0</v>
      </c>
    </row>
    <row r="287" spans="2:36">
      <c r="B287" s="203">
        <v>2180</v>
      </c>
      <c r="C287" s="207">
        <v>206411</v>
      </c>
      <c r="D287" s="203" t="s">
        <v>97</v>
      </c>
      <c r="E287" s="202" t="s">
        <v>599</v>
      </c>
      <c r="F287" s="203">
        <v>6</v>
      </c>
      <c r="G287" s="202"/>
      <c r="H287" s="202"/>
      <c r="I287" s="202"/>
      <c r="J287" s="202">
        <v>0</v>
      </c>
      <c r="K287" s="202" t="s">
        <v>2318</v>
      </c>
      <c r="L287" s="202"/>
      <c r="M287" s="202" t="s">
        <v>1417</v>
      </c>
      <c r="N287" s="206">
        <v>43397</v>
      </c>
      <c r="O287" s="206">
        <v>43397</v>
      </c>
      <c r="P287" s="202" t="s">
        <v>2765</v>
      </c>
      <c r="Q287" s="203">
        <v>1200</v>
      </c>
      <c r="R287" s="203">
        <v>14050</v>
      </c>
      <c r="S287" s="204">
        <v>45612</v>
      </c>
      <c r="T287" s="203">
        <v>14056</v>
      </c>
      <c r="U287" s="204">
        <v>13620.25</v>
      </c>
      <c r="V287" s="204">
        <f t="shared" si="16"/>
        <v>31991.75</v>
      </c>
      <c r="W287" s="205">
        <v>1583.75</v>
      </c>
      <c r="X287" s="203">
        <v>54260</v>
      </c>
      <c r="Y287" s="204">
        <v>316.75</v>
      </c>
      <c r="Z287" s="202" t="s">
        <v>97</v>
      </c>
      <c r="AA287" s="202"/>
      <c r="AB287" s="202">
        <v>37217953</v>
      </c>
      <c r="AC287" s="202"/>
      <c r="AD287" s="202" t="s">
        <v>1152</v>
      </c>
      <c r="AE287" s="202" t="s">
        <v>1153</v>
      </c>
      <c r="AF287" s="203" t="s">
        <v>1154</v>
      </c>
      <c r="AG287" s="202"/>
      <c r="AH287" s="203" t="s">
        <v>1155</v>
      </c>
      <c r="AI287" s="202">
        <v>0</v>
      </c>
      <c r="AJ287" s="202">
        <v>0</v>
      </c>
    </row>
    <row r="288" spans="2:36">
      <c r="B288" s="203">
        <v>2180</v>
      </c>
      <c r="C288" s="207">
        <v>206402</v>
      </c>
      <c r="D288" s="203">
        <v>204185</v>
      </c>
      <c r="E288" s="202" t="s">
        <v>124</v>
      </c>
      <c r="F288" s="203"/>
      <c r="G288" s="202"/>
      <c r="H288" s="202"/>
      <c r="I288" s="202"/>
      <c r="J288" s="202">
        <v>0</v>
      </c>
      <c r="K288" s="202" t="s">
        <v>2744</v>
      </c>
      <c r="L288" s="202"/>
      <c r="M288" s="202" t="s">
        <v>1158</v>
      </c>
      <c r="N288" s="206">
        <v>43397</v>
      </c>
      <c r="O288" s="206">
        <v>43397</v>
      </c>
      <c r="P288" s="202" t="s">
        <v>2758</v>
      </c>
      <c r="Q288" s="203">
        <v>1000</v>
      </c>
      <c r="R288" s="203">
        <v>14040</v>
      </c>
      <c r="S288" s="204">
        <v>576.75</v>
      </c>
      <c r="T288" s="203">
        <v>14046</v>
      </c>
      <c r="U288" s="204">
        <v>206.68</v>
      </c>
      <c r="V288" s="204">
        <f t="shared" si="16"/>
        <v>370.07</v>
      </c>
      <c r="W288" s="205">
        <v>24.03</v>
      </c>
      <c r="X288" s="203">
        <v>51260</v>
      </c>
      <c r="Y288" s="204">
        <v>4.8</v>
      </c>
      <c r="Z288" s="202" t="s">
        <v>97</v>
      </c>
      <c r="AA288" s="202"/>
      <c r="AB288" s="202">
        <v>425</v>
      </c>
      <c r="AC288" s="202"/>
      <c r="AD288" s="202" t="s">
        <v>1152</v>
      </c>
      <c r="AE288" s="202" t="s">
        <v>1153</v>
      </c>
      <c r="AF288" s="203" t="s">
        <v>1154</v>
      </c>
      <c r="AG288" s="202"/>
      <c r="AH288" s="203" t="s">
        <v>1155</v>
      </c>
      <c r="AI288" s="202">
        <v>0</v>
      </c>
      <c r="AJ288" s="202">
        <v>0</v>
      </c>
    </row>
    <row r="289" spans="2:36">
      <c r="B289" s="203">
        <v>2180</v>
      </c>
      <c r="C289" s="207">
        <v>206401</v>
      </c>
      <c r="D289" s="203">
        <v>204190</v>
      </c>
      <c r="E289" s="202" t="s">
        <v>124</v>
      </c>
      <c r="F289" s="203"/>
      <c r="G289" s="202"/>
      <c r="H289" s="202"/>
      <c r="I289" s="202"/>
      <c r="J289" s="202">
        <v>0</v>
      </c>
      <c r="K289" s="202" t="s">
        <v>2744</v>
      </c>
      <c r="L289" s="202"/>
      <c r="M289" s="202" t="s">
        <v>1158</v>
      </c>
      <c r="N289" s="206">
        <v>43397</v>
      </c>
      <c r="O289" s="206">
        <v>43397</v>
      </c>
      <c r="P289" s="202" t="s">
        <v>2762</v>
      </c>
      <c r="Q289" s="203">
        <v>1000</v>
      </c>
      <c r="R289" s="203">
        <v>14040</v>
      </c>
      <c r="S289" s="204">
        <v>576.75</v>
      </c>
      <c r="T289" s="203">
        <v>14046</v>
      </c>
      <c r="U289" s="204">
        <v>206.68</v>
      </c>
      <c r="V289" s="204">
        <f t="shared" si="16"/>
        <v>370.07</v>
      </c>
      <c r="W289" s="205">
        <v>24.03</v>
      </c>
      <c r="X289" s="203">
        <v>51260</v>
      </c>
      <c r="Y289" s="204">
        <v>4.8</v>
      </c>
      <c r="Z289" s="202" t="s">
        <v>97</v>
      </c>
      <c r="AA289" s="202"/>
      <c r="AB289" s="202">
        <v>424</v>
      </c>
      <c r="AC289" s="202"/>
      <c r="AD289" s="202" t="s">
        <v>1152</v>
      </c>
      <c r="AE289" s="202" t="s">
        <v>1153</v>
      </c>
      <c r="AF289" s="203" t="s">
        <v>1154</v>
      </c>
      <c r="AG289" s="202"/>
      <c r="AH289" s="203" t="s">
        <v>1155</v>
      </c>
      <c r="AI289" s="202">
        <v>0</v>
      </c>
      <c r="AJ289" s="202">
        <v>0</v>
      </c>
    </row>
    <row r="290" spans="2:36">
      <c r="B290" s="203">
        <v>2180</v>
      </c>
      <c r="C290" s="207">
        <v>206400</v>
      </c>
      <c r="D290" s="203">
        <v>204188</v>
      </c>
      <c r="E290" s="202" t="s">
        <v>128</v>
      </c>
      <c r="F290" s="203"/>
      <c r="G290" s="202"/>
      <c r="H290" s="202"/>
      <c r="I290" s="202"/>
      <c r="J290" s="202">
        <v>2018</v>
      </c>
      <c r="K290" s="202" t="s">
        <v>1406</v>
      </c>
      <c r="L290" s="202" t="s">
        <v>2775</v>
      </c>
      <c r="M290" s="202" t="s">
        <v>1158</v>
      </c>
      <c r="N290" s="206">
        <v>43389</v>
      </c>
      <c r="O290" s="206">
        <v>43389</v>
      </c>
      <c r="P290" s="202" t="s">
        <v>2760</v>
      </c>
      <c r="Q290" s="203">
        <v>1000</v>
      </c>
      <c r="R290" s="203">
        <v>14040</v>
      </c>
      <c r="S290" s="204">
        <v>628.75</v>
      </c>
      <c r="T290" s="203">
        <v>14046</v>
      </c>
      <c r="U290" s="204">
        <v>225.32</v>
      </c>
      <c r="V290" s="204">
        <f t="shared" si="16"/>
        <v>403.43</v>
      </c>
      <c r="W290" s="205">
        <v>26.2</v>
      </c>
      <c r="X290" s="203">
        <v>51260</v>
      </c>
      <c r="Y290" s="204">
        <v>5.24</v>
      </c>
      <c r="Z290" s="202" t="s">
        <v>97</v>
      </c>
      <c r="AA290" s="202"/>
      <c r="AB290" s="202">
        <v>416</v>
      </c>
      <c r="AC290" s="202"/>
      <c r="AD290" s="202" t="s">
        <v>1152</v>
      </c>
      <c r="AE290" s="202" t="s">
        <v>1153</v>
      </c>
      <c r="AF290" s="203" t="s">
        <v>1154</v>
      </c>
      <c r="AG290" s="202"/>
      <c r="AH290" s="203" t="s">
        <v>1155</v>
      </c>
      <c r="AI290" s="202">
        <v>0</v>
      </c>
      <c r="AJ290" s="202">
        <v>0</v>
      </c>
    </row>
    <row r="291" spans="2:36">
      <c r="B291" s="203">
        <v>2180</v>
      </c>
      <c r="C291" s="207">
        <v>206246</v>
      </c>
      <c r="D291" s="203" t="s">
        <v>97</v>
      </c>
      <c r="E291" s="202" t="s">
        <v>984</v>
      </c>
      <c r="F291" s="203"/>
      <c r="G291" s="202"/>
      <c r="H291" s="202"/>
      <c r="I291" s="202"/>
      <c r="J291" s="202">
        <v>0</v>
      </c>
      <c r="K291" s="202" t="s">
        <v>1429</v>
      </c>
      <c r="L291" s="202"/>
      <c r="M291" s="202"/>
      <c r="N291" s="206">
        <v>43431</v>
      </c>
      <c r="O291" s="206">
        <v>43431</v>
      </c>
      <c r="P291" s="202" t="s">
        <v>2774</v>
      </c>
      <c r="Q291" s="203">
        <v>300</v>
      </c>
      <c r="R291" s="203">
        <v>14110</v>
      </c>
      <c r="S291" s="204">
        <v>1484.41</v>
      </c>
      <c r="T291" s="203">
        <v>14116</v>
      </c>
      <c r="U291" s="204">
        <v>1484.41</v>
      </c>
      <c r="V291" s="204">
        <f t="shared" si="16"/>
        <v>0</v>
      </c>
      <c r="W291" s="205">
        <v>0</v>
      </c>
      <c r="X291" s="203">
        <v>70260</v>
      </c>
      <c r="Y291" s="204">
        <v>0</v>
      </c>
      <c r="Z291" s="202" t="s">
        <v>97</v>
      </c>
      <c r="AA291" s="202"/>
      <c r="AB291" s="202" t="s">
        <v>2773</v>
      </c>
      <c r="AC291" s="202"/>
      <c r="AD291" s="202" t="s">
        <v>1152</v>
      </c>
      <c r="AE291" s="202" t="s">
        <v>1153</v>
      </c>
      <c r="AF291" s="203" t="s">
        <v>1154</v>
      </c>
      <c r="AG291" s="202"/>
      <c r="AH291" s="203" t="s">
        <v>1155</v>
      </c>
      <c r="AI291" s="202">
        <v>0</v>
      </c>
      <c r="AJ291" s="202">
        <v>0</v>
      </c>
    </row>
    <row r="292" spans="2:36">
      <c r="B292" s="203">
        <v>2180</v>
      </c>
      <c r="C292" s="207">
        <v>205326</v>
      </c>
      <c r="D292" s="203" t="s">
        <v>97</v>
      </c>
      <c r="E292" s="202" t="s">
        <v>126</v>
      </c>
      <c r="F292" s="203"/>
      <c r="G292" s="202"/>
      <c r="H292" s="202" t="s">
        <v>2772</v>
      </c>
      <c r="I292" s="202"/>
      <c r="J292" s="202">
        <v>2019</v>
      </c>
      <c r="K292" s="202" t="s">
        <v>2290</v>
      </c>
      <c r="L292" s="202" t="s">
        <v>2413</v>
      </c>
      <c r="M292" s="202" t="s">
        <v>1404</v>
      </c>
      <c r="N292" s="206">
        <v>43423</v>
      </c>
      <c r="O292" s="206">
        <v>43423</v>
      </c>
      <c r="P292" s="202" t="s">
        <v>2771</v>
      </c>
      <c r="Q292" s="203">
        <v>1000</v>
      </c>
      <c r="R292" s="203">
        <v>14040</v>
      </c>
      <c r="S292" s="204">
        <v>349829.48</v>
      </c>
      <c r="T292" s="203">
        <v>14046</v>
      </c>
      <c r="U292" s="204">
        <v>122440.33</v>
      </c>
      <c r="V292" s="204">
        <f t="shared" si="16"/>
        <v>227389.14999999997</v>
      </c>
      <c r="W292" s="205">
        <v>14576.23</v>
      </c>
      <c r="X292" s="203">
        <v>51260</v>
      </c>
      <c r="Y292" s="204">
        <v>2915.25</v>
      </c>
      <c r="Z292" s="202" t="s">
        <v>97</v>
      </c>
      <c r="AA292" s="202"/>
      <c r="AB292" s="202">
        <v>155557</v>
      </c>
      <c r="AC292" s="202">
        <v>3677</v>
      </c>
      <c r="AD292" s="202" t="s">
        <v>1152</v>
      </c>
      <c r="AE292" s="202" t="s">
        <v>1153</v>
      </c>
      <c r="AF292" s="203" t="s">
        <v>1154</v>
      </c>
      <c r="AG292" s="202"/>
      <c r="AH292" s="203" t="s">
        <v>1155</v>
      </c>
      <c r="AI292" s="202">
        <v>0</v>
      </c>
      <c r="AJ292" s="202">
        <v>0</v>
      </c>
    </row>
    <row r="293" spans="2:36">
      <c r="B293" s="203">
        <v>2180</v>
      </c>
      <c r="C293" s="207">
        <v>204837</v>
      </c>
      <c r="D293" s="203">
        <v>60779</v>
      </c>
      <c r="E293" s="202" t="s">
        <v>229</v>
      </c>
      <c r="F293" s="203"/>
      <c r="G293" s="202"/>
      <c r="H293" s="202"/>
      <c r="I293" s="202"/>
      <c r="J293" s="202">
        <v>0</v>
      </c>
      <c r="K293" s="202" t="s">
        <v>2770</v>
      </c>
      <c r="L293" s="202"/>
      <c r="M293" s="202" t="s">
        <v>1158</v>
      </c>
      <c r="N293" s="206">
        <v>43382</v>
      </c>
      <c r="O293" s="206">
        <v>43382</v>
      </c>
      <c r="P293" s="202" t="s">
        <v>2769</v>
      </c>
      <c r="Q293" s="203">
        <v>300</v>
      </c>
      <c r="R293" s="203">
        <v>14040</v>
      </c>
      <c r="S293" s="204">
        <v>14824.26</v>
      </c>
      <c r="T293" s="203">
        <v>14046</v>
      </c>
      <c r="U293" s="204">
        <v>14824.26</v>
      </c>
      <c r="V293" s="204">
        <f t="shared" si="16"/>
        <v>0</v>
      </c>
      <c r="W293" s="205">
        <v>0</v>
      </c>
      <c r="X293" s="203">
        <v>51260</v>
      </c>
      <c r="Y293" s="204">
        <v>0</v>
      </c>
      <c r="Z293" s="202" t="s">
        <v>97</v>
      </c>
      <c r="AA293" s="202"/>
      <c r="AB293" s="202" t="s">
        <v>2768</v>
      </c>
      <c r="AC293" s="202"/>
      <c r="AD293" s="202" t="s">
        <v>1152</v>
      </c>
      <c r="AE293" s="202" t="s">
        <v>1153</v>
      </c>
      <c r="AF293" s="203" t="s">
        <v>1154</v>
      </c>
      <c r="AG293" s="202"/>
      <c r="AH293" s="203" t="s">
        <v>1155</v>
      </c>
      <c r="AI293" s="202">
        <v>0</v>
      </c>
      <c r="AJ293" s="202">
        <v>0</v>
      </c>
    </row>
    <row r="294" spans="2:36">
      <c r="B294" s="203">
        <v>2180</v>
      </c>
      <c r="C294" s="207">
        <v>204592</v>
      </c>
      <c r="D294" s="203" t="s">
        <v>97</v>
      </c>
      <c r="E294" s="202" t="s">
        <v>983</v>
      </c>
      <c r="F294" s="203"/>
      <c r="G294" s="202"/>
      <c r="H294" s="202"/>
      <c r="I294" s="202"/>
      <c r="J294" s="202">
        <v>0</v>
      </c>
      <c r="K294" s="202" t="s">
        <v>1576</v>
      </c>
      <c r="L294" s="202"/>
      <c r="M294" s="202"/>
      <c r="N294" s="206">
        <v>43354</v>
      </c>
      <c r="O294" s="206">
        <v>43354</v>
      </c>
      <c r="P294" s="202" t="s">
        <v>2767</v>
      </c>
      <c r="Q294" s="203">
        <v>100</v>
      </c>
      <c r="R294" s="203">
        <v>14110</v>
      </c>
      <c r="S294" s="204">
        <v>15356.65</v>
      </c>
      <c r="T294" s="203">
        <v>14116</v>
      </c>
      <c r="U294" s="204">
        <v>15356.65</v>
      </c>
      <c r="V294" s="204">
        <f t="shared" si="16"/>
        <v>0</v>
      </c>
      <c r="W294" s="205">
        <v>0</v>
      </c>
      <c r="X294" s="203">
        <v>70260</v>
      </c>
      <c r="Y294" s="204">
        <v>0</v>
      </c>
      <c r="Z294" s="202" t="s">
        <v>97</v>
      </c>
      <c r="AA294" s="202"/>
      <c r="AB294" s="202">
        <v>99683</v>
      </c>
      <c r="AC294" s="202"/>
      <c r="AD294" s="202" t="s">
        <v>1152</v>
      </c>
      <c r="AE294" s="202" t="s">
        <v>1153</v>
      </c>
      <c r="AF294" s="203" t="s">
        <v>1154</v>
      </c>
      <c r="AG294" s="202"/>
      <c r="AH294" s="203" t="s">
        <v>1155</v>
      </c>
      <c r="AI294" s="202">
        <v>0</v>
      </c>
      <c r="AJ294" s="202">
        <v>0</v>
      </c>
    </row>
    <row r="295" spans="2:36">
      <c r="B295" s="203">
        <v>2180</v>
      </c>
      <c r="C295" s="207">
        <v>204578</v>
      </c>
      <c r="D295" s="203" t="s">
        <v>97</v>
      </c>
      <c r="E295" s="202" t="s">
        <v>588</v>
      </c>
      <c r="F295" s="203">
        <v>2</v>
      </c>
      <c r="G295" s="202"/>
      <c r="H295" s="202"/>
      <c r="I295" s="202"/>
      <c r="J295" s="202">
        <v>0</v>
      </c>
      <c r="K295" s="202" t="s">
        <v>2318</v>
      </c>
      <c r="L295" s="202"/>
      <c r="M295" s="202" t="s">
        <v>1458</v>
      </c>
      <c r="N295" s="206">
        <v>43391</v>
      </c>
      <c r="O295" s="206">
        <v>43391</v>
      </c>
      <c r="P295" s="202" t="s">
        <v>2766</v>
      </c>
      <c r="Q295" s="203">
        <v>1200</v>
      </c>
      <c r="R295" s="203">
        <v>14050</v>
      </c>
      <c r="S295" s="204">
        <v>13169</v>
      </c>
      <c r="T295" s="203">
        <v>14056</v>
      </c>
      <c r="U295" s="204">
        <v>3932.42</v>
      </c>
      <c r="V295" s="204">
        <f t="shared" si="16"/>
        <v>9236.58</v>
      </c>
      <c r="W295" s="205">
        <v>457.26</v>
      </c>
      <c r="X295" s="203">
        <v>54260</v>
      </c>
      <c r="Y295" s="204">
        <v>91.45</v>
      </c>
      <c r="Z295" s="202" t="s">
        <v>97</v>
      </c>
      <c r="AA295" s="202"/>
      <c r="AB295" s="202">
        <v>37217897</v>
      </c>
      <c r="AC295" s="202"/>
      <c r="AD295" s="202" t="s">
        <v>1152</v>
      </c>
      <c r="AE295" s="202" t="s">
        <v>1153</v>
      </c>
      <c r="AF295" s="203" t="s">
        <v>1154</v>
      </c>
      <c r="AG295" s="202"/>
      <c r="AH295" s="203" t="s">
        <v>1155</v>
      </c>
      <c r="AI295" s="202">
        <v>0</v>
      </c>
      <c r="AJ295" s="202">
        <v>0</v>
      </c>
    </row>
    <row r="296" spans="2:36">
      <c r="B296" s="203">
        <v>2180</v>
      </c>
      <c r="C296" s="207">
        <v>204577</v>
      </c>
      <c r="D296" s="203" t="s">
        <v>97</v>
      </c>
      <c r="E296" s="202" t="s">
        <v>598</v>
      </c>
      <c r="F296" s="203">
        <v>4</v>
      </c>
      <c r="G296" s="202"/>
      <c r="H296" s="202"/>
      <c r="I296" s="202"/>
      <c r="J296" s="202">
        <v>0</v>
      </c>
      <c r="K296" s="202" t="s">
        <v>2318</v>
      </c>
      <c r="L296" s="202"/>
      <c r="M296" s="202" t="s">
        <v>1417</v>
      </c>
      <c r="N296" s="206">
        <v>43382</v>
      </c>
      <c r="O296" s="206">
        <v>43382</v>
      </c>
      <c r="P296" s="202" t="s">
        <v>2765</v>
      </c>
      <c r="Q296" s="203">
        <v>1200</v>
      </c>
      <c r="R296" s="203">
        <v>14050</v>
      </c>
      <c r="S296" s="204">
        <v>30408</v>
      </c>
      <c r="T296" s="203">
        <v>14056</v>
      </c>
      <c r="U296" s="204">
        <v>9291.33</v>
      </c>
      <c r="V296" s="204">
        <f t="shared" si="16"/>
        <v>21116.67</v>
      </c>
      <c r="W296" s="205">
        <v>1055.83</v>
      </c>
      <c r="X296" s="203">
        <v>54260</v>
      </c>
      <c r="Y296" s="204">
        <v>211.16</v>
      </c>
      <c r="Z296" s="202" t="s">
        <v>97</v>
      </c>
      <c r="AA296" s="202"/>
      <c r="AB296" s="202">
        <v>37217847</v>
      </c>
      <c r="AC296" s="202"/>
      <c r="AD296" s="202" t="s">
        <v>1152</v>
      </c>
      <c r="AE296" s="202" t="s">
        <v>1153</v>
      </c>
      <c r="AF296" s="203" t="s">
        <v>1154</v>
      </c>
      <c r="AG296" s="202"/>
      <c r="AH296" s="203" t="s">
        <v>1155</v>
      </c>
      <c r="AI296" s="202">
        <v>0</v>
      </c>
      <c r="AJ296" s="202">
        <v>0</v>
      </c>
    </row>
    <row r="297" spans="2:36">
      <c r="B297" s="203">
        <v>2180</v>
      </c>
      <c r="C297" s="207">
        <v>204576</v>
      </c>
      <c r="D297" s="203" t="s">
        <v>97</v>
      </c>
      <c r="E297" s="202" t="s">
        <v>590</v>
      </c>
      <c r="F297" s="203">
        <v>2</v>
      </c>
      <c r="G297" s="202"/>
      <c r="H297" s="202"/>
      <c r="I297" s="202"/>
      <c r="J297" s="202">
        <v>0</v>
      </c>
      <c r="K297" s="202" t="s">
        <v>2318</v>
      </c>
      <c r="L297" s="202"/>
      <c r="M297" s="202" t="s">
        <v>1454</v>
      </c>
      <c r="N297" s="206">
        <v>43378</v>
      </c>
      <c r="O297" s="206">
        <v>43378</v>
      </c>
      <c r="P297" s="202" t="s">
        <v>2746</v>
      </c>
      <c r="Q297" s="203">
        <v>1200</v>
      </c>
      <c r="R297" s="203">
        <v>14050</v>
      </c>
      <c r="S297" s="204">
        <v>13966</v>
      </c>
      <c r="T297" s="203">
        <v>14056</v>
      </c>
      <c r="U297" s="204">
        <v>4267.38</v>
      </c>
      <c r="V297" s="204">
        <f t="shared" si="16"/>
        <v>9698.619999999999</v>
      </c>
      <c r="W297" s="205">
        <v>484.93</v>
      </c>
      <c r="X297" s="203">
        <v>54260</v>
      </c>
      <c r="Y297" s="204">
        <v>96.99</v>
      </c>
      <c r="Z297" s="202" t="s">
        <v>97</v>
      </c>
      <c r="AA297" s="202"/>
      <c r="AB297" s="202">
        <v>37217831</v>
      </c>
      <c r="AC297" s="202"/>
      <c r="AD297" s="202" t="s">
        <v>1152</v>
      </c>
      <c r="AE297" s="202" t="s">
        <v>1153</v>
      </c>
      <c r="AF297" s="203" t="s">
        <v>1154</v>
      </c>
      <c r="AG297" s="202"/>
      <c r="AH297" s="203" t="s">
        <v>1155</v>
      </c>
      <c r="AI297" s="202">
        <v>0</v>
      </c>
      <c r="AJ297" s="202">
        <v>0</v>
      </c>
    </row>
    <row r="298" spans="2:36">
      <c r="B298" s="203">
        <v>2180</v>
      </c>
      <c r="C298" s="207">
        <v>204287</v>
      </c>
      <c r="D298" s="203" t="s">
        <v>97</v>
      </c>
      <c r="E298" s="202" t="s">
        <v>528</v>
      </c>
      <c r="F298" s="203">
        <v>13</v>
      </c>
      <c r="G298" s="202"/>
      <c r="H298" s="202"/>
      <c r="I298" s="202"/>
      <c r="J298" s="202">
        <v>0</v>
      </c>
      <c r="K298" s="202" t="s">
        <v>2318</v>
      </c>
      <c r="L298" s="202"/>
      <c r="M298" s="202" t="s">
        <v>1456</v>
      </c>
      <c r="N298" s="206">
        <v>43378</v>
      </c>
      <c r="O298" s="206">
        <v>43378</v>
      </c>
      <c r="P298" s="202" t="s">
        <v>2764</v>
      </c>
      <c r="Q298" s="203">
        <v>1200</v>
      </c>
      <c r="R298" s="203">
        <v>14050</v>
      </c>
      <c r="S298" s="204">
        <v>13897.5</v>
      </c>
      <c r="T298" s="203">
        <v>14056</v>
      </c>
      <c r="U298" s="204">
        <v>4246.47</v>
      </c>
      <c r="V298" s="204">
        <f t="shared" si="16"/>
        <v>9651.0299999999988</v>
      </c>
      <c r="W298" s="205">
        <v>482.55</v>
      </c>
      <c r="X298" s="203">
        <v>54260</v>
      </c>
      <c r="Y298" s="204">
        <v>96.51</v>
      </c>
      <c r="Z298" s="202" t="s">
        <v>97</v>
      </c>
      <c r="AA298" s="202"/>
      <c r="AB298" s="202">
        <v>37217837</v>
      </c>
      <c r="AC298" s="202"/>
      <c r="AD298" s="202" t="s">
        <v>1152</v>
      </c>
      <c r="AE298" s="202" t="s">
        <v>1153</v>
      </c>
      <c r="AF298" s="203" t="s">
        <v>1154</v>
      </c>
      <c r="AG298" s="202"/>
      <c r="AH298" s="203" t="s">
        <v>1155</v>
      </c>
      <c r="AI298" s="202">
        <v>0</v>
      </c>
      <c r="AJ298" s="202">
        <v>0</v>
      </c>
    </row>
    <row r="299" spans="2:36">
      <c r="B299" s="203">
        <v>2180</v>
      </c>
      <c r="C299" s="207">
        <v>204190</v>
      </c>
      <c r="D299" s="203" t="s">
        <v>97</v>
      </c>
      <c r="E299" s="202" t="s">
        <v>125</v>
      </c>
      <c r="F299" s="203"/>
      <c r="G299" s="202"/>
      <c r="H299" s="202" t="s">
        <v>2763</v>
      </c>
      <c r="I299" s="202"/>
      <c r="J299" s="202">
        <v>2019</v>
      </c>
      <c r="K299" s="202" t="s">
        <v>2290</v>
      </c>
      <c r="L299" s="202" t="s">
        <v>2440</v>
      </c>
      <c r="M299" s="202" t="s">
        <v>1999</v>
      </c>
      <c r="N299" s="206">
        <v>43389</v>
      </c>
      <c r="O299" s="206">
        <v>43389</v>
      </c>
      <c r="P299" s="202" t="s">
        <v>2762</v>
      </c>
      <c r="Q299" s="203">
        <v>1000</v>
      </c>
      <c r="R299" s="203">
        <v>14040</v>
      </c>
      <c r="S299" s="204">
        <v>336121.76</v>
      </c>
      <c r="T299" s="203">
        <v>14046</v>
      </c>
      <c r="U299" s="204">
        <v>120443.65</v>
      </c>
      <c r="V299" s="204">
        <f t="shared" si="16"/>
        <v>215678.11000000002</v>
      </c>
      <c r="W299" s="205">
        <v>14005.08</v>
      </c>
      <c r="X299" s="203">
        <v>51260</v>
      </c>
      <c r="Y299" s="204">
        <v>2801.02</v>
      </c>
      <c r="Z299" s="202" t="s">
        <v>97</v>
      </c>
      <c r="AA299" s="202"/>
      <c r="AB299" s="202">
        <v>9934</v>
      </c>
      <c r="AC299" s="202">
        <v>2051</v>
      </c>
      <c r="AD299" s="202" t="s">
        <v>1152</v>
      </c>
      <c r="AE299" s="202" t="s">
        <v>1153</v>
      </c>
      <c r="AF299" s="203" t="s">
        <v>1154</v>
      </c>
      <c r="AG299" s="202"/>
      <c r="AH299" s="203" t="s">
        <v>1155</v>
      </c>
      <c r="AI299" s="202">
        <v>0</v>
      </c>
      <c r="AJ299" s="202">
        <v>0</v>
      </c>
    </row>
    <row r="300" spans="2:36">
      <c r="B300" s="203">
        <v>2180</v>
      </c>
      <c r="C300" s="207">
        <v>204188</v>
      </c>
      <c r="D300" s="203" t="s">
        <v>97</v>
      </c>
      <c r="E300" s="202" t="s">
        <v>126</v>
      </c>
      <c r="F300" s="203"/>
      <c r="G300" s="202"/>
      <c r="H300" s="202" t="s">
        <v>2761</v>
      </c>
      <c r="I300" s="202"/>
      <c r="J300" s="202">
        <v>2019</v>
      </c>
      <c r="K300" s="202" t="s">
        <v>2290</v>
      </c>
      <c r="L300" s="202" t="s">
        <v>2413</v>
      </c>
      <c r="M300" s="202" t="s">
        <v>1404</v>
      </c>
      <c r="N300" s="206">
        <v>43389</v>
      </c>
      <c r="O300" s="206">
        <v>43389</v>
      </c>
      <c r="P300" s="202" t="s">
        <v>2760</v>
      </c>
      <c r="Q300" s="203">
        <v>1000</v>
      </c>
      <c r="R300" s="203">
        <v>14040</v>
      </c>
      <c r="S300" s="204">
        <v>349200.73</v>
      </c>
      <c r="T300" s="203">
        <v>14046</v>
      </c>
      <c r="U300" s="204">
        <v>125130.25</v>
      </c>
      <c r="V300" s="204">
        <f t="shared" si="16"/>
        <v>224070.47999999998</v>
      </c>
      <c r="W300" s="205">
        <v>14550.03</v>
      </c>
      <c r="X300" s="203">
        <v>51260</v>
      </c>
      <c r="Y300" s="204">
        <v>2910.01</v>
      </c>
      <c r="Z300" s="202" t="s">
        <v>97</v>
      </c>
      <c r="AA300" s="202"/>
      <c r="AB300" s="202">
        <v>9934</v>
      </c>
      <c r="AC300" s="202">
        <v>3681</v>
      </c>
      <c r="AD300" s="202" t="s">
        <v>1152</v>
      </c>
      <c r="AE300" s="202" t="s">
        <v>1153</v>
      </c>
      <c r="AF300" s="203" t="s">
        <v>1154</v>
      </c>
      <c r="AG300" s="202"/>
      <c r="AH300" s="203" t="s">
        <v>1155</v>
      </c>
      <c r="AI300" s="202">
        <v>0</v>
      </c>
      <c r="AJ300" s="202">
        <v>0</v>
      </c>
    </row>
    <row r="301" spans="2:36">
      <c r="B301" s="203">
        <v>2180</v>
      </c>
      <c r="C301" s="207">
        <v>204185</v>
      </c>
      <c r="D301" s="203" t="s">
        <v>97</v>
      </c>
      <c r="E301" s="202" t="s">
        <v>125</v>
      </c>
      <c r="F301" s="203"/>
      <c r="G301" s="202"/>
      <c r="H301" s="202" t="s">
        <v>2759</v>
      </c>
      <c r="I301" s="202"/>
      <c r="J301" s="202">
        <v>2019</v>
      </c>
      <c r="K301" s="202" t="s">
        <v>2290</v>
      </c>
      <c r="L301" s="202" t="s">
        <v>2440</v>
      </c>
      <c r="M301" s="202" t="s">
        <v>1999</v>
      </c>
      <c r="N301" s="206">
        <v>43389</v>
      </c>
      <c r="O301" s="206">
        <v>43389</v>
      </c>
      <c r="P301" s="202" t="s">
        <v>2758</v>
      </c>
      <c r="Q301" s="203">
        <v>1000</v>
      </c>
      <c r="R301" s="203">
        <v>14040</v>
      </c>
      <c r="S301" s="204">
        <v>336121.76</v>
      </c>
      <c r="T301" s="203">
        <v>14046</v>
      </c>
      <c r="U301" s="204">
        <v>120443.65</v>
      </c>
      <c r="V301" s="204">
        <f t="shared" si="16"/>
        <v>215678.11000000002</v>
      </c>
      <c r="W301" s="205">
        <v>14005.08</v>
      </c>
      <c r="X301" s="203">
        <v>51260</v>
      </c>
      <c r="Y301" s="204">
        <v>2801.02</v>
      </c>
      <c r="Z301" s="202" t="s">
        <v>97</v>
      </c>
      <c r="AA301" s="202"/>
      <c r="AB301" s="202">
        <v>9934</v>
      </c>
      <c r="AC301" s="202">
        <v>2052</v>
      </c>
      <c r="AD301" s="202" t="s">
        <v>1152</v>
      </c>
      <c r="AE301" s="202" t="s">
        <v>1153</v>
      </c>
      <c r="AF301" s="203" t="s">
        <v>1154</v>
      </c>
      <c r="AG301" s="202"/>
      <c r="AH301" s="203" t="s">
        <v>1155</v>
      </c>
      <c r="AI301" s="202">
        <v>0</v>
      </c>
      <c r="AJ301" s="202">
        <v>0</v>
      </c>
    </row>
    <row r="302" spans="2:36">
      <c r="B302" s="203">
        <v>2180</v>
      </c>
      <c r="C302" s="207">
        <v>204173</v>
      </c>
      <c r="D302" s="203" t="s">
        <v>97</v>
      </c>
      <c r="E302" s="202" t="s">
        <v>673</v>
      </c>
      <c r="F302" s="203">
        <v>702</v>
      </c>
      <c r="G302" s="202"/>
      <c r="H302" s="202"/>
      <c r="I302" s="202"/>
      <c r="J302" s="202">
        <v>0</v>
      </c>
      <c r="K302" s="202" t="s">
        <v>2445</v>
      </c>
      <c r="L302" s="202"/>
      <c r="M302" s="202"/>
      <c r="N302" s="206">
        <v>43355</v>
      </c>
      <c r="O302" s="206">
        <v>43355</v>
      </c>
      <c r="P302" s="202" t="s">
        <v>2757</v>
      </c>
      <c r="Q302" s="203">
        <v>700</v>
      </c>
      <c r="R302" s="203">
        <v>14050</v>
      </c>
      <c r="S302" s="204">
        <v>38279.9</v>
      </c>
      <c r="T302" s="203">
        <v>14056</v>
      </c>
      <c r="U302" s="204">
        <v>20507.099999999999</v>
      </c>
      <c r="V302" s="204">
        <f t="shared" si="16"/>
        <v>17772.800000000003</v>
      </c>
      <c r="W302" s="205">
        <v>2278.5700000000002</v>
      </c>
      <c r="X302" s="203">
        <v>54260</v>
      </c>
      <c r="Y302" s="204">
        <v>455.72</v>
      </c>
      <c r="Z302" s="202" t="s">
        <v>97</v>
      </c>
      <c r="AA302" s="202"/>
      <c r="AB302" s="202" t="s">
        <v>2756</v>
      </c>
      <c r="AC302" s="202"/>
      <c r="AD302" s="202" t="s">
        <v>1152</v>
      </c>
      <c r="AE302" s="202" t="s">
        <v>1153</v>
      </c>
      <c r="AF302" s="203" t="s">
        <v>1154</v>
      </c>
      <c r="AG302" s="202"/>
      <c r="AH302" s="203" t="s">
        <v>1155</v>
      </c>
      <c r="AI302" s="202">
        <v>0</v>
      </c>
      <c r="AJ302" s="202">
        <v>0</v>
      </c>
    </row>
    <row r="303" spans="2:36">
      <c r="B303" s="203">
        <v>2180</v>
      </c>
      <c r="C303" s="207">
        <v>204172</v>
      </c>
      <c r="D303" s="203" t="s">
        <v>97</v>
      </c>
      <c r="E303" s="202" t="s">
        <v>592</v>
      </c>
      <c r="F303" s="203">
        <v>4</v>
      </c>
      <c r="G303" s="202"/>
      <c r="H303" s="202"/>
      <c r="I303" s="202"/>
      <c r="J303" s="202">
        <v>0</v>
      </c>
      <c r="K303" s="202" t="s">
        <v>2318</v>
      </c>
      <c r="L303" s="202"/>
      <c r="M303" s="202" t="s">
        <v>1454</v>
      </c>
      <c r="N303" s="206">
        <v>43368</v>
      </c>
      <c r="O303" s="206">
        <v>43368</v>
      </c>
      <c r="P303" s="202" t="s">
        <v>2746</v>
      </c>
      <c r="Q303" s="203">
        <v>1200</v>
      </c>
      <c r="R303" s="203">
        <v>14050</v>
      </c>
      <c r="S303" s="204">
        <v>27932</v>
      </c>
      <c r="T303" s="203">
        <v>14056</v>
      </c>
      <c r="U303" s="204">
        <v>8534.7900000000009</v>
      </c>
      <c r="V303" s="204">
        <f t="shared" si="16"/>
        <v>19397.21</v>
      </c>
      <c r="W303" s="205">
        <v>969.86</v>
      </c>
      <c r="X303" s="203">
        <v>54260</v>
      </c>
      <c r="Y303" s="204">
        <v>193.97</v>
      </c>
      <c r="Z303" s="202" t="s">
        <v>97</v>
      </c>
      <c r="AA303" s="202"/>
      <c r="AB303" s="202">
        <v>37217745</v>
      </c>
      <c r="AC303" s="202"/>
      <c r="AD303" s="202" t="s">
        <v>1152</v>
      </c>
      <c r="AE303" s="202" t="s">
        <v>1153</v>
      </c>
      <c r="AF303" s="203" t="s">
        <v>1154</v>
      </c>
      <c r="AG303" s="202"/>
      <c r="AH303" s="203" t="s">
        <v>1155</v>
      </c>
      <c r="AI303" s="202">
        <v>0</v>
      </c>
      <c r="AJ303" s="202">
        <v>0</v>
      </c>
    </row>
    <row r="304" spans="2:36">
      <c r="B304" s="203">
        <v>2180</v>
      </c>
      <c r="C304" s="207">
        <v>204171</v>
      </c>
      <c r="D304" s="203" t="s">
        <v>97</v>
      </c>
      <c r="E304" s="202" t="s">
        <v>513</v>
      </c>
      <c r="F304" s="203">
        <v>30</v>
      </c>
      <c r="G304" s="202"/>
      <c r="H304" s="202"/>
      <c r="I304" s="202"/>
      <c r="J304" s="202">
        <v>0</v>
      </c>
      <c r="K304" s="202" t="s">
        <v>2502</v>
      </c>
      <c r="L304" s="202"/>
      <c r="M304" s="202"/>
      <c r="N304" s="206">
        <v>43337</v>
      </c>
      <c r="O304" s="206">
        <v>43337</v>
      </c>
      <c r="P304" s="202" t="s">
        <v>2755</v>
      </c>
      <c r="Q304" s="203">
        <v>700</v>
      </c>
      <c r="R304" s="203">
        <v>14050</v>
      </c>
      <c r="S304" s="204">
        <v>26542.2</v>
      </c>
      <c r="T304" s="203">
        <v>14056</v>
      </c>
      <c r="U304" s="204">
        <v>14219.03</v>
      </c>
      <c r="V304" s="204">
        <f t="shared" si="16"/>
        <v>12323.17</v>
      </c>
      <c r="W304" s="205">
        <v>1579.89</v>
      </c>
      <c r="X304" s="203">
        <v>54260</v>
      </c>
      <c r="Y304" s="204">
        <v>315.98</v>
      </c>
      <c r="Z304" s="202" t="s">
        <v>97</v>
      </c>
      <c r="AA304" s="202"/>
      <c r="AB304" s="202">
        <v>65551427</v>
      </c>
      <c r="AC304" s="202"/>
      <c r="AD304" s="202" t="s">
        <v>1152</v>
      </c>
      <c r="AE304" s="202" t="s">
        <v>1153</v>
      </c>
      <c r="AF304" s="203" t="s">
        <v>1154</v>
      </c>
      <c r="AG304" s="202"/>
      <c r="AH304" s="203" t="s">
        <v>1155</v>
      </c>
      <c r="AI304" s="202">
        <v>0</v>
      </c>
      <c r="AJ304" s="202">
        <v>0</v>
      </c>
    </row>
    <row r="305" spans="2:36">
      <c r="B305" s="203">
        <v>2180</v>
      </c>
      <c r="C305" s="207">
        <v>204166</v>
      </c>
      <c r="D305" s="203">
        <v>203828</v>
      </c>
      <c r="E305" s="202" t="s">
        <v>130</v>
      </c>
      <c r="F305" s="203"/>
      <c r="G305" s="202"/>
      <c r="H305" s="202"/>
      <c r="I305" s="202"/>
      <c r="J305" s="202">
        <v>0</v>
      </c>
      <c r="K305" s="202" t="s">
        <v>1406</v>
      </c>
      <c r="L305" s="202"/>
      <c r="M305" s="202" t="s">
        <v>1158</v>
      </c>
      <c r="N305" s="206">
        <v>43385</v>
      </c>
      <c r="O305" s="206">
        <v>43385</v>
      </c>
      <c r="P305" s="202" t="s">
        <v>2753</v>
      </c>
      <c r="Q305" s="203">
        <v>1000</v>
      </c>
      <c r="R305" s="203">
        <v>14040</v>
      </c>
      <c r="S305" s="204">
        <v>628.75</v>
      </c>
      <c r="T305" s="203">
        <v>14046</v>
      </c>
      <c r="U305" s="204">
        <v>230.56</v>
      </c>
      <c r="V305" s="204">
        <f t="shared" si="16"/>
        <v>398.19</v>
      </c>
      <c r="W305" s="205">
        <v>26.2</v>
      </c>
      <c r="X305" s="203">
        <v>51260</v>
      </c>
      <c r="Y305" s="204">
        <v>5.24</v>
      </c>
      <c r="Z305" s="202" t="s">
        <v>97</v>
      </c>
      <c r="AA305" s="202"/>
      <c r="AB305" s="202">
        <v>412</v>
      </c>
      <c r="AC305" s="202"/>
      <c r="AD305" s="202" t="s">
        <v>1152</v>
      </c>
      <c r="AE305" s="202" t="s">
        <v>1153</v>
      </c>
      <c r="AF305" s="203" t="s">
        <v>1154</v>
      </c>
      <c r="AG305" s="202"/>
      <c r="AH305" s="203" t="s">
        <v>1155</v>
      </c>
      <c r="AI305" s="202">
        <v>0</v>
      </c>
      <c r="AJ305" s="202">
        <v>0</v>
      </c>
    </row>
    <row r="306" spans="2:36">
      <c r="B306" s="203">
        <v>2180</v>
      </c>
      <c r="C306" s="207">
        <v>204165</v>
      </c>
      <c r="D306" s="203">
        <v>203827</v>
      </c>
      <c r="E306" s="202" t="s">
        <v>129</v>
      </c>
      <c r="F306" s="203"/>
      <c r="G306" s="202"/>
      <c r="H306" s="202"/>
      <c r="I306" s="202"/>
      <c r="J306" s="202">
        <v>0</v>
      </c>
      <c r="K306" s="202" t="s">
        <v>1406</v>
      </c>
      <c r="L306" s="202"/>
      <c r="M306" s="202" t="s">
        <v>1158</v>
      </c>
      <c r="N306" s="206">
        <v>43385</v>
      </c>
      <c r="O306" s="206">
        <v>43385</v>
      </c>
      <c r="P306" s="202" t="s">
        <v>2751</v>
      </c>
      <c r="Q306" s="203">
        <v>1000</v>
      </c>
      <c r="R306" s="203">
        <v>14040</v>
      </c>
      <c r="S306" s="204">
        <v>628.75</v>
      </c>
      <c r="T306" s="203">
        <v>14046</v>
      </c>
      <c r="U306" s="204">
        <v>230.56</v>
      </c>
      <c r="V306" s="204">
        <f t="shared" si="16"/>
        <v>398.19</v>
      </c>
      <c r="W306" s="205">
        <v>26.2</v>
      </c>
      <c r="X306" s="203">
        <v>51260</v>
      </c>
      <c r="Y306" s="204">
        <v>5.24</v>
      </c>
      <c r="Z306" s="202" t="s">
        <v>97</v>
      </c>
      <c r="AA306" s="202"/>
      <c r="AB306" s="202">
        <v>399</v>
      </c>
      <c r="AC306" s="202"/>
      <c r="AD306" s="202" t="s">
        <v>1152</v>
      </c>
      <c r="AE306" s="202" t="s">
        <v>1153</v>
      </c>
      <c r="AF306" s="203" t="s">
        <v>1154</v>
      </c>
      <c r="AG306" s="202"/>
      <c r="AH306" s="203" t="s">
        <v>1155</v>
      </c>
      <c r="AI306" s="202">
        <v>0</v>
      </c>
      <c r="AJ306" s="202">
        <v>0</v>
      </c>
    </row>
    <row r="307" spans="2:36">
      <c r="B307" s="203">
        <v>2180</v>
      </c>
      <c r="C307" s="207">
        <v>203828</v>
      </c>
      <c r="D307" s="203" t="s">
        <v>97</v>
      </c>
      <c r="E307" s="202" t="s">
        <v>126</v>
      </c>
      <c r="F307" s="203"/>
      <c r="G307" s="202"/>
      <c r="H307" s="202" t="s">
        <v>2754</v>
      </c>
      <c r="I307" s="202"/>
      <c r="J307" s="202">
        <v>2019</v>
      </c>
      <c r="K307" s="202" t="s">
        <v>2290</v>
      </c>
      <c r="L307" s="202" t="s">
        <v>2413</v>
      </c>
      <c r="M307" s="202" t="s">
        <v>1404</v>
      </c>
      <c r="N307" s="206">
        <v>43385</v>
      </c>
      <c r="O307" s="206">
        <v>43385</v>
      </c>
      <c r="P307" s="202" t="s">
        <v>2753</v>
      </c>
      <c r="Q307" s="203">
        <v>1000</v>
      </c>
      <c r="R307" s="203">
        <v>14040</v>
      </c>
      <c r="S307" s="204">
        <v>349200.73</v>
      </c>
      <c r="T307" s="203">
        <v>14046</v>
      </c>
      <c r="U307" s="204">
        <v>128040.26</v>
      </c>
      <c r="V307" s="204">
        <f t="shared" si="16"/>
        <v>221160.46999999997</v>
      </c>
      <c r="W307" s="205">
        <v>14550.03</v>
      </c>
      <c r="X307" s="203">
        <v>51260</v>
      </c>
      <c r="Y307" s="204">
        <v>2910.01</v>
      </c>
      <c r="Z307" s="202" t="s">
        <v>97</v>
      </c>
      <c r="AA307" s="202"/>
      <c r="AB307" s="202">
        <v>9934</v>
      </c>
      <c r="AC307" s="202">
        <v>3683</v>
      </c>
      <c r="AD307" s="202" t="s">
        <v>1152</v>
      </c>
      <c r="AE307" s="202" t="s">
        <v>1153</v>
      </c>
      <c r="AF307" s="203" t="s">
        <v>1154</v>
      </c>
      <c r="AG307" s="202"/>
      <c r="AH307" s="203" t="s">
        <v>1155</v>
      </c>
      <c r="AI307" s="202">
        <v>0</v>
      </c>
      <c r="AJ307" s="202">
        <v>0</v>
      </c>
    </row>
    <row r="308" spans="2:36">
      <c r="B308" s="203">
        <v>2180</v>
      </c>
      <c r="C308" s="207">
        <v>203827</v>
      </c>
      <c r="D308" s="203" t="s">
        <v>97</v>
      </c>
      <c r="E308" s="202" t="s">
        <v>126</v>
      </c>
      <c r="F308" s="203"/>
      <c r="G308" s="202"/>
      <c r="H308" s="202" t="s">
        <v>2752</v>
      </c>
      <c r="I308" s="202"/>
      <c r="J308" s="202">
        <v>2019</v>
      </c>
      <c r="K308" s="202" t="s">
        <v>2290</v>
      </c>
      <c r="L308" s="202" t="s">
        <v>2413</v>
      </c>
      <c r="M308" s="202" t="s">
        <v>1404</v>
      </c>
      <c r="N308" s="206">
        <v>43385</v>
      </c>
      <c r="O308" s="206">
        <v>43385</v>
      </c>
      <c r="P308" s="202" t="s">
        <v>2751</v>
      </c>
      <c r="Q308" s="203">
        <v>1000</v>
      </c>
      <c r="R308" s="203">
        <v>14040</v>
      </c>
      <c r="S308" s="204">
        <v>349200.73</v>
      </c>
      <c r="T308" s="203">
        <v>14046</v>
      </c>
      <c r="U308" s="204">
        <v>128040.26</v>
      </c>
      <c r="V308" s="204">
        <f t="shared" si="16"/>
        <v>221160.46999999997</v>
      </c>
      <c r="W308" s="205">
        <v>14550.03</v>
      </c>
      <c r="X308" s="203">
        <v>51260</v>
      </c>
      <c r="Y308" s="204">
        <v>2910.01</v>
      </c>
      <c r="Z308" s="202" t="s">
        <v>97</v>
      </c>
      <c r="AA308" s="202"/>
      <c r="AB308" s="202">
        <v>9934</v>
      </c>
      <c r="AC308" s="202">
        <v>3682</v>
      </c>
      <c r="AD308" s="202" t="s">
        <v>1152</v>
      </c>
      <c r="AE308" s="202" t="s">
        <v>1153</v>
      </c>
      <c r="AF308" s="203" t="s">
        <v>1154</v>
      </c>
      <c r="AG308" s="202"/>
      <c r="AH308" s="203" t="s">
        <v>1155</v>
      </c>
      <c r="AI308" s="202">
        <v>0</v>
      </c>
      <c r="AJ308" s="202">
        <v>0</v>
      </c>
    </row>
    <row r="309" spans="2:36">
      <c r="B309" s="203">
        <v>2180</v>
      </c>
      <c r="C309" s="207">
        <v>203787</v>
      </c>
      <c r="D309" s="203" t="s">
        <v>97</v>
      </c>
      <c r="E309" s="202" t="s">
        <v>591</v>
      </c>
      <c r="F309" s="203">
        <v>4</v>
      </c>
      <c r="G309" s="202"/>
      <c r="H309" s="202"/>
      <c r="I309" s="202"/>
      <c r="J309" s="202">
        <v>0</v>
      </c>
      <c r="K309" s="202" t="s">
        <v>2318</v>
      </c>
      <c r="L309" s="202"/>
      <c r="M309" s="202" t="s">
        <v>1458</v>
      </c>
      <c r="N309" s="206">
        <v>43365</v>
      </c>
      <c r="O309" s="206">
        <v>43365</v>
      </c>
      <c r="P309" s="202" t="s">
        <v>2742</v>
      </c>
      <c r="Q309" s="203">
        <v>1200</v>
      </c>
      <c r="R309" s="203">
        <v>14050</v>
      </c>
      <c r="S309" s="204">
        <v>25260</v>
      </c>
      <c r="T309" s="203">
        <v>14056</v>
      </c>
      <c r="U309" s="204">
        <v>7718.33</v>
      </c>
      <c r="V309" s="204">
        <f t="shared" si="16"/>
        <v>17541.669999999998</v>
      </c>
      <c r="W309" s="205">
        <v>877.08</v>
      </c>
      <c r="X309" s="203">
        <v>54260</v>
      </c>
      <c r="Y309" s="204">
        <v>175.41</v>
      </c>
      <c r="Z309" s="202" t="s">
        <v>97</v>
      </c>
      <c r="AA309" s="202"/>
      <c r="AB309" s="202">
        <v>37217717</v>
      </c>
      <c r="AC309" s="202"/>
      <c r="AD309" s="202" t="s">
        <v>1152</v>
      </c>
      <c r="AE309" s="202" t="s">
        <v>1153</v>
      </c>
      <c r="AF309" s="203" t="s">
        <v>1154</v>
      </c>
      <c r="AG309" s="202"/>
      <c r="AH309" s="203" t="s">
        <v>1155</v>
      </c>
      <c r="AI309" s="202">
        <v>0</v>
      </c>
      <c r="AJ309" s="202">
        <v>0</v>
      </c>
    </row>
    <row r="310" spans="2:36">
      <c r="B310" s="203">
        <v>2180</v>
      </c>
      <c r="C310" s="207">
        <v>203761</v>
      </c>
      <c r="D310" s="203">
        <v>203123</v>
      </c>
      <c r="E310" s="202" t="s">
        <v>128</v>
      </c>
      <c r="F310" s="203"/>
      <c r="G310" s="202"/>
      <c r="H310" s="202"/>
      <c r="I310" s="202"/>
      <c r="J310" s="202">
        <v>0</v>
      </c>
      <c r="K310" s="202" t="s">
        <v>2744</v>
      </c>
      <c r="L310" s="202"/>
      <c r="M310" s="202" t="s">
        <v>1158</v>
      </c>
      <c r="N310" s="206">
        <v>43373</v>
      </c>
      <c r="O310" s="206">
        <v>43373</v>
      </c>
      <c r="P310" s="202" t="s">
        <v>2748</v>
      </c>
      <c r="Q310" s="203">
        <v>1000</v>
      </c>
      <c r="R310" s="203">
        <v>14040</v>
      </c>
      <c r="S310" s="204">
        <v>628.75</v>
      </c>
      <c r="T310" s="203">
        <v>14046</v>
      </c>
      <c r="U310" s="204">
        <v>230.56</v>
      </c>
      <c r="V310" s="204">
        <f t="shared" si="16"/>
        <v>398.19</v>
      </c>
      <c r="W310" s="205">
        <v>26.2</v>
      </c>
      <c r="X310" s="203">
        <v>51260</v>
      </c>
      <c r="Y310" s="204">
        <v>5.24</v>
      </c>
      <c r="Z310" s="202" t="s">
        <v>97</v>
      </c>
      <c r="AA310" s="202"/>
      <c r="AB310" s="202">
        <v>391</v>
      </c>
      <c r="AC310" s="202"/>
      <c r="AD310" s="202" t="s">
        <v>1152</v>
      </c>
      <c r="AE310" s="202" t="s">
        <v>1153</v>
      </c>
      <c r="AF310" s="203" t="s">
        <v>1154</v>
      </c>
      <c r="AG310" s="202"/>
      <c r="AH310" s="203" t="s">
        <v>1155</v>
      </c>
      <c r="AI310" s="202">
        <v>0</v>
      </c>
      <c r="AJ310" s="202">
        <v>0</v>
      </c>
    </row>
    <row r="311" spans="2:36">
      <c r="B311" s="203">
        <v>2180</v>
      </c>
      <c r="C311" s="207">
        <v>203706</v>
      </c>
      <c r="D311" s="203" t="s">
        <v>97</v>
      </c>
      <c r="E311" s="202" t="s">
        <v>589</v>
      </c>
      <c r="F311" s="203">
        <v>2</v>
      </c>
      <c r="G311" s="202"/>
      <c r="H311" s="202"/>
      <c r="I311" s="202"/>
      <c r="J311" s="202">
        <v>0</v>
      </c>
      <c r="K311" s="202" t="s">
        <v>2750</v>
      </c>
      <c r="L311" s="202"/>
      <c r="M311" s="202" t="s">
        <v>1458</v>
      </c>
      <c r="N311" s="206">
        <v>43327</v>
      </c>
      <c r="O311" s="206">
        <v>43327</v>
      </c>
      <c r="P311" s="202" t="s">
        <v>2742</v>
      </c>
      <c r="Q311" s="203">
        <v>1200</v>
      </c>
      <c r="R311" s="203">
        <v>14050</v>
      </c>
      <c r="S311" s="204">
        <v>12630</v>
      </c>
      <c r="T311" s="203">
        <v>14056</v>
      </c>
      <c r="U311" s="204">
        <v>4034.58</v>
      </c>
      <c r="V311" s="204">
        <f t="shared" si="16"/>
        <v>8595.42</v>
      </c>
      <c r="W311" s="205">
        <v>438.54</v>
      </c>
      <c r="X311" s="203">
        <v>54260</v>
      </c>
      <c r="Y311" s="204">
        <v>87.71</v>
      </c>
      <c r="Z311" s="202" t="s">
        <v>97</v>
      </c>
      <c r="AA311" s="202"/>
      <c r="AB311" s="202">
        <v>37217561</v>
      </c>
      <c r="AC311" s="202"/>
      <c r="AD311" s="202" t="s">
        <v>1152</v>
      </c>
      <c r="AE311" s="202" t="s">
        <v>1153</v>
      </c>
      <c r="AF311" s="203" t="s">
        <v>1154</v>
      </c>
      <c r="AG311" s="202"/>
      <c r="AH311" s="203" t="s">
        <v>1155</v>
      </c>
      <c r="AI311" s="202">
        <v>0</v>
      </c>
      <c r="AJ311" s="202">
        <v>0</v>
      </c>
    </row>
    <row r="312" spans="2:36">
      <c r="B312" s="203">
        <v>2180</v>
      </c>
      <c r="C312" s="207">
        <v>203123</v>
      </c>
      <c r="D312" s="203" t="s">
        <v>97</v>
      </c>
      <c r="E312" s="202" t="s">
        <v>126</v>
      </c>
      <c r="F312" s="203"/>
      <c r="G312" s="202"/>
      <c r="H312" s="202" t="s">
        <v>2749</v>
      </c>
      <c r="I312" s="202"/>
      <c r="J312" s="202">
        <v>2019</v>
      </c>
      <c r="K312" s="202" t="s">
        <v>2290</v>
      </c>
      <c r="L312" s="202" t="s">
        <v>2413</v>
      </c>
      <c r="M312" s="202" t="s">
        <v>1404</v>
      </c>
      <c r="N312" s="206">
        <v>43373</v>
      </c>
      <c r="O312" s="206">
        <v>43373</v>
      </c>
      <c r="P312" s="202" t="s">
        <v>2748</v>
      </c>
      <c r="Q312" s="203">
        <v>1000</v>
      </c>
      <c r="R312" s="203">
        <v>14040</v>
      </c>
      <c r="S312" s="204">
        <v>349277.23</v>
      </c>
      <c r="T312" s="203">
        <v>14046</v>
      </c>
      <c r="U312" s="204">
        <v>128068.31</v>
      </c>
      <c r="V312" s="204">
        <f t="shared" si="16"/>
        <v>221208.91999999998</v>
      </c>
      <c r="W312" s="205">
        <v>14553.22</v>
      </c>
      <c r="X312" s="203">
        <v>51260</v>
      </c>
      <c r="Y312" s="204">
        <v>2910.65</v>
      </c>
      <c r="Z312" s="202" t="s">
        <v>97</v>
      </c>
      <c r="AA312" s="202"/>
      <c r="AB312" s="202">
        <v>24144642</v>
      </c>
      <c r="AC312" s="202">
        <v>3675</v>
      </c>
      <c r="AD312" s="202" t="s">
        <v>1152</v>
      </c>
      <c r="AE312" s="202" t="s">
        <v>1153</v>
      </c>
      <c r="AF312" s="203" t="s">
        <v>1154</v>
      </c>
      <c r="AG312" s="202"/>
      <c r="AH312" s="203" t="s">
        <v>1155</v>
      </c>
      <c r="AI312" s="202">
        <v>0</v>
      </c>
      <c r="AJ312" s="202">
        <v>0</v>
      </c>
    </row>
    <row r="313" spans="2:36">
      <c r="B313" s="203">
        <v>2180</v>
      </c>
      <c r="C313" s="207">
        <v>202943</v>
      </c>
      <c r="D313" s="203" t="s">
        <v>97</v>
      </c>
      <c r="E313" s="202" t="s">
        <v>588</v>
      </c>
      <c r="F313" s="203">
        <v>4</v>
      </c>
      <c r="G313" s="202"/>
      <c r="H313" s="202"/>
      <c r="I313" s="202"/>
      <c r="J313" s="202">
        <v>0</v>
      </c>
      <c r="K313" s="202" t="s">
        <v>2318</v>
      </c>
      <c r="L313" s="202"/>
      <c r="M313" s="202" t="s">
        <v>1458</v>
      </c>
      <c r="N313" s="206">
        <v>43327</v>
      </c>
      <c r="O313" s="206">
        <v>43327</v>
      </c>
      <c r="P313" s="202" t="s">
        <v>2742</v>
      </c>
      <c r="Q313" s="203">
        <v>1200</v>
      </c>
      <c r="R313" s="203">
        <v>14050</v>
      </c>
      <c r="S313" s="204">
        <v>26596</v>
      </c>
      <c r="T313" s="203">
        <v>14056</v>
      </c>
      <c r="U313" s="204">
        <v>8495.93</v>
      </c>
      <c r="V313" s="204">
        <f t="shared" si="16"/>
        <v>18100.07</v>
      </c>
      <c r="W313" s="205">
        <v>923.47</v>
      </c>
      <c r="X313" s="203">
        <v>54260</v>
      </c>
      <c r="Y313" s="204">
        <v>184.69</v>
      </c>
      <c r="Z313" s="202" t="s">
        <v>97</v>
      </c>
      <c r="AA313" s="202"/>
      <c r="AB313" s="202">
        <v>37217590</v>
      </c>
      <c r="AC313" s="202"/>
      <c r="AD313" s="202" t="s">
        <v>1152</v>
      </c>
      <c r="AE313" s="202" t="s">
        <v>1153</v>
      </c>
      <c r="AF313" s="203" t="s">
        <v>1154</v>
      </c>
      <c r="AG313" s="202"/>
      <c r="AH313" s="203" t="s">
        <v>1155</v>
      </c>
      <c r="AI313" s="202">
        <v>0</v>
      </c>
      <c r="AJ313" s="202">
        <v>0</v>
      </c>
    </row>
    <row r="314" spans="2:36">
      <c r="B314" s="203">
        <v>2180</v>
      </c>
      <c r="C314" s="207">
        <v>202810</v>
      </c>
      <c r="D314" s="203" t="s">
        <v>97</v>
      </c>
      <c r="E314" s="202" t="s">
        <v>529</v>
      </c>
      <c r="F314" s="203">
        <v>12</v>
      </c>
      <c r="G314" s="202"/>
      <c r="H314" s="202"/>
      <c r="I314" s="202"/>
      <c r="J314" s="202">
        <v>0</v>
      </c>
      <c r="K314" s="202" t="s">
        <v>2318</v>
      </c>
      <c r="L314" s="202"/>
      <c r="M314" s="202" t="s">
        <v>1456</v>
      </c>
      <c r="N314" s="206">
        <v>43340</v>
      </c>
      <c r="O314" s="206">
        <v>43340</v>
      </c>
      <c r="P314" s="202" t="s">
        <v>2745</v>
      </c>
      <c r="Q314" s="203">
        <v>1200</v>
      </c>
      <c r="R314" s="203">
        <v>14050</v>
      </c>
      <c r="S314" s="204">
        <v>12004.42</v>
      </c>
      <c r="T314" s="203">
        <v>14056</v>
      </c>
      <c r="U314" s="204">
        <v>3751.39</v>
      </c>
      <c r="V314" s="204">
        <f t="shared" si="16"/>
        <v>8253.0300000000007</v>
      </c>
      <c r="W314" s="205">
        <v>416.82</v>
      </c>
      <c r="X314" s="203">
        <v>54260</v>
      </c>
      <c r="Y314" s="204">
        <v>83.36</v>
      </c>
      <c r="Z314" s="202" t="s">
        <v>97</v>
      </c>
      <c r="AA314" s="202"/>
      <c r="AB314" s="202">
        <v>37217583</v>
      </c>
      <c r="AC314" s="202"/>
      <c r="AD314" s="202" t="s">
        <v>1152</v>
      </c>
      <c r="AE314" s="202" t="s">
        <v>1153</v>
      </c>
      <c r="AF314" s="203" t="s">
        <v>1154</v>
      </c>
      <c r="AG314" s="202"/>
      <c r="AH314" s="203" t="s">
        <v>1155</v>
      </c>
      <c r="AI314" s="202">
        <v>0</v>
      </c>
      <c r="AJ314" s="202">
        <v>0</v>
      </c>
    </row>
    <row r="315" spans="2:36">
      <c r="B315" s="203">
        <v>2180</v>
      </c>
      <c r="C315" s="207">
        <v>202809</v>
      </c>
      <c r="D315" s="203" t="s">
        <v>97</v>
      </c>
      <c r="E315" s="202" t="s">
        <v>492</v>
      </c>
      <c r="F315" s="203">
        <v>24</v>
      </c>
      <c r="G315" s="202"/>
      <c r="H315" s="202"/>
      <c r="I315" s="202"/>
      <c r="J315" s="202">
        <v>0</v>
      </c>
      <c r="K315" s="202" t="s">
        <v>2318</v>
      </c>
      <c r="L315" s="202"/>
      <c r="M315" s="202" t="s">
        <v>1421</v>
      </c>
      <c r="N315" s="206">
        <v>43347</v>
      </c>
      <c r="O315" s="206">
        <v>43347</v>
      </c>
      <c r="P315" s="202" t="s">
        <v>2747</v>
      </c>
      <c r="Q315" s="203">
        <v>1200</v>
      </c>
      <c r="R315" s="203">
        <v>14050</v>
      </c>
      <c r="S315" s="204">
        <v>16328.33</v>
      </c>
      <c r="T315" s="203">
        <v>14056</v>
      </c>
      <c r="U315" s="204">
        <v>5102.63</v>
      </c>
      <c r="V315" s="204">
        <f t="shared" si="16"/>
        <v>11225.7</v>
      </c>
      <c r="W315" s="205">
        <v>566.96</v>
      </c>
      <c r="X315" s="203">
        <v>54260</v>
      </c>
      <c r="Y315" s="204">
        <v>113.39</v>
      </c>
      <c r="Z315" s="202" t="s">
        <v>97</v>
      </c>
      <c r="AA315" s="202"/>
      <c r="AB315" s="202">
        <v>37217617</v>
      </c>
      <c r="AC315" s="202"/>
      <c r="AD315" s="202" t="s">
        <v>1152</v>
      </c>
      <c r="AE315" s="202" t="s">
        <v>1153</v>
      </c>
      <c r="AF315" s="203" t="s">
        <v>1154</v>
      </c>
      <c r="AG315" s="202"/>
      <c r="AH315" s="203" t="s">
        <v>1155</v>
      </c>
      <c r="AI315" s="202">
        <v>0</v>
      </c>
      <c r="AJ315" s="202">
        <v>0</v>
      </c>
    </row>
    <row r="316" spans="2:36">
      <c r="B316" s="203">
        <v>2180</v>
      </c>
      <c r="C316" s="207">
        <v>202808</v>
      </c>
      <c r="D316" s="203" t="s">
        <v>97</v>
      </c>
      <c r="E316" s="202" t="s">
        <v>590</v>
      </c>
      <c r="F316" s="203">
        <v>2</v>
      </c>
      <c r="G316" s="202"/>
      <c r="H316" s="202"/>
      <c r="I316" s="202"/>
      <c r="J316" s="202">
        <v>0</v>
      </c>
      <c r="K316" s="202" t="s">
        <v>2318</v>
      </c>
      <c r="L316" s="202"/>
      <c r="M316" s="202" t="s">
        <v>1454</v>
      </c>
      <c r="N316" s="206">
        <v>43340</v>
      </c>
      <c r="O316" s="206">
        <v>43340</v>
      </c>
      <c r="P316" s="202" t="s">
        <v>2746</v>
      </c>
      <c r="Q316" s="203">
        <v>1200</v>
      </c>
      <c r="R316" s="203">
        <v>14050</v>
      </c>
      <c r="S316" s="204">
        <v>13966</v>
      </c>
      <c r="T316" s="203">
        <v>14056</v>
      </c>
      <c r="U316" s="204">
        <v>4364.37</v>
      </c>
      <c r="V316" s="204">
        <f t="shared" si="16"/>
        <v>9601.630000000001</v>
      </c>
      <c r="W316" s="205">
        <v>484.93</v>
      </c>
      <c r="X316" s="203">
        <v>54260</v>
      </c>
      <c r="Y316" s="204">
        <v>96.99</v>
      </c>
      <c r="Z316" s="202" t="s">
        <v>97</v>
      </c>
      <c r="AA316" s="202"/>
      <c r="AB316" s="202">
        <v>37217581</v>
      </c>
      <c r="AC316" s="202"/>
      <c r="AD316" s="202" t="s">
        <v>1152</v>
      </c>
      <c r="AE316" s="202" t="s">
        <v>1153</v>
      </c>
      <c r="AF316" s="203" t="s">
        <v>1154</v>
      </c>
      <c r="AG316" s="202"/>
      <c r="AH316" s="203" t="s">
        <v>1155</v>
      </c>
      <c r="AI316" s="202">
        <v>0</v>
      </c>
      <c r="AJ316" s="202">
        <v>0</v>
      </c>
    </row>
    <row r="317" spans="2:36">
      <c r="B317" s="203">
        <v>2180</v>
      </c>
      <c r="C317" s="207">
        <v>202807</v>
      </c>
      <c r="D317" s="203" t="s">
        <v>97</v>
      </c>
      <c r="E317" s="202" t="s">
        <v>527</v>
      </c>
      <c r="F317" s="203">
        <v>12</v>
      </c>
      <c r="G317" s="202"/>
      <c r="H317" s="202"/>
      <c r="I317" s="202"/>
      <c r="J317" s="202">
        <v>0</v>
      </c>
      <c r="K317" s="202" t="s">
        <v>2318</v>
      </c>
      <c r="L317" s="202"/>
      <c r="M317" s="202" t="s">
        <v>1456</v>
      </c>
      <c r="N317" s="206">
        <v>43340</v>
      </c>
      <c r="O317" s="206">
        <v>43340</v>
      </c>
      <c r="P317" s="202" t="s">
        <v>2745</v>
      </c>
      <c r="Q317" s="203">
        <v>1200</v>
      </c>
      <c r="R317" s="203">
        <v>14050</v>
      </c>
      <c r="S317" s="204">
        <v>12004.42</v>
      </c>
      <c r="T317" s="203">
        <v>14056</v>
      </c>
      <c r="U317" s="204">
        <v>3751.39</v>
      </c>
      <c r="V317" s="204">
        <f t="shared" si="16"/>
        <v>8253.0300000000007</v>
      </c>
      <c r="W317" s="205">
        <v>416.82</v>
      </c>
      <c r="X317" s="203">
        <v>54260</v>
      </c>
      <c r="Y317" s="204">
        <v>83.36</v>
      </c>
      <c r="Z317" s="202" t="s">
        <v>97</v>
      </c>
      <c r="AA317" s="202"/>
      <c r="AB317" s="202">
        <v>37217565</v>
      </c>
      <c r="AC317" s="202"/>
      <c r="AD317" s="202" t="s">
        <v>1152</v>
      </c>
      <c r="AE317" s="202" t="s">
        <v>1153</v>
      </c>
      <c r="AF317" s="203" t="s">
        <v>1154</v>
      </c>
      <c r="AG317" s="202"/>
      <c r="AH317" s="203" t="s">
        <v>1155</v>
      </c>
      <c r="AI317" s="202">
        <v>0</v>
      </c>
      <c r="AJ317" s="202">
        <v>0</v>
      </c>
    </row>
    <row r="318" spans="2:36">
      <c r="B318" s="203">
        <v>2180</v>
      </c>
      <c r="C318" s="207">
        <v>202804</v>
      </c>
      <c r="D318" s="203">
        <v>202089</v>
      </c>
      <c r="E318" s="202" t="s">
        <v>127</v>
      </c>
      <c r="F318" s="203"/>
      <c r="G318" s="202"/>
      <c r="H318" s="202"/>
      <c r="I318" s="202"/>
      <c r="J318" s="202">
        <v>0</v>
      </c>
      <c r="K318" s="202" t="s">
        <v>2744</v>
      </c>
      <c r="L318" s="202"/>
      <c r="M318" s="202" t="s">
        <v>1158</v>
      </c>
      <c r="N318" s="206">
        <v>43343</v>
      </c>
      <c r="O318" s="206">
        <v>43343</v>
      </c>
      <c r="P318" s="202" t="s">
        <v>2737</v>
      </c>
      <c r="Q318" s="203">
        <v>1000</v>
      </c>
      <c r="R318" s="203">
        <v>14040</v>
      </c>
      <c r="S318" s="204">
        <v>628.75</v>
      </c>
      <c r="T318" s="203">
        <v>14046</v>
      </c>
      <c r="U318" s="204">
        <v>235.8</v>
      </c>
      <c r="V318" s="204">
        <f t="shared" si="16"/>
        <v>392.95</v>
      </c>
      <c r="W318" s="205">
        <v>26.2</v>
      </c>
      <c r="X318" s="203">
        <v>51260</v>
      </c>
      <c r="Y318" s="204">
        <v>5.24</v>
      </c>
      <c r="Z318" s="202" t="s">
        <v>97</v>
      </c>
      <c r="AA318" s="202"/>
      <c r="AB318" s="202">
        <v>382</v>
      </c>
      <c r="AC318" s="202"/>
      <c r="AD318" s="202" t="s">
        <v>1152</v>
      </c>
      <c r="AE318" s="202" t="s">
        <v>1153</v>
      </c>
      <c r="AF318" s="203" t="s">
        <v>1154</v>
      </c>
      <c r="AG318" s="202"/>
      <c r="AH318" s="203" t="s">
        <v>1155</v>
      </c>
      <c r="AI318" s="202">
        <v>0</v>
      </c>
      <c r="AJ318" s="202">
        <v>0</v>
      </c>
    </row>
    <row r="319" spans="2:36">
      <c r="B319" s="203">
        <v>2180</v>
      </c>
      <c r="C319" s="207">
        <v>202768</v>
      </c>
      <c r="D319" s="203">
        <v>202088</v>
      </c>
      <c r="E319" s="202" t="s">
        <v>131</v>
      </c>
      <c r="F319" s="203"/>
      <c r="G319" s="202"/>
      <c r="H319" s="202"/>
      <c r="I319" s="202"/>
      <c r="J319" s="202">
        <v>0</v>
      </c>
      <c r="K319" s="202"/>
      <c r="L319" s="202"/>
      <c r="M319" s="202" t="s">
        <v>1447</v>
      </c>
      <c r="N319" s="206">
        <v>43343</v>
      </c>
      <c r="O319" s="206">
        <v>43343</v>
      </c>
      <c r="P319" s="202" t="s">
        <v>2735</v>
      </c>
      <c r="Q319" s="203">
        <v>1000</v>
      </c>
      <c r="R319" s="203">
        <v>14040</v>
      </c>
      <c r="S319" s="204">
        <v>628.75</v>
      </c>
      <c r="T319" s="203">
        <v>14046</v>
      </c>
      <c r="U319" s="204">
        <v>235.8</v>
      </c>
      <c r="V319" s="204">
        <f t="shared" si="16"/>
        <v>392.95</v>
      </c>
      <c r="W319" s="205">
        <v>26.2</v>
      </c>
      <c r="X319" s="203">
        <v>51260</v>
      </c>
      <c r="Y319" s="204">
        <v>5.24</v>
      </c>
      <c r="Z319" s="202" t="s">
        <v>97</v>
      </c>
      <c r="AA319" s="202"/>
      <c r="AB319" s="202" t="s">
        <v>2743</v>
      </c>
      <c r="AC319" s="202"/>
      <c r="AD319" s="202" t="s">
        <v>1152</v>
      </c>
      <c r="AE319" s="202" t="s">
        <v>1153</v>
      </c>
      <c r="AF319" s="203" t="s">
        <v>1154</v>
      </c>
      <c r="AG319" s="202"/>
      <c r="AH319" s="203" t="s">
        <v>1155</v>
      </c>
      <c r="AI319" s="202">
        <v>0</v>
      </c>
      <c r="AJ319" s="202">
        <v>0</v>
      </c>
    </row>
    <row r="320" spans="2:36">
      <c r="B320" s="203">
        <v>2180</v>
      </c>
      <c r="C320" s="207">
        <v>202767</v>
      </c>
      <c r="D320" s="203">
        <v>202087</v>
      </c>
      <c r="E320" s="202" t="s">
        <v>131</v>
      </c>
      <c r="F320" s="203"/>
      <c r="G320" s="202"/>
      <c r="H320" s="202"/>
      <c r="I320" s="202"/>
      <c r="J320" s="202">
        <v>0</v>
      </c>
      <c r="K320" s="202"/>
      <c r="L320" s="202"/>
      <c r="M320" s="202" t="s">
        <v>1447</v>
      </c>
      <c r="N320" s="206">
        <v>43343</v>
      </c>
      <c r="O320" s="206">
        <v>43343</v>
      </c>
      <c r="P320" s="202" t="s">
        <v>2733</v>
      </c>
      <c r="Q320" s="203">
        <v>1000</v>
      </c>
      <c r="R320" s="203">
        <v>14040</v>
      </c>
      <c r="S320" s="204">
        <v>628.75</v>
      </c>
      <c r="T320" s="203">
        <v>14046</v>
      </c>
      <c r="U320" s="204">
        <v>235.8</v>
      </c>
      <c r="V320" s="204">
        <f t="shared" si="16"/>
        <v>392.95</v>
      </c>
      <c r="W320" s="205">
        <v>26.2</v>
      </c>
      <c r="X320" s="203">
        <v>51260</v>
      </c>
      <c r="Y320" s="204">
        <v>5.24</v>
      </c>
      <c r="Z320" s="202" t="s">
        <v>97</v>
      </c>
      <c r="AA320" s="202"/>
      <c r="AB320" s="202" t="s">
        <v>2743</v>
      </c>
      <c r="AC320" s="202"/>
      <c r="AD320" s="202" t="s">
        <v>1152</v>
      </c>
      <c r="AE320" s="202" t="s">
        <v>1153</v>
      </c>
      <c r="AF320" s="203" t="s">
        <v>1154</v>
      </c>
      <c r="AG320" s="202"/>
      <c r="AH320" s="203" t="s">
        <v>1155</v>
      </c>
      <c r="AI320" s="202">
        <v>0</v>
      </c>
      <c r="AJ320" s="202">
        <v>0</v>
      </c>
    </row>
    <row r="321" spans="2:36">
      <c r="B321" s="203">
        <v>2180</v>
      </c>
      <c r="C321" s="207">
        <v>202732</v>
      </c>
      <c r="D321" s="203" t="s">
        <v>97</v>
      </c>
      <c r="E321" s="202" t="s">
        <v>588</v>
      </c>
      <c r="F321" s="203">
        <v>2</v>
      </c>
      <c r="G321" s="202"/>
      <c r="H321" s="202"/>
      <c r="I321" s="202"/>
      <c r="J321" s="202">
        <v>0</v>
      </c>
      <c r="K321" s="202" t="s">
        <v>2318</v>
      </c>
      <c r="L321" s="202"/>
      <c r="M321" s="202" t="s">
        <v>1458</v>
      </c>
      <c r="N321" s="206">
        <v>43327</v>
      </c>
      <c r="O321" s="206">
        <v>43327</v>
      </c>
      <c r="P321" s="202" t="s">
        <v>2742</v>
      </c>
      <c r="Q321" s="203">
        <v>1200</v>
      </c>
      <c r="R321" s="203">
        <v>14050</v>
      </c>
      <c r="S321" s="204">
        <v>12630</v>
      </c>
      <c r="T321" s="203">
        <v>14056</v>
      </c>
      <c r="U321" s="204">
        <v>4034.58</v>
      </c>
      <c r="V321" s="204">
        <f t="shared" si="16"/>
        <v>8595.42</v>
      </c>
      <c r="W321" s="205">
        <v>438.54</v>
      </c>
      <c r="X321" s="203">
        <v>54260</v>
      </c>
      <c r="Y321" s="204">
        <v>87.71</v>
      </c>
      <c r="Z321" s="202" t="s">
        <v>97</v>
      </c>
      <c r="AA321" s="202"/>
      <c r="AB321" s="202">
        <v>37217438</v>
      </c>
      <c r="AC321" s="202"/>
      <c r="AD321" s="202" t="s">
        <v>1152</v>
      </c>
      <c r="AE321" s="202" t="s">
        <v>1153</v>
      </c>
      <c r="AF321" s="203" t="s">
        <v>1154</v>
      </c>
      <c r="AG321" s="202"/>
      <c r="AH321" s="203" t="s">
        <v>1155</v>
      </c>
      <c r="AI321" s="202">
        <v>0</v>
      </c>
      <c r="AJ321" s="202">
        <v>0</v>
      </c>
    </row>
    <row r="322" spans="2:36">
      <c r="B322" s="203">
        <v>2180</v>
      </c>
      <c r="C322" s="207">
        <v>202731</v>
      </c>
      <c r="D322" s="203" t="s">
        <v>97</v>
      </c>
      <c r="E322" s="202" t="s">
        <v>2741</v>
      </c>
      <c r="F322" s="203">
        <v>24</v>
      </c>
      <c r="G322" s="202"/>
      <c r="H322" s="202"/>
      <c r="I322" s="202"/>
      <c r="J322" s="202">
        <v>0</v>
      </c>
      <c r="K322" s="202" t="s">
        <v>2318</v>
      </c>
      <c r="L322" s="202"/>
      <c r="M322" s="202" t="s">
        <v>1464</v>
      </c>
      <c r="N322" s="206">
        <v>43217</v>
      </c>
      <c r="O322" s="206">
        <v>43217</v>
      </c>
      <c r="P322" s="202" t="s">
        <v>2740</v>
      </c>
      <c r="Q322" s="203">
        <v>1200</v>
      </c>
      <c r="R322" s="203">
        <v>14050</v>
      </c>
      <c r="S322" s="204">
        <v>16555.669999999998</v>
      </c>
      <c r="T322" s="203">
        <v>14056</v>
      </c>
      <c r="U322" s="204">
        <v>5633.53</v>
      </c>
      <c r="V322" s="204">
        <f t="shared" si="16"/>
        <v>10922.14</v>
      </c>
      <c r="W322" s="205">
        <v>574.85</v>
      </c>
      <c r="X322" s="203">
        <v>54260</v>
      </c>
      <c r="Y322" s="204">
        <v>114.97</v>
      </c>
      <c r="Z322" s="202" t="s">
        <v>97</v>
      </c>
      <c r="AA322" s="202"/>
      <c r="AB322" s="202">
        <v>37217545</v>
      </c>
      <c r="AC322" s="202"/>
      <c r="AD322" s="202" t="s">
        <v>1152</v>
      </c>
      <c r="AE322" s="202" t="s">
        <v>1153</v>
      </c>
      <c r="AF322" s="203" t="s">
        <v>1154</v>
      </c>
      <c r="AG322" s="202"/>
      <c r="AH322" s="203" t="s">
        <v>1155</v>
      </c>
      <c r="AI322" s="202">
        <v>0</v>
      </c>
      <c r="AJ322" s="202">
        <v>0</v>
      </c>
    </row>
    <row r="323" spans="2:36">
      <c r="B323" s="203">
        <v>2180</v>
      </c>
      <c r="C323" s="207">
        <v>202663</v>
      </c>
      <c r="D323" s="203">
        <v>197201</v>
      </c>
      <c r="E323" s="202" t="s">
        <v>945</v>
      </c>
      <c r="F323" s="203"/>
      <c r="G323" s="202"/>
      <c r="H323" s="202"/>
      <c r="I323" s="202"/>
      <c r="J323" s="202">
        <v>0</v>
      </c>
      <c r="K323" s="202" t="s">
        <v>2136</v>
      </c>
      <c r="L323" s="202"/>
      <c r="M323" s="202" t="s">
        <v>1158</v>
      </c>
      <c r="N323" s="206">
        <v>43244</v>
      </c>
      <c r="O323" s="206">
        <v>43244</v>
      </c>
      <c r="P323" s="202" t="s">
        <v>2708</v>
      </c>
      <c r="Q323" s="203">
        <v>1000</v>
      </c>
      <c r="R323" s="203">
        <v>14040</v>
      </c>
      <c r="S323" s="204">
        <v>952.44</v>
      </c>
      <c r="T323" s="203">
        <v>14046</v>
      </c>
      <c r="U323" s="204">
        <v>380.96</v>
      </c>
      <c r="V323" s="204">
        <f t="shared" si="16"/>
        <v>571.48</v>
      </c>
      <c r="W323" s="205">
        <v>39.68</v>
      </c>
      <c r="X323" s="203">
        <v>51260</v>
      </c>
      <c r="Y323" s="204">
        <v>7.93</v>
      </c>
      <c r="Z323" s="202" t="s">
        <v>97</v>
      </c>
      <c r="AA323" s="202"/>
      <c r="AB323" s="202">
        <v>2778</v>
      </c>
      <c r="AC323" s="202"/>
      <c r="AD323" s="202" t="s">
        <v>1152</v>
      </c>
      <c r="AE323" s="202" t="s">
        <v>1153</v>
      </c>
      <c r="AF323" s="203" t="s">
        <v>1154</v>
      </c>
      <c r="AG323" s="202"/>
      <c r="AH323" s="203" t="s">
        <v>1155</v>
      </c>
      <c r="AI323" s="202">
        <v>0</v>
      </c>
      <c r="AJ323" s="202">
        <v>0</v>
      </c>
    </row>
    <row r="324" spans="2:36">
      <c r="B324" s="203">
        <v>2180</v>
      </c>
      <c r="C324" s="207">
        <v>202238</v>
      </c>
      <c r="D324" s="203" t="s">
        <v>97</v>
      </c>
      <c r="E324" s="202" t="s">
        <v>697</v>
      </c>
      <c r="F324" s="203">
        <v>624</v>
      </c>
      <c r="G324" s="202"/>
      <c r="H324" s="202"/>
      <c r="I324" s="202"/>
      <c r="J324" s="202">
        <v>0</v>
      </c>
      <c r="K324" s="202" t="s">
        <v>2502</v>
      </c>
      <c r="L324" s="202"/>
      <c r="M324" s="202"/>
      <c r="N324" s="206">
        <v>43336</v>
      </c>
      <c r="O324" s="206">
        <v>43336</v>
      </c>
      <c r="P324" s="202" t="s">
        <v>2739</v>
      </c>
      <c r="Q324" s="203">
        <v>700</v>
      </c>
      <c r="R324" s="203">
        <v>14050</v>
      </c>
      <c r="S324" s="204">
        <v>34064.42</v>
      </c>
      <c r="T324" s="203">
        <v>14056</v>
      </c>
      <c r="U324" s="204">
        <v>18248.82</v>
      </c>
      <c r="V324" s="204">
        <f t="shared" si="16"/>
        <v>15815.599999999999</v>
      </c>
      <c r="W324" s="205">
        <v>2027.65</v>
      </c>
      <c r="X324" s="203">
        <v>54260</v>
      </c>
      <c r="Y324" s="204">
        <v>405.53</v>
      </c>
      <c r="Z324" s="202" t="s">
        <v>97</v>
      </c>
      <c r="AA324" s="202"/>
      <c r="AB324" s="202">
        <v>65549814</v>
      </c>
      <c r="AC324" s="202"/>
      <c r="AD324" s="202" t="s">
        <v>1152</v>
      </c>
      <c r="AE324" s="202" t="s">
        <v>1153</v>
      </c>
      <c r="AF324" s="203" t="s">
        <v>1154</v>
      </c>
      <c r="AG324" s="202"/>
      <c r="AH324" s="203" t="s">
        <v>1155</v>
      </c>
      <c r="AI324" s="202">
        <v>0</v>
      </c>
      <c r="AJ324" s="202">
        <v>0</v>
      </c>
    </row>
    <row r="325" spans="2:36">
      <c r="B325" s="203">
        <v>2180</v>
      </c>
      <c r="C325" s="207">
        <v>202237</v>
      </c>
      <c r="D325" s="203" t="s">
        <v>97</v>
      </c>
      <c r="E325" s="202" t="s">
        <v>697</v>
      </c>
      <c r="F325" s="203">
        <v>624</v>
      </c>
      <c r="G325" s="202"/>
      <c r="H325" s="202"/>
      <c r="I325" s="202"/>
      <c r="J325" s="202">
        <v>0</v>
      </c>
      <c r="K325" s="202" t="s">
        <v>2502</v>
      </c>
      <c r="L325" s="202"/>
      <c r="M325" s="202"/>
      <c r="N325" s="206">
        <v>43336</v>
      </c>
      <c r="O325" s="206">
        <v>43336</v>
      </c>
      <c r="P325" s="202" t="s">
        <v>2739</v>
      </c>
      <c r="Q325" s="203">
        <v>700</v>
      </c>
      <c r="R325" s="203">
        <v>14050</v>
      </c>
      <c r="S325" s="204">
        <v>34064.42</v>
      </c>
      <c r="T325" s="203">
        <v>14056</v>
      </c>
      <c r="U325" s="204">
        <v>18248.82</v>
      </c>
      <c r="V325" s="204">
        <f t="shared" si="16"/>
        <v>15815.599999999999</v>
      </c>
      <c r="W325" s="205">
        <v>2027.65</v>
      </c>
      <c r="X325" s="203">
        <v>54260</v>
      </c>
      <c r="Y325" s="204">
        <v>405.53</v>
      </c>
      <c r="Z325" s="202" t="s">
        <v>97</v>
      </c>
      <c r="AA325" s="202"/>
      <c r="AB325" s="202">
        <v>65549834</v>
      </c>
      <c r="AC325" s="202"/>
      <c r="AD325" s="202" t="s">
        <v>1152</v>
      </c>
      <c r="AE325" s="202" t="s">
        <v>1153</v>
      </c>
      <c r="AF325" s="203" t="s">
        <v>1154</v>
      </c>
      <c r="AG325" s="202"/>
      <c r="AH325" s="203" t="s">
        <v>1155</v>
      </c>
      <c r="AI325" s="202">
        <v>0</v>
      </c>
      <c r="AJ325" s="202">
        <v>0</v>
      </c>
    </row>
    <row r="326" spans="2:36">
      <c r="B326" s="203">
        <v>2180</v>
      </c>
      <c r="C326" s="207">
        <v>202089</v>
      </c>
      <c r="D326" s="203" t="s">
        <v>97</v>
      </c>
      <c r="E326" s="202" t="s">
        <v>126</v>
      </c>
      <c r="F326" s="203"/>
      <c r="G326" s="202"/>
      <c r="H326" s="202" t="s">
        <v>2738</v>
      </c>
      <c r="I326" s="202"/>
      <c r="J326" s="202">
        <v>2019</v>
      </c>
      <c r="K326" s="202" t="s">
        <v>2290</v>
      </c>
      <c r="L326" s="202" t="s">
        <v>2413</v>
      </c>
      <c r="M326" s="202" t="s">
        <v>1404</v>
      </c>
      <c r="N326" s="206">
        <v>43343</v>
      </c>
      <c r="O326" s="206">
        <v>43343</v>
      </c>
      <c r="P326" s="202" t="s">
        <v>2737</v>
      </c>
      <c r="Q326" s="203">
        <v>1000</v>
      </c>
      <c r="R326" s="203">
        <v>14040</v>
      </c>
      <c r="S326" s="204">
        <v>349200.73</v>
      </c>
      <c r="T326" s="203">
        <v>14046</v>
      </c>
      <c r="U326" s="204">
        <v>130950.27</v>
      </c>
      <c r="V326" s="204">
        <f t="shared" si="16"/>
        <v>218250.45999999996</v>
      </c>
      <c r="W326" s="205">
        <v>14550.03</v>
      </c>
      <c r="X326" s="203">
        <v>51260</v>
      </c>
      <c r="Y326" s="204">
        <v>2910.01</v>
      </c>
      <c r="Z326" s="202" t="s">
        <v>97</v>
      </c>
      <c r="AA326" s="202"/>
      <c r="AB326" s="202">
        <v>9476</v>
      </c>
      <c r="AC326" s="202">
        <v>3680</v>
      </c>
      <c r="AD326" s="202" t="s">
        <v>1152</v>
      </c>
      <c r="AE326" s="202" t="s">
        <v>1153</v>
      </c>
      <c r="AF326" s="203" t="s">
        <v>1154</v>
      </c>
      <c r="AG326" s="202"/>
      <c r="AH326" s="203" t="s">
        <v>1155</v>
      </c>
      <c r="AI326" s="202">
        <v>0</v>
      </c>
      <c r="AJ326" s="202">
        <v>0</v>
      </c>
    </row>
    <row r="327" spans="2:36">
      <c r="B327" s="203">
        <v>2180</v>
      </c>
      <c r="C327" s="207">
        <v>202088</v>
      </c>
      <c r="D327" s="203" t="s">
        <v>97</v>
      </c>
      <c r="E327" s="202" t="s">
        <v>126</v>
      </c>
      <c r="F327" s="203"/>
      <c r="G327" s="202"/>
      <c r="H327" s="202" t="s">
        <v>2736</v>
      </c>
      <c r="I327" s="202"/>
      <c r="J327" s="202">
        <v>2019</v>
      </c>
      <c r="K327" s="202" t="s">
        <v>2290</v>
      </c>
      <c r="L327" s="202" t="s">
        <v>2413</v>
      </c>
      <c r="M327" s="202" t="s">
        <v>1404</v>
      </c>
      <c r="N327" s="206">
        <v>43343</v>
      </c>
      <c r="O327" s="206">
        <v>43343</v>
      </c>
      <c r="P327" s="202" t="s">
        <v>2735</v>
      </c>
      <c r="Q327" s="203">
        <v>1000</v>
      </c>
      <c r="R327" s="203">
        <v>14040</v>
      </c>
      <c r="S327" s="204">
        <v>349200.72</v>
      </c>
      <c r="T327" s="203">
        <v>14046</v>
      </c>
      <c r="U327" s="204">
        <v>130950.26</v>
      </c>
      <c r="V327" s="204">
        <f t="shared" si="16"/>
        <v>218250.45999999996</v>
      </c>
      <c r="W327" s="205">
        <v>14550.03</v>
      </c>
      <c r="X327" s="203">
        <v>51260</v>
      </c>
      <c r="Y327" s="204">
        <v>2910.01</v>
      </c>
      <c r="Z327" s="202" t="s">
        <v>97</v>
      </c>
      <c r="AA327" s="202"/>
      <c r="AB327" s="202">
        <v>9476</v>
      </c>
      <c r="AC327" s="202">
        <v>3679</v>
      </c>
      <c r="AD327" s="202" t="s">
        <v>1152</v>
      </c>
      <c r="AE327" s="202" t="s">
        <v>1153</v>
      </c>
      <c r="AF327" s="203" t="s">
        <v>1154</v>
      </c>
      <c r="AG327" s="202"/>
      <c r="AH327" s="203" t="s">
        <v>1155</v>
      </c>
      <c r="AI327" s="202">
        <v>0</v>
      </c>
      <c r="AJ327" s="202">
        <v>0</v>
      </c>
    </row>
    <row r="328" spans="2:36">
      <c r="B328" s="203">
        <v>2180</v>
      </c>
      <c r="C328" s="207">
        <v>202087</v>
      </c>
      <c r="D328" s="203" t="s">
        <v>97</v>
      </c>
      <c r="E328" s="202" t="s">
        <v>126</v>
      </c>
      <c r="F328" s="203"/>
      <c r="G328" s="202"/>
      <c r="H328" s="202" t="s">
        <v>2734</v>
      </c>
      <c r="I328" s="202"/>
      <c r="J328" s="202">
        <v>2019</v>
      </c>
      <c r="K328" s="202" t="s">
        <v>2290</v>
      </c>
      <c r="L328" s="202" t="s">
        <v>2413</v>
      </c>
      <c r="M328" s="202" t="s">
        <v>1404</v>
      </c>
      <c r="N328" s="206">
        <v>43343</v>
      </c>
      <c r="O328" s="206">
        <v>43343</v>
      </c>
      <c r="P328" s="202" t="s">
        <v>2733</v>
      </c>
      <c r="Q328" s="203">
        <v>1000</v>
      </c>
      <c r="R328" s="203">
        <v>14040</v>
      </c>
      <c r="S328" s="204">
        <v>349200.73</v>
      </c>
      <c r="T328" s="203">
        <v>14046</v>
      </c>
      <c r="U328" s="204">
        <v>130950.27</v>
      </c>
      <c r="V328" s="204">
        <f t="shared" si="16"/>
        <v>218250.45999999996</v>
      </c>
      <c r="W328" s="205">
        <v>14550.03</v>
      </c>
      <c r="X328" s="203">
        <v>51260</v>
      </c>
      <c r="Y328" s="204">
        <v>2910.01</v>
      </c>
      <c r="Z328" s="202" t="s">
        <v>97</v>
      </c>
      <c r="AA328" s="202"/>
      <c r="AB328" s="202">
        <v>9476</v>
      </c>
      <c r="AC328" s="202">
        <v>3678</v>
      </c>
      <c r="AD328" s="202" t="s">
        <v>1152</v>
      </c>
      <c r="AE328" s="202" t="s">
        <v>1153</v>
      </c>
      <c r="AF328" s="203" t="s">
        <v>1154</v>
      </c>
      <c r="AG328" s="202"/>
      <c r="AH328" s="203" t="s">
        <v>1155</v>
      </c>
      <c r="AI328" s="202">
        <v>0</v>
      </c>
      <c r="AJ328" s="202">
        <v>0</v>
      </c>
    </row>
    <row r="329" spans="2:36">
      <c r="B329" s="203">
        <v>2180</v>
      </c>
      <c r="C329" s="207">
        <v>202086</v>
      </c>
      <c r="D329" s="203" t="s">
        <v>97</v>
      </c>
      <c r="E329" s="202" t="s">
        <v>126</v>
      </c>
      <c r="F329" s="203"/>
      <c r="G329" s="202"/>
      <c r="H329" s="202" t="s">
        <v>2732</v>
      </c>
      <c r="I329" s="202"/>
      <c r="J329" s="202">
        <v>2019</v>
      </c>
      <c r="K329" s="202" t="s">
        <v>2290</v>
      </c>
      <c r="L329" s="202" t="s">
        <v>2413</v>
      </c>
      <c r="M329" s="202" t="s">
        <v>1404</v>
      </c>
      <c r="N329" s="206">
        <v>43343</v>
      </c>
      <c r="O329" s="206">
        <v>43343</v>
      </c>
      <c r="P329" s="202" t="s">
        <v>2731</v>
      </c>
      <c r="Q329" s="203">
        <v>1000</v>
      </c>
      <c r="R329" s="203">
        <v>14040</v>
      </c>
      <c r="S329" s="204">
        <v>349260.85</v>
      </c>
      <c r="T329" s="203">
        <v>14046</v>
      </c>
      <c r="U329" s="204">
        <v>130972.84</v>
      </c>
      <c r="V329" s="204">
        <f t="shared" si="16"/>
        <v>218288.00999999998</v>
      </c>
      <c r="W329" s="205">
        <v>14552.54</v>
      </c>
      <c r="X329" s="203">
        <v>51260</v>
      </c>
      <c r="Y329" s="204">
        <v>2910.51</v>
      </c>
      <c r="Z329" s="202" t="s">
        <v>97</v>
      </c>
      <c r="AA329" s="202"/>
      <c r="AB329" s="202">
        <v>9476</v>
      </c>
      <c r="AC329" s="202">
        <v>3676</v>
      </c>
      <c r="AD329" s="202" t="s">
        <v>1152</v>
      </c>
      <c r="AE329" s="202" t="s">
        <v>1153</v>
      </c>
      <c r="AF329" s="203" t="s">
        <v>1154</v>
      </c>
      <c r="AG329" s="202"/>
      <c r="AH329" s="203" t="s">
        <v>1155</v>
      </c>
      <c r="AI329" s="202">
        <v>0</v>
      </c>
      <c r="AJ329" s="202">
        <v>0</v>
      </c>
    </row>
    <row r="330" spans="2:36">
      <c r="B330" s="203">
        <v>2180</v>
      </c>
      <c r="C330" s="207">
        <v>201090</v>
      </c>
      <c r="D330" s="203">
        <v>197201</v>
      </c>
      <c r="E330" s="202" t="s">
        <v>943</v>
      </c>
      <c r="F330" s="203"/>
      <c r="G330" s="202"/>
      <c r="H330" s="202"/>
      <c r="I330" s="202"/>
      <c r="J330" s="202">
        <v>0</v>
      </c>
      <c r="K330" s="202" t="s">
        <v>2730</v>
      </c>
      <c r="L330" s="202"/>
      <c r="M330" s="202" t="s">
        <v>1158</v>
      </c>
      <c r="N330" s="206">
        <v>43244</v>
      </c>
      <c r="O330" s="206">
        <v>43244</v>
      </c>
      <c r="P330" s="202" t="s">
        <v>2708</v>
      </c>
      <c r="Q330" s="203">
        <v>1000</v>
      </c>
      <c r="R330" s="203">
        <v>14040</v>
      </c>
      <c r="S330" s="204">
        <v>-424</v>
      </c>
      <c r="T330" s="203">
        <v>14046</v>
      </c>
      <c r="U330" s="204">
        <v>-169.6</v>
      </c>
      <c r="V330" s="204">
        <f t="shared" si="16"/>
        <v>-254.4</v>
      </c>
      <c r="W330" s="205">
        <v>-17.670000000000002</v>
      </c>
      <c r="X330" s="203">
        <v>51260</v>
      </c>
      <c r="Y330" s="204">
        <v>-3.54</v>
      </c>
      <c r="Z330" s="202" t="s">
        <v>97</v>
      </c>
      <c r="AA330" s="202"/>
      <c r="AB330" s="202">
        <v>174101</v>
      </c>
      <c r="AC330" s="202"/>
      <c r="AD330" s="202" t="s">
        <v>1152</v>
      </c>
      <c r="AE330" s="202" t="s">
        <v>1153</v>
      </c>
      <c r="AF330" s="203" t="s">
        <v>1154</v>
      </c>
      <c r="AG330" s="202"/>
      <c r="AH330" s="203" t="s">
        <v>1155</v>
      </c>
      <c r="AI330" s="202">
        <v>0</v>
      </c>
      <c r="AJ330" s="202">
        <v>0</v>
      </c>
    </row>
    <row r="331" spans="2:36">
      <c r="B331" s="203">
        <v>2180</v>
      </c>
      <c r="C331" s="207">
        <v>200786</v>
      </c>
      <c r="D331" s="203" t="s">
        <v>97</v>
      </c>
      <c r="E331" s="202" t="s">
        <v>166</v>
      </c>
      <c r="F331" s="203"/>
      <c r="G331" s="202"/>
      <c r="H331" s="202" t="s">
        <v>2729</v>
      </c>
      <c r="I331" s="202"/>
      <c r="J331" s="202">
        <v>2019</v>
      </c>
      <c r="K331" s="202" t="s">
        <v>2290</v>
      </c>
      <c r="L331" s="202" t="s">
        <v>1830</v>
      </c>
      <c r="M331" s="202" t="s">
        <v>1824</v>
      </c>
      <c r="N331" s="206">
        <v>43280</v>
      </c>
      <c r="O331" s="206">
        <v>43280</v>
      </c>
      <c r="P331" s="202" t="s">
        <v>2728</v>
      </c>
      <c r="Q331" s="203">
        <v>1000</v>
      </c>
      <c r="R331" s="203">
        <v>14040</v>
      </c>
      <c r="S331" s="204">
        <v>228285.83</v>
      </c>
      <c r="T331" s="203">
        <v>14046</v>
      </c>
      <c r="U331" s="204">
        <v>89411.94</v>
      </c>
      <c r="V331" s="204">
        <f t="shared" si="16"/>
        <v>138873.88999999998</v>
      </c>
      <c r="W331" s="205">
        <v>9511.91</v>
      </c>
      <c r="X331" s="203">
        <v>51260</v>
      </c>
      <c r="Y331" s="204">
        <v>1902.38</v>
      </c>
      <c r="Z331" s="202" t="s">
        <v>97</v>
      </c>
      <c r="AA331" s="202"/>
      <c r="AB331" s="202"/>
      <c r="AC331" s="202">
        <v>4080</v>
      </c>
      <c r="AD331" s="202" t="s">
        <v>1152</v>
      </c>
      <c r="AE331" s="202" t="s">
        <v>1153</v>
      </c>
      <c r="AF331" s="203" t="s">
        <v>1154</v>
      </c>
      <c r="AG331" s="202"/>
      <c r="AH331" s="203" t="s">
        <v>1155</v>
      </c>
      <c r="AI331" s="202">
        <v>0</v>
      </c>
      <c r="AJ331" s="202">
        <v>0</v>
      </c>
    </row>
    <row r="332" spans="2:36">
      <c r="B332" s="203">
        <v>2180</v>
      </c>
      <c r="C332" s="207">
        <v>200784</v>
      </c>
      <c r="D332" s="203" t="s">
        <v>97</v>
      </c>
      <c r="E332" s="202" t="s">
        <v>166</v>
      </c>
      <c r="F332" s="203"/>
      <c r="G332" s="202"/>
      <c r="H332" s="202" t="s">
        <v>2727</v>
      </c>
      <c r="I332" s="202"/>
      <c r="J332" s="202">
        <v>2019</v>
      </c>
      <c r="K332" s="202" t="s">
        <v>2290</v>
      </c>
      <c r="L332" s="202" t="s">
        <v>1830</v>
      </c>
      <c r="M332" s="202" t="s">
        <v>1824</v>
      </c>
      <c r="N332" s="206">
        <v>43297</v>
      </c>
      <c r="O332" s="206">
        <v>43297</v>
      </c>
      <c r="P332" s="202" t="s">
        <v>2723</v>
      </c>
      <c r="Q332" s="203">
        <v>1000</v>
      </c>
      <c r="R332" s="203">
        <v>14040</v>
      </c>
      <c r="S332" s="204">
        <v>228215.43</v>
      </c>
      <c r="T332" s="203">
        <v>14046</v>
      </c>
      <c r="U332" s="204">
        <v>87482.58</v>
      </c>
      <c r="V332" s="204">
        <f t="shared" si="16"/>
        <v>140732.84999999998</v>
      </c>
      <c r="W332" s="205">
        <v>9508.98</v>
      </c>
      <c r="X332" s="203">
        <v>51260</v>
      </c>
      <c r="Y332" s="204">
        <v>1901.8</v>
      </c>
      <c r="Z332" s="202" t="s">
        <v>97</v>
      </c>
      <c r="AA332" s="202"/>
      <c r="AB332" s="202"/>
      <c r="AC332" s="202">
        <v>4081</v>
      </c>
      <c r="AD332" s="202" t="s">
        <v>1152</v>
      </c>
      <c r="AE332" s="202" t="s">
        <v>1153</v>
      </c>
      <c r="AF332" s="203" t="s">
        <v>1154</v>
      </c>
      <c r="AG332" s="202"/>
      <c r="AH332" s="203" t="s">
        <v>1155</v>
      </c>
      <c r="AI332" s="202">
        <v>0</v>
      </c>
      <c r="AJ332" s="202">
        <v>0</v>
      </c>
    </row>
    <row r="333" spans="2:36">
      <c r="B333" s="203">
        <v>2180</v>
      </c>
      <c r="C333" s="207">
        <v>200367</v>
      </c>
      <c r="D333" s="203" t="s">
        <v>97</v>
      </c>
      <c r="E333" s="202" t="s">
        <v>2726</v>
      </c>
      <c r="F333" s="203">
        <v>3</v>
      </c>
      <c r="G333" s="202"/>
      <c r="H333" s="202"/>
      <c r="I333" s="202"/>
      <c r="J333" s="202">
        <v>0</v>
      </c>
      <c r="K333" s="202" t="s">
        <v>2725</v>
      </c>
      <c r="L333" s="202"/>
      <c r="M333" s="202" t="s">
        <v>1970</v>
      </c>
      <c r="N333" s="206">
        <v>37438</v>
      </c>
      <c r="O333" s="206">
        <v>37438</v>
      </c>
      <c r="P333" s="202" t="s">
        <v>2724</v>
      </c>
      <c r="Q333" s="203">
        <v>1000</v>
      </c>
      <c r="R333" s="203">
        <v>14050</v>
      </c>
      <c r="S333" s="204">
        <v>5347.75</v>
      </c>
      <c r="T333" s="203">
        <v>14056</v>
      </c>
      <c r="U333" s="204">
        <v>5347.75</v>
      </c>
      <c r="V333" s="204">
        <f t="shared" si="16"/>
        <v>0</v>
      </c>
      <c r="W333" s="205">
        <v>0</v>
      </c>
      <c r="X333" s="203">
        <v>54260</v>
      </c>
      <c r="Y333" s="204">
        <v>0</v>
      </c>
      <c r="Z333" s="202" t="s">
        <v>97</v>
      </c>
      <c r="AA333" s="202"/>
      <c r="AB333" s="202">
        <v>2291</v>
      </c>
      <c r="AC333" s="202"/>
      <c r="AD333" s="202" t="s">
        <v>1152</v>
      </c>
      <c r="AE333" s="202" t="s">
        <v>1153</v>
      </c>
      <c r="AF333" s="203" t="s">
        <v>1154</v>
      </c>
      <c r="AG333" s="208">
        <v>43281</v>
      </c>
      <c r="AH333" s="203" t="s">
        <v>1155</v>
      </c>
      <c r="AI333" s="202">
        <v>0</v>
      </c>
      <c r="AJ333" s="202">
        <v>5347.75</v>
      </c>
    </row>
    <row r="334" spans="2:36">
      <c r="B334" s="203">
        <v>2180</v>
      </c>
      <c r="C334" s="207">
        <v>200357</v>
      </c>
      <c r="D334" s="203" t="s">
        <v>97</v>
      </c>
      <c r="E334" s="202" t="s">
        <v>696</v>
      </c>
      <c r="F334" s="203">
        <v>624</v>
      </c>
      <c r="G334" s="202"/>
      <c r="H334" s="202"/>
      <c r="I334" s="202"/>
      <c r="J334" s="202">
        <v>0</v>
      </c>
      <c r="K334" s="202" t="s">
        <v>2318</v>
      </c>
      <c r="L334" s="202"/>
      <c r="M334" s="202"/>
      <c r="N334" s="206">
        <v>43275</v>
      </c>
      <c r="O334" s="206">
        <v>43275</v>
      </c>
      <c r="P334" s="202" t="s">
        <v>2715</v>
      </c>
      <c r="Q334" s="203">
        <v>700</v>
      </c>
      <c r="R334" s="203">
        <v>14050</v>
      </c>
      <c r="S334" s="204">
        <v>33402.910000000003</v>
      </c>
      <c r="T334" s="203">
        <v>14056</v>
      </c>
      <c r="U334" s="204">
        <v>18689.740000000002</v>
      </c>
      <c r="V334" s="204">
        <f t="shared" ref="V334:V397" si="17">S334-U334</f>
        <v>14713.170000000002</v>
      </c>
      <c r="W334" s="205">
        <v>1988.27</v>
      </c>
      <c r="X334" s="203">
        <v>54260</v>
      </c>
      <c r="Y334" s="204">
        <v>397.65</v>
      </c>
      <c r="Z334" s="202" t="s">
        <v>97</v>
      </c>
      <c r="AA334" s="202"/>
      <c r="AB334" s="202">
        <v>65539973</v>
      </c>
      <c r="AC334" s="202"/>
      <c r="AD334" s="202" t="s">
        <v>1152</v>
      </c>
      <c r="AE334" s="202" t="s">
        <v>1153</v>
      </c>
      <c r="AF334" s="203" t="s">
        <v>1154</v>
      </c>
      <c r="AG334" s="202"/>
      <c r="AH334" s="203" t="s">
        <v>1155</v>
      </c>
      <c r="AI334" s="202">
        <v>0</v>
      </c>
      <c r="AJ334" s="202">
        <v>0</v>
      </c>
    </row>
    <row r="335" spans="2:36">
      <c r="B335" s="203">
        <v>2180</v>
      </c>
      <c r="C335" s="207">
        <v>199418</v>
      </c>
      <c r="D335" s="203">
        <v>200784</v>
      </c>
      <c r="E335" s="202" t="s">
        <v>168</v>
      </c>
      <c r="F335" s="203"/>
      <c r="G335" s="202"/>
      <c r="H335" s="202"/>
      <c r="I335" s="202"/>
      <c r="J335" s="202">
        <v>0</v>
      </c>
      <c r="K335" s="202" t="s">
        <v>2722</v>
      </c>
      <c r="L335" s="202"/>
      <c r="M335" s="202" t="s">
        <v>1158</v>
      </c>
      <c r="N335" s="206">
        <v>43276</v>
      </c>
      <c r="O335" s="206">
        <v>43276</v>
      </c>
      <c r="P335" s="202" t="s">
        <v>2723</v>
      </c>
      <c r="Q335" s="203">
        <v>1000</v>
      </c>
      <c r="R335" s="203">
        <v>14040</v>
      </c>
      <c r="S335" s="204">
        <v>70.39</v>
      </c>
      <c r="T335" s="203">
        <v>14046</v>
      </c>
      <c r="U335" s="204">
        <v>27.57</v>
      </c>
      <c r="V335" s="204">
        <f t="shared" si="17"/>
        <v>42.82</v>
      </c>
      <c r="W335" s="205">
        <v>2.93</v>
      </c>
      <c r="X335" s="203">
        <v>51260</v>
      </c>
      <c r="Y335" s="204">
        <v>0.57999999999999996</v>
      </c>
      <c r="Z335" s="202" t="s">
        <v>97</v>
      </c>
      <c r="AA335" s="202"/>
      <c r="AB335" s="202">
        <v>2784</v>
      </c>
      <c r="AC335" s="202"/>
      <c r="AD335" s="202" t="s">
        <v>1152</v>
      </c>
      <c r="AE335" s="202" t="s">
        <v>1153</v>
      </c>
      <c r="AF335" s="203" t="s">
        <v>1154</v>
      </c>
      <c r="AG335" s="202"/>
      <c r="AH335" s="203" t="s">
        <v>1155</v>
      </c>
      <c r="AI335" s="202">
        <v>0</v>
      </c>
      <c r="AJ335" s="202">
        <v>0</v>
      </c>
    </row>
    <row r="336" spans="2:36">
      <c r="B336" s="203">
        <v>2180</v>
      </c>
      <c r="C336" s="207">
        <v>199417</v>
      </c>
      <c r="D336" s="203">
        <v>199115</v>
      </c>
      <c r="E336" s="202" t="s">
        <v>169</v>
      </c>
      <c r="F336" s="203"/>
      <c r="G336" s="202"/>
      <c r="H336" s="202"/>
      <c r="I336" s="202"/>
      <c r="J336" s="202">
        <v>0</v>
      </c>
      <c r="K336" s="202" t="s">
        <v>2722</v>
      </c>
      <c r="L336" s="202"/>
      <c r="M336" s="202" t="s">
        <v>1158</v>
      </c>
      <c r="N336" s="206">
        <v>43280</v>
      </c>
      <c r="O336" s="206">
        <v>43280</v>
      </c>
      <c r="P336" s="202" t="s">
        <v>2718</v>
      </c>
      <c r="Q336" s="203">
        <v>1000</v>
      </c>
      <c r="R336" s="203">
        <v>14040</v>
      </c>
      <c r="S336" s="204">
        <v>70.39</v>
      </c>
      <c r="T336" s="203">
        <v>14046</v>
      </c>
      <c r="U336" s="204">
        <v>27.57</v>
      </c>
      <c r="V336" s="204">
        <f t="shared" si="17"/>
        <v>42.82</v>
      </c>
      <c r="W336" s="205">
        <v>2.93</v>
      </c>
      <c r="X336" s="203">
        <v>51260</v>
      </c>
      <c r="Y336" s="204">
        <v>0.57999999999999996</v>
      </c>
      <c r="Z336" s="202" t="s">
        <v>97</v>
      </c>
      <c r="AA336" s="202"/>
      <c r="AB336" s="202">
        <v>2783</v>
      </c>
      <c r="AC336" s="202"/>
      <c r="AD336" s="202" t="s">
        <v>1152</v>
      </c>
      <c r="AE336" s="202" t="s">
        <v>1153</v>
      </c>
      <c r="AF336" s="203" t="s">
        <v>1154</v>
      </c>
      <c r="AG336" s="202"/>
      <c r="AH336" s="203" t="s">
        <v>1155</v>
      </c>
      <c r="AI336" s="202">
        <v>0</v>
      </c>
      <c r="AJ336" s="202">
        <v>0</v>
      </c>
    </row>
    <row r="337" spans="2:36">
      <c r="B337" s="203">
        <v>2180</v>
      </c>
      <c r="C337" s="207">
        <v>199416</v>
      </c>
      <c r="D337" s="203">
        <v>199114</v>
      </c>
      <c r="E337" s="202" t="s">
        <v>167</v>
      </c>
      <c r="F337" s="203"/>
      <c r="G337" s="202"/>
      <c r="H337" s="202"/>
      <c r="I337" s="202"/>
      <c r="J337" s="202">
        <v>0</v>
      </c>
      <c r="K337" s="202" t="s">
        <v>2721</v>
      </c>
      <c r="L337" s="202"/>
      <c r="M337" s="202" t="s">
        <v>1158</v>
      </c>
      <c r="N337" s="206">
        <v>43271</v>
      </c>
      <c r="O337" s="206">
        <v>43271</v>
      </c>
      <c r="P337" s="202" t="s">
        <v>2716</v>
      </c>
      <c r="Q337" s="203">
        <v>1000</v>
      </c>
      <c r="R337" s="203">
        <v>14040</v>
      </c>
      <c r="S337" s="204">
        <v>70.39</v>
      </c>
      <c r="T337" s="203">
        <v>14046</v>
      </c>
      <c r="U337" s="204">
        <v>27.57</v>
      </c>
      <c r="V337" s="204">
        <f t="shared" si="17"/>
        <v>42.82</v>
      </c>
      <c r="W337" s="205">
        <v>2.93</v>
      </c>
      <c r="X337" s="203">
        <v>51260</v>
      </c>
      <c r="Y337" s="204">
        <v>0.57999999999999996</v>
      </c>
      <c r="Z337" s="202" t="s">
        <v>97</v>
      </c>
      <c r="AA337" s="202"/>
      <c r="AB337" s="202">
        <v>2779</v>
      </c>
      <c r="AC337" s="202"/>
      <c r="AD337" s="202" t="s">
        <v>1152</v>
      </c>
      <c r="AE337" s="202" t="s">
        <v>1153</v>
      </c>
      <c r="AF337" s="203" t="s">
        <v>1154</v>
      </c>
      <c r="AG337" s="202"/>
      <c r="AH337" s="203" t="s">
        <v>1155</v>
      </c>
      <c r="AI337" s="202">
        <v>0</v>
      </c>
      <c r="AJ337" s="202">
        <v>0</v>
      </c>
    </row>
    <row r="338" spans="2:36">
      <c r="B338" s="203">
        <v>2180</v>
      </c>
      <c r="C338" s="207">
        <v>199309</v>
      </c>
      <c r="D338" s="203" t="s">
        <v>97</v>
      </c>
      <c r="E338" s="202" t="s">
        <v>638</v>
      </c>
      <c r="F338" s="203">
        <v>624</v>
      </c>
      <c r="G338" s="202"/>
      <c r="H338" s="202"/>
      <c r="I338" s="202"/>
      <c r="J338" s="202">
        <v>0</v>
      </c>
      <c r="K338" s="202" t="s">
        <v>2318</v>
      </c>
      <c r="L338" s="202"/>
      <c r="M338" s="202"/>
      <c r="N338" s="206">
        <v>43271</v>
      </c>
      <c r="O338" s="206">
        <v>43271</v>
      </c>
      <c r="P338" s="202" t="s">
        <v>2720</v>
      </c>
      <c r="Q338" s="203">
        <v>700</v>
      </c>
      <c r="R338" s="203">
        <v>14050</v>
      </c>
      <c r="S338" s="204">
        <v>33402.910000000003</v>
      </c>
      <c r="T338" s="203">
        <v>14056</v>
      </c>
      <c r="U338" s="204">
        <v>18689.740000000002</v>
      </c>
      <c r="V338" s="204">
        <f t="shared" si="17"/>
        <v>14713.170000000002</v>
      </c>
      <c r="W338" s="205">
        <v>1988.27</v>
      </c>
      <c r="X338" s="203">
        <v>54260</v>
      </c>
      <c r="Y338" s="204">
        <v>397.65</v>
      </c>
      <c r="Z338" s="202" t="s">
        <v>97</v>
      </c>
      <c r="AA338" s="202"/>
      <c r="AB338" s="202">
        <v>65540430</v>
      </c>
      <c r="AC338" s="202"/>
      <c r="AD338" s="202" t="s">
        <v>1152</v>
      </c>
      <c r="AE338" s="202" t="s">
        <v>1153</v>
      </c>
      <c r="AF338" s="203" t="s">
        <v>1154</v>
      </c>
      <c r="AG338" s="202"/>
      <c r="AH338" s="203" t="s">
        <v>1155</v>
      </c>
      <c r="AI338" s="202">
        <v>0</v>
      </c>
      <c r="AJ338" s="202">
        <v>0</v>
      </c>
    </row>
    <row r="339" spans="2:36">
      <c r="B339" s="203">
        <v>2180</v>
      </c>
      <c r="C339" s="207">
        <v>199116</v>
      </c>
      <c r="D339" s="203">
        <v>197201</v>
      </c>
      <c r="E339" s="202" t="s">
        <v>944</v>
      </c>
      <c r="F339" s="203"/>
      <c r="G339" s="202"/>
      <c r="H339" s="202"/>
      <c r="I339" s="202"/>
      <c r="J339" s="202">
        <v>0</v>
      </c>
      <c r="K339" s="202"/>
      <c r="L339" s="202"/>
      <c r="M339" s="202" t="s">
        <v>1158</v>
      </c>
      <c r="N339" s="206">
        <v>43280</v>
      </c>
      <c r="O339" s="206">
        <v>43280</v>
      </c>
      <c r="P339" s="202" t="s">
        <v>2708</v>
      </c>
      <c r="Q339" s="203">
        <v>500</v>
      </c>
      <c r="R339" s="203">
        <v>14040</v>
      </c>
      <c r="S339" s="204">
        <v>1453.57</v>
      </c>
      <c r="T339" s="203">
        <v>14046</v>
      </c>
      <c r="U339" s="204">
        <v>1138.6199999999999</v>
      </c>
      <c r="V339" s="204">
        <f t="shared" si="17"/>
        <v>314.95000000000005</v>
      </c>
      <c r="W339" s="205">
        <v>121.13</v>
      </c>
      <c r="X339" s="203">
        <v>51260</v>
      </c>
      <c r="Y339" s="204">
        <v>24.23</v>
      </c>
      <c r="Z339" s="202" t="s">
        <v>97</v>
      </c>
      <c r="AA339" s="202"/>
      <c r="AB339" s="202"/>
      <c r="AC339" s="202"/>
      <c r="AD339" s="202" t="s">
        <v>1152</v>
      </c>
      <c r="AE339" s="202" t="s">
        <v>1153</v>
      </c>
      <c r="AF339" s="203" t="s">
        <v>1154</v>
      </c>
      <c r="AG339" s="202"/>
      <c r="AH339" s="203" t="s">
        <v>1155</v>
      </c>
      <c r="AI339" s="202">
        <v>0</v>
      </c>
      <c r="AJ339" s="202">
        <v>0</v>
      </c>
    </row>
    <row r="340" spans="2:36">
      <c r="B340" s="203">
        <v>2180</v>
      </c>
      <c r="C340" s="207">
        <v>199115</v>
      </c>
      <c r="D340" s="203" t="s">
        <v>97</v>
      </c>
      <c r="E340" s="202" t="s">
        <v>166</v>
      </c>
      <c r="F340" s="203"/>
      <c r="G340" s="202"/>
      <c r="H340" s="202" t="s">
        <v>2719</v>
      </c>
      <c r="I340" s="202"/>
      <c r="J340" s="202">
        <v>2019</v>
      </c>
      <c r="K340" s="202" t="s">
        <v>2290</v>
      </c>
      <c r="L340" s="202" t="s">
        <v>1830</v>
      </c>
      <c r="M340" s="202" t="s">
        <v>1824</v>
      </c>
      <c r="N340" s="206">
        <v>43280</v>
      </c>
      <c r="O340" s="206">
        <v>43280</v>
      </c>
      <c r="P340" s="202" t="s">
        <v>2718</v>
      </c>
      <c r="Q340" s="203">
        <v>1000</v>
      </c>
      <c r="R340" s="203">
        <v>14040</v>
      </c>
      <c r="S340" s="204">
        <v>228215.43</v>
      </c>
      <c r="T340" s="203">
        <v>14046</v>
      </c>
      <c r="U340" s="204">
        <v>89384.37</v>
      </c>
      <c r="V340" s="204">
        <f t="shared" si="17"/>
        <v>138831.06</v>
      </c>
      <c r="W340" s="205">
        <v>9508.98</v>
      </c>
      <c r="X340" s="203">
        <v>51260</v>
      </c>
      <c r="Y340" s="204">
        <v>1901.8</v>
      </c>
      <c r="Z340" s="202" t="s">
        <v>97</v>
      </c>
      <c r="AA340" s="202"/>
      <c r="AB340" s="202"/>
      <c r="AC340" s="202">
        <v>4078</v>
      </c>
      <c r="AD340" s="202" t="s">
        <v>1152</v>
      </c>
      <c r="AE340" s="202" t="s">
        <v>1153</v>
      </c>
      <c r="AF340" s="203" t="s">
        <v>1154</v>
      </c>
      <c r="AG340" s="202"/>
      <c r="AH340" s="203" t="s">
        <v>1155</v>
      </c>
      <c r="AI340" s="202">
        <v>0</v>
      </c>
      <c r="AJ340" s="202">
        <v>0</v>
      </c>
    </row>
    <row r="341" spans="2:36">
      <c r="B341" s="203">
        <v>2180</v>
      </c>
      <c r="C341" s="207">
        <v>199114</v>
      </c>
      <c r="D341" s="203" t="s">
        <v>97</v>
      </c>
      <c r="E341" s="202" t="s">
        <v>166</v>
      </c>
      <c r="F341" s="203"/>
      <c r="G341" s="202"/>
      <c r="H341" s="202" t="s">
        <v>2717</v>
      </c>
      <c r="I341" s="202"/>
      <c r="J341" s="202">
        <v>2019</v>
      </c>
      <c r="K341" s="202" t="s">
        <v>2290</v>
      </c>
      <c r="L341" s="202" t="s">
        <v>1830</v>
      </c>
      <c r="M341" s="202" t="s">
        <v>1824</v>
      </c>
      <c r="N341" s="206">
        <v>43271</v>
      </c>
      <c r="O341" s="206">
        <v>43271</v>
      </c>
      <c r="P341" s="202" t="s">
        <v>2716</v>
      </c>
      <c r="Q341" s="203">
        <v>1000</v>
      </c>
      <c r="R341" s="203">
        <v>14040</v>
      </c>
      <c r="S341" s="204">
        <v>228215.43</v>
      </c>
      <c r="T341" s="203">
        <v>14046</v>
      </c>
      <c r="U341" s="204">
        <v>89384.37</v>
      </c>
      <c r="V341" s="204">
        <f t="shared" si="17"/>
        <v>138831.06</v>
      </c>
      <c r="W341" s="205">
        <v>9508.98</v>
      </c>
      <c r="X341" s="203">
        <v>51260</v>
      </c>
      <c r="Y341" s="204">
        <v>1901.8</v>
      </c>
      <c r="Z341" s="202" t="s">
        <v>97</v>
      </c>
      <c r="AA341" s="202"/>
      <c r="AB341" s="202"/>
      <c r="AC341" s="202">
        <v>4079</v>
      </c>
      <c r="AD341" s="202" t="s">
        <v>1152</v>
      </c>
      <c r="AE341" s="202" t="s">
        <v>1153</v>
      </c>
      <c r="AF341" s="203" t="s">
        <v>1154</v>
      </c>
      <c r="AG341" s="202"/>
      <c r="AH341" s="203" t="s">
        <v>1155</v>
      </c>
      <c r="AI341" s="202">
        <v>0</v>
      </c>
      <c r="AJ341" s="202">
        <v>0</v>
      </c>
    </row>
    <row r="342" spans="2:36">
      <c r="B342" s="203">
        <v>2180</v>
      </c>
      <c r="C342" s="207">
        <v>198691</v>
      </c>
      <c r="D342" s="203" t="s">
        <v>97</v>
      </c>
      <c r="E342" s="202" t="s">
        <v>696</v>
      </c>
      <c r="F342" s="203">
        <v>624</v>
      </c>
      <c r="G342" s="202"/>
      <c r="H342" s="202"/>
      <c r="I342" s="202"/>
      <c r="J342" s="202">
        <v>0</v>
      </c>
      <c r="K342" s="202" t="s">
        <v>2318</v>
      </c>
      <c r="L342" s="202"/>
      <c r="M342" s="202"/>
      <c r="N342" s="206">
        <v>43266</v>
      </c>
      <c r="O342" s="206">
        <v>43266</v>
      </c>
      <c r="P342" s="202" t="s">
        <v>2715</v>
      </c>
      <c r="Q342" s="203">
        <v>700</v>
      </c>
      <c r="R342" s="203">
        <v>14050</v>
      </c>
      <c r="S342" s="204">
        <v>33402.910000000003</v>
      </c>
      <c r="T342" s="203">
        <v>14056</v>
      </c>
      <c r="U342" s="204">
        <v>19087.400000000001</v>
      </c>
      <c r="V342" s="204">
        <f t="shared" si="17"/>
        <v>14315.510000000002</v>
      </c>
      <c r="W342" s="205">
        <v>1988.27</v>
      </c>
      <c r="X342" s="203">
        <v>54260</v>
      </c>
      <c r="Y342" s="204">
        <v>397.65</v>
      </c>
      <c r="Z342" s="202" t="s">
        <v>97</v>
      </c>
      <c r="AA342" s="202"/>
      <c r="AB342" s="202">
        <v>65538527</v>
      </c>
      <c r="AC342" s="202"/>
      <c r="AD342" s="202" t="s">
        <v>1152</v>
      </c>
      <c r="AE342" s="202" t="s">
        <v>1153</v>
      </c>
      <c r="AF342" s="203" t="s">
        <v>1154</v>
      </c>
      <c r="AG342" s="202"/>
      <c r="AH342" s="203" t="s">
        <v>1155</v>
      </c>
      <c r="AI342" s="202">
        <v>0</v>
      </c>
      <c r="AJ342" s="202">
        <v>0</v>
      </c>
    </row>
    <row r="343" spans="2:36">
      <c r="B343" s="203">
        <v>2180</v>
      </c>
      <c r="C343" s="207">
        <v>198376</v>
      </c>
      <c r="D343" s="203" t="s">
        <v>97</v>
      </c>
      <c r="E343" s="202" t="s">
        <v>639</v>
      </c>
      <c r="F343" s="203">
        <v>864</v>
      </c>
      <c r="G343" s="202"/>
      <c r="H343" s="202"/>
      <c r="I343" s="202"/>
      <c r="J343" s="202">
        <v>0</v>
      </c>
      <c r="K343" s="202" t="s">
        <v>2318</v>
      </c>
      <c r="L343" s="202"/>
      <c r="M343" s="202"/>
      <c r="N343" s="206">
        <v>43242</v>
      </c>
      <c r="O343" s="206">
        <v>43242</v>
      </c>
      <c r="P343" s="202" t="s">
        <v>2714</v>
      </c>
      <c r="Q343" s="203">
        <v>700</v>
      </c>
      <c r="R343" s="203">
        <v>14050</v>
      </c>
      <c r="S343" s="204">
        <v>37301.9</v>
      </c>
      <c r="T343" s="203">
        <v>14056</v>
      </c>
      <c r="U343" s="204">
        <v>21315.360000000001</v>
      </c>
      <c r="V343" s="204">
        <f t="shared" si="17"/>
        <v>15986.54</v>
      </c>
      <c r="W343" s="205">
        <v>2220.35</v>
      </c>
      <c r="X343" s="203">
        <v>54260</v>
      </c>
      <c r="Y343" s="204">
        <v>444.07</v>
      </c>
      <c r="Z343" s="202" t="s">
        <v>97</v>
      </c>
      <c r="AA343" s="202"/>
      <c r="AB343" s="202">
        <v>65535769</v>
      </c>
      <c r="AC343" s="202"/>
      <c r="AD343" s="202" t="s">
        <v>1152</v>
      </c>
      <c r="AE343" s="202" t="s">
        <v>1153</v>
      </c>
      <c r="AF343" s="203" t="s">
        <v>1154</v>
      </c>
      <c r="AG343" s="202"/>
      <c r="AH343" s="203" t="s">
        <v>1155</v>
      </c>
      <c r="AI343" s="202">
        <v>0</v>
      </c>
      <c r="AJ343" s="202">
        <v>0</v>
      </c>
    </row>
    <row r="344" spans="2:36">
      <c r="B344" s="203">
        <v>2180</v>
      </c>
      <c r="C344" s="207">
        <v>197566</v>
      </c>
      <c r="D344" s="203" t="s">
        <v>97</v>
      </c>
      <c r="E344" s="202" t="s">
        <v>639</v>
      </c>
      <c r="F344" s="203">
        <v>864</v>
      </c>
      <c r="G344" s="202"/>
      <c r="H344" s="202"/>
      <c r="I344" s="202"/>
      <c r="J344" s="202">
        <v>0</v>
      </c>
      <c r="K344" s="202" t="s">
        <v>2318</v>
      </c>
      <c r="L344" s="202"/>
      <c r="M344" s="202"/>
      <c r="N344" s="206">
        <v>43242</v>
      </c>
      <c r="O344" s="206">
        <v>43242</v>
      </c>
      <c r="P344" s="202" t="s">
        <v>2714</v>
      </c>
      <c r="Q344" s="203">
        <v>700</v>
      </c>
      <c r="R344" s="203">
        <v>14050</v>
      </c>
      <c r="S344" s="204">
        <v>42474.5</v>
      </c>
      <c r="T344" s="203">
        <v>14056</v>
      </c>
      <c r="U344" s="204">
        <v>24271.16</v>
      </c>
      <c r="V344" s="204">
        <f t="shared" si="17"/>
        <v>18203.34</v>
      </c>
      <c r="W344" s="205">
        <v>2528.25</v>
      </c>
      <c r="X344" s="203">
        <v>54260</v>
      </c>
      <c r="Y344" s="204">
        <v>505.65</v>
      </c>
      <c r="Z344" s="202" t="s">
        <v>97</v>
      </c>
      <c r="AA344" s="202"/>
      <c r="AB344" s="202">
        <v>65534968</v>
      </c>
      <c r="AC344" s="202"/>
      <c r="AD344" s="202" t="s">
        <v>1152</v>
      </c>
      <c r="AE344" s="202" t="s">
        <v>1153</v>
      </c>
      <c r="AF344" s="203" t="s">
        <v>1154</v>
      </c>
      <c r="AG344" s="202"/>
      <c r="AH344" s="203" t="s">
        <v>1155</v>
      </c>
      <c r="AI344" s="202">
        <v>0</v>
      </c>
      <c r="AJ344" s="202">
        <v>0</v>
      </c>
    </row>
    <row r="345" spans="2:36">
      <c r="B345" s="203">
        <v>2180</v>
      </c>
      <c r="C345" s="207">
        <v>197532</v>
      </c>
      <c r="D345" s="203" t="s">
        <v>97</v>
      </c>
      <c r="E345" s="202" t="s">
        <v>2713</v>
      </c>
      <c r="F345" s="203"/>
      <c r="G345" s="202"/>
      <c r="H345" s="202"/>
      <c r="I345" s="202"/>
      <c r="J345" s="202">
        <v>0</v>
      </c>
      <c r="K345" s="202" t="s">
        <v>1429</v>
      </c>
      <c r="L345" s="202"/>
      <c r="M345" s="202"/>
      <c r="N345" s="206">
        <v>43224</v>
      </c>
      <c r="O345" s="206">
        <v>43224</v>
      </c>
      <c r="P345" s="202" t="s">
        <v>2712</v>
      </c>
      <c r="Q345" s="203">
        <v>300</v>
      </c>
      <c r="R345" s="203">
        <v>14110</v>
      </c>
      <c r="S345" s="204">
        <v>1334.12</v>
      </c>
      <c r="T345" s="203">
        <v>14116</v>
      </c>
      <c r="U345" s="204">
        <v>1334.12</v>
      </c>
      <c r="V345" s="204">
        <f t="shared" si="17"/>
        <v>0</v>
      </c>
      <c r="W345" s="205">
        <v>0</v>
      </c>
      <c r="X345" s="203">
        <v>70260</v>
      </c>
      <c r="Y345" s="204">
        <v>0</v>
      </c>
      <c r="Z345" s="202" t="s">
        <v>97</v>
      </c>
      <c r="AA345" s="202"/>
      <c r="AB345" s="202" t="s">
        <v>2711</v>
      </c>
      <c r="AC345" s="202"/>
      <c r="AD345" s="202" t="s">
        <v>1152</v>
      </c>
      <c r="AE345" s="202" t="s">
        <v>1153</v>
      </c>
      <c r="AF345" s="203" t="s">
        <v>1154</v>
      </c>
      <c r="AG345" s="202"/>
      <c r="AH345" s="203" t="s">
        <v>1155</v>
      </c>
      <c r="AI345" s="202">
        <v>0</v>
      </c>
      <c r="AJ345" s="202">
        <v>0</v>
      </c>
    </row>
    <row r="346" spans="2:36">
      <c r="B346" s="203">
        <v>2180</v>
      </c>
      <c r="C346" s="207">
        <v>197201</v>
      </c>
      <c r="D346" s="203" t="s">
        <v>97</v>
      </c>
      <c r="E346" s="202" t="s">
        <v>942</v>
      </c>
      <c r="F346" s="203"/>
      <c r="G346" s="202"/>
      <c r="H346" s="202" t="s">
        <v>2710</v>
      </c>
      <c r="I346" s="202"/>
      <c r="J346" s="202">
        <v>2018</v>
      </c>
      <c r="K346" s="202" t="s">
        <v>2709</v>
      </c>
      <c r="L346" s="202" t="s">
        <v>2709</v>
      </c>
      <c r="M346" s="202" t="s">
        <v>1391</v>
      </c>
      <c r="N346" s="206">
        <v>43244</v>
      </c>
      <c r="O346" s="206">
        <v>43244</v>
      </c>
      <c r="P346" s="202" t="s">
        <v>2708</v>
      </c>
      <c r="Q346" s="203">
        <v>1000</v>
      </c>
      <c r="R346" s="203">
        <v>14040</v>
      </c>
      <c r="S346" s="204">
        <v>86454.44</v>
      </c>
      <c r="T346" s="203">
        <v>14046</v>
      </c>
      <c r="U346" s="204">
        <v>34581.769999999997</v>
      </c>
      <c r="V346" s="204">
        <f t="shared" si="17"/>
        <v>51872.670000000006</v>
      </c>
      <c r="W346" s="205">
        <v>3602.27</v>
      </c>
      <c r="X346" s="203">
        <v>51260</v>
      </c>
      <c r="Y346" s="204">
        <v>720.46</v>
      </c>
      <c r="Z346" s="202" t="s">
        <v>97</v>
      </c>
      <c r="AA346" s="202"/>
      <c r="AB346" s="202">
        <v>7416</v>
      </c>
      <c r="AC346" s="202">
        <v>9224</v>
      </c>
      <c r="AD346" s="202" t="s">
        <v>1152</v>
      </c>
      <c r="AE346" s="202" t="s">
        <v>1153</v>
      </c>
      <c r="AF346" s="203" t="s">
        <v>1154</v>
      </c>
      <c r="AG346" s="202"/>
      <c r="AH346" s="203" t="s">
        <v>1155</v>
      </c>
      <c r="AI346" s="202">
        <v>0</v>
      </c>
      <c r="AJ346" s="202">
        <v>0</v>
      </c>
    </row>
    <row r="347" spans="2:36">
      <c r="B347" s="203">
        <v>2180</v>
      </c>
      <c r="C347" s="207">
        <v>196977</v>
      </c>
      <c r="D347" s="203" t="s">
        <v>97</v>
      </c>
      <c r="E347" s="202" t="s">
        <v>672</v>
      </c>
      <c r="F347" s="203">
        <v>624</v>
      </c>
      <c r="G347" s="202"/>
      <c r="H347" s="202"/>
      <c r="I347" s="202"/>
      <c r="J347" s="202">
        <v>0</v>
      </c>
      <c r="K347" s="202" t="s">
        <v>2502</v>
      </c>
      <c r="L347" s="202"/>
      <c r="M347" s="202"/>
      <c r="N347" s="206">
        <v>43217</v>
      </c>
      <c r="O347" s="206">
        <v>43217</v>
      </c>
      <c r="P347" s="202" t="s">
        <v>2707</v>
      </c>
      <c r="Q347" s="203">
        <v>700</v>
      </c>
      <c r="R347" s="203">
        <v>14050</v>
      </c>
      <c r="S347" s="204">
        <v>33089.15</v>
      </c>
      <c r="T347" s="203">
        <v>14056</v>
      </c>
      <c r="U347" s="204">
        <v>19302</v>
      </c>
      <c r="V347" s="204">
        <f t="shared" si="17"/>
        <v>13787.150000000001</v>
      </c>
      <c r="W347" s="205">
        <v>1969.59</v>
      </c>
      <c r="X347" s="203">
        <v>54260</v>
      </c>
      <c r="Y347" s="204">
        <v>393.92</v>
      </c>
      <c r="Z347" s="202" t="s">
        <v>97</v>
      </c>
      <c r="AA347" s="202"/>
      <c r="AB347" s="202">
        <v>65529420</v>
      </c>
      <c r="AC347" s="202"/>
      <c r="AD347" s="202" t="s">
        <v>1152</v>
      </c>
      <c r="AE347" s="202" t="s">
        <v>1153</v>
      </c>
      <c r="AF347" s="203" t="s">
        <v>1154</v>
      </c>
      <c r="AG347" s="202"/>
      <c r="AH347" s="203" t="s">
        <v>1155</v>
      </c>
      <c r="AI347" s="202">
        <v>0</v>
      </c>
      <c r="AJ347" s="202">
        <v>0</v>
      </c>
    </row>
    <row r="348" spans="2:36">
      <c r="B348" s="203">
        <v>2180</v>
      </c>
      <c r="C348" s="207">
        <v>196976</v>
      </c>
      <c r="D348" s="203" t="s">
        <v>97</v>
      </c>
      <c r="E348" s="202" t="s">
        <v>672</v>
      </c>
      <c r="F348" s="203">
        <v>624</v>
      </c>
      <c r="G348" s="202"/>
      <c r="H348" s="202"/>
      <c r="I348" s="202"/>
      <c r="J348" s="202">
        <v>0</v>
      </c>
      <c r="K348" s="202" t="s">
        <v>2502</v>
      </c>
      <c r="L348" s="202"/>
      <c r="M348" s="202"/>
      <c r="N348" s="206">
        <v>43217</v>
      </c>
      <c r="O348" s="206">
        <v>43217</v>
      </c>
      <c r="P348" s="202" t="s">
        <v>2707</v>
      </c>
      <c r="Q348" s="203">
        <v>700</v>
      </c>
      <c r="R348" s="203">
        <v>14050</v>
      </c>
      <c r="S348" s="204">
        <v>33089.15</v>
      </c>
      <c r="T348" s="203">
        <v>14056</v>
      </c>
      <c r="U348" s="204">
        <v>19302</v>
      </c>
      <c r="V348" s="204">
        <f t="shared" si="17"/>
        <v>13787.150000000001</v>
      </c>
      <c r="W348" s="205">
        <v>1969.59</v>
      </c>
      <c r="X348" s="203">
        <v>54260</v>
      </c>
      <c r="Y348" s="204">
        <v>393.92</v>
      </c>
      <c r="Z348" s="202" t="s">
        <v>97</v>
      </c>
      <c r="AA348" s="202"/>
      <c r="AB348" s="202">
        <v>65529730</v>
      </c>
      <c r="AC348" s="202"/>
      <c r="AD348" s="202" t="s">
        <v>1152</v>
      </c>
      <c r="AE348" s="202" t="s">
        <v>1153</v>
      </c>
      <c r="AF348" s="203" t="s">
        <v>1154</v>
      </c>
      <c r="AG348" s="202"/>
      <c r="AH348" s="203" t="s">
        <v>1155</v>
      </c>
      <c r="AI348" s="202">
        <v>0</v>
      </c>
      <c r="AJ348" s="202">
        <v>0</v>
      </c>
    </row>
    <row r="349" spans="2:36">
      <c r="B349" s="203">
        <v>2180</v>
      </c>
      <c r="C349" s="207">
        <v>196550</v>
      </c>
      <c r="D349" s="203" t="s">
        <v>97</v>
      </c>
      <c r="E349" s="202" t="s">
        <v>2706</v>
      </c>
      <c r="F349" s="203">
        <v>24</v>
      </c>
      <c r="G349" s="202"/>
      <c r="H349" s="202"/>
      <c r="I349" s="202" t="s">
        <v>1147</v>
      </c>
      <c r="J349" s="202">
        <v>0</v>
      </c>
      <c r="K349" s="202" t="s">
        <v>2703</v>
      </c>
      <c r="L349" s="202"/>
      <c r="M349" s="202" t="s">
        <v>1555</v>
      </c>
      <c r="N349" s="206">
        <v>43187</v>
      </c>
      <c r="O349" s="206">
        <v>43187</v>
      </c>
      <c r="P349" s="202" t="s">
        <v>2705</v>
      </c>
      <c r="Q349" s="203">
        <v>700</v>
      </c>
      <c r="R349" s="203">
        <v>14050</v>
      </c>
      <c r="S349" s="204">
        <v>13180.99</v>
      </c>
      <c r="T349" s="203">
        <v>14056</v>
      </c>
      <c r="U349" s="204">
        <v>7845.83</v>
      </c>
      <c r="V349" s="204">
        <f t="shared" si="17"/>
        <v>5335.16</v>
      </c>
      <c r="W349" s="205">
        <v>784.58</v>
      </c>
      <c r="X349" s="203">
        <v>54260</v>
      </c>
      <c r="Y349" s="204">
        <v>156.91</v>
      </c>
      <c r="Z349" s="202" t="s">
        <v>97</v>
      </c>
      <c r="AA349" s="202"/>
      <c r="AB349" s="202">
        <v>65525683</v>
      </c>
      <c r="AC349" s="202"/>
      <c r="AD349" s="202" t="s">
        <v>1152</v>
      </c>
      <c r="AE349" s="202" t="s">
        <v>1153</v>
      </c>
      <c r="AF349" s="203" t="s">
        <v>1154</v>
      </c>
      <c r="AG349" s="202"/>
      <c r="AH349" s="203" t="s">
        <v>1155</v>
      </c>
      <c r="AI349" s="202">
        <v>0</v>
      </c>
      <c r="AJ349" s="202">
        <v>0</v>
      </c>
    </row>
    <row r="350" spans="2:36">
      <c r="B350" s="203">
        <v>2180</v>
      </c>
      <c r="C350" s="207">
        <v>196549</v>
      </c>
      <c r="D350" s="203" t="s">
        <v>97</v>
      </c>
      <c r="E350" s="202" t="s">
        <v>2704</v>
      </c>
      <c r="F350" s="203">
        <v>18</v>
      </c>
      <c r="G350" s="202"/>
      <c r="H350" s="202"/>
      <c r="I350" s="202" t="s">
        <v>1147</v>
      </c>
      <c r="J350" s="202">
        <v>0</v>
      </c>
      <c r="K350" s="202" t="s">
        <v>2703</v>
      </c>
      <c r="L350" s="202"/>
      <c r="M350" s="202" t="s">
        <v>1558</v>
      </c>
      <c r="N350" s="206">
        <v>43187</v>
      </c>
      <c r="O350" s="206">
        <v>43187</v>
      </c>
      <c r="P350" s="202" t="s">
        <v>2702</v>
      </c>
      <c r="Q350" s="203">
        <v>700</v>
      </c>
      <c r="R350" s="203">
        <v>14050</v>
      </c>
      <c r="S350" s="204">
        <v>11986.39</v>
      </c>
      <c r="T350" s="203">
        <v>14056</v>
      </c>
      <c r="U350" s="204">
        <v>7134.76</v>
      </c>
      <c r="V350" s="204">
        <f t="shared" si="17"/>
        <v>4851.6299999999992</v>
      </c>
      <c r="W350" s="205">
        <v>713.48</v>
      </c>
      <c r="X350" s="203">
        <v>54260</v>
      </c>
      <c r="Y350" s="204">
        <v>142.69999999999999</v>
      </c>
      <c r="Z350" s="202" t="s">
        <v>97</v>
      </c>
      <c r="AA350" s="202"/>
      <c r="AB350" s="202">
        <v>65525682</v>
      </c>
      <c r="AC350" s="202"/>
      <c r="AD350" s="202" t="s">
        <v>1152</v>
      </c>
      <c r="AE350" s="202" t="s">
        <v>1153</v>
      </c>
      <c r="AF350" s="203" t="s">
        <v>1154</v>
      </c>
      <c r="AG350" s="202"/>
      <c r="AH350" s="203" t="s">
        <v>1155</v>
      </c>
      <c r="AI350" s="202">
        <v>0</v>
      </c>
      <c r="AJ350" s="202">
        <v>0</v>
      </c>
    </row>
    <row r="351" spans="2:36">
      <c r="B351" s="203">
        <v>2180</v>
      </c>
      <c r="C351" s="207">
        <v>195626</v>
      </c>
      <c r="D351" s="203" t="s">
        <v>97</v>
      </c>
      <c r="E351" s="202" t="s">
        <v>2700</v>
      </c>
      <c r="F351" s="203">
        <v>20</v>
      </c>
      <c r="G351" s="202"/>
      <c r="H351" s="202"/>
      <c r="I351" s="202" t="s">
        <v>1147</v>
      </c>
      <c r="J351" s="202">
        <v>0</v>
      </c>
      <c r="K351" s="202" t="s">
        <v>2445</v>
      </c>
      <c r="L351" s="202"/>
      <c r="M351" s="202" t="s">
        <v>1582</v>
      </c>
      <c r="N351" s="206">
        <v>43186</v>
      </c>
      <c r="O351" s="206">
        <v>43186</v>
      </c>
      <c r="P351" s="202" t="s">
        <v>2699</v>
      </c>
      <c r="Q351" s="203">
        <v>700</v>
      </c>
      <c r="R351" s="203">
        <v>14050</v>
      </c>
      <c r="S351" s="204">
        <v>16439.38</v>
      </c>
      <c r="T351" s="203">
        <v>14056</v>
      </c>
      <c r="U351" s="204">
        <v>9785.33</v>
      </c>
      <c r="V351" s="204">
        <f t="shared" si="17"/>
        <v>6654.0500000000011</v>
      </c>
      <c r="W351" s="205">
        <v>978.53</v>
      </c>
      <c r="X351" s="203">
        <v>54260</v>
      </c>
      <c r="Y351" s="204">
        <v>195.7</v>
      </c>
      <c r="Z351" s="202" t="s">
        <v>97</v>
      </c>
      <c r="AA351" s="202"/>
      <c r="AB351" s="202" t="s">
        <v>2701</v>
      </c>
      <c r="AC351" s="202"/>
      <c r="AD351" s="202" t="s">
        <v>1152</v>
      </c>
      <c r="AE351" s="202" t="s">
        <v>1153</v>
      </c>
      <c r="AF351" s="203" t="s">
        <v>1154</v>
      </c>
      <c r="AG351" s="202"/>
      <c r="AH351" s="203" t="s">
        <v>1155</v>
      </c>
      <c r="AI351" s="202">
        <v>0</v>
      </c>
      <c r="AJ351" s="202">
        <v>0</v>
      </c>
    </row>
    <row r="352" spans="2:36">
      <c r="B352" s="203">
        <v>2180</v>
      </c>
      <c r="C352" s="207">
        <v>195625</v>
      </c>
      <c r="D352" s="203" t="s">
        <v>97</v>
      </c>
      <c r="E352" s="202" t="s">
        <v>2700</v>
      </c>
      <c r="F352" s="203">
        <v>4</v>
      </c>
      <c r="G352" s="202"/>
      <c r="H352" s="202"/>
      <c r="I352" s="202" t="s">
        <v>1147</v>
      </c>
      <c r="J352" s="202">
        <v>0</v>
      </c>
      <c r="K352" s="202" t="s">
        <v>2445</v>
      </c>
      <c r="L352" s="202"/>
      <c r="M352" s="202" t="s">
        <v>1582</v>
      </c>
      <c r="N352" s="206">
        <v>43186</v>
      </c>
      <c r="O352" s="206">
        <v>43186</v>
      </c>
      <c r="P352" s="202" t="s">
        <v>2699</v>
      </c>
      <c r="Q352" s="203">
        <v>700</v>
      </c>
      <c r="R352" s="203">
        <v>14050</v>
      </c>
      <c r="S352" s="204">
        <v>3287.88</v>
      </c>
      <c r="T352" s="203">
        <v>14056</v>
      </c>
      <c r="U352" s="204">
        <v>1957.08</v>
      </c>
      <c r="V352" s="204">
        <f t="shared" si="17"/>
        <v>1330.8000000000002</v>
      </c>
      <c r="W352" s="205">
        <v>195.71</v>
      </c>
      <c r="X352" s="203">
        <v>54260</v>
      </c>
      <c r="Y352" s="204">
        <v>39.14</v>
      </c>
      <c r="Z352" s="202" t="s">
        <v>97</v>
      </c>
      <c r="AA352" s="202"/>
      <c r="AB352" s="202" t="s">
        <v>2698</v>
      </c>
      <c r="AC352" s="202"/>
      <c r="AD352" s="202" t="s">
        <v>1152</v>
      </c>
      <c r="AE352" s="202" t="s">
        <v>1153</v>
      </c>
      <c r="AF352" s="203" t="s">
        <v>1154</v>
      </c>
      <c r="AG352" s="202"/>
      <c r="AH352" s="203" t="s">
        <v>1155</v>
      </c>
      <c r="AI352" s="202">
        <v>0</v>
      </c>
      <c r="AJ352" s="202">
        <v>0</v>
      </c>
    </row>
    <row r="353" spans="2:36">
      <c r="B353" s="203">
        <v>2180</v>
      </c>
      <c r="C353" s="207">
        <v>194618</v>
      </c>
      <c r="D353" s="203" t="s">
        <v>97</v>
      </c>
      <c r="E353" s="202" t="s">
        <v>2697</v>
      </c>
      <c r="F353" s="203">
        <v>24</v>
      </c>
      <c r="G353" s="202"/>
      <c r="H353" s="202"/>
      <c r="I353" s="202" t="s">
        <v>1147</v>
      </c>
      <c r="J353" s="202">
        <v>0</v>
      </c>
      <c r="K353" s="202" t="s">
        <v>2041</v>
      </c>
      <c r="L353" s="202"/>
      <c r="M353" s="202" t="s">
        <v>1573</v>
      </c>
      <c r="N353" s="206">
        <v>43180</v>
      </c>
      <c r="O353" s="206">
        <v>43180</v>
      </c>
      <c r="P353" s="202" t="s">
        <v>2696</v>
      </c>
      <c r="Q353" s="203">
        <v>1200</v>
      </c>
      <c r="R353" s="203">
        <v>14050</v>
      </c>
      <c r="S353" s="204">
        <v>11673.24</v>
      </c>
      <c r="T353" s="203">
        <v>14056</v>
      </c>
      <c r="U353" s="204">
        <v>4053.21</v>
      </c>
      <c r="V353" s="204">
        <f t="shared" si="17"/>
        <v>7620.03</v>
      </c>
      <c r="W353" s="205">
        <v>405.32</v>
      </c>
      <c r="X353" s="203">
        <v>54260</v>
      </c>
      <c r="Y353" s="204">
        <v>81.06</v>
      </c>
      <c r="Z353" s="202" t="s">
        <v>97</v>
      </c>
      <c r="AA353" s="202"/>
      <c r="AB353" s="202">
        <v>139274</v>
      </c>
      <c r="AC353" s="202"/>
      <c r="AD353" s="202" t="s">
        <v>1152</v>
      </c>
      <c r="AE353" s="202" t="s">
        <v>1153</v>
      </c>
      <c r="AF353" s="203" t="s">
        <v>1154</v>
      </c>
      <c r="AG353" s="202"/>
      <c r="AH353" s="203" t="s">
        <v>1155</v>
      </c>
      <c r="AI353" s="202">
        <v>0</v>
      </c>
      <c r="AJ353" s="202">
        <v>0</v>
      </c>
    </row>
    <row r="354" spans="2:36">
      <c r="B354" s="203">
        <v>2180</v>
      </c>
      <c r="C354" s="207">
        <v>194617</v>
      </c>
      <c r="D354" s="203" t="s">
        <v>97</v>
      </c>
      <c r="E354" s="202" t="s">
        <v>2695</v>
      </c>
      <c r="F354" s="203">
        <v>24</v>
      </c>
      <c r="G354" s="202"/>
      <c r="H354" s="202"/>
      <c r="I354" s="202" t="s">
        <v>1147</v>
      </c>
      <c r="J354" s="202">
        <v>0</v>
      </c>
      <c r="K354" s="202" t="s">
        <v>2041</v>
      </c>
      <c r="L354" s="202"/>
      <c r="M354" s="202" t="s">
        <v>1462</v>
      </c>
      <c r="N354" s="206">
        <v>43180</v>
      </c>
      <c r="O354" s="206">
        <v>43180</v>
      </c>
      <c r="P354" s="202" t="s">
        <v>2694</v>
      </c>
      <c r="Q354" s="203">
        <v>1200</v>
      </c>
      <c r="R354" s="203">
        <v>14050</v>
      </c>
      <c r="S354" s="204">
        <v>12066.72</v>
      </c>
      <c r="T354" s="203">
        <v>14056</v>
      </c>
      <c r="U354" s="204">
        <v>4189.83</v>
      </c>
      <c r="V354" s="204">
        <f t="shared" si="17"/>
        <v>7876.8899999999994</v>
      </c>
      <c r="W354" s="205">
        <v>418.98</v>
      </c>
      <c r="X354" s="203">
        <v>54260</v>
      </c>
      <c r="Y354" s="204">
        <v>83.79</v>
      </c>
      <c r="Z354" s="202" t="s">
        <v>97</v>
      </c>
      <c r="AA354" s="202"/>
      <c r="AB354" s="202">
        <v>139295</v>
      </c>
      <c r="AC354" s="202"/>
      <c r="AD354" s="202" t="s">
        <v>1152</v>
      </c>
      <c r="AE354" s="202" t="s">
        <v>1153</v>
      </c>
      <c r="AF354" s="203" t="s">
        <v>1154</v>
      </c>
      <c r="AG354" s="202"/>
      <c r="AH354" s="203" t="s">
        <v>1155</v>
      </c>
      <c r="AI354" s="202">
        <v>0</v>
      </c>
      <c r="AJ354" s="202">
        <v>0</v>
      </c>
    </row>
    <row r="355" spans="2:36">
      <c r="B355" s="203">
        <v>2180</v>
      </c>
      <c r="C355" s="207">
        <v>194616</v>
      </c>
      <c r="D355" s="203" t="s">
        <v>97</v>
      </c>
      <c r="E355" s="202" t="s">
        <v>2693</v>
      </c>
      <c r="F355" s="203">
        <v>24</v>
      </c>
      <c r="G355" s="202"/>
      <c r="H355" s="202"/>
      <c r="I355" s="202" t="s">
        <v>1147</v>
      </c>
      <c r="J355" s="202">
        <v>0</v>
      </c>
      <c r="K355" s="202" t="s">
        <v>2041</v>
      </c>
      <c r="L355" s="202"/>
      <c r="M355" s="202" t="s">
        <v>1421</v>
      </c>
      <c r="N355" s="206">
        <v>43180</v>
      </c>
      <c r="O355" s="206">
        <v>43180</v>
      </c>
      <c r="P355" s="202" t="s">
        <v>2692</v>
      </c>
      <c r="Q355" s="203">
        <v>1200</v>
      </c>
      <c r="R355" s="203">
        <v>14050</v>
      </c>
      <c r="S355" s="204">
        <v>12984.85</v>
      </c>
      <c r="T355" s="203">
        <v>14056</v>
      </c>
      <c r="U355" s="204">
        <v>4508.62</v>
      </c>
      <c r="V355" s="204">
        <f t="shared" si="17"/>
        <v>8476.23</v>
      </c>
      <c r="W355" s="205">
        <v>450.86</v>
      </c>
      <c r="X355" s="203">
        <v>54260</v>
      </c>
      <c r="Y355" s="204">
        <v>90.17</v>
      </c>
      <c r="Z355" s="202" t="s">
        <v>97</v>
      </c>
      <c r="AA355" s="202"/>
      <c r="AB355" s="202">
        <v>139297</v>
      </c>
      <c r="AC355" s="202"/>
      <c r="AD355" s="202" t="s">
        <v>1152</v>
      </c>
      <c r="AE355" s="202" t="s">
        <v>1153</v>
      </c>
      <c r="AF355" s="203" t="s">
        <v>1154</v>
      </c>
      <c r="AG355" s="202"/>
      <c r="AH355" s="203" t="s">
        <v>1155</v>
      </c>
      <c r="AI355" s="202">
        <v>0</v>
      </c>
      <c r="AJ355" s="202">
        <v>0</v>
      </c>
    </row>
    <row r="356" spans="2:36">
      <c r="B356" s="203">
        <v>2180</v>
      </c>
      <c r="C356" s="207">
        <v>193679</v>
      </c>
      <c r="D356" s="203" t="s">
        <v>97</v>
      </c>
      <c r="E356" s="202" t="s">
        <v>695</v>
      </c>
      <c r="F356" s="203">
        <v>624</v>
      </c>
      <c r="G356" s="202"/>
      <c r="H356" s="202"/>
      <c r="I356" s="202" t="s">
        <v>1147</v>
      </c>
      <c r="J356" s="202">
        <v>0</v>
      </c>
      <c r="K356" s="202" t="s">
        <v>2502</v>
      </c>
      <c r="L356" s="202"/>
      <c r="M356" s="202"/>
      <c r="N356" s="206">
        <v>43155</v>
      </c>
      <c r="O356" s="206">
        <v>43155</v>
      </c>
      <c r="P356" s="202" t="s">
        <v>2691</v>
      </c>
      <c r="Q356" s="203">
        <v>700</v>
      </c>
      <c r="R356" s="203">
        <v>14050</v>
      </c>
      <c r="S356" s="204">
        <v>33628.550000000003</v>
      </c>
      <c r="T356" s="203">
        <v>14056</v>
      </c>
      <c r="U356" s="204">
        <v>20417.34</v>
      </c>
      <c r="V356" s="204">
        <f t="shared" si="17"/>
        <v>13211.210000000003</v>
      </c>
      <c r="W356" s="205">
        <v>2001.7</v>
      </c>
      <c r="X356" s="203">
        <v>54260</v>
      </c>
      <c r="Y356" s="204">
        <v>400.34</v>
      </c>
      <c r="Z356" s="202" t="s">
        <v>97</v>
      </c>
      <c r="AA356" s="202"/>
      <c r="AB356" s="202">
        <v>65521192</v>
      </c>
      <c r="AC356" s="202"/>
      <c r="AD356" s="202" t="s">
        <v>1152</v>
      </c>
      <c r="AE356" s="202" t="s">
        <v>1153</v>
      </c>
      <c r="AF356" s="203" t="s">
        <v>1154</v>
      </c>
      <c r="AG356" s="202"/>
      <c r="AH356" s="203" t="s">
        <v>1155</v>
      </c>
      <c r="AI356" s="202">
        <v>0</v>
      </c>
      <c r="AJ356" s="202">
        <v>0</v>
      </c>
    </row>
    <row r="357" spans="2:36">
      <c r="B357" s="203">
        <v>2180</v>
      </c>
      <c r="C357" s="207">
        <v>193678</v>
      </c>
      <c r="D357" s="203" t="s">
        <v>97</v>
      </c>
      <c r="E357" s="202" t="s">
        <v>695</v>
      </c>
      <c r="F357" s="203">
        <v>624</v>
      </c>
      <c r="G357" s="202"/>
      <c r="H357" s="202"/>
      <c r="I357" s="202" t="s">
        <v>1147</v>
      </c>
      <c r="J357" s="202">
        <v>0</v>
      </c>
      <c r="K357" s="202" t="s">
        <v>2502</v>
      </c>
      <c r="L357" s="202"/>
      <c r="M357" s="202"/>
      <c r="N357" s="206">
        <v>43155</v>
      </c>
      <c r="O357" s="206">
        <v>43155</v>
      </c>
      <c r="P357" s="202" t="s">
        <v>2691</v>
      </c>
      <c r="Q357" s="203">
        <v>700</v>
      </c>
      <c r="R357" s="203">
        <v>14050</v>
      </c>
      <c r="S357" s="204">
        <v>33628.550000000003</v>
      </c>
      <c r="T357" s="203">
        <v>14056</v>
      </c>
      <c r="U357" s="204">
        <v>20417.34</v>
      </c>
      <c r="V357" s="204">
        <f t="shared" si="17"/>
        <v>13211.210000000003</v>
      </c>
      <c r="W357" s="205">
        <v>2001.7</v>
      </c>
      <c r="X357" s="203">
        <v>54260</v>
      </c>
      <c r="Y357" s="204">
        <v>400.34</v>
      </c>
      <c r="Z357" s="202" t="s">
        <v>97</v>
      </c>
      <c r="AA357" s="202"/>
      <c r="AB357" s="202">
        <v>65521385</v>
      </c>
      <c r="AC357" s="202"/>
      <c r="AD357" s="202" t="s">
        <v>1152</v>
      </c>
      <c r="AE357" s="202" t="s">
        <v>1153</v>
      </c>
      <c r="AF357" s="203" t="s">
        <v>1154</v>
      </c>
      <c r="AG357" s="202"/>
      <c r="AH357" s="203" t="s">
        <v>1155</v>
      </c>
      <c r="AI357" s="202">
        <v>0</v>
      </c>
      <c r="AJ357" s="202">
        <v>0</v>
      </c>
    </row>
    <row r="358" spans="2:36">
      <c r="B358" s="203">
        <v>2180</v>
      </c>
      <c r="C358" s="207">
        <v>193318</v>
      </c>
      <c r="D358" s="203" t="s">
        <v>97</v>
      </c>
      <c r="E358" s="202" t="s">
        <v>671</v>
      </c>
      <c r="F358" s="203">
        <v>624</v>
      </c>
      <c r="G358" s="202"/>
      <c r="H358" s="202"/>
      <c r="I358" s="202" t="s">
        <v>1147</v>
      </c>
      <c r="J358" s="202">
        <v>0</v>
      </c>
      <c r="K358" s="202" t="s">
        <v>2502</v>
      </c>
      <c r="L358" s="202"/>
      <c r="M358" s="202"/>
      <c r="N358" s="206">
        <v>43150</v>
      </c>
      <c r="O358" s="206">
        <v>43150</v>
      </c>
      <c r="P358" s="202" t="s">
        <v>2690</v>
      </c>
      <c r="Q358" s="203">
        <v>700</v>
      </c>
      <c r="R358" s="203">
        <v>14050</v>
      </c>
      <c r="S358" s="204">
        <v>32824.15</v>
      </c>
      <c r="T358" s="203">
        <v>14056</v>
      </c>
      <c r="U358" s="204">
        <v>19928.97</v>
      </c>
      <c r="V358" s="204">
        <f t="shared" si="17"/>
        <v>12895.18</v>
      </c>
      <c r="W358" s="205">
        <v>1953.82</v>
      </c>
      <c r="X358" s="203">
        <v>54260</v>
      </c>
      <c r="Y358" s="204">
        <v>390.76</v>
      </c>
      <c r="Z358" s="202" t="s">
        <v>97</v>
      </c>
      <c r="AA358" s="202"/>
      <c r="AB358" s="202">
        <v>65520202</v>
      </c>
      <c r="AC358" s="202"/>
      <c r="AD358" s="202" t="s">
        <v>1152</v>
      </c>
      <c r="AE358" s="202" t="s">
        <v>1153</v>
      </c>
      <c r="AF358" s="203" t="s">
        <v>1154</v>
      </c>
      <c r="AG358" s="202"/>
      <c r="AH358" s="203" t="s">
        <v>1155</v>
      </c>
      <c r="AI358" s="202">
        <v>0</v>
      </c>
      <c r="AJ358" s="202">
        <v>0</v>
      </c>
    </row>
    <row r="359" spans="2:36">
      <c r="B359" s="203">
        <v>2180</v>
      </c>
      <c r="C359" s="207">
        <v>193148</v>
      </c>
      <c r="D359" s="203" t="s">
        <v>97</v>
      </c>
      <c r="E359" s="202" t="s">
        <v>638</v>
      </c>
      <c r="F359" s="203">
        <v>624</v>
      </c>
      <c r="G359" s="202"/>
      <c r="H359" s="202"/>
      <c r="I359" s="202" t="s">
        <v>1147</v>
      </c>
      <c r="J359" s="202">
        <v>0</v>
      </c>
      <c r="K359" s="202" t="s">
        <v>2502</v>
      </c>
      <c r="L359" s="202"/>
      <c r="M359" s="202"/>
      <c r="N359" s="206">
        <v>43136</v>
      </c>
      <c r="O359" s="206">
        <v>43136</v>
      </c>
      <c r="P359" s="202" t="s">
        <v>2689</v>
      </c>
      <c r="Q359" s="203">
        <v>700</v>
      </c>
      <c r="R359" s="203">
        <v>14050</v>
      </c>
      <c r="S359" s="204">
        <v>32824.15</v>
      </c>
      <c r="T359" s="203">
        <v>14056</v>
      </c>
      <c r="U359" s="204">
        <v>20319.73</v>
      </c>
      <c r="V359" s="204">
        <f t="shared" si="17"/>
        <v>12504.420000000002</v>
      </c>
      <c r="W359" s="205">
        <v>1953.82</v>
      </c>
      <c r="X359" s="203">
        <v>54260</v>
      </c>
      <c r="Y359" s="204">
        <v>390.76</v>
      </c>
      <c r="Z359" s="202" t="s">
        <v>97</v>
      </c>
      <c r="AA359" s="202"/>
      <c r="AB359" s="202">
        <v>65518726</v>
      </c>
      <c r="AC359" s="202"/>
      <c r="AD359" s="202" t="s">
        <v>1152</v>
      </c>
      <c r="AE359" s="202" t="s">
        <v>1153</v>
      </c>
      <c r="AF359" s="203" t="s">
        <v>1154</v>
      </c>
      <c r="AG359" s="202"/>
      <c r="AH359" s="203" t="s">
        <v>1155</v>
      </c>
      <c r="AI359" s="202">
        <v>0</v>
      </c>
      <c r="AJ359" s="202">
        <v>0</v>
      </c>
    </row>
    <row r="360" spans="2:36">
      <c r="B360" s="203">
        <v>2180</v>
      </c>
      <c r="C360" s="207">
        <v>192486</v>
      </c>
      <c r="D360" s="203" t="s">
        <v>97</v>
      </c>
      <c r="E360" s="202" t="s">
        <v>637</v>
      </c>
      <c r="F360" s="203">
        <v>864</v>
      </c>
      <c r="G360" s="202"/>
      <c r="H360" s="202"/>
      <c r="I360" s="202" t="s">
        <v>1147</v>
      </c>
      <c r="J360" s="202">
        <v>0</v>
      </c>
      <c r="K360" s="202" t="s">
        <v>2502</v>
      </c>
      <c r="L360" s="202"/>
      <c r="M360" s="202"/>
      <c r="N360" s="206">
        <v>43127</v>
      </c>
      <c r="O360" s="206">
        <v>43127</v>
      </c>
      <c r="P360" s="202" t="s">
        <v>2688</v>
      </c>
      <c r="Q360" s="203">
        <v>700</v>
      </c>
      <c r="R360" s="203">
        <v>14050</v>
      </c>
      <c r="S360" s="204">
        <v>39303.46</v>
      </c>
      <c r="T360" s="203">
        <v>14056</v>
      </c>
      <c r="U360" s="204">
        <v>24330.71</v>
      </c>
      <c r="V360" s="204">
        <f t="shared" si="17"/>
        <v>14972.75</v>
      </c>
      <c r="W360" s="205">
        <v>2339.4899999999998</v>
      </c>
      <c r="X360" s="203">
        <v>54260</v>
      </c>
      <c r="Y360" s="204">
        <v>467.9</v>
      </c>
      <c r="Z360" s="202" t="s">
        <v>97</v>
      </c>
      <c r="AA360" s="202"/>
      <c r="AB360" s="202">
        <v>65517681</v>
      </c>
      <c r="AC360" s="202"/>
      <c r="AD360" s="202" t="s">
        <v>1152</v>
      </c>
      <c r="AE360" s="202" t="s">
        <v>1153</v>
      </c>
      <c r="AF360" s="203" t="s">
        <v>1154</v>
      </c>
      <c r="AG360" s="202"/>
      <c r="AH360" s="203" t="s">
        <v>1155</v>
      </c>
      <c r="AI360" s="202">
        <v>0</v>
      </c>
      <c r="AJ360" s="202">
        <v>0</v>
      </c>
    </row>
    <row r="361" spans="2:36">
      <c r="B361" s="203">
        <v>2180</v>
      </c>
      <c r="C361" s="207">
        <v>191851</v>
      </c>
      <c r="D361" s="203">
        <v>189849</v>
      </c>
      <c r="E361" s="202" t="s">
        <v>165</v>
      </c>
      <c r="F361" s="203"/>
      <c r="G361" s="202"/>
      <c r="H361" s="202"/>
      <c r="I361" s="202" t="s">
        <v>1147</v>
      </c>
      <c r="J361" s="202">
        <v>0</v>
      </c>
      <c r="K361" s="202" t="s">
        <v>1042</v>
      </c>
      <c r="L361" s="202"/>
      <c r="M361" s="202" t="s">
        <v>1158</v>
      </c>
      <c r="N361" s="206">
        <v>43101</v>
      </c>
      <c r="O361" s="206">
        <v>43101</v>
      </c>
      <c r="P361" s="202" t="s">
        <v>2672</v>
      </c>
      <c r="Q361" s="203">
        <v>1000</v>
      </c>
      <c r="R361" s="203">
        <v>14040</v>
      </c>
      <c r="S361" s="204">
        <v>70.39</v>
      </c>
      <c r="T361" s="203">
        <v>14046</v>
      </c>
      <c r="U361" s="204">
        <v>31.09</v>
      </c>
      <c r="V361" s="204">
        <f t="shared" si="17"/>
        <v>39.299999999999997</v>
      </c>
      <c r="W361" s="205">
        <v>2.93</v>
      </c>
      <c r="X361" s="203">
        <v>51260</v>
      </c>
      <c r="Y361" s="204">
        <v>0.57999999999999996</v>
      </c>
      <c r="Z361" s="202" t="s">
        <v>97</v>
      </c>
      <c r="AA361" s="202"/>
      <c r="AB361" s="202">
        <v>2667</v>
      </c>
      <c r="AC361" s="202"/>
      <c r="AD361" s="202" t="s">
        <v>1152</v>
      </c>
      <c r="AE361" s="202" t="s">
        <v>1153</v>
      </c>
      <c r="AF361" s="203" t="s">
        <v>1154</v>
      </c>
      <c r="AG361" s="202"/>
      <c r="AH361" s="203" t="s">
        <v>1155</v>
      </c>
      <c r="AI361" s="202">
        <v>0</v>
      </c>
      <c r="AJ361" s="202">
        <v>0</v>
      </c>
    </row>
    <row r="362" spans="2:36">
      <c r="B362" s="203">
        <v>2180</v>
      </c>
      <c r="C362" s="207">
        <v>191850</v>
      </c>
      <c r="D362" s="203">
        <v>189848</v>
      </c>
      <c r="E362" s="202" t="s">
        <v>123</v>
      </c>
      <c r="F362" s="203"/>
      <c r="G362" s="202"/>
      <c r="H362" s="202"/>
      <c r="I362" s="202" t="s">
        <v>1147</v>
      </c>
      <c r="J362" s="202">
        <v>0</v>
      </c>
      <c r="K362" s="202" t="s">
        <v>1042</v>
      </c>
      <c r="L362" s="202"/>
      <c r="M362" s="202" t="s">
        <v>1158</v>
      </c>
      <c r="N362" s="206">
        <v>43101</v>
      </c>
      <c r="O362" s="206">
        <v>43101</v>
      </c>
      <c r="P362" s="202" t="s">
        <v>2669</v>
      </c>
      <c r="Q362" s="203">
        <v>1000</v>
      </c>
      <c r="R362" s="203">
        <v>14040</v>
      </c>
      <c r="S362" s="204">
        <v>1069.3900000000001</v>
      </c>
      <c r="T362" s="203">
        <v>14046</v>
      </c>
      <c r="U362" s="204">
        <v>472.32</v>
      </c>
      <c r="V362" s="204">
        <f t="shared" si="17"/>
        <v>597.07000000000016</v>
      </c>
      <c r="W362" s="205">
        <v>44.56</v>
      </c>
      <c r="X362" s="203">
        <v>51260</v>
      </c>
      <c r="Y362" s="204">
        <v>8.91</v>
      </c>
      <c r="Z362" s="202" t="s">
        <v>97</v>
      </c>
      <c r="AA362" s="202"/>
      <c r="AB362" s="202">
        <v>2666</v>
      </c>
      <c r="AC362" s="202"/>
      <c r="AD362" s="202" t="s">
        <v>1152</v>
      </c>
      <c r="AE362" s="202" t="s">
        <v>1153</v>
      </c>
      <c r="AF362" s="203" t="s">
        <v>1154</v>
      </c>
      <c r="AG362" s="202"/>
      <c r="AH362" s="203" t="s">
        <v>1155</v>
      </c>
      <c r="AI362" s="202">
        <v>0</v>
      </c>
      <c r="AJ362" s="202">
        <v>0</v>
      </c>
    </row>
    <row r="363" spans="2:36">
      <c r="B363" s="203">
        <v>2180</v>
      </c>
      <c r="C363" s="207">
        <v>191849</v>
      </c>
      <c r="D363" s="203">
        <v>189847</v>
      </c>
      <c r="E363" s="202" t="s">
        <v>122</v>
      </c>
      <c r="F363" s="203"/>
      <c r="G363" s="202"/>
      <c r="H363" s="202"/>
      <c r="I363" s="202" t="s">
        <v>1147</v>
      </c>
      <c r="J363" s="202">
        <v>0</v>
      </c>
      <c r="K363" s="202" t="s">
        <v>1042</v>
      </c>
      <c r="L363" s="202"/>
      <c r="M363" s="202" t="s">
        <v>1158</v>
      </c>
      <c r="N363" s="206">
        <v>43101</v>
      </c>
      <c r="O363" s="206">
        <v>43101</v>
      </c>
      <c r="P363" s="202" t="s">
        <v>2666</v>
      </c>
      <c r="Q363" s="203">
        <v>1000</v>
      </c>
      <c r="R363" s="203">
        <v>14040</v>
      </c>
      <c r="S363" s="204">
        <v>1069.3900000000001</v>
      </c>
      <c r="T363" s="203">
        <v>14046</v>
      </c>
      <c r="U363" s="204">
        <v>472.32</v>
      </c>
      <c r="V363" s="204">
        <f t="shared" si="17"/>
        <v>597.07000000000016</v>
      </c>
      <c r="W363" s="205">
        <v>44.56</v>
      </c>
      <c r="X363" s="203">
        <v>51260</v>
      </c>
      <c r="Y363" s="204">
        <v>8.91</v>
      </c>
      <c r="Z363" s="202" t="s">
        <v>97</v>
      </c>
      <c r="AA363" s="202"/>
      <c r="AB363" s="202">
        <v>2665</v>
      </c>
      <c r="AC363" s="202"/>
      <c r="AD363" s="202" t="s">
        <v>1152</v>
      </c>
      <c r="AE363" s="202" t="s">
        <v>1153</v>
      </c>
      <c r="AF363" s="203" t="s">
        <v>1154</v>
      </c>
      <c r="AG363" s="202"/>
      <c r="AH363" s="203" t="s">
        <v>1155</v>
      </c>
      <c r="AI363" s="202">
        <v>0</v>
      </c>
      <c r="AJ363" s="202">
        <v>0</v>
      </c>
    </row>
    <row r="364" spans="2:36">
      <c r="B364" s="203">
        <v>2180</v>
      </c>
      <c r="C364" s="207">
        <v>191666</v>
      </c>
      <c r="D364" s="203" t="s">
        <v>97</v>
      </c>
      <c r="E364" s="202" t="s">
        <v>587</v>
      </c>
      <c r="F364" s="203">
        <v>2</v>
      </c>
      <c r="G364" s="202"/>
      <c r="H364" s="202"/>
      <c r="I364" s="202" t="s">
        <v>1147</v>
      </c>
      <c r="J364" s="202">
        <v>0</v>
      </c>
      <c r="K364" s="202" t="s">
        <v>2598</v>
      </c>
      <c r="L364" s="202"/>
      <c r="M364" s="202" t="s">
        <v>1454</v>
      </c>
      <c r="N364" s="206">
        <v>43101</v>
      </c>
      <c r="O364" s="206">
        <v>43101</v>
      </c>
      <c r="P364" s="202" t="s">
        <v>2646</v>
      </c>
      <c r="Q364" s="203">
        <v>1110</v>
      </c>
      <c r="R364" s="203">
        <v>14050</v>
      </c>
      <c r="S364" s="204">
        <v>13402.84</v>
      </c>
      <c r="T364" s="203">
        <v>14056</v>
      </c>
      <c r="U364" s="204">
        <v>5002.49</v>
      </c>
      <c r="V364" s="204">
        <f t="shared" si="17"/>
        <v>8400.35</v>
      </c>
      <c r="W364" s="205">
        <v>471.93</v>
      </c>
      <c r="X364" s="203">
        <v>54260</v>
      </c>
      <c r="Y364" s="204">
        <v>94.38</v>
      </c>
      <c r="Z364" s="202" t="s">
        <v>97</v>
      </c>
      <c r="AA364" s="202"/>
      <c r="AB364" s="202" t="s">
        <v>2687</v>
      </c>
      <c r="AC364" s="202"/>
      <c r="AD364" s="202" t="s">
        <v>1152</v>
      </c>
      <c r="AE364" s="202" t="s">
        <v>1153</v>
      </c>
      <c r="AF364" s="203" t="s">
        <v>1154</v>
      </c>
      <c r="AG364" s="202"/>
      <c r="AH364" s="203" t="s">
        <v>1155</v>
      </c>
      <c r="AI364" s="202">
        <v>0</v>
      </c>
      <c r="AJ364" s="202">
        <v>0</v>
      </c>
    </row>
    <row r="365" spans="2:36">
      <c r="B365" s="203">
        <v>2180</v>
      </c>
      <c r="C365" s="207">
        <v>190433</v>
      </c>
      <c r="D365" s="203" t="s">
        <v>97</v>
      </c>
      <c r="E365" s="202" t="s">
        <v>2686</v>
      </c>
      <c r="F365" s="203">
        <v>2</v>
      </c>
      <c r="G365" s="202"/>
      <c r="H365" s="202"/>
      <c r="I365" s="202" t="s">
        <v>1147</v>
      </c>
      <c r="J365" s="202">
        <v>0</v>
      </c>
      <c r="K365" s="202" t="s">
        <v>2598</v>
      </c>
      <c r="L365" s="202"/>
      <c r="M365" s="202" t="s">
        <v>1454</v>
      </c>
      <c r="N365" s="206">
        <v>43041</v>
      </c>
      <c r="O365" s="206">
        <v>43041</v>
      </c>
      <c r="P365" s="202" t="s">
        <v>2646</v>
      </c>
      <c r="Q365" s="203">
        <v>1200</v>
      </c>
      <c r="R365" s="203">
        <v>14050</v>
      </c>
      <c r="S365" s="204">
        <v>12848.34</v>
      </c>
      <c r="T365" s="203">
        <v>14056</v>
      </c>
      <c r="U365" s="204">
        <v>4907.38</v>
      </c>
      <c r="V365" s="204">
        <f t="shared" si="17"/>
        <v>7940.96</v>
      </c>
      <c r="W365" s="205">
        <v>446.13</v>
      </c>
      <c r="X365" s="203">
        <v>54260</v>
      </c>
      <c r="Y365" s="204">
        <v>89.23</v>
      </c>
      <c r="Z365" s="202" t="s">
        <v>97</v>
      </c>
      <c r="AA365" s="202"/>
      <c r="AB365" s="202" t="s">
        <v>2685</v>
      </c>
      <c r="AC365" s="202"/>
      <c r="AD365" s="202" t="s">
        <v>1152</v>
      </c>
      <c r="AE365" s="202" t="s">
        <v>1153</v>
      </c>
      <c r="AF365" s="203" t="s">
        <v>1154</v>
      </c>
      <c r="AG365" s="202"/>
      <c r="AH365" s="203" t="s">
        <v>1155</v>
      </c>
      <c r="AI365" s="202">
        <v>0</v>
      </c>
      <c r="AJ365" s="202">
        <v>0</v>
      </c>
    </row>
    <row r="366" spans="2:36">
      <c r="B366" s="203">
        <v>2180</v>
      </c>
      <c r="C366" s="207">
        <v>190432</v>
      </c>
      <c r="D366" s="203" t="s">
        <v>97</v>
      </c>
      <c r="E366" s="202" t="s">
        <v>2649</v>
      </c>
      <c r="F366" s="203">
        <v>2</v>
      </c>
      <c r="G366" s="202"/>
      <c r="H366" s="202"/>
      <c r="I366" s="202" t="s">
        <v>1147</v>
      </c>
      <c r="J366" s="202">
        <v>0</v>
      </c>
      <c r="K366" s="202" t="s">
        <v>2598</v>
      </c>
      <c r="L366" s="202"/>
      <c r="M366" s="202" t="s">
        <v>1417</v>
      </c>
      <c r="N366" s="206">
        <v>43041</v>
      </c>
      <c r="O366" s="206">
        <v>43041</v>
      </c>
      <c r="P366" s="202" t="s">
        <v>2646</v>
      </c>
      <c r="Q366" s="203">
        <v>1200</v>
      </c>
      <c r="R366" s="203">
        <v>14050</v>
      </c>
      <c r="S366" s="204">
        <v>13642.18</v>
      </c>
      <c r="T366" s="203">
        <v>14056</v>
      </c>
      <c r="U366" s="204">
        <v>5210.57</v>
      </c>
      <c r="V366" s="204">
        <f t="shared" si="17"/>
        <v>8431.61</v>
      </c>
      <c r="W366" s="205">
        <v>473.69</v>
      </c>
      <c r="X366" s="203">
        <v>54260</v>
      </c>
      <c r="Y366" s="204">
        <v>94.74</v>
      </c>
      <c r="Z366" s="202" t="s">
        <v>97</v>
      </c>
      <c r="AA366" s="202"/>
      <c r="AB366" s="202" t="s">
        <v>2684</v>
      </c>
      <c r="AC366" s="202"/>
      <c r="AD366" s="202" t="s">
        <v>1152</v>
      </c>
      <c r="AE366" s="202" t="s">
        <v>1153</v>
      </c>
      <c r="AF366" s="203" t="s">
        <v>1154</v>
      </c>
      <c r="AG366" s="202"/>
      <c r="AH366" s="203" t="s">
        <v>1155</v>
      </c>
      <c r="AI366" s="202">
        <v>0</v>
      </c>
      <c r="AJ366" s="202">
        <v>0</v>
      </c>
    </row>
    <row r="367" spans="2:36">
      <c r="B367" s="203">
        <v>2180</v>
      </c>
      <c r="C367" s="207">
        <v>190185</v>
      </c>
      <c r="D367" s="203" t="s">
        <v>97</v>
      </c>
      <c r="E367" s="202" t="s">
        <v>2683</v>
      </c>
      <c r="F367" s="203">
        <v>36</v>
      </c>
      <c r="G367" s="202"/>
      <c r="H367" s="202"/>
      <c r="I367" s="202" t="s">
        <v>1147</v>
      </c>
      <c r="J367" s="202">
        <v>0</v>
      </c>
      <c r="K367" s="202" t="s">
        <v>2445</v>
      </c>
      <c r="L367" s="202"/>
      <c r="M367" s="202" t="s">
        <v>1582</v>
      </c>
      <c r="N367" s="206">
        <v>43074</v>
      </c>
      <c r="O367" s="206">
        <v>43074</v>
      </c>
      <c r="P367" s="202" t="s">
        <v>2682</v>
      </c>
      <c r="Q367" s="203">
        <v>700</v>
      </c>
      <c r="R367" s="203">
        <v>14050</v>
      </c>
      <c r="S367" s="204">
        <v>28526.21</v>
      </c>
      <c r="T367" s="203">
        <v>14056</v>
      </c>
      <c r="U367" s="204">
        <v>18338.27</v>
      </c>
      <c r="V367" s="204">
        <f t="shared" si="17"/>
        <v>10187.939999999999</v>
      </c>
      <c r="W367" s="205">
        <v>1697.99</v>
      </c>
      <c r="X367" s="203">
        <v>54260</v>
      </c>
      <c r="Y367" s="204">
        <v>339.6</v>
      </c>
      <c r="Z367" s="202" t="s">
        <v>97</v>
      </c>
      <c r="AA367" s="202"/>
      <c r="AB367" s="202" t="s">
        <v>2681</v>
      </c>
      <c r="AC367" s="202"/>
      <c r="AD367" s="202" t="s">
        <v>1152</v>
      </c>
      <c r="AE367" s="202" t="s">
        <v>1153</v>
      </c>
      <c r="AF367" s="203" t="s">
        <v>1154</v>
      </c>
      <c r="AG367" s="202"/>
      <c r="AH367" s="203" t="s">
        <v>1155</v>
      </c>
      <c r="AI367" s="202">
        <v>0</v>
      </c>
      <c r="AJ367" s="202">
        <v>0</v>
      </c>
    </row>
    <row r="368" spans="2:36">
      <c r="B368" s="203">
        <v>2180</v>
      </c>
      <c r="C368" s="207">
        <v>190184</v>
      </c>
      <c r="D368" s="203" t="s">
        <v>97</v>
      </c>
      <c r="E368" s="202" t="s">
        <v>2520</v>
      </c>
      <c r="F368" s="203">
        <v>864</v>
      </c>
      <c r="G368" s="202"/>
      <c r="H368" s="202"/>
      <c r="I368" s="202" t="s">
        <v>1147</v>
      </c>
      <c r="J368" s="202">
        <v>0</v>
      </c>
      <c r="K368" s="202" t="s">
        <v>2502</v>
      </c>
      <c r="L368" s="202"/>
      <c r="M368" s="202"/>
      <c r="N368" s="206">
        <v>43085</v>
      </c>
      <c r="O368" s="206">
        <v>43085</v>
      </c>
      <c r="P368" s="202" t="s">
        <v>2680</v>
      </c>
      <c r="Q368" s="203">
        <v>700</v>
      </c>
      <c r="R368" s="203">
        <v>14050</v>
      </c>
      <c r="S368" s="204">
        <v>39522.050000000003</v>
      </c>
      <c r="T368" s="203">
        <v>14056</v>
      </c>
      <c r="U368" s="204">
        <v>24936.54</v>
      </c>
      <c r="V368" s="204">
        <f t="shared" si="17"/>
        <v>14585.510000000002</v>
      </c>
      <c r="W368" s="205">
        <v>2352.5</v>
      </c>
      <c r="X368" s="203">
        <v>54260</v>
      </c>
      <c r="Y368" s="204">
        <v>470.5</v>
      </c>
      <c r="Z368" s="202" t="s">
        <v>97</v>
      </c>
      <c r="AA368" s="202"/>
      <c r="AB368" s="202">
        <v>65510528</v>
      </c>
      <c r="AC368" s="202"/>
      <c r="AD368" s="202" t="s">
        <v>1152</v>
      </c>
      <c r="AE368" s="202" t="s">
        <v>1153</v>
      </c>
      <c r="AF368" s="203" t="s">
        <v>1154</v>
      </c>
      <c r="AG368" s="202"/>
      <c r="AH368" s="203" t="s">
        <v>1155</v>
      </c>
      <c r="AI368" s="202">
        <v>0</v>
      </c>
      <c r="AJ368" s="202">
        <v>0</v>
      </c>
    </row>
    <row r="369" spans="2:36">
      <c r="B369" s="203">
        <v>2180</v>
      </c>
      <c r="C369" s="207">
        <v>189893</v>
      </c>
      <c r="D369" s="203" t="s">
        <v>97</v>
      </c>
      <c r="E369" s="202" t="s">
        <v>2679</v>
      </c>
      <c r="F369" s="203">
        <v>32</v>
      </c>
      <c r="G369" s="202"/>
      <c r="H369" s="202"/>
      <c r="I369" s="202" t="s">
        <v>1147</v>
      </c>
      <c r="J369" s="202">
        <v>0</v>
      </c>
      <c r="K369" s="202" t="s">
        <v>2598</v>
      </c>
      <c r="L369" s="202"/>
      <c r="M369" s="202" t="s">
        <v>1573</v>
      </c>
      <c r="N369" s="206">
        <v>43069</v>
      </c>
      <c r="O369" s="206">
        <v>43069</v>
      </c>
      <c r="P369" s="202" t="s">
        <v>2678</v>
      </c>
      <c r="Q369" s="203">
        <v>1200</v>
      </c>
      <c r="R369" s="203">
        <v>14050</v>
      </c>
      <c r="S369" s="204">
        <v>16564.64</v>
      </c>
      <c r="T369" s="203">
        <v>14056</v>
      </c>
      <c r="U369" s="204">
        <v>6211.75</v>
      </c>
      <c r="V369" s="204">
        <f t="shared" si="17"/>
        <v>10352.89</v>
      </c>
      <c r="W369" s="205">
        <v>575.16</v>
      </c>
      <c r="X369" s="203">
        <v>54260</v>
      </c>
      <c r="Y369" s="204">
        <v>115.03</v>
      </c>
      <c r="Z369" s="202" t="s">
        <v>97</v>
      </c>
      <c r="AA369" s="202"/>
      <c r="AB369" s="202" t="s">
        <v>2677</v>
      </c>
      <c r="AC369" s="202"/>
      <c r="AD369" s="202" t="s">
        <v>1152</v>
      </c>
      <c r="AE369" s="202" t="s">
        <v>1153</v>
      </c>
      <c r="AF369" s="203" t="s">
        <v>1154</v>
      </c>
      <c r="AG369" s="202"/>
      <c r="AH369" s="203" t="s">
        <v>1155</v>
      </c>
      <c r="AI369" s="202">
        <v>0</v>
      </c>
      <c r="AJ369" s="202">
        <v>0</v>
      </c>
    </row>
    <row r="370" spans="2:36">
      <c r="B370" s="203">
        <v>2180</v>
      </c>
      <c r="C370" s="207">
        <v>189892</v>
      </c>
      <c r="D370" s="203" t="s">
        <v>97</v>
      </c>
      <c r="E370" s="202" t="s">
        <v>2676</v>
      </c>
      <c r="F370" s="203">
        <v>624</v>
      </c>
      <c r="G370" s="202"/>
      <c r="H370" s="202"/>
      <c r="I370" s="202" t="s">
        <v>1147</v>
      </c>
      <c r="J370" s="202">
        <v>0</v>
      </c>
      <c r="K370" s="202" t="s">
        <v>2502</v>
      </c>
      <c r="L370" s="202"/>
      <c r="M370" s="202"/>
      <c r="N370" s="206">
        <v>43066</v>
      </c>
      <c r="O370" s="206">
        <v>43066</v>
      </c>
      <c r="P370" s="202" t="s">
        <v>2675</v>
      </c>
      <c r="Q370" s="203">
        <v>700</v>
      </c>
      <c r="R370" s="203">
        <v>14050</v>
      </c>
      <c r="S370" s="204">
        <v>32816.879999999997</v>
      </c>
      <c r="T370" s="203">
        <v>14056</v>
      </c>
      <c r="U370" s="204">
        <v>21096.59</v>
      </c>
      <c r="V370" s="204">
        <f t="shared" si="17"/>
        <v>11720.289999999997</v>
      </c>
      <c r="W370" s="205">
        <v>1953.39</v>
      </c>
      <c r="X370" s="203">
        <v>54260</v>
      </c>
      <c r="Y370" s="204">
        <v>390.68</v>
      </c>
      <c r="Z370" s="202" t="s">
        <v>97</v>
      </c>
      <c r="AA370" s="202"/>
      <c r="AB370" s="202">
        <v>65506337</v>
      </c>
      <c r="AC370" s="202"/>
      <c r="AD370" s="202" t="s">
        <v>1152</v>
      </c>
      <c r="AE370" s="202" t="s">
        <v>1153</v>
      </c>
      <c r="AF370" s="203" t="s">
        <v>1154</v>
      </c>
      <c r="AG370" s="202"/>
      <c r="AH370" s="203" t="s">
        <v>1155</v>
      </c>
      <c r="AI370" s="202">
        <v>0</v>
      </c>
      <c r="AJ370" s="202">
        <v>0</v>
      </c>
    </row>
    <row r="371" spans="2:36">
      <c r="B371" s="203">
        <v>2180</v>
      </c>
      <c r="C371" s="207">
        <v>189891</v>
      </c>
      <c r="D371" s="203" t="s">
        <v>97</v>
      </c>
      <c r="E371" s="202" t="s">
        <v>2528</v>
      </c>
      <c r="F371" s="203">
        <v>624</v>
      </c>
      <c r="G371" s="202"/>
      <c r="H371" s="202"/>
      <c r="I371" s="202" t="s">
        <v>1147</v>
      </c>
      <c r="J371" s="202">
        <v>0</v>
      </c>
      <c r="K371" s="202" t="s">
        <v>2502</v>
      </c>
      <c r="L371" s="202"/>
      <c r="M371" s="202"/>
      <c r="N371" s="206">
        <v>43066</v>
      </c>
      <c r="O371" s="206">
        <v>43066</v>
      </c>
      <c r="P371" s="202" t="s">
        <v>2674</v>
      </c>
      <c r="Q371" s="203">
        <v>700</v>
      </c>
      <c r="R371" s="203">
        <v>14050</v>
      </c>
      <c r="S371" s="204">
        <v>32816.879999999997</v>
      </c>
      <c r="T371" s="203">
        <v>14056</v>
      </c>
      <c r="U371" s="204">
        <v>21096.59</v>
      </c>
      <c r="V371" s="204">
        <f t="shared" si="17"/>
        <v>11720.289999999997</v>
      </c>
      <c r="W371" s="205">
        <v>1953.39</v>
      </c>
      <c r="X371" s="203">
        <v>54260</v>
      </c>
      <c r="Y371" s="204">
        <v>390.68</v>
      </c>
      <c r="Z371" s="202" t="s">
        <v>97</v>
      </c>
      <c r="AA371" s="202"/>
      <c r="AB371" s="202">
        <v>65506120</v>
      </c>
      <c r="AC371" s="202"/>
      <c r="AD371" s="202" t="s">
        <v>1152</v>
      </c>
      <c r="AE371" s="202" t="s">
        <v>1153</v>
      </c>
      <c r="AF371" s="203" t="s">
        <v>1154</v>
      </c>
      <c r="AG371" s="202"/>
      <c r="AH371" s="203" t="s">
        <v>1155</v>
      </c>
      <c r="AI371" s="202">
        <v>0</v>
      </c>
      <c r="AJ371" s="202">
        <v>0</v>
      </c>
    </row>
    <row r="372" spans="2:36">
      <c r="B372" s="203">
        <v>2180</v>
      </c>
      <c r="C372" s="207">
        <v>189886</v>
      </c>
      <c r="D372" s="203">
        <v>189849</v>
      </c>
      <c r="E372" s="202" t="s">
        <v>164</v>
      </c>
      <c r="F372" s="203"/>
      <c r="G372" s="202"/>
      <c r="H372" s="202"/>
      <c r="I372" s="202" t="s">
        <v>1147</v>
      </c>
      <c r="J372" s="202">
        <v>0</v>
      </c>
      <c r="K372" s="202" t="s">
        <v>1042</v>
      </c>
      <c r="L372" s="202" t="s">
        <v>1042</v>
      </c>
      <c r="M372" s="202" t="s">
        <v>1158</v>
      </c>
      <c r="N372" s="206">
        <v>43090</v>
      </c>
      <c r="O372" s="206">
        <v>43090</v>
      </c>
      <c r="P372" s="202" t="s">
        <v>2672</v>
      </c>
      <c r="Q372" s="203">
        <v>500</v>
      </c>
      <c r="R372" s="203">
        <v>14040</v>
      </c>
      <c r="S372" s="204">
        <v>2050.4699999999998</v>
      </c>
      <c r="T372" s="203">
        <v>14046</v>
      </c>
      <c r="U372" s="204">
        <v>1811.21</v>
      </c>
      <c r="V372" s="204">
        <f t="shared" si="17"/>
        <v>239.25999999999976</v>
      </c>
      <c r="W372" s="205">
        <v>170.89</v>
      </c>
      <c r="X372" s="203">
        <v>51260</v>
      </c>
      <c r="Y372" s="204">
        <v>34.18</v>
      </c>
      <c r="Z372" s="202" t="s">
        <v>97</v>
      </c>
      <c r="AA372" s="202"/>
      <c r="AB372" s="202">
        <v>4102572</v>
      </c>
      <c r="AC372" s="202"/>
      <c r="AD372" s="202" t="s">
        <v>1152</v>
      </c>
      <c r="AE372" s="202" t="s">
        <v>1153</v>
      </c>
      <c r="AF372" s="203" t="s">
        <v>1154</v>
      </c>
      <c r="AG372" s="202"/>
      <c r="AH372" s="203" t="s">
        <v>1155</v>
      </c>
      <c r="AI372" s="202">
        <v>0</v>
      </c>
      <c r="AJ372" s="202">
        <v>0</v>
      </c>
    </row>
    <row r="373" spans="2:36">
      <c r="B373" s="203">
        <v>2180</v>
      </c>
      <c r="C373" s="207">
        <v>189849</v>
      </c>
      <c r="D373" s="203" t="s">
        <v>97</v>
      </c>
      <c r="E373" s="202" t="s">
        <v>163</v>
      </c>
      <c r="F373" s="203"/>
      <c r="G373" s="202"/>
      <c r="H373" s="202" t="s">
        <v>2673</v>
      </c>
      <c r="I373" s="202"/>
      <c r="J373" s="202">
        <v>2018</v>
      </c>
      <c r="K373" s="202" t="s">
        <v>2290</v>
      </c>
      <c r="L373" s="202" t="s">
        <v>1830</v>
      </c>
      <c r="M373" s="202" t="s">
        <v>1824</v>
      </c>
      <c r="N373" s="206">
        <v>43098</v>
      </c>
      <c r="O373" s="206">
        <v>43098</v>
      </c>
      <c r="P373" s="202" t="s">
        <v>2672</v>
      </c>
      <c r="Q373" s="203">
        <v>1000</v>
      </c>
      <c r="R373" s="203">
        <v>14040</v>
      </c>
      <c r="S373" s="204">
        <v>257169.54</v>
      </c>
      <c r="T373" s="203">
        <v>14046</v>
      </c>
      <c r="U373" s="204">
        <v>113583.2</v>
      </c>
      <c r="V373" s="204">
        <f t="shared" si="17"/>
        <v>143586.34000000003</v>
      </c>
      <c r="W373" s="205">
        <v>10715.4</v>
      </c>
      <c r="X373" s="203">
        <v>51260</v>
      </c>
      <c r="Y373" s="204">
        <v>2143.08</v>
      </c>
      <c r="Z373" s="202" t="s">
        <v>97</v>
      </c>
      <c r="AA373" s="202"/>
      <c r="AB373" s="202" t="s">
        <v>2671</v>
      </c>
      <c r="AC373" s="202">
        <v>4077</v>
      </c>
      <c r="AD373" s="202" t="s">
        <v>1152</v>
      </c>
      <c r="AE373" s="202" t="s">
        <v>1153</v>
      </c>
      <c r="AF373" s="203" t="s">
        <v>1154</v>
      </c>
      <c r="AG373" s="202"/>
      <c r="AH373" s="203" t="s">
        <v>1155</v>
      </c>
      <c r="AI373" s="202">
        <v>0</v>
      </c>
      <c r="AJ373" s="202">
        <v>0</v>
      </c>
    </row>
    <row r="374" spans="2:36">
      <c r="B374" s="203">
        <v>2180</v>
      </c>
      <c r="C374" s="207">
        <v>189848</v>
      </c>
      <c r="D374" s="203" t="s">
        <v>97</v>
      </c>
      <c r="E374" s="202" t="s">
        <v>115</v>
      </c>
      <c r="F374" s="203"/>
      <c r="G374" s="202"/>
      <c r="H374" s="202" t="s">
        <v>2670</v>
      </c>
      <c r="I374" s="202"/>
      <c r="J374" s="202">
        <v>2018</v>
      </c>
      <c r="K374" s="202" t="s">
        <v>2290</v>
      </c>
      <c r="L374" s="202" t="s">
        <v>2413</v>
      </c>
      <c r="M374" s="202" t="s">
        <v>1404</v>
      </c>
      <c r="N374" s="206">
        <v>43098</v>
      </c>
      <c r="O374" s="206">
        <v>43098</v>
      </c>
      <c r="P374" s="202" t="s">
        <v>2669</v>
      </c>
      <c r="Q374" s="203">
        <v>1000</v>
      </c>
      <c r="R374" s="203">
        <v>14040</v>
      </c>
      <c r="S374" s="204">
        <v>344877.62</v>
      </c>
      <c r="T374" s="203">
        <v>14046</v>
      </c>
      <c r="U374" s="204">
        <v>152320.94</v>
      </c>
      <c r="V374" s="204">
        <f t="shared" si="17"/>
        <v>192556.68</v>
      </c>
      <c r="W374" s="205">
        <v>14369.9</v>
      </c>
      <c r="X374" s="203">
        <v>51260</v>
      </c>
      <c r="Y374" s="204">
        <v>2873.98</v>
      </c>
      <c r="Z374" s="202" t="s">
        <v>97</v>
      </c>
      <c r="AA374" s="202"/>
      <c r="AB374" s="202" t="s">
        <v>2668</v>
      </c>
      <c r="AC374" s="202">
        <v>3668</v>
      </c>
      <c r="AD374" s="202" t="s">
        <v>1152</v>
      </c>
      <c r="AE374" s="202" t="s">
        <v>1153</v>
      </c>
      <c r="AF374" s="203" t="s">
        <v>1154</v>
      </c>
      <c r="AG374" s="202"/>
      <c r="AH374" s="203" t="s">
        <v>1155</v>
      </c>
      <c r="AI374" s="202">
        <v>0</v>
      </c>
      <c r="AJ374" s="202">
        <v>0</v>
      </c>
    </row>
    <row r="375" spans="2:36">
      <c r="B375" s="203">
        <v>2180</v>
      </c>
      <c r="C375" s="207">
        <v>189847</v>
      </c>
      <c r="D375" s="203" t="s">
        <v>97</v>
      </c>
      <c r="E375" s="202" t="s">
        <v>115</v>
      </c>
      <c r="F375" s="203"/>
      <c r="G375" s="202"/>
      <c r="H375" s="202" t="s">
        <v>2667</v>
      </c>
      <c r="I375" s="202"/>
      <c r="J375" s="202">
        <v>2018</v>
      </c>
      <c r="K375" s="202" t="s">
        <v>2290</v>
      </c>
      <c r="L375" s="202" t="s">
        <v>2413</v>
      </c>
      <c r="M375" s="202" t="s">
        <v>1404</v>
      </c>
      <c r="N375" s="206">
        <v>43098</v>
      </c>
      <c r="O375" s="206">
        <v>43098</v>
      </c>
      <c r="P375" s="202" t="s">
        <v>2666</v>
      </c>
      <c r="Q375" s="203">
        <v>1000</v>
      </c>
      <c r="R375" s="203">
        <v>14040</v>
      </c>
      <c r="S375" s="204">
        <v>345348.48</v>
      </c>
      <c r="T375" s="203">
        <v>14046</v>
      </c>
      <c r="U375" s="204">
        <v>152528.92000000001</v>
      </c>
      <c r="V375" s="204">
        <f t="shared" si="17"/>
        <v>192819.55999999997</v>
      </c>
      <c r="W375" s="205">
        <v>14389.52</v>
      </c>
      <c r="X375" s="203">
        <v>51260</v>
      </c>
      <c r="Y375" s="204">
        <v>2877.9</v>
      </c>
      <c r="Z375" s="202" t="s">
        <v>97</v>
      </c>
      <c r="AA375" s="202"/>
      <c r="AB375" s="202" t="s">
        <v>2665</v>
      </c>
      <c r="AC375" s="202">
        <v>3667</v>
      </c>
      <c r="AD375" s="202" t="s">
        <v>1152</v>
      </c>
      <c r="AE375" s="202" t="s">
        <v>1153</v>
      </c>
      <c r="AF375" s="203" t="s">
        <v>1154</v>
      </c>
      <c r="AG375" s="202"/>
      <c r="AH375" s="203" t="s">
        <v>1155</v>
      </c>
      <c r="AI375" s="202">
        <v>0</v>
      </c>
      <c r="AJ375" s="202">
        <v>0</v>
      </c>
    </row>
    <row r="376" spans="2:36">
      <c r="B376" s="203">
        <v>2180</v>
      </c>
      <c r="C376" s="207">
        <v>189846</v>
      </c>
      <c r="D376" s="203">
        <v>188923</v>
      </c>
      <c r="E376" s="202" t="s">
        <v>109</v>
      </c>
      <c r="F376" s="203"/>
      <c r="G376" s="202"/>
      <c r="H376" s="202" t="s">
        <v>2567</v>
      </c>
      <c r="I376" s="202"/>
      <c r="J376" s="202">
        <v>0</v>
      </c>
      <c r="K376" s="202"/>
      <c r="L376" s="202" t="s">
        <v>2567</v>
      </c>
      <c r="M376" s="202" t="s">
        <v>1447</v>
      </c>
      <c r="N376" s="206">
        <v>43060</v>
      </c>
      <c r="O376" s="206">
        <v>43060</v>
      </c>
      <c r="P376" s="202" t="s">
        <v>2653</v>
      </c>
      <c r="Q376" s="203">
        <v>500</v>
      </c>
      <c r="R376" s="203">
        <v>14040</v>
      </c>
      <c r="S376" s="204">
        <v>1460.46</v>
      </c>
      <c r="T376" s="203">
        <v>14046</v>
      </c>
      <c r="U376" s="204">
        <v>1314.4</v>
      </c>
      <c r="V376" s="204">
        <f t="shared" si="17"/>
        <v>146.05999999999995</v>
      </c>
      <c r="W376" s="205">
        <v>121.7</v>
      </c>
      <c r="X376" s="203">
        <v>51260</v>
      </c>
      <c r="Y376" s="204">
        <v>24.34</v>
      </c>
      <c r="Z376" s="202" t="s">
        <v>97</v>
      </c>
      <c r="AA376" s="202"/>
      <c r="AB376" s="202">
        <v>2643</v>
      </c>
      <c r="AC376" s="202"/>
      <c r="AD376" s="202" t="s">
        <v>1152</v>
      </c>
      <c r="AE376" s="202" t="s">
        <v>1153</v>
      </c>
      <c r="AF376" s="203" t="s">
        <v>1154</v>
      </c>
      <c r="AG376" s="202"/>
      <c r="AH376" s="203" t="s">
        <v>1155</v>
      </c>
      <c r="AI376" s="202">
        <v>0</v>
      </c>
      <c r="AJ376" s="202">
        <v>0</v>
      </c>
    </row>
    <row r="377" spans="2:36">
      <c r="B377" s="203">
        <v>2180</v>
      </c>
      <c r="C377" s="207">
        <v>189845</v>
      </c>
      <c r="D377" s="203" t="s">
        <v>97</v>
      </c>
      <c r="E377" s="202" t="s">
        <v>116</v>
      </c>
      <c r="F377" s="203"/>
      <c r="G377" s="202"/>
      <c r="H377" s="202" t="s">
        <v>2664</v>
      </c>
      <c r="I377" s="202"/>
      <c r="J377" s="202">
        <v>2017</v>
      </c>
      <c r="K377" s="202" t="s">
        <v>2290</v>
      </c>
      <c r="L377" s="202" t="s">
        <v>2639</v>
      </c>
      <c r="M377" s="202" t="s">
        <v>1394</v>
      </c>
      <c r="N377" s="206">
        <v>43052</v>
      </c>
      <c r="O377" s="206">
        <v>43052</v>
      </c>
      <c r="P377" s="202" t="s">
        <v>2663</v>
      </c>
      <c r="Q377" s="203">
        <v>1000</v>
      </c>
      <c r="R377" s="203">
        <v>14040</v>
      </c>
      <c r="S377" s="204">
        <v>230038.72</v>
      </c>
      <c r="T377" s="203">
        <v>14046</v>
      </c>
      <c r="U377" s="204">
        <v>105434.41</v>
      </c>
      <c r="V377" s="204">
        <f t="shared" si="17"/>
        <v>124604.31</v>
      </c>
      <c r="W377" s="205">
        <v>9584.9500000000007</v>
      </c>
      <c r="X377" s="203">
        <v>51260</v>
      </c>
      <c r="Y377" s="204">
        <v>1916.99</v>
      </c>
      <c r="Z377" s="202" t="s">
        <v>97</v>
      </c>
      <c r="AA377" s="202"/>
      <c r="AB377" s="202" t="s">
        <v>2662</v>
      </c>
      <c r="AC377" s="202">
        <v>1080</v>
      </c>
      <c r="AD377" s="202" t="s">
        <v>1152</v>
      </c>
      <c r="AE377" s="202" t="s">
        <v>1153</v>
      </c>
      <c r="AF377" s="203" t="s">
        <v>1154</v>
      </c>
      <c r="AG377" s="202"/>
      <c r="AH377" s="203" t="s">
        <v>1155</v>
      </c>
      <c r="AI377" s="202">
        <v>0</v>
      </c>
      <c r="AJ377" s="202">
        <v>0</v>
      </c>
    </row>
    <row r="378" spans="2:36">
      <c r="B378" s="203">
        <v>2180</v>
      </c>
      <c r="C378" s="207">
        <v>189844</v>
      </c>
      <c r="D378" s="203">
        <v>188922</v>
      </c>
      <c r="E378" s="202" t="s">
        <v>211</v>
      </c>
      <c r="F378" s="203"/>
      <c r="G378" s="202"/>
      <c r="H378" s="202" t="s">
        <v>2567</v>
      </c>
      <c r="I378" s="202"/>
      <c r="J378" s="202">
        <v>0</v>
      </c>
      <c r="K378" s="202"/>
      <c r="L378" s="202" t="s">
        <v>2567</v>
      </c>
      <c r="M378" s="202" t="s">
        <v>1447</v>
      </c>
      <c r="N378" s="206">
        <v>43045</v>
      </c>
      <c r="O378" s="206">
        <v>43045</v>
      </c>
      <c r="P378" s="202" t="s">
        <v>2651</v>
      </c>
      <c r="Q378" s="203">
        <v>1000</v>
      </c>
      <c r="R378" s="203">
        <v>14040</v>
      </c>
      <c r="S378" s="204">
        <v>2205.89</v>
      </c>
      <c r="T378" s="203">
        <v>14046</v>
      </c>
      <c r="U378" s="204">
        <v>1011.04</v>
      </c>
      <c r="V378" s="204">
        <f t="shared" si="17"/>
        <v>1194.8499999999999</v>
      </c>
      <c r="W378" s="205">
        <v>91.91</v>
      </c>
      <c r="X378" s="203">
        <v>51260</v>
      </c>
      <c r="Y378" s="204">
        <v>18.38</v>
      </c>
      <c r="Z378" s="202" t="s">
        <v>97</v>
      </c>
      <c r="AA378" s="202"/>
      <c r="AB378" s="202">
        <v>2622</v>
      </c>
      <c r="AC378" s="202"/>
      <c r="AD378" s="202" t="s">
        <v>1152</v>
      </c>
      <c r="AE378" s="202" t="s">
        <v>1153</v>
      </c>
      <c r="AF378" s="203" t="s">
        <v>1154</v>
      </c>
      <c r="AG378" s="202"/>
      <c r="AH378" s="203" t="s">
        <v>1155</v>
      </c>
      <c r="AI378" s="202">
        <v>0</v>
      </c>
      <c r="AJ378" s="202">
        <v>0</v>
      </c>
    </row>
    <row r="379" spans="2:36">
      <c r="B379" s="203">
        <v>2180</v>
      </c>
      <c r="C379" s="207">
        <v>189843</v>
      </c>
      <c r="D379" s="203" t="s">
        <v>97</v>
      </c>
      <c r="E379" s="202" t="s">
        <v>115</v>
      </c>
      <c r="F379" s="203"/>
      <c r="G379" s="202"/>
      <c r="H379" s="202" t="s">
        <v>2661</v>
      </c>
      <c r="I379" s="202"/>
      <c r="J379" s="202">
        <v>2018</v>
      </c>
      <c r="K379" s="202" t="s">
        <v>2290</v>
      </c>
      <c r="L379" s="202" t="s">
        <v>2413</v>
      </c>
      <c r="M379" s="202" t="s">
        <v>1404</v>
      </c>
      <c r="N379" s="206">
        <v>43045</v>
      </c>
      <c r="O379" s="206">
        <v>43045</v>
      </c>
      <c r="P379" s="202" t="s">
        <v>2660</v>
      </c>
      <c r="Q379" s="203">
        <v>1000</v>
      </c>
      <c r="R379" s="203">
        <v>14040</v>
      </c>
      <c r="S379" s="204">
        <v>336216.89</v>
      </c>
      <c r="T379" s="203">
        <v>14046</v>
      </c>
      <c r="U379" s="204">
        <v>154099.42000000001</v>
      </c>
      <c r="V379" s="204">
        <f t="shared" si="17"/>
        <v>182117.47</v>
      </c>
      <c r="W379" s="205">
        <v>14009.04</v>
      </c>
      <c r="X379" s="203">
        <v>51260</v>
      </c>
      <c r="Y379" s="204">
        <v>2801.81</v>
      </c>
      <c r="Z379" s="202" t="s">
        <v>97</v>
      </c>
      <c r="AA379" s="202"/>
      <c r="AB379" s="202" t="s">
        <v>2659</v>
      </c>
      <c r="AC379" s="202">
        <v>3661</v>
      </c>
      <c r="AD379" s="202" t="s">
        <v>1152</v>
      </c>
      <c r="AE379" s="202" t="s">
        <v>1153</v>
      </c>
      <c r="AF379" s="203" t="s">
        <v>1154</v>
      </c>
      <c r="AG379" s="202"/>
      <c r="AH379" s="203" t="s">
        <v>1155</v>
      </c>
      <c r="AI379" s="202">
        <v>0</v>
      </c>
      <c r="AJ379" s="202">
        <v>0</v>
      </c>
    </row>
    <row r="380" spans="2:36">
      <c r="B380" s="203">
        <v>2180</v>
      </c>
      <c r="C380" s="207">
        <v>189842</v>
      </c>
      <c r="D380" s="203" t="s">
        <v>97</v>
      </c>
      <c r="E380" s="202" t="s">
        <v>118</v>
      </c>
      <c r="F380" s="203"/>
      <c r="G380" s="202"/>
      <c r="H380" s="202" t="s">
        <v>2658</v>
      </c>
      <c r="I380" s="202"/>
      <c r="J380" s="202">
        <v>2018</v>
      </c>
      <c r="K380" s="202" t="s">
        <v>2290</v>
      </c>
      <c r="L380" s="202" t="s">
        <v>2584</v>
      </c>
      <c r="M380" s="202" t="s">
        <v>1999</v>
      </c>
      <c r="N380" s="206">
        <v>43052</v>
      </c>
      <c r="O380" s="206">
        <v>43052</v>
      </c>
      <c r="P380" s="202" t="s">
        <v>2657</v>
      </c>
      <c r="Q380" s="203">
        <v>1000</v>
      </c>
      <c r="R380" s="203">
        <v>14040</v>
      </c>
      <c r="S380" s="204">
        <v>318612.62</v>
      </c>
      <c r="T380" s="203">
        <v>14046</v>
      </c>
      <c r="U380" s="204">
        <v>146030.78</v>
      </c>
      <c r="V380" s="204">
        <f t="shared" si="17"/>
        <v>172581.84</v>
      </c>
      <c r="W380" s="205">
        <v>13275.53</v>
      </c>
      <c r="X380" s="203">
        <v>51260</v>
      </c>
      <c r="Y380" s="204">
        <v>2655.11</v>
      </c>
      <c r="Z380" s="202" t="s">
        <v>97</v>
      </c>
      <c r="AA380" s="202"/>
      <c r="AB380" s="202" t="s">
        <v>2656</v>
      </c>
      <c r="AC380" s="202">
        <v>2049</v>
      </c>
      <c r="AD380" s="202" t="s">
        <v>1152</v>
      </c>
      <c r="AE380" s="202" t="s">
        <v>1153</v>
      </c>
      <c r="AF380" s="203" t="s">
        <v>1154</v>
      </c>
      <c r="AG380" s="202"/>
      <c r="AH380" s="203" t="s">
        <v>1155</v>
      </c>
      <c r="AI380" s="202">
        <v>0</v>
      </c>
      <c r="AJ380" s="202">
        <v>0</v>
      </c>
    </row>
    <row r="381" spans="2:36">
      <c r="B381" s="203">
        <v>2180</v>
      </c>
      <c r="C381" s="207">
        <v>189409</v>
      </c>
      <c r="D381" s="203">
        <v>187603</v>
      </c>
      <c r="E381" s="202" t="s">
        <v>120</v>
      </c>
      <c r="F381" s="203"/>
      <c r="G381" s="202"/>
      <c r="H381" s="202"/>
      <c r="I381" s="202" t="s">
        <v>1147</v>
      </c>
      <c r="J381" s="202">
        <v>0</v>
      </c>
      <c r="K381" s="202">
        <v>0</v>
      </c>
      <c r="L381" s="202"/>
      <c r="M381" s="202" t="s">
        <v>1158</v>
      </c>
      <c r="N381" s="206">
        <v>43031</v>
      </c>
      <c r="O381" s="206">
        <v>43031</v>
      </c>
      <c r="P381" s="202" t="s">
        <v>2638</v>
      </c>
      <c r="Q381" s="203">
        <v>500</v>
      </c>
      <c r="R381" s="203">
        <v>14040</v>
      </c>
      <c r="S381" s="204">
        <v>470.89</v>
      </c>
      <c r="T381" s="203">
        <v>14046</v>
      </c>
      <c r="U381" s="204">
        <v>431.66</v>
      </c>
      <c r="V381" s="204">
        <f t="shared" si="17"/>
        <v>39.229999999999961</v>
      </c>
      <c r="W381" s="205">
        <v>39.24</v>
      </c>
      <c r="X381" s="203">
        <v>51260</v>
      </c>
      <c r="Y381" s="204">
        <v>7.85</v>
      </c>
      <c r="Z381" s="202" t="s">
        <v>97</v>
      </c>
      <c r="AA381" s="202"/>
      <c r="AB381" s="202">
        <v>5101728</v>
      </c>
      <c r="AC381" s="202"/>
      <c r="AD381" s="202" t="s">
        <v>1152</v>
      </c>
      <c r="AE381" s="202" t="s">
        <v>1153</v>
      </c>
      <c r="AF381" s="203" t="s">
        <v>1154</v>
      </c>
      <c r="AG381" s="202"/>
      <c r="AH381" s="203" t="s">
        <v>1155</v>
      </c>
      <c r="AI381" s="202">
        <v>0</v>
      </c>
      <c r="AJ381" s="202">
        <v>0</v>
      </c>
    </row>
    <row r="382" spans="2:36">
      <c r="B382" s="203">
        <v>2180</v>
      </c>
      <c r="C382" s="207">
        <v>189264</v>
      </c>
      <c r="D382" s="203">
        <v>187603</v>
      </c>
      <c r="E382" s="202" t="s">
        <v>2655</v>
      </c>
      <c r="F382" s="203"/>
      <c r="G382" s="202"/>
      <c r="H382" s="202">
        <v>0</v>
      </c>
      <c r="I382" s="202" t="s">
        <v>1147</v>
      </c>
      <c r="J382" s="202">
        <v>0</v>
      </c>
      <c r="K382" s="202">
        <v>0</v>
      </c>
      <c r="L382" s="202"/>
      <c r="M382" s="202" t="s">
        <v>1158</v>
      </c>
      <c r="N382" s="206">
        <v>43031</v>
      </c>
      <c r="O382" s="206">
        <v>43031</v>
      </c>
      <c r="P382" s="202" t="s">
        <v>2638</v>
      </c>
      <c r="Q382" s="203">
        <v>1000</v>
      </c>
      <c r="R382" s="203">
        <v>14040</v>
      </c>
      <c r="S382" s="204">
        <v>952.44</v>
      </c>
      <c r="T382" s="203">
        <v>14046</v>
      </c>
      <c r="U382" s="204">
        <v>436.51</v>
      </c>
      <c r="V382" s="204">
        <f t="shared" si="17"/>
        <v>515.93000000000006</v>
      </c>
      <c r="W382" s="205">
        <v>39.68</v>
      </c>
      <c r="X382" s="203">
        <v>51260</v>
      </c>
      <c r="Y382" s="204">
        <v>7.93</v>
      </c>
      <c r="Z382" s="202" t="s">
        <v>97</v>
      </c>
      <c r="AA382" s="202"/>
      <c r="AB382" s="202">
        <v>2630</v>
      </c>
      <c r="AC382" s="202"/>
      <c r="AD382" s="202" t="s">
        <v>1152</v>
      </c>
      <c r="AE382" s="202" t="s">
        <v>1153</v>
      </c>
      <c r="AF382" s="203" t="s">
        <v>1154</v>
      </c>
      <c r="AG382" s="202"/>
      <c r="AH382" s="203" t="s">
        <v>1155</v>
      </c>
      <c r="AI382" s="202">
        <v>0</v>
      </c>
      <c r="AJ382" s="202">
        <v>0</v>
      </c>
    </row>
    <row r="383" spans="2:36">
      <c r="B383" s="203">
        <v>2180</v>
      </c>
      <c r="C383" s="207">
        <v>188923</v>
      </c>
      <c r="D383" s="203" t="s">
        <v>97</v>
      </c>
      <c r="E383" s="202" t="s">
        <v>247</v>
      </c>
      <c r="F383" s="203"/>
      <c r="G383" s="202"/>
      <c r="H383" s="202" t="s">
        <v>2654</v>
      </c>
      <c r="I383" s="202"/>
      <c r="J383" s="202">
        <v>2017</v>
      </c>
      <c r="K383" s="202" t="s">
        <v>2556</v>
      </c>
      <c r="L383" s="202" t="s">
        <v>1830</v>
      </c>
      <c r="M383" s="202" t="s">
        <v>1503</v>
      </c>
      <c r="N383" s="206">
        <v>43060</v>
      </c>
      <c r="O383" s="206">
        <v>43060</v>
      </c>
      <c r="P383" s="202" t="s">
        <v>2653</v>
      </c>
      <c r="Q383" s="203">
        <v>1000</v>
      </c>
      <c r="R383" s="203">
        <v>14040</v>
      </c>
      <c r="S383" s="204">
        <v>68242.36</v>
      </c>
      <c r="T383" s="203">
        <v>14046</v>
      </c>
      <c r="U383" s="204">
        <v>30709.08</v>
      </c>
      <c r="V383" s="204">
        <f t="shared" si="17"/>
        <v>37533.279999999999</v>
      </c>
      <c r="W383" s="205">
        <v>2843.43</v>
      </c>
      <c r="X383" s="203">
        <v>51260</v>
      </c>
      <c r="Y383" s="204">
        <v>568.67999999999995</v>
      </c>
      <c r="Z383" s="202" t="s">
        <v>97</v>
      </c>
      <c r="AA383" s="202"/>
      <c r="AB383" s="202">
        <v>98581</v>
      </c>
      <c r="AC383" s="202">
        <v>9569</v>
      </c>
      <c r="AD383" s="202" t="s">
        <v>1152</v>
      </c>
      <c r="AE383" s="202" t="s">
        <v>1153</v>
      </c>
      <c r="AF383" s="203" t="s">
        <v>1154</v>
      </c>
      <c r="AG383" s="202"/>
      <c r="AH383" s="203" t="s">
        <v>1155</v>
      </c>
      <c r="AI383" s="202">
        <v>0</v>
      </c>
      <c r="AJ383" s="202">
        <v>0</v>
      </c>
    </row>
    <row r="384" spans="2:36">
      <c r="B384" s="203">
        <v>2180</v>
      </c>
      <c r="C384" s="207">
        <v>188922</v>
      </c>
      <c r="D384" s="203" t="s">
        <v>97</v>
      </c>
      <c r="E384" s="202" t="s">
        <v>115</v>
      </c>
      <c r="F384" s="203"/>
      <c r="G384" s="202"/>
      <c r="H384" s="202" t="s">
        <v>2652</v>
      </c>
      <c r="I384" s="202"/>
      <c r="J384" s="202">
        <v>2018</v>
      </c>
      <c r="K384" s="202" t="s">
        <v>2290</v>
      </c>
      <c r="L384" s="202" t="s">
        <v>2413</v>
      </c>
      <c r="M384" s="202" t="s">
        <v>1404</v>
      </c>
      <c r="N384" s="206">
        <v>43045</v>
      </c>
      <c r="O384" s="206">
        <v>43045</v>
      </c>
      <c r="P384" s="202" t="s">
        <v>2651</v>
      </c>
      <c r="Q384" s="203">
        <v>1000</v>
      </c>
      <c r="R384" s="203">
        <v>14040</v>
      </c>
      <c r="S384" s="204">
        <v>333936.34000000003</v>
      </c>
      <c r="T384" s="203">
        <v>14046</v>
      </c>
      <c r="U384" s="204">
        <v>153054.14000000001</v>
      </c>
      <c r="V384" s="204">
        <f t="shared" si="17"/>
        <v>180882.2</v>
      </c>
      <c r="W384" s="205">
        <v>13914.01</v>
      </c>
      <c r="X384" s="203">
        <v>51260</v>
      </c>
      <c r="Y384" s="204">
        <v>2782.8</v>
      </c>
      <c r="Z384" s="202" t="s">
        <v>97</v>
      </c>
      <c r="AA384" s="202"/>
      <c r="AB384" s="202" t="s">
        <v>2650</v>
      </c>
      <c r="AC384" s="202">
        <v>3660</v>
      </c>
      <c r="AD384" s="202" t="s">
        <v>1152</v>
      </c>
      <c r="AE384" s="202" t="s">
        <v>1153</v>
      </c>
      <c r="AF384" s="203" t="s">
        <v>1154</v>
      </c>
      <c r="AG384" s="202"/>
      <c r="AH384" s="203" t="s">
        <v>1155</v>
      </c>
      <c r="AI384" s="202">
        <v>0</v>
      </c>
      <c r="AJ384" s="202">
        <v>0</v>
      </c>
    </row>
    <row r="385" spans="2:36">
      <c r="B385" s="203">
        <v>2180</v>
      </c>
      <c r="C385" s="207">
        <v>188833</v>
      </c>
      <c r="D385" s="203" t="s">
        <v>97</v>
      </c>
      <c r="E385" s="202" t="s">
        <v>2649</v>
      </c>
      <c r="F385" s="203">
        <v>5</v>
      </c>
      <c r="G385" s="202"/>
      <c r="H385" s="202"/>
      <c r="I385" s="202" t="s">
        <v>1147</v>
      </c>
      <c r="J385" s="202">
        <v>0</v>
      </c>
      <c r="K385" s="202" t="s">
        <v>2598</v>
      </c>
      <c r="L385" s="202"/>
      <c r="M385" s="202" t="s">
        <v>1417</v>
      </c>
      <c r="N385" s="206">
        <v>43032</v>
      </c>
      <c r="O385" s="206">
        <v>43032</v>
      </c>
      <c r="P385" s="202" t="s">
        <v>2646</v>
      </c>
      <c r="Q385" s="203">
        <v>1200</v>
      </c>
      <c r="R385" s="203">
        <v>14050</v>
      </c>
      <c r="S385" s="204">
        <v>35596.15</v>
      </c>
      <c r="T385" s="203">
        <v>14056</v>
      </c>
      <c r="U385" s="204">
        <v>13595.77</v>
      </c>
      <c r="V385" s="204">
        <f t="shared" si="17"/>
        <v>22000.38</v>
      </c>
      <c r="W385" s="205">
        <v>1235.98</v>
      </c>
      <c r="X385" s="203">
        <v>54260</v>
      </c>
      <c r="Y385" s="204">
        <v>247.2</v>
      </c>
      <c r="Z385" s="202" t="s">
        <v>97</v>
      </c>
      <c r="AA385" s="202"/>
      <c r="AB385" s="202" t="s">
        <v>2648</v>
      </c>
      <c r="AC385" s="202"/>
      <c r="AD385" s="202" t="s">
        <v>1152</v>
      </c>
      <c r="AE385" s="202" t="s">
        <v>1153</v>
      </c>
      <c r="AF385" s="203" t="s">
        <v>1154</v>
      </c>
      <c r="AG385" s="202"/>
      <c r="AH385" s="203" t="s">
        <v>1155</v>
      </c>
      <c r="AI385" s="202">
        <v>0</v>
      </c>
      <c r="AJ385" s="202">
        <v>0</v>
      </c>
    </row>
    <row r="386" spans="2:36">
      <c r="B386" s="203">
        <v>2180</v>
      </c>
      <c r="C386" s="207">
        <v>188832</v>
      </c>
      <c r="D386" s="203" t="s">
        <v>97</v>
      </c>
      <c r="E386" s="202" t="s">
        <v>2647</v>
      </c>
      <c r="F386" s="203">
        <v>3</v>
      </c>
      <c r="G386" s="202"/>
      <c r="H386" s="202"/>
      <c r="I386" s="202" t="s">
        <v>1147</v>
      </c>
      <c r="J386" s="202">
        <v>0</v>
      </c>
      <c r="K386" s="202" t="s">
        <v>2598</v>
      </c>
      <c r="L386" s="202"/>
      <c r="M386" s="202" t="s">
        <v>1454</v>
      </c>
      <c r="N386" s="206">
        <v>43032</v>
      </c>
      <c r="O386" s="206">
        <v>43032</v>
      </c>
      <c r="P386" s="202" t="s">
        <v>2646</v>
      </c>
      <c r="Q386" s="203">
        <v>1200</v>
      </c>
      <c r="R386" s="203">
        <v>14050</v>
      </c>
      <c r="S386" s="204">
        <v>20104.259999999998</v>
      </c>
      <c r="T386" s="203">
        <v>14056</v>
      </c>
      <c r="U386" s="204">
        <v>7678.74</v>
      </c>
      <c r="V386" s="204">
        <f t="shared" si="17"/>
        <v>12425.519999999999</v>
      </c>
      <c r="W386" s="205">
        <v>698.07</v>
      </c>
      <c r="X386" s="203">
        <v>54260</v>
      </c>
      <c r="Y386" s="204">
        <v>139.62</v>
      </c>
      <c r="Z386" s="202" t="s">
        <v>97</v>
      </c>
      <c r="AA386" s="202"/>
      <c r="AB386" s="202" t="s">
        <v>2645</v>
      </c>
      <c r="AC386" s="202"/>
      <c r="AD386" s="202" t="s">
        <v>1152</v>
      </c>
      <c r="AE386" s="202" t="s">
        <v>1153</v>
      </c>
      <c r="AF386" s="203" t="s">
        <v>1154</v>
      </c>
      <c r="AG386" s="202"/>
      <c r="AH386" s="203" t="s">
        <v>1155</v>
      </c>
      <c r="AI386" s="202">
        <v>0</v>
      </c>
      <c r="AJ386" s="202">
        <v>0</v>
      </c>
    </row>
    <row r="387" spans="2:36">
      <c r="B387" s="203">
        <v>2180</v>
      </c>
      <c r="C387" s="207">
        <v>188831</v>
      </c>
      <c r="D387" s="203" t="s">
        <v>97</v>
      </c>
      <c r="E387" s="202" t="s">
        <v>2599</v>
      </c>
      <c r="F387" s="203">
        <v>16</v>
      </c>
      <c r="G387" s="202"/>
      <c r="H387" s="202"/>
      <c r="I387" s="202" t="s">
        <v>1147</v>
      </c>
      <c r="J387" s="202">
        <v>0</v>
      </c>
      <c r="K387" s="202" t="s">
        <v>2598</v>
      </c>
      <c r="L387" s="202"/>
      <c r="M387" s="202" t="s">
        <v>1456</v>
      </c>
      <c r="N387" s="206">
        <v>42996</v>
      </c>
      <c r="O387" s="206">
        <v>42996</v>
      </c>
      <c r="P387" s="202" t="s">
        <v>2618</v>
      </c>
      <c r="Q387" s="203">
        <v>1200</v>
      </c>
      <c r="R387" s="203">
        <v>14050</v>
      </c>
      <c r="S387" s="204">
        <v>13540.65</v>
      </c>
      <c r="T387" s="203">
        <v>14056</v>
      </c>
      <c r="U387" s="204">
        <v>5265.82</v>
      </c>
      <c r="V387" s="204">
        <f t="shared" si="17"/>
        <v>8274.83</v>
      </c>
      <c r="W387" s="205">
        <v>470.16</v>
      </c>
      <c r="X387" s="203">
        <v>54260</v>
      </c>
      <c r="Y387" s="204">
        <v>94.03</v>
      </c>
      <c r="Z387" s="202" t="s">
        <v>97</v>
      </c>
      <c r="AA387" s="202"/>
      <c r="AB387" s="202" t="s">
        <v>2644</v>
      </c>
      <c r="AC387" s="202"/>
      <c r="AD387" s="202" t="s">
        <v>1152</v>
      </c>
      <c r="AE387" s="202" t="s">
        <v>1153</v>
      </c>
      <c r="AF387" s="203" t="s">
        <v>1154</v>
      </c>
      <c r="AG387" s="202"/>
      <c r="AH387" s="203" t="s">
        <v>1155</v>
      </c>
      <c r="AI387" s="202">
        <v>0</v>
      </c>
      <c r="AJ387" s="202">
        <v>0</v>
      </c>
    </row>
    <row r="388" spans="2:36">
      <c r="B388" s="203">
        <v>2180</v>
      </c>
      <c r="C388" s="207">
        <v>188505</v>
      </c>
      <c r="D388" s="203">
        <v>187603</v>
      </c>
      <c r="E388" s="202" t="s">
        <v>2643</v>
      </c>
      <c r="F388" s="203"/>
      <c r="G388" s="202"/>
      <c r="H388" s="202"/>
      <c r="I388" s="202" t="s">
        <v>1147</v>
      </c>
      <c r="J388" s="202">
        <v>0</v>
      </c>
      <c r="K388" s="202">
        <v>0</v>
      </c>
      <c r="L388" s="202">
        <v>0</v>
      </c>
      <c r="M388" s="202" t="s">
        <v>1447</v>
      </c>
      <c r="N388" s="206">
        <v>43031</v>
      </c>
      <c r="O388" s="206">
        <v>43031</v>
      </c>
      <c r="P388" s="202" t="s">
        <v>2638</v>
      </c>
      <c r="Q388" s="203">
        <v>500</v>
      </c>
      <c r="R388" s="203">
        <v>14040</v>
      </c>
      <c r="S388" s="204">
        <v>995.61</v>
      </c>
      <c r="T388" s="203">
        <v>14046</v>
      </c>
      <c r="U388" s="204">
        <v>912.64</v>
      </c>
      <c r="V388" s="204">
        <f t="shared" si="17"/>
        <v>82.970000000000027</v>
      </c>
      <c r="W388" s="205">
        <v>82.97</v>
      </c>
      <c r="X388" s="203">
        <v>51260</v>
      </c>
      <c r="Y388" s="204">
        <v>16.59</v>
      </c>
      <c r="Z388" s="202" t="s">
        <v>97</v>
      </c>
      <c r="AA388" s="202"/>
      <c r="AB388" s="202">
        <v>2126</v>
      </c>
      <c r="AC388" s="202"/>
      <c r="AD388" s="202" t="s">
        <v>1152</v>
      </c>
      <c r="AE388" s="202" t="s">
        <v>1153</v>
      </c>
      <c r="AF388" s="203" t="s">
        <v>1154</v>
      </c>
      <c r="AG388" s="202"/>
      <c r="AH388" s="203" t="s">
        <v>1155</v>
      </c>
      <c r="AI388" s="202">
        <v>0</v>
      </c>
      <c r="AJ388" s="202">
        <v>0</v>
      </c>
    </row>
    <row r="389" spans="2:36">
      <c r="B389" s="203">
        <v>2180</v>
      </c>
      <c r="C389" s="207">
        <v>188504</v>
      </c>
      <c r="D389" s="203">
        <v>187603</v>
      </c>
      <c r="E389" s="202" t="s">
        <v>2642</v>
      </c>
      <c r="F389" s="203"/>
      <c r="G389" s="202"/>
      <c r="H389" s="202"/>
      <c r="I389" s="202" t="s">
        <v>1147</v>
      </c>
      <c r="J389" s="202">
        <v>0</v>
      </c>
      <c r="K389" s="202">
        <v>0</v>
      </c>
      <c r="L389" s="202">
        <v>0</v>
      </c>
      <c r="M389" s="202" t="s">
        <v>1447</v>
      </c>
      <c r="N389" s="206">
        <v>43031</v>
      </c>
      <c r="O389" s="206">
        <v>43031</v>
      </c>
      <c r="P389" s="202" t="s">
        <v>2638</v>
      </c>
      <c r="Q389" s="203">
        <v>1000</v>
      </c>
      <c r="R389" s="203">
        <v>14040</v>
      </c>
      <c r="S389" s="204">
        <v>264.51</v>
      </c>
      <c r="T389" s="203">
        <v>14046</v>
      </c>
      <c r="U389" s="204">
        <v>121.23</v>
      </c>
      <c r="V389" s="204">
        <f t="shared" si="17"/>
        <v>143.27999999999997</v>
      </c>
      <c r="W389" s="205">
        <v>11.02</v>
      </c>
      <c r="X389" s="203">
        <v>51260</v>
      </c>
      <c r="Y389" s="204">
        <v>2.2000000000000002</v>
      </c>
      <c r="Z389" s="202" t="s">
        <v>97</v>
      </c>
      <c r="AA389" s="202"/>
      <c r="AB389" s="202">
        <v>98755</v>
      </c>
      <c r="AC389" s="202"/>
      <c r="AD389" s="202" t="s">
        <v>1152</v>
      </c>
      <c r="AE389" s="202" t="s">
        <v>1153</v>
      </c>
      <c r="AF389" s="203" t="s">
        <v>1154</v>
      </c>
      <c r="AG389" s="202"/>
      <c r="AH389" s="203" t="s">
        <v>1155</v>
      </c>
      <c r="AI389" s="202">
        <v>0</v>
      </c>
      <c r="AJ389" s="202">
        <v>0</v>
      </c>
    </row>
    <row r="390" spans="2:36">
      <c r="B390" s="203">
        <v>2180</v>
      </c>
      <c r="C390" s="207">
        <v>188503</v>
      </c>
      <c r="D390" s="203">
        <v>187603</v>
      </c>
      <c r="E390" s="202" t="s">
        <v>2641</v>
      </c>
      <c r="F390" s="203"/>
      <c r="G390" s="202"/>
      <c r="H390" s="202"/>
      <c r="I390" s="202" t="s">
        <v>1147</v>
      </c>
      <c r="J390" s="202">
        <v>0</v>
      </c>
      <c r="K390" s="202">
        <v>0</v>
      </c>
      <c r="L390" s="202">
        <v>0</v>
      </c>
      <c r="M390" s="202" t="s">
        <v>1447</v>
      </c>
      <c r="N390" s="206">
        <v>43031</v>
      </c>
      <c r="O390" s="206">
        <v>43031</v>
      </c>
      <c r="P390" s="202" t="s">
        <v>2638</v>
      </c>
      <c r="Q390" s="203">
        <v>1000</v>
      </c>
      <c r="R390" s="203">
        <v>14040</v>
      </c>
      <c r="S390" s="204">
        <v>6793</v>
      </c>
      <c r="T390" s="203">
        <v>14046</v>
      </c>
      <c r="U390" s="204">
        <v>3113.46</v>
      </c>
      <c r="V390" s="204">
        <f t="shared" si="17"/>
        <v>3679.54</v>
      </c>
      <c r="W390" s="205">
        <v>283.04000000000002</v>
      </c>
      <c r="X390" s="203">
        <v>51260</v>
      </c>
      <c r="Y390" s="204">
        <v>56.61</v>
      </c>
      <c r="Z390" s="202" t="s">
        <v>97</v>
      </c>
      <c r="AA390" s="202"/>
      <c r="AB390" s="202">
        <v>98732</v>
      </c>
      <c r="AC390" s="202"/>
      <c r="AD390" s="202" t="s">
        <v>1152</v>
      </c>
      <c r="AE390" s="202" t="s">
        <v>1153</v>
      </c>
      <c r="AF390" s="203" t="s">
        <v>1154</v>
      </c>
      <c r="AG390" s="202"/>
      <c r="AH390" s="203" t="s">
        <v>1155</v>
      </c>
      <c r="AI390" s="202">
        <v>0</v>
      </c>
      <c r="AJ390" s="202">
        <v>0</v>
      </c>
    </row>
    <row r="391" spans="2:36">
      <c r="B391" s="203">
        <v>2180</v>
      </c>
      <c r="C391" s="207">
        <v>187603</v>
      </c>
      <c r="D391" s="203" t="s">
        <v>97</v>
      </c>
      <c r="E391" s="202" t="s">
        <v>116</v>
      </c>
      <c r="F391" s="203"/>
      <c r="G391" s="202"/>
      <c r="H391" s="202" t="s">
        <v>2640</v>
      </c>
      <c r="I391" s="202"/>
      <c r="J391" s="202">
        <v>2018</v>
      </c>
      <c r="K391" s="202" t="s">
        <v>2290</v>
      </c>
      <c r="L391" s="202" t="s">
        <v>2639</v>
      </c>
      <c r="M391" s="202" t="s">
        <v>1394</v>
      </c>
      <c r="N391" s="206">
        <v>43031</v>
      </c>
      <c r="O391" s="206">
        <v>43031</v>
      </c>
      <c r="P391" s="202" t="s">
        <v>2638</v>
      </c>
      <c r="Q391" s="203">
        <v>1000</v>
      </c>
      <c r="R391" s="203">
        <v>14040</v>
      </c>
      <c r="S391" s="204">
        <v>219551.98</v>
      </c>
      <c r="T391" s="203">
        <v>14046</v>
      </c>
      <c r="U391" s="204">
        <v>100628</v>
      </c>
      <c r="V391" s="204">
        <f t="shared" si="17"/>
        <v>118923.98000000001</v>
      </c>
      <c r="W391" s="205">
        <v>9148</v>
      </c>
      <c r="X391" s="203">
        <v>51260</v>
      </c>
      <c r="Y391" s="204">
        <v>1829.6</v>
      </c>
      <c r="Z391" s="202" t="s">
        <v>97</v>
      </c>
      <c r="AA391" s="202"/>
      <c r="AB391" s="202" t="s">
        <v>2637</v>
      </c>
      <c r="AC391" s="202">
        <v>1081</v>
      </c>
      <c r="AD391" s="202" t="s">
        <v>1152</v>
      </c>
      <c r="AE391" s="202" t="s">
        <v>1153</v>
      </c>
      <c r="AF391" s="203" t="s">
        <v>1154</v>
      </c>
      <c r="AG391" s="202"/>
      <c r="AH391" s="203" t="s">
        <v>1155</v>
      </c>
      <c r="AI391" s="202">
        <v>0</v>
      </c>
      <c r="AJ391" s="202">
        <v>0</v>
      </c>
    </row>
    <row r="392" spans="2:36">
      <c r="B392" s="203">
        <v>2180</v>
      </c>
      <c r="C392" s="207">
        <v>187421</v>
      </c>
      <c r="D392" s="203" t="s">
        <v>97</v>
      </c>
      <c r="E392" s="202" t="s">
        <v>102</v>
      </c>
      <c r="F392" s="203">
        <v>0</v>
      </c>
      <c r="G392" s="202"/>
      <c r="H392" s="202" t="s">
        <v>2636</v>
      </c>
      <c r="I392" s="202"/>
      <c r="J392" s="202">
        <v>2012</v>
      </c>
      <c r="K392" s="202" t="s">
        <v>1733</v>
      </c>
      <c r="L392" s="202" t="s">
        <v>2635</v>
      </c>
      <c r="M392" s="202" t="s">
        <v>1394</v>
      </c>
      <c r="N392" s="206">
        <v>40968</v>
      </c>
      <c r="O392" s="206">
        <v>40968</v>
      </c>
      <c r="P392" s="202" t="s">
        <v>2634</v>
      </c>
      <c r="Q392" s="203">
        <v>1000</v>
      </c>
      <c r="R392" s="203">
        <v>14040</v>
      </c>
      <c r="S392" s="204">
        <v>247726.06</v>
      </c>
      <c r="T392" s="203">
        <v>14046</v>
      </c>
      <c r="U392" s="204">
        <v>247726.06</v>
      </c>
      <c r="V392" s="204">
        <f t="shared" si="17"/>
        <v>0</v>
      </c>
      <c r="W392" s="205">
        <v>4128.7299999999996</v>
      </c>
      <c r="X392" s="203">
        <v>51260</v>
      </c>
      <c r="Y392" s="204">
        <v>0</v>
      </c>
      <c r="Z392" s="202" t="s">
        <v>97</v>
      </c>
      <c r="AA392" s="202"/>
      <c r="AB392" s="202">
        <v>1674506</v>
      </c>
      <c r="AC392" s="202">
        <v>1078</v>
      </c>
      <c r="AD392" s="202" t="s">
        <v>1152</v>
      </c>
      <c r="AE392" s="202" t="s">
        <v>1153</v>
      </c>
      <c r="AF392" s="203" t="s">
        <v>1154</v>
      </c>
      <c r="AG392" s="208">
        <v>43008</v>
      </c>
      <c r="AH392" s="203" t="s">
        <v>1155</v>
      </c>
      <c r="AI392" s="202">
        <v>0</v>
      </c>
      <c r="AJ392" s="202">
        <v>138313.74</v>
      </c>
    </row>
    <row r="393" spans="2:36">
      <c r="B393" s="203">
        <v>2180</v>
      </c>
      <c r="C393" s="207">
        <v>187205</v>
      </c>
      <c r="D393" s="203" t="s">
        <v>97</v>
      </c>
      <c r="E393" s="202" t="s">
        <v>2633</v>
      </c>
      <c r="F393" s="203">
        <v>16</v>
      </c>
      <c r="G393" s="202"/>
      <c r="H393" s="202"/>
      <c r="I393" s="202" t="s">
        <v>1147</v>
      </c>
      <c r="J393" s="202">
        <v>0</v>
      </c>
      <c r="K393" s="202" t="s">
        <v>2598</v>
      </c>
      <c r="L393" s="202"/>
      <c r="M393" s="202" t="s">
        <v>1456</v>
      </c>
      <c r="N393" s="206">
        <v>42996</v>
      </c>
      <c r="O393" s="206">
        <v>42996</v>
      </c>
      <c r="P393" s="202" t="s">
        <v>2618</v>
      </c>
      <c r="Q393" s="203">
        <v>1200</v>
      </c>
      <c r="R393" s="203">
        <v>14050</v>
      </c>
      <c r="S393" s="204">
        <v>13540.65</v>
      </c>
      <c r="T393" s="203">
        <v>14056</v>
      </c>
      <c r="U393" s="204">
        <v>5265.82</v>
      </c>
      <c r="V393" s="204">
        <f t="shared" si="17"/>
        <v>8274.83</v>
      </c>
      <c r="W393" s="205">
        <v>470.16</v>
      </c>
      <c r="X393" s="203">
        <v>54260</v>
      </c>
      <c r="Y393" s="204">
        <v>94.03</v>
      </c>
      <c r="Z393" s="202" t="s">
        <v>97</v>
      </c>
      <c r="AA393" s="202"/>
      <c r="AB393" s="202" t="s">
        <v>2632</v>
      </c>
      <c r="AC393" s="202"/>
      <c r="AD393" s="202" t="s">
        <v>1152</v>
      </c>
      <c r="AE393" s="202" t="s">
        <v>1153</v>
      </c>
      <c r="AF393" s="203" t="s">
        <v>1154</v>
      </c>
      <c r="AG393" s="202"/>
      <c r="AH393" s="203" t="s">
        <v>1155</v>
      </c>
      <c r="AI393" s="202">
        <v>0</v>
      </c>
      <c r="AJ393" s="202">
        <v>0</v>
      </c>
    </row>
    <row r="394" spans="2:36">
      <c r="B394" s="203">
        <v>2180</v>
      </c>
      <c r="C394" s="207">
        <v>187204</v>
      </c>
      <c r="D394" s="203" t="s">
        <v>97</v>
      </c>
      <c r="E394" s="202" t="s">
        <v>2631</v>
      </c>
      <c r="F394" s="203">
        <v>16</v>
      </c>
      <c r="G394" s="202"/>
      <c r="H394" s="202"/>
      <c r="I394" s="202" t="s">
        <v>1147</v>
      </c>
      <c r="J394" s="202">
        <v>0</v>
      </c>
      <c r="K394" s="202" t="s">
        <v>2598</v>
      </c>
      <c r="L394" s="202"/>
      <c r="M394" s="202" t="s">
        <v>1456</v>
      </c>
      <c r="N394" s="206">
        <v>42996</v>
      </c>
      <c r="O394" s="206">
        <v>42996</v>
      </c>
      <c r="P394" s="202" t="s">
        <v>2618</v>
      </c>
      <c r="Q394" s="203">
        <v>1200</v>
      </c>
      <c r="R394" s="203">
        <v>14050</v>
      </c>
      <c r="S394" s="204">
        <v>13540.65</v>
      </c>
      <c r="T394" s="203">
        <v>14056</v>
      </c>
      <c r="U394" s="204">
        <v>5265.82</v>
      </c>
      <c r="V394" s="204">
        <f t="shared" si="17"/>
        <v>8274.83</v>
      </c>
      <c r="W394" s="205">
        <v>470.16</v>
      </c>
      <c r="X394" s="203">
        <v>54260</v>
      </c>
      <c r="Y394" s="204">
        <v>94.03</v>
      </c>
      <c r="Z394" s="202" t="s">
        <v>97</v>
      </c>
      <c r="AA394" s="202"/>
      <c r="AB394" s="202" t="s">
        <v>2630</v>
      </c>
      <c r="AC394" s="202"/>
      <c r="AD394" s="202" t="s">
        <v>1152</v>
      </c>
      <c r="AE394" s="202" t="s">
        <v>1153</v>
      </c>
      <c r="AF394" s="203" t="s">
        <v>1154</v>
      </c>
      <c r="AG394" s="202"/>
      <c r="AH394" s="203" t="s">
        <v>1155</v>
      </c>
      <c r="AI394" s="202">
        <v>0</v>
      </c>
      <c r="AJ394" s="202">
        <v>0</v>
      </c>
    </row>
    <row r="395" spans="2:36">
      <c r="B395" s="203">
        <v>2180</v>
      </c>
      <c r="C395" s="207">
        <v>187203</v>
      </c>
      <c r="D395" s="203" t="s">
        <v>97</v>
      </c>
      <c r="E395" s="202" t="s">
        <v>2629</v>
      </c>
      <c r="F395" s="203">
        <v>600</v>
      </c>
      <c r="G395" s="202"/>
      <c r="H395" s="202"/>
      <c r="I395" s="202" t="s">
        <v>1147</v>
      </c>
      <c r="J395" s="202">
        <v>0</v>
      </c>
      <c r="K395" s="202" t="s">
        <v>2601</v>
      </c>
      <c r="L395" s="202"/>
      <c r="M395" s="202"/>
      <c r="N395" s="206">
        <v>42971</v>
      </c>
      <c r="O395" s="206">
        <v>42971</v>
      </c>
      <c r="P395" s="202" t="s">
        <v>2628</v>
      </c>
      <c r="Q395" s="203">
        <v>700</v>
      </c>
      <c r="R395" s="203">
        <v>14050</v>
      </c>
      <c r="S395" s="204">
        <v>31542.89</v>
      </c>
      <c r="T395" s="203">
        <v>14056</v>
      </c>
      <c r="U395" s="204">
        <v>21404.07</v>
      </c>
      <c r="V395" s="204">
        <f t="shared" si="17"/>
        <v>10138.82</v>
      </c>
      <c r="W395" s="205">
        <v>1877.55</v>
      </c>
      <c r="X395" s="203">
        <v>54260</v>
      </c>
      <c r="Y395" s="204">
        <v>375.51</v>
      </c>
      <c r="Z395" s="202" t="s">
        <v>97</v>
      </c>
      <c r="AA395" s="202"/>
      <c r="AB395" s="202">
        <v>1132</v>
      </c>
      <c r="AC395" s="202"/>
      <c r="AD395" s="202" t="s">
        <v>1152</v>
      </c>
      <c r="AE395" s="202" t="s">
        <v>1153</v>
      </c>
      <c r="AF395" s="203" t="s">
        <v>1154</v>
      </c>
      <c r="AG395" s="202"/>
      <c r="AH395" s="203" t="s">
        <v>1155</v>
      </c>
      <c r="AI395" s="202">
        <v>0</v>
      </c>
      <c r="AJ395" s="202">
        <v>0</v>
      </c>
    </row>
    <row r="396" spans="2:36">
      <c r="B396" s="203">
        <v>2180</v>
      </c>
      <c r="C396" s="207">
        <v>186539</v>
      </c>
      <c r="D396" s="203">
        <v>184365</v>
      </c>
      <c r="E396" s="202" t="s">
        <v>2627</v>
      </c>
      <c r="F396" s="203"/>
      <c r="G396" s="202"/>
      <c r="H396" s="202"/>
      <c r="I396" s="202" t="s">
        <v>1147</v>
      </c>
      <c r="J396" s="202">
        <v>0</v>
      </c>
      <c r="K396" s="202" t="s">
        <v>2625</v>
      </c>
      <c r="L396" s="202"/>
      <c r="M396" s="202" t="s">
        <v>1158</v>
      </c>
      <c r="N396" s="206">
        <v>42944</v>
      </c>
      <c r="O396" s="206">
        <v>42944</v>
      </c>
      <c r="P396" s="202" t="s">
        <v>2588</v>
      </c>
      <c r="Q396" s="203">
        <v>1000</v>
      </c>
      <c r="R396" s="203">
        <v>14040</v>
      </c>
      <c r="S396" s="204">
        <v>1720.1</v>
      </c>
      <c r="T396" s="203">
        <v>14046</v>
      </c>
      <c r="U396" s="204">
        <v>831.38</v>
      </c>
      <c r="V396" s="204">
        <f t="shared" si="17"/>
        <v>888.71999999999991</v>
      </c>
      <c r="W396" s="205">
        <v>71.67</v>
      </c>
      <c r="X396" s="203">
        <v>51260</v>
      </c>
      <c r="Y396" s="204">
        <v>14.33</v>
      </c>
      <c r="Z396" s="202" t="s">
        <v>97</v>
      </c>
      <c r="AA396" s="202"/>
      <c r="AB396" s="202">
        <v>2576850</v>
      </c>
      <c r="AC396" s="202"/>
      <c r="AD396" s="202" t="s">
        <v>1152</v>
      </c>
      <c r="AE396" s="202" t="s">
        <v>1153</v>
      </c>
      <c r="AF396" s="203" t="s">
        <v>1154</v>
      </c>
      <c r="AG396" s="202"/>
      <c r="AH396" s="203" t="s">
        <v>1155</v>
      </c>
      <c r="AI396" s="202">
        <v>0</v>
      </c>
      <c r="AJ396" s="202">
        <v>0</v>
      </c>
    </row>
    <row r="397" spans="2:36">
      <c r="B397" s="203">
        <v>2180</v>
      </c>
      <c r="C397" s="207">
        <v>186538</v>
      </c>
      <c r="D397" s="203">
        <v>185372</v>
      </c>
      <c r="E397" s="202" t="s">
        <v>2626</v>
      </c>
      <c r="F397" s="203"/>
      <c r="G397" s="202"/>
      <c r="H397" s="202"/>
      <c r="I397" s="202" t="s">
        <v>1147</v>
      </c>
      <c r="J397" s="202">
        <v>0</v>
      </c>
      <c r="K397" s="202" t="s">
        <v>2625</v>
      </c>
      <c r="L397" s="202"/>
      <c r="M397" s="202" t="s">
        <v>1158</v>
      </c>
      <c r="N397" s="206">
        <v>42944</v>
      </c>
      <c r="O397" s="206">
        <v>42944</v>
      </c>
      <c r="P397" s="202" t="s">
        <v>2610</v>
      </c>
      <c r="Q397" s="203">
        <v>1000</v>
      </c>
      <c r="R397" s="203">
        <v>14040</v>
      </c>
      <c r="S397" s="204">
        <v>703.67</v>
      </c>
      <c r="T397" s="203">
        <v>14046</v>
      </c>
      <c r="U397" s="204">
        <v>340.12</v>
      </c>
      <c r="V397" s="204">
        <f t="shared" si="17"/>
        <v>363.54999999999995</v>
      </c>
      <c r="W397" s="205">
        <v>29.32</v>
      </c>
      <c r="X397" s="203">
        <v>51260</v>
      </c>
      <c r="Y397" s="204">
        <v>5.86</v>
      </c>
      <c r="Z397" s="202" t="s">
        <v>97</v>
      </c>
      <c r="AA397" s="202"/>
      <c r="AB397" s="202">
        <v>2576848</v>
      </c>
      <c r="AC397" s="202"/>
      <c r="AD397" s="202" t="s">
        <v>1152</v>
      </c>
      <c r="AE397" s="202" t="s">
        <v>1153</v>
      </c>
      <c r="AF397" s="203" t="s">
        <v>1154</v>
      </c>
      <c r="AG397" s="202"/>
      <c r="AH397" s="203" t="s">
        <v>1155</v>
      </c>
      <c r="AI397" s="202">
        <v>0</v>
      </c>
      <c r="AJ397" s="202">
        <v>0</v>
      </c>
    </row>
    <row r="398" spans="2:36">
      <c r="B398" s="203">
        <v>2180</v>
      </c>
      <c r="C398" s="207">
        <v>186537</v>
      </c>
      <c r="D398" s="203">
        <v>186155</v>
      </c>
      <c r="E398" s="202" t="s">
        <v>2624</v>
      </c>
      <c r="F398" s="203"/>
      <c r="G398" s="202"/>
      <c r="H398" s="202"/>
      <c r="I398" s="202" t="s">
        <v>1147</v>
      </c>
      <c r="J398" s="202">
        <v>0</v>
      </c>
      <c r="K398" s="202" t="s">
        <v>2623</v>
      </c>
      <c r="L398" s="202"/>
      <c r="M398" s="202" t="s">
        <v>1158</v>
      </c>
      <c r="N398" s="206">
        <v>42982</v>
      </c>
      <c r="O398" s="206">
        <v>42982</v>
      </c>
      <c r="P398" s="202" t="s">
        <v>2620</v>
      </c>
      <c r="Q398" s="203">
        <v>1000</v>
      </c>
      <c r="R398" s="203">
        <v>14040</v>
      </c>
      <c r="S398" s="204">
        <v>682.67</v>
      </c>
      <c r="T398" s="203">
        <v>14046</v>
      </c>
      <c r="U398" s="204">
        <v>324.29000000000002</v>
      </c>
      <c r="V398" s="204">
        <f t="shared" ref="V398:V461" si="18">S398-U398</f>
        <v>358.37999999999994</v>
      </c>
      <c r="W398" s="205">
        <v>28.45</v>
      </c>
      <c r="X398" s="203">
        <v>51260</v>
      </c>
      <c r="Y398" s="204">
        <v>5.69</v>
      </c>
      <c r="Z398" s="202" t="s">
        <v>97</v>
      </c>
      <c r="AA398" s="202"/>
      <c r="AB398" s="202" t="s">
        <v>2622</v>
      </c>
      <c r="AC398" s="202"/>
      <c r="AD398" s="202" t="s">
        <v>1152</v>
      </c>
      <c r="AE398" s="202" t="s">
        <v>1153</v>
      </c>
      <c r="AF398" s="203" t="s">
        <v>1154</v>
      </c>
      <c r="AG398" s="202"/>
      <c r="AH398" s="203" t="s">
        <v>1155</v>
      </c>
      <c r="AI398" s="202">
        <v>0</v>
      </c>
      <c r="AJ398" s="202">
        <v>0</v>
      </c>
    </row>
    <row r="399" spans="2:36">
      <c r="B399" s="203">
        <v>2180</v>
      </c>
      <c r="C399" s="207">
        <v>186155</v>
      </c>
      <c r="D399" s="203" t="s">
        <v>97</v>
      </c>
      <c r="E399" s="202" t="s">
        <v>118</v>
      </c>
      <c r="F399" s="203"/>
      <c r="G399" s="202"/>
      <c r="H399" s="202" t="s">
        <v>2621</v>
      </c>
      <c r="I399" s="202"/>
      <c r="J399" s="202">
        <v>2018</v>
      </c>
      <c r="K399" s="202" t="s">
        <v>2290</v>
      </c>
      <c r="L399" s="202" t="s">
        <v>2440</v>
      </c>
      <c r="M399" s="202" t="s">
        <v>1999</v>
      </c>
      <c r="N399" s="206">
        <v>42982</v>
      </c>
      <c r="O399" s="206">
        <v>42982</v>
      </c>
      <c r="P399" s="202" t="s">
        <v>2620</v>
      </c>
      <c r="Q399" s="203">
        <v>1000</v>
      </c>
      <c r="R399" s="203">
        <v>14040</v>
      </c>
      <c r="S399" s="204">
        <v>317063.73</v>
      </c>
      <c r="T399" s="203">
        <v>14046</v>
      </c>
      <c r="U399" s="204">
        <v>150605.26</v>
      </c>
      <c r="V399" s="204">
        <f t="shared" si="18"/>
        <v>166458.46999999997</v>
      </c>
      <c r="W399" s="205">
        <v>13210.99</v>
      </c>
      <c r="X399" s="203">
        <v>51260</v>
      </c>
      <c r="Y399" s="204">
        <v>2642.2</v>
      </c>
      <c r="Z399" s="202" t="s">
        <v>97</v>
      </c>
      <c r="AA399" s="202"/>
      <c r="AB399" s="202">
        <v>98143</v>
      </c>
      <c r="AC399" s="202">
        <v>2048</v>
      </c>
      <c r="AD399" s="202" t="s">
        <v>1152</v>
      </c>
      <c r="AE399" s="202" t="s">
        <v>1153</v>
      </c>
      <c r="AF399" s="203" t="s">
        <v>1154</v>
      </c>
      <c r="AG399" s="202"/>
      <c r="AH399" s="203" t="s">
        <v>1155</v>
      </c>
      <c r="AI399" s="202">
        <v>0</v>
      </c>
      <c r="AJ399" s="202">
        <v>0</v>
      </c>
    </row>
    <row r="400" spans="2:36">
      <c r="B400" s="203">
        <v>2180</v>
      </c>
      <c r="C400" s="207">
        <v>186097</v>
      </c>
      <c r="D400" s="203" t="s">
        <v>97</v>
      </c>
      <c r="E400" s="202" t="s">
        <v>2619</v>
      </c>
      <c r="F400" s="203">
        <v>16</v>
      </c>
      <c r="G400" s="202"/>
      <c r="H400" s="202"/>
      <c r="I400" s="202" t="s">
        <v>1147</v>
      </c>
      <c r="J400" s="202">
        <v>0</v>
      </c>
      <c r="K400" s="202" t="s">
        <v>2598</v>
      </c>
      <c r="L400" s="202"/>
      <c r="M400" s="202" t="s">
        <v>1456</v>
      </c>
      <c r="N400" s="206">
        <v>42990</v>
      </c>
      <c r="O400" s="206">
        <v>42990</v>
      </c>
      <c r="P400" s="202" t="s">
        <v>2618</v>
      </c>
      <c r="Q400" s="203">
        <v>1200</v>
      </c>
      <c r="R400" s="203">
        <v>14050</v>
      </c>
      <c r="S400" s="204">
        <v>13540.65</v>
      </c>
      <c r="T400" s="203">
        <v>14056</v>
      </c>
      <c r="U400" s="204">
        <v>5359.85</v>
      </c>
      <c r="V400" s="204">
        <f t="shared" si="18"/>
        <v>8180.7999999999993</v>
      </c>
      <c r="W400" s="205">
        <v>470.16</v>
      </c>
      <c r="X400" s="203">
        <v>54260</v>
      </c>
      <c r="Y400" s="204">
        <v>94.03</v>
      </c>
      <c r="Z400" s="202" t="s">
        <v>97</v>
      </c>
      <c r="AA400" s="202"/>
      <c r="AB400" s="202" t="s">
        <v>2617</v>
      </c>
      <c r="AC400" s="202"/>
      <c r="AD400" s="202" t="s">
        <v>1152</v>
      </c>
      <c r="AE400" s="202" t="s">
        <v>1153</v>
      </c>
      <c r="AF400" s="203" t="s">
        <v>1154</v>
      </c>
      <c r="AG400" s="202"/>
      <c r="AH400" s="203" t="s">
        <v>1155</v>
      </c>
      <c r="AI400" s="202">
        <v>0</v>
      </c>
      <c r="AJ400" s="202">
        <v>0</v>
      </c>
    </row>
    <row r="401" spans="2:36">
      <c r="B401" s="203">
        <v>2180</v>
      </c>
      <c r="C401" s="207">
        <v>185871</v>
      </c>
      <c r="D401" s="203" t="s">
        <v>97</v>
      </c>
      <c r="E401" s="202" t="s">
        <v>2599</v>
      </c>
      <c r="F401" s="203">
        <v>12</v>
      </c>
      <c r="G401" s="202"/>
      <c r="H401" s="202"/>
      <c r="I401" s="202"/>
      <c r="J401" s="202">
        <v>0</v>
      </c>
      <c r="K401" s="202" t="s">
        <v>2598</v>
      </c>
      <c r="L401" s="202"/>
      <c r="M401" s="202" t="s">
        <v>1456</v>
      </c>
      <c r="N401" s="206">
        <v>42950</v>
      </c>
      <c r="O401" s="206">
        <v>42950</v>
      </c>
      <c r="P401" s="202" t="s">
        <v>2597</v>
      </c>
      <c r="Q401" s="203">
        <v>1200</v>
      </c>
      <c r="R401" s="203">
        <v>14050</v>
      </c>
      <c r="S401" s="204">
        <v>10634.3</v>
      </c>
      <c r="T401" s="203">
        <v>14056</v>
      </c>
      <c r="U401" s="204">
        <v>4283.26</v>
      </c>
      <c r="V401" s="204">
        <f t="shared" si="18"/>
        <v>6351.0399999999991</v>
      </c>
      <c r="W401" s="205">
        <v>369.25</v>
      </c>
      <c r="X401" s="203">
        <v>54260</v>
      </c>
      <c r="Y401" s="204">
        <v>73.849999999999994</v>
      </c>
      <c r="Z401" s="202" t="s">
        <v>97</v>
      </c>
      <c r="AA401" s="202"/>
      <c r="AB401" s="202" t="s">
        <v>2616</v>
      </c>
      <c r="AC401" s="202"/>
      <c r="AD401" s="202" t="s">
        <v>1152</v>
      </c>
      <c r="AE401" s="202" t="s">
        <v>1153</v>
      </c>
      <c r="AF401" s="203" t="s">
        <v>1154</v>
      </c>
      <c r="AG401" s="202"/>
      <c r="AH401" s="203" t="s">
        <v>1155</v>
      </c>
      <c r="AI401" s="202">
        <v>0</v>
      </c>
      <c r="AJ401" s="202">
        <v>0</v>
      </c>
    </row>
    <row r="402" spans="2:36">
      <c r="B402" s="203">
        <v>2180</v>
      </c>
      <c r="C402" s="207">
        <v>185870</v>
      </c>
      <c r="D402" s="203" t="s">
        <v>97</v>
      </c>
      <c r="E402" s="202" t="s">
        <v>2520</v>
      </c>
      <c r="F402" s="203">
        <v>768</v>
      </c>
      <c r="G402" s="202"/>
      <c r="H402" s="202"/>
      <c r="I402" s="202"/>
      <c r="J402" s="202">
        <v>0</v>
      </c>
      <c r="K402" s="202" t="s">
        <v>2601</v>
      </c>
      <c r="L402" s="202"/>
      <c r="M402" s="202"/>
      <c r="N402" s="206">
        <v>42965</v>
      </c>
      <c r="O402" s="206">
        <v>42965</v>
      </c>
      <c r="P402" s="202" t="s">
        <v>2615</v>
      </c>
      <c r="Q402" s="203">
        <v>700</v>
      </c>
      <c r="R402" s="203">
        <v>14050</v>
      </c>
      <c r="S402" s="204">
        <v>34622.35</v>
      </c>
      <c r="T402" s="203">
        <v>14056</v>
      </c>
      <c r="U402" s="204">
        <v>23493.65</v>
      </c>
      <c r="V402" s="204">
        <f t="shared" si="18"/>
        <v>11128.699999999997</v>
      </c>
      <c r="W402" s="205">
        <v>2060.85</v>
      </c>
      <c r="X402" s="203">
        <v>54260</v>
      </c>
      <c r="Y402" s="204">
        <v>412.17</v>
      </c>
      <c r="Z402" s="202" t="s">
        <v>97</v>
      </c>
      <c r="AA402" s="202"/>
      <c r="AB402" s="202">
        <v>1125</v>
      </c>
      <c r="AC402" s="202"/>
      <c r="AD402" s="202" t="s">
        <v>1152</v>
      </c>
      <c r="AE402" s="202" t="s">
        <v>1153</v>
      </c>
      <c r="AF402" s="203" t="s">
        <v>1154</v>
      </c>
      <c r="AG402" s="202"/>
      <c r="AH402" s="203" t="s">
        <v>1155</v>
      </c>
      <c r="AI402" s="202">
        <v>0</v>
      </c>
      <c r="AJ402" s="202">
        <v>0</v>
      </c>
    </row>
    <row r="403" spans="2:36">
      <c r="B403" s="203">
        <v>2180</v>
      </c>
      <c r="C403" s="207">
        <v>185869</v>
      </c>
      <c r="D403" s="203" t="s">
        <v>97</v>
      </c>
      <c r="E403" s="202" t="s">
        <v>2429</v>
      </c>
      <c r="F403" s="203">
        <v>702</v>
      </c>
      <c r="G403" s="202"/>
      <c r="H403" s="202"/>
      <c r="I403" s="202"/>
      <c r="J403" s="202">
        <v>0</v>
      </c>
      <c r="K403" s="202" t="s">
        <v>2445</v>
      </c>
      <c r="L403" s="202"/>
      <c r="M403" s="202"/>
      <c r="N403" s="206">
        <v>42968</v>
      </c>
      <c r="O403" s="206">
        <v>42968</v>
      </c>
      <c r="P403" s="202" t="s">
        <v>2614</v>
      </c>
      <c r="Q403" s="203">
        <v>700</v>
      </c>
      <c r="R403" s="203">
        <v>14050</v>
      </c>
      <c r="S403" s="204">
        <v>37840.54</v>
      </c>
      <c r="T403" s="203">
        <v>14056</v>
      </c>
      <c r="U403" s="204">
        <v>25677.5</v>
      </c>
      <c r="V403" s="204">
        <f t="shared" si="18"/>
        <v>12163.04</v>
      </c>
      <c r="W403" s="205">
        <v>2252.41</v>
      </c>
      <c r="X403" s="203">
        <v>54260</v>
      </c>
      <c r="Y403" s="204">
        <v>450.48</v>
      </c>
      <c r="Z403" s="202" t="s">
        <v>97</v>
      </c>
      <c r="AA403" s="202"/>
      <c r="AB403" s="202" t="s">
        <v>2613</v>
      </c>
      <c r="AC403" s="202"/>
      <c r="AD403" s="202" t="s">
        <v>1152</v>
      </c>
      <c r="AE403" s="202" t="s">
        <v>1153</v>
      </c>
      <c r="AF403" s="203" t="s">
        <v>1154</v>
      </c>
      <c r="AG403" s="202"/>
      <c r="AH403" s="203" t="s">
        <v>1155</v>
      </c>
      <c r="AI403" s="202">
        <v>0</v>
      </c>
      <c r="AJ403" s="202">
        <v>0</v>
      </c>
    </row>
    <row r="404" spans="2:36">
      <c r="B404" s="203">
        <v>2180</v>
      </c>
      <c r="C404" s="207">
        <v>185868</v>
      </c>
      <c r="D404" s="203" t="s">
        <v>97</v>
      </c>
      <c r="E404" s="202" t="s">
        <v>2511</v>
      </c>
      <c r="F404" s="203">
        <v>36</v>
      </c>
      <c r="G404" s="202"/>
      <c r="H404" s="202"/>
      <c r="I404" s="202"/>
      <c r="J404" s="202">
        <v>0</v>
      </c>
      <c r="K404" s="202" t="s">
        <v>2502</v>
      </c>
      <c r="L404" s="202"/>
      <c r="M404" s="202" t="s">
        <v>1555</v>
      </c>
      <c r="N404" s="206">
        <v>42926</v>
      </c>
      <c r="O404" s="206">
        <v>42926</v>
      </c>
      <c r="P404" s="202" t="s">
        <v>2592</v>
      </c>
      <c r="Q404" s="203">
        <v>700</v>
      </c>
      <c r="R404" s="203">
        <v>14050</v>
      </c>
      <c r="S404" s="204">
        <v>22809.35</v>
      </c>
      <c r="T404" s="203">
        <v>14056</v>
      </c>
      <c r="U404" s="204">
        <v>16020.86</v>
      </c>
      <c r="V404" s="204">
        <f t="shared" si="18"/>
        <v>6788.489999999998</v>
      </c>
      <c r="W404" s="205">
        <v>1357.7</v>
      </c>
      <c r="X404" s="203">
        <v>54260</v>
      </c>
      <c r="Y404" s="204">
        <v>271.54000000000002</v>
      </c>
      <c r="Z404" s="202" t="s">
        <v>97</v>
      </c>
      <c r="AA404" s="202"/>
      <c r="AB404" s="202">
        <v>65487218</v>
      </c>
      <c r="AC404" s="202"/>
      <c r="AD404" s="202" t="s">
        <v>1152</v>
      </c>
      <c r="AE404" s="202" t="s">
        <v>1153</v>
      </c>
      <c r="AF404" s="203" t="s">
        <v>1154</v>
      </c>
      <c r="AG404" s="202"/>
      <c r="AH404" s="203" t="s">
        <v>1155</v>
      </c>
      <c r="AI404" s="202">
        <v>0</v>
      </c>
      <c r="AJ404" s="202">
        <v>0</v>
      </c>
    </row>
    <row r="405" spans="2:36">
      <c r="B405" s="203">
        <v>2180</v>
      </c>
      <c r="C405" s="207">
        <v>185586</v>
      </c>
      <c r="D405" s="203">
        <v>185372</v>
      </c>
      <c r="E405" s="202" t="s">
        <v>2612</v>
      </c>
      <c r="F405" s="203"/>
      <c r="G405" s="202"/>
      <c r="H405" s="202"/>
      <c r="I405" s="202"/>
      <c r="J405" s="202">
        <v>0</v>
      </c>
      <c r="K405" s="202" t="s">
        <v>2136</v>
      </c>
      <c r="L405" s="202"/>
      <c r="M405" s="202" t="s">
        <v>1158</v>
      </c>
      <c r="N405" s="206">
        <v>42944</v>
      </c>
      <c r="O405" s="206">
        <v>42944</v>
      </c>
      <c r="P405" s="202" t="s">
        <v>2610</v>
      </c>
      <c r="Q405" s="203">
        <v>1000</v>
      </c>
      <c r="R405" s="203">
        <v>14040</v>
      </c>
      <c r="S405" s="204">
        <v>1069.3900000000001</v>
      </c>
      <c r="T405" s="203">
        <v>14046</v>
      </c>
      <c r="U405" s="204">
        <v>516.87</v>
      </c>
      <c r="V405" s="204">
        <f t="shared" si="18"/>
        <v>552.5200000000001</v>
      </c>
      <c r="W405" s="205">
        <v>44.56</v>
      </c>
      <c r="X405" s="203">
        <v>51260</v>
      </c>
      <c r="Y405" s="204">
        <v>8.91</v>
      </c>
      <c r="Z405" s="202" t="s">
        <v>97</v>
      </c>
      <c r="AA405" s="202"/>
      <c r="AB405" s="202">
        <v>2559</v>
      </c>
      <c r="AC405" s="202"/>
      <c r="AD405" s="202" t="s">
        <v>1152</v>
      </c>
      <c r="AE405" s="202" t="s">
        <v>1153</v>
      </c>
      <c r="AF405" s="203" t="s">
        <v>1154</v>
      </c>
      <c r="AG405" s="202"/>
      <c r="AH405" s="203" t="s">
        <v>1155</v>
      </c>
      <c r="AI405" s="202">
        <v>0</v>
      </c>
      <c r="AJ405" s="202">
        <v>0</v>
      </c>
    </row>
    <row r="406" spans="2:36">
      <c r="B406" s="203">
        <v>2180</v>
      </c>
      <c r="C406" s="207">
        <v>185372</v>
      </c>
      <c r="D406" s="203" t="s">
        <v>97</v>
      </c>
      <c r="E406" s="202" t="s">
        <v>115</v>
      </c>
      <c r="F406" s="203"/>
      <c r="G406" s="202"/>
      <c r="H406" s="202" t="s">
        <v>2611</v>
      </c>
      <c r="I406" s="202"/>
      <c r="J406" s="202">
        <v>2018</v>
      </c>
      <c r="K406" s="202" t="s">
        <v>2290</v>
      </c>
      <c r="L406" s="202" t="s">
        <v>2413</v>
      </c>
      <c r="M406" s="202" t="s">
        <v>1404</v>
      </c>
      <c r="N406" s="206">
        <v>42944</v>
      </c>
      <c r="O406" s="206">
        <v>42944</v>
      </c>
      <c r="P406" s="202" t="s">
        <v>2610</v>
      </c>
      <c r="Q406" s="203">
        <v>1000</v>
      </c>
      <c r="R406" s="203">
        <v>14040</v>
      </c>
      <c r="S406" s="204">
        <v>333655.94</v>
      </c>
      <c r="T406" s="203">
        <v>14046</v>
      </c>
      <c r="U406" s="204">
        <v>161267.01999999999</v>
      </c>
      <c r="V406" s="204">
        <f t="shared" si="18"/>
        <v>172388.92</v>
      </c>
      <c r="W406" s="205">
        <v>13902.33</v>
      </c>
      <c r="X406" s="203">
        <v>51260</v>
      </c>
      <c r="Y406" s="204">
        <v>2780.47</v>
      </c>
      <c r="Z406" s="202" t="s">
        <v>97</v>
      </c>
      <c r="AA406" s="202"/>
      <c r="AB406" s="202" t="s">
        <v>2609</v>
      </c>
      <c r="AC406" s="202">
        <v>3659</v>
      </c>
      <c r="AD406" s="202" t="s">
        <v>1152</v>
      </c>
      <c r="AE406" s="202" t="s">
        <v>1153</v>
      </c>
      <c r="AF406" s="203" t="s">
        <v>1154</v>
      </c>
      <c r="AG406" s="202"/>
      <c r="AH406" s="203" t="s">
        <v>1155</v>
      </c>
      <c r="AI406" s="202">
        <v>0</v>
      </c>
      <c r="AJ406" s="202">
        <v>0</v>
      </c>
    </row>
    <row r="407" spans="2:36">
      <c r="B407" s="203">
        <v>2180</v>
      </c>
      <c r="C407" s="207">
        <v>185371</v>
      </c>
      <c r="D407" s="203" t="s">
        <v>97</v>
      </c>
      <c r="E407" s="202" t="s">
        <v>115</v>
      </c>
      <c r="F407" s="203"/>
      <c r="G407" s="202"/>
      <c r="H407" s="202" t="s">
        <v>2608</v>
      </c>
      <c r="I407" s="202"/>
      <c r="J407" s="202">
        <v>2018</v>
      </c>
      <c r="K407" s="202" t="s">
        <v>2290</v>
      </c>
      <c r="L407" s="202" t="s">
        <v>2413</v>
      </c>
      <c r="M407" s="202" t="s">
        <v>1404</v>
      </c>
      <c r="N407" s="206">
        <v>42933</v>
      </c>
      <c r="O407" s="206">
        <v>42933</v>
      </c>
      <c r="P407" s="202" t="s">
        <v>2591</v>
      </c>
      <c r="Q407" s="203">
        <v>1000</v>
      </c>
      <c r="R407" s="203">
        <v>14040</v>
      </c>
      <c r="S407" s="204">
        <v>334566.83</v>
      </c>
      <c r="T407" s="203">
        <v>14046</v>
      </c>
      <c r="U407" s="204">
        <v>161707.29</v>
      </c>
      <c r="V407" s="204">
        <f t="shared" si="18"/>
        <v>172859.54</v>
      </c>
      <c r="W407" s="205">
        <v>13940.28</v>
      </c>
      <c r="X407" s="203">
        <v>51260</v>
      </c>
      <c r="Y407" s="204">
        <v>2788.05</v>
      </c>
      <c r="Z407" s="202" t="s">
        <v>97</v>
      </c>
      <c r="AA407" s="202"/>
      <c r="AB407" s="202" t="s">
        <v>2607</v>
      </c>
      <c r="AC407" s="202">
        <v>3658</v>
      </c>
      <c r="AD407" s="202" t="s">
        <v>1152</v>
      </c>
      <c r="AE407" s="202" t="s">
        <v>1153</v>
      </c>
      <c r="AF407" s="203" t="s">
        <v>1154</v>
      </c>
      <c r="AG407" s="202"/>
      <c r="AH407" s="203" t="s">
        <v>1155</v>
      </c>
      <c r="AI407" s="202">
        <v>0</v>
      </c>
      <c r="AJ407" s="202">
        <v>0</v>
      </c>
    </row>
    <row r="408" spans="2:36">
      <c r="B408" s="203">
        <v>2180</v>
      </c>
      <c r="C408" s="207">
        <v>185370</v>
      </c>
      <c r="D408" s="203" t="s">
        <v>97</v>
      </c>
      <c r="E408" s="202" t="s">
        <v>212</v>
      </c>
      <c r="F408" s="203"/>
      <c r="G408" s="202"/>
      <c r="H408" s="202" t="s">
        <v>2606</v>
      </c>
      <c r="I408" s="202"/>
      <c r="J408" s="202">
        <v>2017</v>
      </c>
      <c r="K408" s="202" t="s">
        <v>2290</v>
      </c>
      <c r="L408" s="202" t="s">
        <v>2413</v>
      </c>
      <c r="M408" s="202" t="s">
        <v>1404</v>
      </c>
      <c r="N408" s="206">
        <v>42933</v>
      </c>
      <c r="O408" s="206">
        <v>42933</v>
      </c>
      <c r="P408" s="202" t="s">
        <v>2605</v>
      </c>
      <c r="Q408" s="203">
        <v>1000</v>
      </c>
      <c r="R408" s="203">
        <v>14040</v>
      </c>
      <c r="S408" s="204">
        <v>335381.96999999997</v>
      </c>
      <c r="T408" s="203">
        <v>14046</v>
      </c>
      <c r="U408" s="204">
        <v>162101.29999999999</v>
      </c>
      <c r="V408" s="204">
        <f t="shared" si="18"/>
        <v>173280.66999999998</v>
      </c>
      <c r="W408" s="205">
        <v>13974.25</v>
      </c>
      <c r="X408" s="203">
        <v>51260</v>
      </c>
      <c r="Y408" s="204">
        <v>2794.85</v>
      </c>
      <c r="Z408" s="202" t="s">
        <v>97</v>
      </c>
      <c r="AA408" s="202"/>
      <c r="AB408" s="202" t="s">
        <v>2604</v>
      </c>
      <c r="AC408" s="202">
        <v>3657</v>
      </c>
      <c r="AD408" s="202" t="s">
        <v>1152</v>
      </c>
      <c r="AE408" s="202" t="s">
        <v>1153</v>
      </c>
      <c r="AF408" s="203" t="s">
        <v>1154</v>
      </c>
      <c r="AG408" s="202"/>
      <c r="AH408" s="203" t="s">
        <v>1155</v>
      </c>
      <c r="AI408" s="202">
        <v>0</v>
      </c>
      <c r="AJ408" s="202">
        <v>0</v>
      </c>
    </row>
    <row r="409" spans="2:36">
      <c r="B409" s="203">
        <v>2180</v>
      </c>
      <c r="C409" s="207">
        <v>185323</v>
      </c>
      <c r="D409" s="203" t="s">
        <v>97</v>
      </c>
      <c r="E409" s="202" t="s">
        <v>2603</v>
      </c>
      <c r="F409" s="203">
        <v>16</v>
      </c>
      <c r="G409" s="202"/>
      <c r="H409" s="202"/>
      <c r="I409" s="202"/>
      <c r="J409" s="202">
        <v>0</v>
      </c>
      <c r="K409" s="202" t="s">
        <v>2041</v>
      </c>
      <c r="L409" s="202"/>
      <c r="M409" s="202" t="s">
        <v>1421</v>
      </c>
      <c r="N409" s="206">
        <v>42958</v>
      </c>
      <c r="O409" s="206">
        <v>42958</v>
      </c>
      <c r="P409" s="202" t="s">
        <v>2602</v>
      </c>
      <c r="Q409" s="203">
        <v>1200</v>
      </c>
      <c r="R409" s="203">
        <v>14050</v>
      </c>
      <c r="S409" s="204">
        <v>8656.56</v>
      </c>
      <c r="T409" s="203">
        <v>14056</v>
      </c>
      <c r="U409" s="204">
        <v>3486.68</v>
      </c>
      <c r="V409" s="204">
        <f t="shared" si="18"/>
        <v>5169.8799999999992</v>
      </c>
      <c r="W409" s="205">
        <v>300.58</v>
      </c>
      <c r="X409" s="203">
        <v>54260</v>
      </c>
      <c r="Y409" s="204">
        <v>60.12</v>
      </c>
      <c r="Z409" s="202" t="s">
        <v>97</v>
      </c>
      <c r="AA409" s="202"/>
      <c r="AB409" s="202">
        <v>132265</v>
      </c>
      <c r="AC409" s="202"/>
      <c r="AD409" s="202" t="s">
        <v>1152</v>
      </c>
      <c r="AE409" s="202" t="s">
        <v>1153</v>
      </c>
      <c r="AF409" s="203" t="s">
        <v>1154</v>
      </c>
      <c r="AG409" s="202"/>
      <c r="AH409" s="203" t="s">
        <v>1155</v>
      </c>
      <c r="AI409" s="202">
        <v>0</v>
      </c>
      <c r="AJ409" s="202">
        <v>0</v>
      </c>
    </row>
    <row r="410" spans="2:36">
      <c r="B410" s="203">
        <v>2180</v>
      </c>
      <c r="C410" s="207">
        <v>185322</v>
      </c>
      <c r="D410" s="203" t="s">
        <v>97</v>
      </c>
      <c r="E410" s="202" t="s">
        <v>2520</v>
      </c>
      <c r="F410" s="203">
        <v>792</v>
      </c>
      <c r="G410" s="202"/>
      <c r="H410" s="202"/>
      <c r="I410" s="202"/>
      <c r="J410" s="202">
        <v>0</v>
      </c>
      <c r="K410" s="202" t="s">
        <v>2601</v>
      </c>
      <c r="L410" s="202"/>
      <c r="M410" s="202"/>
      <c r="N410" s="206">
        <v>42947</v>
      </c>
      <c r="O410" s="206">
        <v>42947</v>
      </c>
      <c r="P410" s="202" t="s">
        <v>2600</v>
      </c>
      <c r="Q410" s="203">
        <v>700</v>
      </c>
      <c r="R410" s="203">
        <v>14050</v>
      </c>
      <c r="S410" s="204">
        <v>36039.269999999997</v>
      </c>
      <c r="T410" s="203">
        <v>14056</v>
      </c>
      <c r="U410" s="204">
        <v>24884.28</v>
      </c>
      <c r="V410" s="204">
        <f t="shared" si="18"/>
        <v>11154.989999999998</v>
      </c>
      <c r="W410" s="205">
        <v>2145.1999999999998</v>
      </c>
      <c r="X410" s="203">
        <v>54260</v>
      </c>
      <c r="Y410" s="204">
        <v>429.04</v>
      </c>
      <c r="Z410" s="202" t="s">
        <v>97</v>
      </c>
      <c r="AA410" s="202"/>
      <c r="AB410" s="202">
        <v>1097</v>
      </c>
      <c r="AC410" s="202"/>
      <c r="AD410" s="202" t="s">
        <v>1152</v>
      </c>
      <c r="AE410" s="202" t="s">
        <v>1153</v>
      </c>
      <c r="AF410" s="203" t="s">
        <v>1154</v>
      </c>
      <c r="AG410" s="202"/>
      <c r="AH410" s="203" t="s">
        <v>1155</v>
      </c>
      <c r="AI410" s="202">
        <v>0</v>
      </c>
      <c r="AJ410" s="202">
        <v>0</v>
      </c>
    </row>
    <row r="411" spans="2:36">
      <c r="B411" s="203">
        <v>2180</v>
      </c>
      <c r="C411" s="207">
        <v>185181</v>
      </c>
      <c r="D411" s="203" t="s">
        <v>97</v>
      </c>
      <c r="E411" s="202" t="s">
        <v>2599</v>
      </c>
      <c r="F411" s="203">
        <v>13</v>
      </c>
      <c r="G411" s="202"/>
      <c r="H411" s="202"/>
      <c r="I411" s="202"/>
      <c r="J411" s="202">
        <v>0</v>
      </c>
      <c r="K411" s="202" t="s">
        <v>2598</v>
      </c>
      <c r="L411" s="202"/>
      <c r="M411" s="202" t="s">
        <v>1456</v>
      </c>
      <c r="N411" s="206">
        <v>42950</v>
      </c>
      <c r="O411" s="206">
        <v>42950</v>
      </c>
      <c r="P411" s="202" t="s">
        <v>2597</v>
      </c>
      <c r="Q411" s="203">
        <v>1200</v>
      </c>
      <c r="R411" s="203">
        <v>14050</v>
      </c>
      <c r="S411" s="204">
        <v>11103.98</v>
      </c>
      <c r="T411" s="203">
        <v>14056</v>
      </c>
      <c r="U411" s="204">
        <v>4472.43</v>
      </c>
      <c r="V411" s="204">
        <f t="shared" si="18"/>
        <v>6631.5499999999993</v>
      </c>
      <c r="W411" s="205">
        <v>385.55</v>
      </c>
      <c r="X411" s="203">
        <v>54260</v>
      </c>
      <c r="Y411" s="204">
        <v>77.11</v>
      </c>
      <c r="Z411" s="202" t="s">
        <v>97</v>
      </c>
      <c r="AA411" s="202"/>
      <c r="AB411" s="202" t="s">
        <v>2596</v>
      </c>
      <c r="AC411" s="202"/>
      <c r="AD411" s="202" t="s">
        <v>1152</v>
      </c>
      <c r="AE411" s="202" t="s">
        <v>1153</v>
      </c>
      <c r="AF411" s="203" t="s">
        <v>1154</v>
      </c>
      <c r="AG411" s="202"/>
      <c r="AH411" s="203" t="s">
        <v>1155</v>
      </c>
      <c r="AI411" s="202">
        <v>0</v>
      </c>
      <c r="AJ411" s="202">
        <v>0</v>
      </c>
    </row>
    <row r="412" spans="2:36">
      <c r="B412" s="203">
        <v>2180</v>
      </c>
      <c r="C412" s="207">
        <v>185175</v>
      </c>
      <c r="D412" s="203">
        <v>184365</v>
      </c>
      <c r="E412" s="202" t="s">
        <v>2595</v>
      </c>
      <c r="F412" s="203"/>
      <c r="G412" s="202"/>
      <c r="H412" s="202"/>
      <c r="I412" s="202"/>
      <c r="J412" s="202">
        <v>0</v>
      </c>
      <c r="K412" s="202" t="s">
        <v>2594</v>
      </c>
      <c r="L412" s="202"/>
      <c r="M412" s="202" t="s">
        <v>1158</v>
      </c>
      <c r="N412" s="206">
        <v>42944</v>
      </c>
      <c r="O412" s="206">
        <v>42944</v>
      </c>
      <c r="P412" s="202" t="s">
        <v>2588</v>
      </c>
      <c r="Q412" s="203">
        <v>500</v>
      </c>
      <c r="R412" s="203">
        <v>14040</v>
      </c>
      <c r="S412" s="204">
        <v>995.61</v>
      </c>
      <c r="T412" s="203">
        <v>14046</v>
      </c>
      <c r="U412" s="204">
        <v>962.42</v>
      </c>
      <c r="V412" s="204">
        <f t="shared" si="18"/>
        <v>33.190000000000055</v>
      </c>
      <c r="W412" s="205">
        <v>82.97</v>
      </c>
      <c r="X412" s="203">
        <v>51260</v>
      </c>
      <c r="Y412" s="204">
        <v>16.59</v>
      </c>
      <c r="Z412" s="202" t="s">
        <v>97</v>
      </c>
      <c r="AA412" s="202"/>
      <c r="AB412" s="202">
        <v>1857</v>
      </c>
      <c r="AC412" s="202"/>
      <c r="AD412" s="202" t="s">
        <v>1152</v>
      </c>
      <c r="AE412" s="202" t="s">
        <v>1153</v>
      </c>
      <c r="AF412" s="203" t="s">
        <v>1154</v>
      </c>
      <c r="AG412" s="202"/>
      <c r="AH412" s="203" t="s">
        <v>1155</v>
      </c>
      <c r="AI412" s="202">
        <v>0</v>
      </c>
      <c r="AJ412" s="202">
        <v>0</v>
      </c>
    </row>
    <row r="413" spans="2:36">
      <c r="B413" s="203">
        <v>2180</v>
      </c>
      <c r="C413" s="207">
        <v>185090</v>
      </c>
      <c r="D413" s="203" t="s">
        <v>97</v>
      </c>
      <c r="E413" s="202" t="s">
        <v>1379</v>
      </c>
      <c r="F413" s="203">
        <v>28</v>
      </c>
      <c r="G413" s="202"/>
      <c r="H413" s="202"/>
      <c r="I413" s="202"/>
      <c r="J413" s="202">
        <v>0</v>
      </c>
      <c r="K413" s="202" t="s">
        <v>2041</v>
      </c>
      <c r="L413" s="202"/>
      <c r="M413" s="202" t="s">
        <v>1573</v>
      </c>
      <c r="N413" s="206">
        <v>42944</v>
      </c>
      <c r="O413" s="206">
        <v>42944</v>
      </c>
      <c r="P413" s="202" t="s">
        <v>2593</v>
      </c>
      <c r="Q413" s="203">
        <v>1200</v>
      </c>
      <c r="R413" s="203">
        <v>14050</v>
      </c>
      <c r="S413" s="204">
        <v>14995.96</v>
      </c>
      <c r="T413" s="203">
        <v>14056</v>
      </c>
      <c r="U413" s="204">
        <v>6040.02</v>
      </c>
      <c r="V413" s="204">
        <f t="shared" si="18"/>
        <v>8955.9399999999987</v>
      </c>
      <c r="W413" s="205">
        <v>520.69000000000005</v>
      </c>
      <c r="X413" s="203">
        <v>54260</v>
      </c>
      <c r="Y413" s="204">
        <v>104.14</v>
      </c>
      <c r="Z413" s="202" t="s">
        <v>97</v>
      </c>
      <c r="AA413" s="202"/>
      <c r="AB413" s="202">
        <v>131666</v>
      </c>
      <c r="AC413" s="202"/>
      <c r="AD413" s="202" t="s">
        <v>1152</v>
      </c>
      <c r="AE413" s="202" t="s">
        <v>1153</v>
      </c>
      <c r="AF413" s="203" t="s">
        <v>1154</v>
      </c>
      <c r="AG413" s="202"/>
      <c r="AH413" s="203" t="s">
        <v>1155</v>
      </c>
      <c r="AI413" s="202">
        <v>0</v>
      </c>
      <c r="AJ413" s="202">
        <v>0</v>
      </c>
    </row>
    <row r="414" spans="2:36">
      <c r="B414" s="203">
        <v>2180</v>
      </c>
      <c r="C414" s="207">
        <v>185089</v>
      </c>
      <c r="D414" s="203" t="s">
        <v>97</v>
      </c>
      <c r="E414" s="202" t="s">
        <v>2549</v>
      </c>
      <c r="F414" s="203">
        <v>30</v>
      </c>
      <c r="G414" s="202"/>
      <c r="H414" s="202"/>
      <c r="I414" s="202"/>
      <c r="J414" s="202">
        <v>0</v>
      </c>
      <c r="K414" s="202" t="s">
        <v>2502</v>
      </c>
      <c r="L414" s="202"/>
      <c r="M414" s="202" t="s">
        <v>1582</v>
      </c>
      <c r="N414" s="206">
        <v>42926</v>
      </c>
      <c r="O414" s="206">
        <v>42926</v>
      </c>
      <c r="P414" s="202" t="s">
        <v>2592</v>
      </c>
      <c r="Q414" s="203">
        <v>700</v>
      </c>
      <c r="R414" s="203">
        <v>14050</v>
      </c>
      <c r="S414" s="204">
        <v>27570.46</v>
      </c>
      <c r="T414" s="203">
        <v>14056</v>
      </c>
      <c r="U414" s="204">
        <v>19364.98</v>
      </c>
      <c r="V414" s="204">
        <f t="shared" si="18"/>
        <v>8205.48</v>
      </c>
      <c r="W414" s="205">
        <v>1641.1</v>
      </c>
      <c r="X414" s="203">
        <v>54260</v>
      </c>
      <c r="Y414" s="204">
        <v>328.22</v>
      </c>
      <c r="Z414" s="202" t="s">
        <v>97</v>
      </c>
      <c r="AA414" s="202"/>
      <c r="AB414" s="202">
        <v>65479470</v>
      </c>
      <c r="AC414" s="202"/>
      <c r="AD414" s="202" t="s">
        <v>1152</v>
      </c>
      <c r="AE414" s="202" t="s">
        <v>1153</v>
      </c>
      <c r="AF414" s="203" t="s">
        <v>1154</v>
      </c>
      <c r="AG414" s="202"/>
      <c r="AH414" s="203" t="s">
        <v>1155</v>
      </c>
      <c r="AI414" s="202">
        <v>0</v>
      </c>
      <c r="AJ414" s="202">
        <v>0</v>
      </c>
    </row>
    <row r="415" spans="2:36">
      <c r="B415" s="203">
        <v>2180</v>
      </c>
      <c r="C415" s="207">
        <v>185087</v>
      </c>
      <c r="D415" s="203">
        <v>185371</v>
      </c>
      <c r="E415" s="202" t="s">
        <v>112</v>
      </c>
      <c r="F415" s="203"/>
      <c r="G415" s="202"/>
      <c r="H415" s="202"/>
      <c r="I415" s="202"/>
      <c r="J415" s="202">
        <v>0</v>
      </c>
      <c r="K415" s="202" t="s">
        <v>1576</v>
      </c>
      <c r="L415" s="202"/>
      <c r="M415" s="202" t="s">
        <v>1447</v>
      </c>
      <c r="N415" s="206">
        <v>42968</v>
      </c>
      <c r="O415" s="206">
        <v>42968</v>
      </c>
      <c r="P415" s="202" t="s">
        <v>2591</v>
      </c>
      <c r="Q415" s="203">
        <v>1000</v>
      </c>
      <c r="R415" s="203">
        <v>14040</v>
      </c>
      <c r="S415" s="204">
        <v>256.86</v>
      </c>
      <c r="T415" s="203">
        <v>14046</v>
      </c>
      <c r="U415" s="204">
        <v>121.98</v>
      </c>
      <c r="V415" s="204">
        <f t="shared" si="18"/>
        <v>134.88</v>
      </c>
      <c r="W415" s="205">
        <v>10.7</v>
      </c>
      <c r="X415" s="203">
        <v>51260</v>
      </c>
      <c r="Y415" s="204">
        <v>2.14</v>
      </c>
      <c r="Z415" s="202" t="s">
        <v>97</v>
      </c>
      <c r="AA415" s="202"/>
      <c r="AB415" s="202">
        <v>98443</v>
      </c>
      <c r="AC415" s="202"/>
      <c r="AD415" s="202" t="s">
        <v>1152</v>
      </c>
      <c r="AE415" s="202" t="s">
        <v>1153</v>
      </c>
      <c r="AF415" s="203" t="s">
        <v>1154</v>
      </c>
      <c r="AG415" s="202"/>
      <c r="AH415" s="203" t="s">
        <v>1155</v>
      </c>
      <c r="AI415" s="202">
        <v>0</v>
      </c>
      <c r="AJ415" s="202">
        <v>0</v>
      </c>
    </row>
    <row r="416" spans="2:36">
      <c r="B416" s="203">
        <v>2180</v>
      </c>
      <c r="C416" s="207">
        <v>185086</v>
      </c>
      <c r="D416" s="203">
        <v>184365</v>
      </c>
      <c r="E416" s="202" t="s">
        <v>242</v>
      </c>
      <c r="F416" s="203"/>
      <c r="G416" s="202"/>
      <c r="H416" s="202"/>
      <c r="I416" s="202"/>
      <c r="J416" s="202">
        <v>0</v>
      </c>
      <c r="K416" s="202" t="s">
        <v>1576</v>
      </c>
      <c r="L416" s="202"/>
      <c r="M416" s="202" t="s">
        <v>1447</v>
      </c>
      <c r="N416" s="206">
        <v>42944</v>
      </c>
      <c r="O416" s="206">
        <v>42944</v>
      </c>
      <c r="P416" s="202" t="s">
        <v>2588</v>
      </c>
      <c r="Q416" s="203">
        <v>1000</v>
      </c>
      <c r="R416" s="203">
        <v>14040</v>
      </c>
      <c r="S416" s="204">
        <v>7085.38</v>
      </c>
      <c r="T416" s="203">
        <v>14046</v>
      </c>
      <c r="U416" s="204">
        <v>3424.62</v>
      </c>
      <c r="V416" s="204">
        <f t="shared" si="18"/>
        <v>3660.76</v>
      </c>
      <c r="W416" s="205">
        <v>295.23</v>
      </c>
      <c r="X416" s="203">
        <v>51260</v>
      </c>
      <c r="Y416" s="204">
        <v>59.05</v>
      </c>
      <c r="Z416" s="202" t="s">
        <v>97</v>
      </c>
      <c r="AA416" s="202"/>
      <c r="AB416" s="202">
        <v>98471</v>
      </c>
      <c r="AC416" s="202"/>
      <c r="AD416" s="202" t="s">
        <v>1152</v>
      </c>
      <c r="AE416" s="202" t="s">
        <v>1153</v>
      </c>
      <c r="AF416" s="203" t="s">
        <v>1154</v>
      </c>
      <c r="AG416" s="202"/>
      <c r="AH416" s="203" t="s">
        <v>1155</v>
      </c>
      <c r="AI416" s="202">
        <v>0</v>
      </c>
      <c r="AJ416" s="202">
        <v>0</v>
      </c>
    </row>
    <row r="417" spans="2:36">
      <c r="B417" s="203">
        <v>2180</v>
      </c>
      <c r="C417" s="207">
        <v>184563</v>
      </c>
      <c r="D417" s="203">
        <v>184365</v>
      </c>
      <c r="E417" s="202" t="s">
        <v>243</v>
      </c>
      <c r="F417" s="203"/>
      <c r="G417" s="202"/>
      <c r="H417" s="202"/>
      <c r="I417" s="202"/>
      <c r="J417" s="202">
        <v>2017</v>
      </c>
      <c r="K417" s="202" t="s">
        <v>2590</v>
      </c>
      <c r="L417" s="202"/>
      <c r="M417" s="202" t="s">
        <v>1158</v>
      </c>
      <c r="N417" s="206">
        <v>42944</v>
      </c>
      <c r="O417" s="206">
        <v>42944</v>
      </c>
      <c r="P417" s="202" t="s">
        <v>2588</v>
      </c>
      <c r="Q417" s="203">
        <v>500</v>
      </c>
      <c r="R417" s="203">
        <v>14040</v>
      </c>
      <c r="S417" s="204">
        <v>1913.81</v>
      </c>
      <c r="T417" s="203">
        <v>14046</v>
      </c>
      <c r="U417" s="204">
        <v>1850.02</v>
      </c>
      <c r="V417" s="204">
        <f t="shared" si="18"/>
        <v>63.789999999999964</v>
      </c>
      <c r="W417" s="205">
        <v>159.49</v>
      </c>
      <c r="X417" s="203">
        <v>51260</v>
      </c>
      <c r="Y417" s="204">
        <v>31.9</v>
      </c>
      <c r="Z417" s="202" t="s">
        <v>97</v>
      </c>
      <c r="AA417" s="202"/>
      <c r="AB417" s="202">
        <v>5083750</v>
      </c>
      <c r="AC417" s="202"/>
      <c r="AD417" s="202" t="s">
        <v>1152</v>
      </c>
      <c r="AE417" s="202" t="s">
        <v>1153</v>
      </c>
      <c r="AF417" s="203" t="s">
        <v>1154</v>
      </c>
      <c r="AG417" s="202"/>
      <c r="AH417" s="203" t="s">
        <v>1155</v>
      </c>
      <c r="AI417" s="202">
        <v>0</v>
      </c>
      <c r="AJ417" s="202">
        <v>0</v>
      </c>
    </row>
    <row r="418" spans="2:36">
      <c r="B418" s="203">
        <v>2180</v>
      </c>
      <c r="C418" s="207">
        <v>184562</v>
      </c>
      <c r="D418" s="203">
        <v>184364</v>
      </c>
      <c r="E418" s="202" t="s">
        <v>114</v>
      </c>
      <c r="F418" s="203"/>
      <c r="G418" s="202"/>
      <c r="H418" s="202">
        <v>0</v>
      </c>
      <c r="I418" s="202"/>
      <c r="J418" s="202">
        <v>2017</v>
      </c>
      <c r="K418" s="202">
        <v>0</v>
      </c>
      <c r="L418" s="202">
        <v>0</v>
      </c>
      <c r="M418" s="202" t="s">
        <v>1158</v>
      </c>
      <c r="N418" s="206">
        <v>42942</v>
      </c>
      <c r="O418" s="206">
        <v>42942</v>
      </c>
      <c r="P418" s="202" t="s">
        <v>2583</v>
      </c>
      <c r="Q418" s="203">
        <v>500</v>
      </c>
      <c r="R418" s="203">
        <v>14040</v>
      </c>
      <c r="S418" s="204">
        <v>346.44</v>
      </c>
      <c r="T418" s="203">
        <v>14046</v>
      </c>
      <c r="U418" s="204">
        <v>334.9</v>
      </c>
      <c r="V418" s="204">
        <f t="shared" si="18"/>
        <v>11.54000000000002</v>
      </c>
      <c r="W418" s="205">
        <v>28.87</v>
      </c>
      <c r="X418" s="203">
        <v>51260</v>
      </c>
      <c r="Y418" s="204">
        <v>5.77</v>
      </c>
      <c r="Z418" s="202" t="s">
        <v>97</v>
      </c>
      <c r="AA418" s="202"/>
      <c r="AB418" s="202">
        <v>2520</v>
      </c>
      <c r="AC418" s="202"/>
      <c r="AD418" s="202" t="s">
        <v>1152</v>
      </c>
      <c r="AE418" s="202" t="s">
        <v>1153</v>
      </c>
      <c r="AF418" s="203" t="s">
        <v>1154</v>
      </c>
      <c r="AG418" s="202"/>
      <c r="AH418" s="203" t="s">
        <v>1155</v>
      </c>
      <c r="AI418" s="202">
        <v>0</v>
      </c>
      <c r="AJ418" s="202">
        <v>0</v>
      </c>
    </row>
    <row r="419" spans="2:36">
      <c r="B419" s="203">
        <v>2180</v>
      </c>
      <c r="C419" s="207">
        <v>184365</v>
      </c>
      <c r="D419" s="203" t="s">
        <v>97</v>
      </c>
      <c r="E419" s="202" t="s">
        <v>118</v>
      </c>
      <c r="F419" s="203"/>
      <c r="G419" s="202"/>
      <c r="H419" s="202" t="s">
        <v>2589</v>
      </c>
      <c r="I419" s="202"/>
      <c r="J419" s="202">
        <v>2018</v>
      </c>
      <c r="K419" s="202" t="s">
        <v>2290</v>
      </c>
      <c r="L419" s="202" t="s">
        <v>2440</v>
      </c>
      <c r="M419" s="202" t="s">
        <v>1999</v>
      </c>
      <c r="N419" s="206">
        <v>42944</v>
      </c>
      <c r="O419" s="206">
        <v>42944</v>
      </c>
      <c r="P419" s="202" t="s">
        <v>2588</v>
      </c>
      <c r="Q419" s="203">
        <v>1000</v>
      </c>
      <c r="R419" s="203">
        <v>14040</v>
      </c>
      <c r="S419" s="204">
        <v>308316.27</v>
      </c>
      <c r="T419" s="203">
        <v>14046</v>
      </c>
      <c r="U419" s="204">
        <v>149019.49</v>
      </c>
      <c r="V419" s="204">
        <f t="shared" si="18"/>
        <v>159296.78000000003</v>
      </c>
      <c r="W419" s="205">
        <v>12846.51</v>
      </c>
      <c r="X419" s="203">
        <v>51260</v>
      </c>
      <c r="Y419" s="204">
        <v>2569.3000000000002</v>
      </c>
      <c r="Z419" s="202" t="s">
        <v>97</v>
      </c>
      <c r="AA419" s="202"/>
      <c r="AB419" s="202" t="s">
        <v>2587</v>
      </c>
      <c r="AC419" s="202">
        <v>2047</v>
      </c>
      <c r="AD419" s="202" t="s">
        <v>1152</v>
      </c>
      <c r="AE419" s="202" t="s">
        <v>1153</v>
      </c>
      <c r="AF419" s="203" t="s">
        <v>1154</v>
      </c>
      <c r="AG419" s="202"/>
      <c r="AH419" s="203" t="s">
        <v>1155</v>
      </c>
      <c r="AI419" s="202">
        <v>0</v>
      </c>
      <c r="AJ419" s="202">
        <v>0</v>
      </c>
    </row>
    <row r="420" spans="2:36">
      <c r="B420" s="203">
        <v>2180</v>
      </c>
      <c r="C420" s="207">
        <v>184364</v>
      </c>
      <c r="D420" s="203" t="s">
        <v>97</v>
      </c>
      <c r="E420" s="202" t="s">
        <v>2586</v>
      </c>
      <c r="F420" s="203"/>
      <c r="G420" s="202"/>
      <c r="H420" s="202" t="s">
        <v>2585</v>
      </c>
      <c r="I420" s="202"/>
      <c r="J420" s="202">
        <v>2017</v>
      </c>
      <c r="K420" s="202" t="s">
        <v>2556</v>
      </c>
      <c r="L420" s="202" t="s">
        <v>2584</v>
      </c>
      <c r="M420" s="202" t="s">
        <v>2112</v>
      </c>
      <c r="N420" s="206">
        <v>42942</v>
      </c>
      <c r="O420" s="206">
        <v>42942</v>
      </c>
      <c r="P420" s="202" t="s">
        <v>2583</v>
      </c>
      <c r="Q420" s="203">
        <v>1000</v>
      </c>
      <c r="R420" s="203">
        <v>14040</v>
      </c>
      <c r="S420" s="204">
        <v>143024.03</v>
      </c>
      <c r="T420" s="203">
        <v>14046</v>
      </c>
      <c r="U420" s="204">
        <v>69128.27</v>
      </c>
      <c r="V420" s="204">
        <f t="shared" si="18"/>
        <v>73895.759999999995</v>
      </c>
      <c r="W420" s="205">
        <v>5959.33</v>
      </c>
      <c r="X420" s="203">
        <v>51260</v>
      </c>
      <c r="Y420" s="204">
        <v>1191.8599999999999</v>
      </c>
      <c r="Z420" s="202" t="s">
        <v>97</v>
      </c>
      <c r="AA420" s="202"/>
      <c r="AB420" s="202">
        <v>98145</v>
      </c>
      <c r="AC420" s="202">
        <v>3304</v>
      </c>
      <c r="AD420" s="202" t="s">
        <v>1152</v>
      </c>
      <c r="AE420" s="202" t="s">
        <v>1153</v>
      </c>
      <c r="AF420" s="203" t="s">
        <v>1154</v>
      </c>
      <c r="AG420" s="202"/>
      <c r="AH420" s="203" t="s">
        <v>1155</v>
      </c>
      <c r="AI420" s="202">
        <v>0</v>
      </c>
      <c r="AJ420" s="202">
        <v>0</v>
      </c>
    </row>
    <row r="421" spans="2:36">
      <c r="B421" s="203">
        <v>2180</v>
      </c>
      <c r="C421" s="207">
        <v>183935</v>
      </c>
      <c r="D421" s="203" t="s">
        <v>97</v>
      </c>
      <c r="E421" s="202" t="s">
        <v>2582</v>
      </c>
      <c r="F421" s="203">
        <v>13</v>
      </c>
      <c r="G421" s="202"/>
      <c r="H421" s="202"/>
      <c r="I421" s="202"/>
      <c r="J421" s="202">
        <v>0</v>
      </c>
      <c r="K421" s="202" t="s">
        <v>2445</v>
      </c>
      <c r="L421" s="202"/>
      <c r="M421" s="202" t="s">
        <v>2382</v>
      </c>
      <c r="N421" s="206">
        <v>42895</v>
      </c>
      <c r="O421" s="206">
        <v>42895</v>
      </c>
      <c r="P421" s="202" t="s">
        <v>2581</v>
      </c>
      <c r="Q421" s="203">
        <v>700</v>
      </c>
      <c r="R421" s="203">
        <v>14050</v>
      </c>
      <c r="S421" s="204">
        <v>17637.47</v>
      </c>
      <c r="T421" s="203">
        <v>14056</v>
      </c>
      <c r="U421" s="204">
        <v>12598.2</v>
      </c>
      <c r="V421" s="204">
        <f t="shared" si="18"/>
        <v>5039.2700000000004</v>
      </c>
      <c r="W421" s="205">
        <v>1049.8499999999999</v>
      </c>
      <c r="X421" s="203">
        <v>54260</v>
      </c>
      <c r="Y421" s="204">
        <v>209.97</v>
      </c>
      <c r="Z421" s="202" t="s">
        <v>97</v>
      </c>
      <c r="AA421" s="202"/>
      <c r="AB421" s="202" t="s">
        <v>2580</v>
      </c>
      <c r="AC421" s="202"/>
      <c r="AD421" s="202" t="s">
        <v>1152</v>
      </c>
      <c r="AE421" s="202" t="s">
        <v>1153</v>
      </c>
      <c r="AF421" s="203" t="s">
        <v>1154</v>
      </c>
      <c r="AG421" s="202"/>
      <c r="AH421" s="203" t="s">
        <v>1155</v>
      </c>
      <c r="AI421" s="202">
        <v>0</v>
      </c>
      <c r="AJ421" s="202">
        <v>0</v>
      </c>
    </row>
    <row r="422" spans="2:36">
      <c r="B422" s="203">
        <v>2180</v>
      </c>
      <c r="C422" s="207">
        <v>183934</v>
      </c>
      <c r="D422" s="203" t="s">
        <v>97</v>
      </c>
      <c r="E422" s="202" t="s">
        <v>2429</v>
      </c>
      <c r="F422" s="203">
        <v>702</v>
      </c>
      <c r="G422" s="202"/>
      <c r="H422" s="202"/>
      <c r="I422" s="202"/>
      <c r="J422" s="202">
        <v>0</v>
      </c>
      <c r="K422" s="202" t="s">
        <v>2445</v>
      </c>
      <c r="L422" s="202"/>
      <c r="M422" s="202"/>
      <c r="N422" s="206">
        <v>42899</v>
      </c>
      <c r="O422" s="206">
        <v>42899</v>
      </c>
      <c r="P422" s="202" t="s">
        <v>2579</v>
      </c>
      <c r="Q422" s="203">
        <v>700</v>
      </c>
      <c r="R422" s="203">
        <v>14050</v>
      </c>
      <c r="S422" s="204">
        <v>38623.17</v>
      </c>
      <c r="T422" s="203">
        <v>14056</v>
      </c>
      <c r="U422" s="204">
        <v>27588</v>
      </c>
      <c r="V422" s="204">
        <f t="shared" si="18"/>
        <v>11035.169999999998</v>
      </c>
      <c r="W422" s="205">
        <v>2299</v>
      </c>
      <c r="X422" s="203">
        <v>54260</v>
      </c>
      <c r="Y422" s="204">
        <v>459.8</v>
      </c>
      <c r="Z422" s="202" t="s">
        <v>97</v>
      </c>
      <c r="AA422" s="202"/>
      <c r="AB422" s="202" t="s">
        <v>2578</v>
      </c>
      <c r="AC422" s="202"/>
      <c r="AD422" s="202" t="s">
        <v>1152</v>
      </c>
      <c r="AE422" s="202" t="s">
        <v>1153</v>
      </c>
      <c r="AF422" s="203" t="s">
        <v>1154</v>
      </c>
      <c r="AG422" s="202"/>
      <c r="AH422" s="203" t="s">
        <v>1155</v>
      </c>
      <c r="AI422" s="202">
        <v>0</v>
      </c>
      <c r="AJ422" s="202">
        <v>0</v>
      </c>
    </row>
    <row r="423" spans="2:36">
      <c r="B423" s="203">
        <v>2180</v>
      </c>
      <c r="C423" s="207">
        <v>183933</v>
      </c>
      <c r="D423" s="203" t="s">
        <v>97</v>
      </c>
      <c r="E423" s="202" t="s">
        <v>2552</v>
      </c>
      <c r="F423" s="203">
        <v>702</v>
      </c>
      <c r="G423" s="202"/>
      <c r="H423" s="202"/>
      <c r="I423" s="202"/>
      <c r="J423" s="202">
        <v>0</v>
      </c>
      <c r="K423" s="202" t="s">
        <v>2445</v>
      </c>
      <c r="L423" s="202"/>
      <c r="M423" s="202"/>
      <c r="N423" s="206">
        <v>42899</v>
      </c>
      <c r="O423" s="206">
        <v>42899</v>
      </c>
      <c r="P423" s="202" t="s">
        <v>2577</v>
      </c>
      <c r="Q423" s="203">
        <v>700</v>
      </c>
      <c r="R423" s="203">
        <v>14050</v>
      </c>
      <c r="S423" s="204">
        <v>38623.17</v>
      </c>
      <c r="T423" s="203">
        <v>14056</v>
      </c>
      <c r="U423" s="204">
        <v>27588</v>
      </c>
      <c r="V423" s="204">
        <f t="shared" si="18"/>
        <v>11035.169999999998</v>
      </c>
      <c r="W423" s="205">
        <v>2299</v>
      </c>
      <c r="X423" s="203">
        <v>54260</v>
      </c>
      <c r="Y423" s="204">
        <v>459.8</v>
      </c>
      <c r="Z423" s="202" t="s">
        <v>97</v>
      </c>
      <c r="AA423" s="202"/>
      <c r="AB423" s="202" t="s">
        <v>2576</v>
      </c>
      <c r="AC423" s="202"/>
      <c r="AD423" s="202" t="s">
        <v>1152</v>
      </c>
      <c r="AE423" s="202" t="s">
        <v>1153</v>
      </c>
      <c r="AF423" s="203" t="s">
        <v>1154</v>
      </c>
      <c r="AG423" s="202"/>
      <c r="AH423" s="203" t="s">
        <v>1155</v>
      </c>
      <c r="AI423" s="202">
        <v>0</v>
      </c>
      <c r="AJ423" s="202">
        <v>0</v>
      </c>
    </row>
    <row r="424" spans="2:36">
      <c r="B424" s="203">
        <v>2180</v>
      </c>
      <c r="C424" s="207">
        <v>183932</v>
      </c>
      <c r="D424" s="203" t="s">
        <v>97</v>
      </c>
      <c r="E424" s="202" t="s">
        <v>2528</v>
      </c>
      <c r="F424" s="203">
        <v>624</v>
      </c>
      <c r="G424" s="202"/>
      <c r="H424" s="202"/>
      <c r="I424" s="202"/>
      <c r="J424" s="202">
        <v>0</v>
      </c>
      <c r="K424" s="202" t="s">
        <v>2502</v>
      </c>
      <c r="L424" s="202"/>
      <c r="M424" s="202"/>
      <c r="N424" s="206">
        <v>42914</v>
      </c>
      <c r="O424" s="206">
        <v>42914</v>
      </c>
      <c r="P424" s="202" t="s">
        <v>2575</v>
      </c>
      <c r="Q424" s="203">
        <v>700</v>
      </c>
      <c r="R424" s="203">
        <v>14050</v>
      </c>
      <c r="S424" s="204">
        <v>32784.07</v>
      </c>
      <c r="T424" s="203">
        <v>14056</v>
      </c>
      <c r="U424" s="204">
        <v>23026.91</v>
      </c>
      <c r="V424" s="204">
        <f t="shared" si="18"/>
        <v>9757.16</v>
      </c>
      <c r="W424" s="205">
        <v>1951.43</v>
      </c>
      <c r="X424" s="203">
        <v>54260</v>
      </c>
      <c r="Y424" s="204">
        <v>390.28</v>
      </c>
      <c r="Z424" s="202" t="s">
        <v>97</v>
      </c>
      <c r="AA424" s="202"/>
      <c r="AB424" s="202">
        <v>65474669</v>
      </c>
      <c r="AC424" s="202"/>
      <c r="AD424" s="202" t="s">
        <v>1152</v>
      </c>
      <c r="AE424" s="202" t="s">
        <v>1153</v>
      </c>
      <c r="AF424" s="203" t="s">
        <v>1154</v>
      </c>
      <c r="AG424" s="202"/>
      <c r="AH424" s="203" t="s">
        <v>1155</v>
      </c>
      <c r="AI424" s="202">
        <v>0</v>
      </c>
      <c r="AJ424" s="202">
        <v>0</v>
      </c>
    </row>
    <row r="425" spans="2:36">
      <c r="B425" s="203">
        <v>2180</v>
      </c>
      <c r="C425" s="207">
        <v>183931</v>
      </c>
      <c r="D425" s="203" t="s">
        <v>97</v>
      </c>
      <c r="E425" s="202" t="s">
        <v>2528</v>
      </c>
      <c r="F425" s="203">
        <v>624</v>
      </c>
      <c r="G425" s="202"/>
      <c r="H425" s="202"/>
      <c r="I425" s="202"/>
      <c r="J425" s="202">
        <v>0</v>
      </c>
      <c r="K425" s="202" t="s">
        <v>2502</v>
      </c>
      <c r="L425" s="202"/>
      <c r="M425" s="202"/>
      <c r="N425" s="206">
        <v>42896</v>
      </c>
      <c r="O425" s="206">
        <v>42896</v>
      </c>
      <c r="P425" s="202" t="s">
        <v>2575</v>
      </c>
      <c r="Q425" s="203">
        <v>700</v>
      </c>
      <c r="R425" s="203">
        <v>14050</v>
      </c>
      <c r="S425" s="204">
        <v>32784.07</v>
      </c>
      <c r="T425" s="203">
        <v>14056</v>
      </c>
      <c r="U425" s="204">
        <v>23417.200000000001</v>
      </c>
      <c r="V425" s="204">
        <f t="shared" si="18"/>
        <v>9366.869999999999</v>
      </c>
      <c r="W425" s="205">
        <v>1951.43</v>
      </c>
      <c r="X425" s="203">
        <v>54260</v>
      </c>
      <c r="Y425" s="204">
        <v>390.28</v>
      </c>
      <c r="Z425" s="202" t="s">
        <v>97</v>
      </c>
      <c r="AA425" s="202"/>
      <c r="AB425" s="202">
        <v>65471581</v>
      </c>
      <c r="AC425" s="202"/>
      <c r="AD425" s="202" t="s">
        <v>1152</v>
      </c>
      <c r="AE425" s="202" t="s">
        <v>1153</v>
      </c>
      <c r="AF425" s="203" t="s">
        <v>1154</v>
      </c>
      <c r="AG425" s="202"/>
      <c r="AH425" s="203" t="s">
        <v>1155</v>
      </c>
      <c r="AI425" s="202">
        <v>0</v>
      </c>
      <c r="AJ425" s="202">
        <v>0</v>
      </c>
    </row>
    <row r="426" spans="2:36">
      <c r="B426" s="203">
        <v>2180</v>
      </c>
      <c r="C426" s="207">
        <v>183887</v>
      </c>
      <c r="D426" s="203" t="s">
        <v>97</v>
      </c>
      <c r="E426" s="202" t="s">
        <v>2574</v>
      </c>
      <c r="F426" s="203">
        <v>5</v>
      </c>
      <c r="G426" s="202"/>
      <c r="H426" s="202"/>
      <c r="I426" s="202"/>
      <c r="J426" s="202">
        <v>0</v>
      </c>
      <c r="K426" s="202" t="s">
        <v>2041</v>
      </c>
      <c r="L426" s="202"/>
      <c r="M426" s="202" t="s">
        <v>1458</v>
      </c>
      <c r="N426" s="206">
        <v>42914</v>
      </c>
      <c r="O426" s="206">
        <v>42914</v>
      </c>
      <c r="P426" s="202" t="s">
        <v>2568</v>
      </c>
      <c r="Q426" s="203">
        <v>1200</v>
      </c>
      <c r="R426" s="203">
        <v>14050</v>
      </c>
      <c r="S426" s="204">
        <v>28000</v>
      </c>
      <c r="T426" s="203">
        <v>14056</v>
      </c>
      <c r="U426" s="204">
        <v>11472.21</v>
      </c>
      <c r="V426" s="204">
        <f t="shared" si="18"/>
        <v>16527.79</v>
      </c>
      <c r="W426" s="205">
        <v>972.22</v>
      </c>
      <c r="X426" s="203">
        <v>54260</v>
      </c>
      <c r="Y426" s="204">
        <v>194.44</v>
      </c>
      <c r="Z426" s="202" t="s">
        <v>97</v>
      </c>
      <c r="AA426" s="202"/>
      <c r="AB426" s="202">
        <v>130803</v>
      </c>
      <c r="AC426" s="202"/>
      <c r="AD426" s="202" t="s">
        <v>1152</v>
      </c>
      <c r="AE426" s="202" t="s">
        <v>1153</v>
      </c>
      <c r="AF426" s="203" t="s">
        <v>1154</v>
      </c>
      <c r="AG426" s="202"/>
      <c r="AH426" s="203" t="s">
        <v>1155</v>
      </c>
      <c r="AI426" s="202">
        <v>0</v>
      </c>
      <c r="AJ426" s="202">
        <v>0</v>
      </c>
    </row>
    <row r="427" spans="2:36">
      <c r="B427" s="203">
        <v>2180</v>
      </c>
      <c r="C427" s="207">
        <v>183497</v>
      </c>
      <c r="D427" s="203">
        <v>90584</v>
      </c>
      <c r="E427" s="202" t="s">
        <v>2573</v>
      </c>
      <c r="F427" s="203"/>
      <c r="G427" s="202"/>
      <c r="H427" s="202"/>
      <c r="I427" s="202"/>
      <c r="J427" s="202">
        <v>0</v>
      </c>
      <c r="K427" s="202" t="s">
        <v>2296</v>
      </c>
      <c r="L427" s="202"/>
      <c r="M427" s="202" t="s">
        <v>1158</v>
      </c>
      <c r="N427" s="206">
        <v>42886</v>
      </c>
      <c r="O427" s="206">
        <v>42886</v>
      </c>
      <c r="P427" s="202" t="s">
        <v>2572</v>
      </c>
      <c r="Q427" s="203">
        <v>300</v>
      </c>
      <c r="R427" s="203">
        <v>14040</v>
      </c>
      <c r="S427" s="204">
        <v>14357</v>
      </c>
      <c r="T427" s="203">
        <v>14046</v>
      </c>
      <c r="U427" s="204">
        <v>14357</v>
      </c>
      <c r="V427" s="204">
        <f t="shared" si="18"/>
        <v>0</v>
      </c>
      <c r="W427" s="205">
        <v>0</v>
      </c>
      <c r="X427" s="203">
        <v>51260</v>
      </c>
      <c r="Y427" s="204">
        <v>0</v>
      </c>
      <c r="Z427" s="202" t="s">
        <v>97</v>
      </c>
      <c r="AA427" s="202"/>
      <c r="AB427" s="202" t="s">
        <v>2571</v>
      </c>
      <c r="AC427" s="202"/>
      <c r="AD427" s="202" t="s">
        <v>1152</v>
      </c>
      <c r="AE427" s="202" t="s">
        <v>1153</v>
      </c>
      <c r="AF427" s="203" t="s">
        <v>1154</v>
      </c>
      <c r="AG427" s="202"/>
      <c r="AH427" s="203" t="s">
        <v>1155</v>
      </c>
      <c r="AI427" s="202">
        <v>0</v>
      </c>
      <c r="AJ427" s="202">
        <v>0</v>
      </c>
    </row>
    <row r="428" spans="2:36">
      <c r="B428" s="203">
        <v>2180</v>
      </c>
      <c r="C428" s="207">
        <v>183458</v>
      </c>
      <c r="D428" s="203" t="s">
        <v>97</v>
      </c>
      <c r="E428" s="202" t="s">
        <v>2570</v>
      </c>
      <c r="F428" s="203">
        <v>6</v>
      </c>
      <c r="G428" s="202"/>
      <c r="H428" s="202"/>
      <c r="I428" s="202"/>
      <c r="J428" s="202">
        <v>0</v>
      </c>
      <c r="K428" s="202" t="s">
        <v>2041</v>
      </c>
      <c r="L428" s="202"/>
      <c r="M428" s="202" t="s">
        <v>1454</v>
      </c>
      <c r="N428" s="206">
        <v>42914</v>
      </c>
      <c r="O428" s="206">
        <v>42914</v>
      </c>
      <c r="P428" s="202" t="s">
        <v>2568</v>
      </c>
      <c r="Q428" s="203">
        <v>1200</v>
      </c>
      <c r="R428" s="203">
        <v>14050</v>
      </c>
      <c r="S428" s="204">
        <v>37050</v>
      </c>
      <c r="T428" s="203">
        <v>14056</v>
      </c>
      <c r="U428" s="204">
        <v>15180.21</v>
      </c>
      <c r="V428" s="204">
        <f t="shared" si="18"/>
        <v>21869.79</v>
      </c>
      <c r="W428" s="205">
        <v>1286.46</v>
      </c>
      <c r="X428" s="203">
        <v>54260</v>
      </c>
      <c r="Y428" s="204">
        <v>257.29000000000002</v>
      </c>
      <c r="Z428" s="202" t="s">
        <v>97</v>
      </c>
      <c r="AA428" s="202"/>
      <c r="AB428" s="202">
        <v>130726</v>
      </c>
      <c r="AC428" s="202"/>
      <c r="AD428" s="202" t="s">
        <v>1152</v>
      </c>
      <c r="AE428" s="202" t="s">
        <v>1153</v>
      </c>
      <c r="AF428" s="203" t="s">
        <v>1154</v>
      </c>
      <c r="AG428" s="202"/>
      <c r="AH428" s="203" t="s">
        <v>1155</v>
      </c>
      <c r="AI428" s="202">
        <v>0</v>
      </c>
      <c r="AJ428" s="202">
        <v>0</v>
      </c>
    </row>
    <row r="429" spans="2:36">
      <c r="B429" s="203">
        <v>2180</v>
      </c>
      <c r="C429" s="207">
        <v>183457</v>
      </c>
      <c r="D429" s="203" t="s">
        <v>97</v>
      </c>
      <c r="E429" s="202" t="s">
        <v>2569</v>
      </c>
      <c r="F429" s="203">
        <v>6</v>
      </c>
      <c r="G429" s="202"/>
      <c r="H429" s="202"/>
      <c r="I429" s="202"/>
      <c r="J429" s="202">
        <v>0</v>
      </c>
      <c r="K429" s="202" t="s">
        <v>2041</v>
      </c>
      <c r="L429" s="202"/>
      <c r="M429" s="202" t="s">
        <v>1417</v>
      </c>
      <c r="N429" s="206">
        <v>42914</v>
      </c>
      <c r="O429" s="206">
        <v>42914</v>
      </c>
      <c r="P429" s="202" t="s">
        <v>2568</v>
      </c>
      <c r="Q429" s="203">
        <v>1200</v>
      </c>
      <c r="R429" s="203">
        <v>14050</v>
      </c>
      <c r="S429" s="204">
        <v>42870</v>
      </c>
      <c r="T429" s="203">
        <v>14056</v>
      </c>
      <c r="U429" s="204">
        <v>17564.79</v>
      </c>
      <c r="V429" s="204">
        <f t="shared" si="18"/>
        <v>25305.21</v>
      </c>
      <c r="W429" s="205">
        <v>1488.54</v>
      </c>
      <c r="X429" s="203">
        <v>54260</v>
      </c>
      <c r="Y429" s="204">
        <v>297.70999999999998</v>
      </c>
      <c r="Z429" s="202" t="s">
        <v>97</v>
      </c>
      <c r="AA429" s="202"/>
      <c r="AB429" s="202">
        <v>130727</v>
      </c>
      <c r="AC429" s="202"/>
      <c r="AD429" s="202" t="s">
        <v>1152</v>
      </c>
      <c r="AE429" s="202" t="s">
        <v>1153</v>
      </c>
      <c r="AF429" s="203" t="s">
        <v>1154</v>
      </c>
      <c r="AG429" s="202"/>
      <c r="AH429" s="203" t="s">
        <v>1155</v>
      </c>
      <c r="AI429" s="202">
        <v>0</v>
      </c>
      <c r="AJ429" s="202">
        <v>0</v>
      </c>
    </row>
    <row r="430" spans="2:36">
      <c r="B430" s="203">
        <v>2180</v>
      </c>
      <c r="C430" s="207">
        <v>183284</v>
      </c>
      <c r="D430" s="203">
        <v>181935</v>
      </c>
      <c r="E430" s="202" t="s">
        <v>211</v>
      </c>
      <c r="F430" s="203"/>
      <c r="G430" s="202"/>
      <c r="H430" s="202"/>
      <c r="I430" s="202"/>
      <c r="J430" s="202">
        <v>0</v>
      </c>
      <c r="K430" s="202"/>
      <c r="L430" s="202" t="s">
        <v>2567</v>
      </c>
      <c r="M430" s="202" t="s">
        <v>1447</v>
      </c>
      <c r="N430" s="206">
        <v>42900</v>
      </c>
      <c r="O430" s="206">
        <v>42900</v>
      </c>
      <c r="P430" s="202" t="s">
        <v>2555</v>
      </c>
      <c r="Q430" s="203">
        <v>1000</v>
      </c>
      <c r="R430" s="203">
        <v>14040</v>
      </c>
      <c r="S430" s="204">
        <v>8346.19</v>
      </c>
      <c r="T430" s="203">
        <v>14046</v>
      </c>
      <c r="U430" s="204">
        <v>4173.1000000000004</v>
      </c>
      <c r="V430" s="204">
        <f t="shared" si="18"/>
        <v>4173.09</v>
      </c>
      <c r="W430" s="205">
        <v>347.76</v>
      </c>
      <c r="X430" s="203">
        <v>51260</v>
      </c>
      <c r="Y430" s="204">
        <v>69.55</v>
      </c>
      <c r="Z430" s="202" t="s">
        <v>97</v>
      </c>
      <c r="AA430" s="202"/>
      <c r="AB430" s="202">
        <v>98144</v>
      </c>
      <c r="AC430" s="202"/>
      <c r="AD430" s="202" t="s">
        <v>1152</v>
      </c>
      <c r="AE430" s="202" t="s">
        <v>1153</v>
      </c>
      <c r="AF430" s="203" t="s">
        <v>1154</v>
      </c>
      <c r="AG430" s="202"/>
      <c r="AH430" s="203" t="s">
        <v>1155</v>
      </c>
      <c r="AI430" s="202">
        <v>0</v>
      </c>
      <c r="AJ430" s="202">
        <v>0</v>
      </c>
    </row>
    <row r="431" spans="2:36">
      <c r="B431" s="203">
        <v>2180</v>
      </c>
      <c r="C431" s="207">
        <v>182378</v>
      </c>
      <c r="D431" s="203" t="s">
        <v>97</v>
      </c>
      <c r="E431" s="202" t="s">
        <v>2566</v>
      </c>
      <c r="F431" s="203">
        <v>7</v>
      </c>
      <c r="G431" s="202"/>
      <c r="H431" s="202"/>
      <c r="I431" s="202"/>
      <c r="J431" s="202">
        <v>0</v>
      </c>
      <c r="K431" s="202" t="s">
        <v>2041</v>
      </c>
      <c r="L431" s="202"/>
      <c r="M431" s="202" t="s">
        <v>1417</v>
      </c>
      <c r="N431" s="206">
        <v>42216</v>
      </c>
      <c r="O431" s="206">
        <v>42216</v>
      </c>
      <c r="P431" s="202" t="s">
        <v>2565</v>
      </c>
      <c r="Q431" s="203">
        <v>1200</v>
      </c>
      <c r="R431" s="203">
        <v>14050</v>
      </c>
      <c r="S431" s="204">
        <v>43330</v>
      </c>
      <c r="T431" s="203">
        <v>14056</v>
      </c>
      <c r="U431" s="204">
        <v>24673.93</v>
      </c>
      <c r="V431" s="204">
        <f t="shared" si="18"/>
        <v>18656.07</v>
      </c>
      <c r="W431" s="205">
        <v>1504.51</v>
      </c>
      <c r="X431" s="203">
        <v>54260</v>
      </c>
      <c r="Y431" s="204">
        <v>300.89999999999998</v>
      </c>
      <c r="Z431" s="202" t="s">
        <v>97</v>
      </c>
      <c r="AA431" s="202"/>
      <c r="AB431" s="202">
        <v>110872</v>
      </c>
      <c r="AC431" s="202"/>
      <c r="AD431" s="202" t="s">
        <v>1152</v>
      </c>
      <c r="AE431" s="202" t="s">
        <v>1153</v>
      </c>
      <c r="AF431" s="203" t="s">
        <v>1154</v>
      </c>
      <c r="AG431" s="208">
        <v>42886</v>
      </c>
      <c r="AH431" s="203" t="s">
        <v>1155</v>
      </c>
      <c r="AI431" s="202">
        <v>0</v>
      </c>
      <c r="AJ431" s="202">
        <v>6619.83</v>
      </c>
    </row>
    <row r="432" spans="2:36">
      <c r="B432" s="203">
        <v>2180</v>
      </c>
      <c r="C432" s="207">
        <v>182377</v>
      </c>
      <c r="D432" s="203" t="s">
        <v>97</v>
      </c>
      <c r="E432" s="202" t="s">
        <v>2564</v>
      </c>
      <c r="F432" s="203">
        <v>1</v>
      </c>
      <c r="G432" s="202"/>
      <c r="H432" s="202"/>
      <c r="I432" s="202"/>
      <c r="J432" s="202">
        <v>0</v>
      </c>
      <c r="K432" s="202" t="s">
        <v>1574</v>
      </c>
      <c r="L432" s="202"/>
      <c r="M432" s="202" t="s">
        <v>1417</v>
      </c>
      <c r="N432" s="206">
        <v>41214</v>
      </c>
      <c r="O432" s="206">
        <v>41214</v>
      </c>
      <c r="P432" s="202" t="s">
        <v>2561</v>
      </c>
      <c r="Q432" s="203">
        <v>1200</v>
      </c>
      <c r="R432" s="203">
        <v>14050</v>
      </c>
      <c r="S432" s="204">
        <v>6492.89</v>
      </c>
      <c r="T432" s="203">
        <v>14056</v>
      </c>
      <c r="U432" s="204">
        <v>5185.3500000000004</v>
      </c>
      <c r="V432" s="204">
        <f t="shared" si="18"/>
        <v>1307.54</v>
      </c>
      <c r="W432" s="205">
        <v>225.45</v>
      </c>
      <c r="X432" s="203">
        <v>54260</v>
      </c>
      <c r="Y432" s="204">
        <v>45.09</v>
      </c>
      <c r="Z432" s="202" t="s">
        <v>97</v>
      </c>
      <c r="AA432" s="202"/>
      <c r="AB432" s="202">
        <v>76589</v>
      </c>
      <c r="AC432" s="202"/>
      <c r="AD432" s="202" t="s">
        <v>1152</v>
      </c>
      <c r="AE432" s="202" t="s">
        <v>1153</v>
      </c>
      <c r="AF432" s="203" t="s">
        <v>1154</v>
      </c>
      <c r="AG432" s="208">
        <v>42886</v>
      </c>
      <c r="AH432" s="203" t="s">
        <v>1155</v>
      </c>
      <c r="AI432" s="202">
        <v>0</v>
      </c>
      <c r="AJ432" s="202">
        <v>2479.9499999999998</v>
      </c>
    </row>
    <row r="433" spans="2:36">
      <c r="B433" s="203">
        <v>2180</v>
      </c>
      <c r="C433" s="207">
        <v>182376</v>
      </c>
      <c r="D433" s="203" t="s">
        <v>97</v>
      </c>
      <c r="E433" s="202" t="s">
        <v>2563</v>
      </c>
      <c r="F433" s="203">
        <v>3</v>
      </c>
      <c r="G433" s="202"/>
      <c r="H433" s="202"/>
      <c r="I433" s="202"/>
      <c r="J433" s="202">
        <v>0</v>
      </c>
      <c r="K433" s="202" t="s">
        <v>1574</v>
      </c>
      <c r="L433" s="202"/>
      <c r="M433" s="202" t="s">
        <v>1417</v>
      </c>
      <c r="N433" s="206">
        <v>41214</v>
      </c>
      <c r="O433" s="206">
        <v>41214</v>
      </c>
      <c r="P433" s="202" t="s">
        <v>2561</v>
      </c>
      <c r="Q433" s="203">
        <v>1200</v>
      </c>
      <c r="R433" s="203">
        <v>14050</v>
      </c>
      <c r="S433" s="204">
        <v>19478.669999999998</v>
      </c>
      <c r="T433" s="203">
        <v>14056</v>
      </c>
      <c r="U433" s="204">
        <v>15555.86</v>
      </c>
      <c r="V433" s="204">
        <f t="shared" si="18"/>
        <v>3922.8099999999977</v>
      </c>
      <c r="W433" s="205">
        <v>676.34</v>
      </c>
      <c r="X433" s="203">
        <v>54260</v>
      </c>
      <c r="Y433" s="204">
        <v>135.27000000000001</v>
      </c>
      <c r="Z433" s="202" t="s">
        <v>97</v>
      </c>
      <c r="AA433" s="202"/>
      <c r="AB433" s="202">
        <v>76587</v>
      </c>
      <c r="AC433" s="202"/>
      <c r="AD433" s="202" t="s">
        <v>1152</v>
      </c>
      <c r="AE433" s="202" t="s">
        <v>1153</v>
      </c>
      <c r="AF433" s="203" t="s">
        <v>1154</v>
      </c>
      <c r="AG433" s="208">
        <v>42886</v>
      </c>
      <c r="AH433" s="203" t="s">
        <v>1155</v>
      </c>
      <c r="AI433" s="202">
        <v>0</v>
      </c>
      <c r="AJ433" s="202">
        <v>7439.76</v>
      </c>
    </row>
    <row r="434" spans="2:36">
      <c r="B434" s="203">
        <v>2180</v>
      </c>
      <c r="C434" s="207">
        <v>182375</v>
      </c>
      <c r="D434" s="203" t="s">
        <v>97</v>
      </c>
      <c r="E434" s="202" t="s">
        <v>2563</v>
      </c>
      <c r="F434" s="203">
        <v>3</v>
      </c>
      <c r="G434" s="202"/>
      <c r="H434" s="202"/>
      <c r="I434" s="202"/>
      <c r="J434" s="202">
        <v>0</v>
      </c>
      <c r="K434" s="202" t="s">
        <v>1574</v>
      </c>
      <c r="L434" s="202"/>
      <c r="M434" s="202" t="s">
        <v>1417</v>
      </c>
      <c r="N434" s="206">
        <v>41214</v>
      </c>
      <c r="O434" s="206">
        <v>41214</v>
      </c>
      <c r="P434" s="202" t="s">
        <v>2561</v>
      </c>
      <c r="Q434" s="203">
        <v>1200</v>
      </c>
      <c r="R434" s="203">
        <v>14050</v>
      </c>
      <c r="S434" s="204">
        <v>19478.669999999998</v>
      </c>
      <c r="T434" s="203">
        <v>14056</v>
      </c>
      <c r="U434" s="204">
        <v>15555.86</v>
      </c>
      <c r="V434" s="204">
        <f t="shared" si="18"/>
        <v>3922.8099999999977</v>
      </c>
      <c r="W434" s="205">
        <v>676.34</v>
      </c>
      <c r="X434" s="203">
        <v>54260</v>
      </c>
      <c r="Y434" s="204">
        <v>135.27000000000001</v>
      </c>
      <c r="Z434" s="202" t="s">
        <v>97</v>
      </c>
      <c r="AA434" s="202"/>
      <c r="AB434" s="202">
        <v>76586</v>
      </c>
      <c r="AC434" s="202"/>
      <c r="AD434" s="202" t="s">
        <v>1152</v>
      </c>
      <c r="AE434" s="202" t="s">
        <v>1153</v>
      </c>
      <c r="AF434" s="203" t="s">
        <v>1154</v>
      </c>
      <c r="AG434" s="208">
        <v>42886</v>
      </c>
      <c r="AH434" s="203" t="s">
        <v>1155</v>
      </c>
      <c r="AI434" s="202">
        <v>0</v>
      </c>
      <c r="AJ434" s="202">
        <v>7439.76</v>
      </c>
    </row>
    <row r="435" spans="2:36">
      <c r="B435" s="203">
        <v>2180</v>
      </c>
      <c r="C435" s="207">
        <v>182374</v>
      </c>
      <c r="D435" s="203" t="s">
        <v>97</v>
      </c>
      <c r="E435" s="202" t="s">
        <v>2562</v>
      </c>
      <c r="F435" s="203">
        <v>2</v>
      </c>
      <c r="G435" s="202"/>
      <c r="H435" s="202"/>
      <c r="I435" s="202"/>
      <c r="J435" s="202">
        <v>0</v>
      </c>
      <c r="K435" s="202" t="s">
        <v>1574</v>
      </c>
      <c r="L435" s="202"/>
      <c r="M435" s="202" t="s">
        <v>1417</v>
      </c>
      <c r="N435" s="206">
        <v>41214</v>
      </c>
      <c r="O435" s="206">
        <v>41214</v>
      </c>
      <c r="P435" s="202" t="s">
        <v>2561</v>
      </c>
      <c r="Q435" s="203">
        <v>1200</v>
      </c>
      <c r="R435" s="203">
        <v>14050</v>
      </c>
      <c r="S435" s="204">
        <v>12985.78</v>
      </c>
      <c r="T435" s="203">
        <v>14056</v>
      </c>
      <c r="U435" s="204">
        <v>10370.61</v>
      </c>
      <c r="V435" s="204">
        <f t="shared" si="18"/>
        <v>2615.17</v>
      </c>
      <c r="W435" s="205">
        <v>450.9</v>
      </c>
      <c r="X435" s="203">
        <v>54260</v>
      </c>
      <c r="Y435" s="204">
        <v>90.18</v>
      </c>
      <c r="Z435" s="202" t="s">
        <v>97</v>
      </c>
      <c r="AA435" s="202"/>
      <c r="AB435" s="202">
        <v>76547</v>
      </c>
      <c r="AC435" s="202"/>
      <c r="AD435" s="202" t="s">
        <v>1152</v>
      </c>
      <c r="AE435" s="202" t="s">
        <v>1153</v>
      </c>
      <c r="AF435" s="203" t="s">
        <v>1154</v>
      </c>
      <c r="AG435" s="208">
        <v>42886</v>
      </c>
      <c r="AH435" s="203" t="s">
        <v>1155</v>
      </c>
      <c r="AI435" s="202">
        <v>0</v>
      </c>
      <c r="AJ435" s="202">
        <v>4959.8599999999997</v>
      </c>
    </row>
    <row r="436" spans="2:36">
      <c r="B436" s="203">
        <v>2180</v>
      </c>
      <c r="C436" s="207">
        <v>182373</v>
      </c>
      <c r="D436" s="203" t="s">
        <v>97</v>
      </c>
      <c r="E436" s="202" t="s">
        <v>580</v>
      </c>
      <c r="F436" s="203">
        <v>3</v>
      </c>
      <c r="G436" s="202"/>
      <c r="H436" s="202"/>
      <c r="I436" s="202"/>
      <c r="J436" s="202">
        <v>0</v>
      </c>
      <c r="K436" s="202" t="s">
        <v>2041</v>
      </c>
      <c r="L436" s="202"/>
      <c r="M436" s="202" t="s">
        <v>1454</v>
      </c>
      <c r="N436" s="206">
        <v>41204</v>
      </c>
      <c r="O436" s="206">
        <v>41204</v>
      </c>
      <c r="P436" s="202" t="s">
        <v>2560</v>
      </c>
      <c r="Q436" s="203">
        <v>1200</v>
      </c>
      <c r="R436" s="203">
        <v>14050</v>
      </c>
      <c r="S436" s="204">
        <v>17804.849999999999</v>
      </c>
      <c r="T436" s="203">
        <v>14056</v>
      </c>
      <c r="U436" s="204">
        <v>14219.18</v>
      </c>
      <c r="V436" s="204">
        <f t="shared" si="18"/>
        <v>3585.6699999999983</v>
      </c>
      <c r="W436" s="205">
        <v>618.23</v>
      </c>
      <c r="X436" s="203">
        <v>54260</v>
      </c>
      <c r="Y436" s="204">
        <v>123.65</v>
      </c>
      <c r="Z436" s="202" t="s">
        <v>97</v>
      </c>
      <c r="AA436" s="202"/>
      <c r="AB436" s="202">
        <v>75869</v>
      </c>
      <c r="AC436" s="202"/>
      <c r="AD436" s="202" t="s">
        <v>1152</v>
      </c>
      <c r="AE436" s="202" t="s">
        <v>1153</v>
      </c>
      <c r="AF436" s="203" t="s">
        <v>1154</v>
      </c>
      <c r="AG436" s="208">
        <v>42886</v>
      </c>
      <c r="AH436" s="203" t="s">
        <v>1155</v>
      </c>
      <c r="AI436" s="202">
        <v>0</v>
      </c>
      <c r="AJ436" s="202">
        <v>6800.48</v>
      </c>
    </row>
    <row r="437" spans="2:36">
      <c r="B437" s="203">
        <v>2180</v>
      </c>
      <c r="C437" s="207">
        <v>182372</v>
      </c>
      <c r="D437" s="203" t="s">
        <v>97</v>
      </c>
      <c r="E437" s="202" t="s">
        <v>581</v>
      </c>
      <c r="F437" s="203">
        <v>3</v>
      </c>
      <c r="G437" s="202"/>
      <c r="H437" s="202"/>
      <c r="I437" s="202"/>
      <c r="J437" s="202">
        <v>0</v>
      </c>
      <c r="K437" s="202" t="s">
        <v>2041</v>
      </c>
      <c r="L437" s="202"/>
      <c r="M437" s="202" t="s">
        <v>1454</v>
      </c>
      <c r="N437" s="206">
        <v>41204</v>
      </c>
      <c r="O437" s="206">
        <v>41204</v>
      </c>
      <c r="P437" s="202" t="s">
        <v>2560</v>
      </c>
      <c r="Q437" s="203">
        <v>1200</v>
      </c>
      <c r="R437" s="203">
        <v>14050</v>
      </c>
      <c r="S437" s="204">
        <v>17804.849999999999</v>
      </c>
      <c r="T437" s="203">
        <v>14056</v>
      </c>
      <c r="U437" s="204">
        <v>14219.18</v>
      </c>
      <c r="V437" s="204">
        <f t="shared" si="18"/>
        <v>3585.6699999999983</v>
      </c>
      <c r="W437" s="205">
        <v>618.23</v>
      </c>
      <c r="X437" s="203">
        <v>54260</v>
      </c>
      <c r="Y437" s="204">
        <v>123.65</v>
      </c>
      <c r="Z437" s="202" t="s">
        <v>97</v>
      </c>
      <c r="AA437" s="202"/>
      <c r="AB437" s="202">
        <v>75837</v>
      </c>
      <c r="AC437" s="202"/>
      <c r="AD437" s="202" t="s">
        <v>1152</v>
      </c>
      <c r="AE437" s="202" t="s">
        <v>1153</v>
      </c>
      <c r="AF437" s="203" t="s">
        <v>1154</v>
      </c>
      <c r="AG437" s="208">
        <v>42886</v>
      </c>
      <c r="AH437" s="203" t="s">
        <v>1155</v>
      </c>
      <c r="AI437" s="202">
        <v>0</v>
      </c>
      <c r="AJ437" s="202">
        <v>6800.48</v>
      </c>
    </row>
    <row r="438" spans="2:36">
      <c r="B438" s="203">
        <v>2180</v>
      </c>
      <c r="C438" s="207">
        <v>182371</v>
      </c>
      <c r="D438" s="203" t="s">
        <v>97</v>
      </c>
      <c r="E438" s="202" t="s">
        <v>2559</v>
      </c>
      <c r="F438" s="203">
        <v>1</v>
      </c>
      <c r="G438" s="202"/>
      <c r="H438" s="202"/>
      <c r="I438" s="202"/>
      <c r="J438" s="202">
        <v>0</v>
      </c>
      <c r="K438" s="202"/>
      <c r="L438" s="202"/>
      <c r="M438" s="202" t="s">
        <v>1460</v>
      </c>
      <c r="N438" s="206">
        <v>39755</v>
      </c>
      <c r="O438" s="206">
        <v>39755</v>
      </c>
      <c r="P438" s="202"/>
      <c r="Q438" s="203">
        <v>700</v>
      </c>
      <c r="R438" s="203">
        <v>14050</v>
      </c>
      <c r="S438" s="204">
        <v>1500</v>
      </c>
      <c r="T438" s="203">
        <v>14056</v>
      </c>
      <c r="U438" s="204">
        <v>1500</v>
      </c>
      <c r="V438" s="204">
        <f t="shared" si="18"/>
        <v>0</v>
      </c>
      <c r="W438" s="205">
        <v>0</v>
      </c>
      <c r="X438" s="203">
        <v>54260</v>
      </c>
      <c r="Y438" s="204">
        <v>0</v>
      </c>
      <c r="Z438" s="202" t="s">
        <v>1153</v>
      </c>
      <c r="AA438" s="202" t="s">
        <v>1383</v>
      </c>
      <c r="AB438" s="202"/>
      <c r="AC438" s="202"/>
      <c r="AD438" s="202" t="s">
        <v>1152</v>
      </c>
      <c r="AE438" s="202" t="s">
        <v>1153</v>
      </c>
      <c r="AF438" s="203" t="s">
        <v>1154</v>
      </c>
      <c r="AG438" s="208">
        <v>42886</v>
      </c>
      <c r="AH438" s="203" t="s">
        <v>1155</v>
      </c>
      <c r="AI438" s="202">
        <v>0</v>
      </c>
      <c r="AJ438" s="202">
        <v>1500</v>
      </c>
    </row>
    <row r="439" spans="2:36">
      <c r="B439" s="203">
        <v>2180</v>
      </c>
      <c r="C439" s="207">
        <v>182370</v>
      </c>
      <c r="D439" s="203" t="s">
        <v>97</v>
      </c>
      <c r="E439" s="202" t="s">
        <v>1455</v>
      </c>
      <c r="F439" s="203">
        <v>46</v>
      </c>
      <c r="G439" s="202"/>
      <c r="H439" s="202"/>
      <c r="I439" s="202"/>
      <c r="J439" s="202">
        <v>0</v>
      </c>
      <c r="K439" s="202"/>
      <c r="L439" s="202"/>
      <c r="M439" s="202" t="s">
        <v>1454</v>
      </c>
      <c r="N439" s="206">
        <v>39755</v>
      </c>
      <c r="O439" s="206">
        <v>39755</v>
      </c>
      <c r="P439" s="202"/>
      <c r="Q439" s="203">
        <v>700</v>
      </c>
      <c r="R439" s="203">
        <v>14050</v>
      </c>
      <c r="S439" s="204">
        <v>80500</v>
      </c>
      <c r="T439" s="203">
        <v>14056</v>
      </c>
      <c r="U439" s="204">
        <v>80500</v>
      </c>
      <c r="V439" s="204">
        <f t="shared" si="18"/>
        <v>0</v>
      </c>
      <c r="W439" s="205">
        <v>0</v>
      </c>
      <c r="X439" s="203">
        <v>54260</v>
      </c>
      <c r="Y439" s="204">
        <v>0</v>
      </c>
      <c r="Z439" s="202" t="s">
        <v>1153</v>
      </c>
      <c r="AA439" s="202" t="s">
        <v>1383</v>
      </c>
      <c r="AB439" s="202"/>
      <c r="AC439" s="202"/>
      <c r="AD439" s="202" t="s">
        <v>1152</v>
      </c>
      <c r="AE439" s="202" t="s">
        <v>1153</v>
      </c>
      <c r="AF439" s="203" t="s">
        <v>1154</v>
      </c>
      <c r="AG439" s="208">
        <v>42886</v>
      </c>
      <c r="AH439" s="203" t="s">
        <v>1155</v>
      </c>
      <c r="AI439" s="202">
        <v>0</v>
      </c>
      <c r="AJ439" s="202">
        <v>80500</v>
      </c>
    </row>
    <row r="440" spans="2:36">
      <c r="B440" s="203">
        <v>2180</v>
      </c>
      <c r="C440" s="207">
        <v>182368</v>
      </c>
      <c r="D440" s="203" t="s">
        <v>97</v>
      </c>
      <c r="E440" s="202" t="s">
        <v>1867</v>
      </c>
      <c r="F440" s="203">
        <v>170</v>
      </c>
      <c r="G440" s="202"/>
      <c r="H440" s="202"/>
      <c r="I440" s="202"/>
      <c r="J440" s="202">
        <v>0</v>
      </c>
      <c r="K440" s="202"/>
      <c r="L440" s="202"/>
      <c r="M440" s="202"/>
      <c r="N440" s="206">
        <v>39755</v>
      </c>
      <c r="O440" s="206">
        <v>39755</v>
      </c>
      <c r="P440" s="202"/>
      <c r="Q440" s="203">
        <v>1200</v>
      </c>
      <c r="R440" s="203">
        <v>14050</v>
      </c>
      <c r="S440" s="204">
        <v>41700</v>
      </c>
      <c r="T440" s="203">
        <v>14056</v>
      </c>
      <c r="U440" s="204">
        <v>41700</v>
      </c>
      <c r="V440" s="204">
        <f t="shared" si="18"/>
        <v>0</v>
      </c>
      <c r="W440" s="205">
        <v>0</v>
      </c>
      <c r="X440" s="203">
        <v>54260</v>
      </c>
      <c r="Y440" s="204">
        <v>0</v>
      </c>
      <c r="Z440" s="202" t="s">
        <v>1153</v>
      </c>
      <c r="AA440" s="202" t="s">
        <v>1383</v>
      </c>
      <c r="AB440" s="202"/>
      <c r="AC440" s="202"/>
      <c r="AD440" s="202" t="s">
        <v>1152</v>
      </c>
      <c r="AE440" s="202" t="s">
        <v>1153</v>
      </c>
      <c r="AF440" s="203" t="s">
        <v>1154</v>
      </c>
      <c r="AG440" s="208">
        <v>42886</v>
      </c>
      <c r="AH440" s="203" t="s">
        <v>1155</v>
      </c>
      <c r="AI440" s="202">
        <v>0</v>
      </c>
      <c r="AJ440" s="202">
        <v>29827.08</v>
      </c>
    </row>
    <row r="441" spans="2:36">
      <c r="B441" s="203">
        <v>2180</v>
      </c>
      <c r="C441" s="207">
        <v>181935</v>
      </c>
      <c r="D441" s="203" t="s">
        <v>97</v>
      </c>
      <c r="E441" s="202" t="s">
        <v>2558</v>
      </c>
      <c r="F441" s="203"/>
      <c r="G441" s="202"/>
      <c r="H441" s="202" t="s">
        <v>2557</v>
      </c>
      <c r="I441" s="202"/>
      <c r="J441" s="202">
        <v>2016</v>
      </c>
      <c r="K441" s="202" t="s">
        <v>2556</v>
      </c>
      <c r="L441" s="202" t="s">
        <v>1830</v>
      </c>
      <c r="M441" s="202" t="s">
        <v>1503</v>
      </c>
      <c r="N441" s="206">
        <v>42886</v>
      </c>
      <c r="O441" s="206">
        <v>42886</v>
      </c>
      <c r="P441" s="202" t="s">
        <v>2555</v>
      </c>
      <c r="Q441" s="203">
        <v>1000</v>
      </c>
      <c r="R441" s="203">
        <v>14040</v>
      </c>
      <c r="S441" s="204">
        <v>60070.239999999998</v>
      </c>
      <c r="T441" s="203">
        <v>14046</v>
      </c>
      <c r="U441" s="204">
        <v>30035.11</v>
      </c>
      <c r="V441" s="204">
        <f t="shared" si="18"/>
        <v>30035.129999999997</v>
      </c>
      <c r="W441" s="205">
        <v>2502.9299999999998</v>
      </c>
      <c r="X441" s="203">
        <v>51260</v>
      </c>
      <c r="Y441" s="204">
        <v>500.59</v>
      </c>
      <c r="Z441" s="202" t="s">
        <v>97</v>
      </c>
      <c r="AA441" s="202"/>
      <c r="AB441" s="202">
        <v>13325</v>
      </c>
      <c r="AC441" s="202">
        <v>9561</v>
      </c>
      <c r="AD441" s="202" t="s">
        <v>1152</v>
      </c>
      <c r="AE441" s="202" t="s">
        <v>1153</v>
      </c>
      <c r="AF441" s="203" t="s">
        <v>1154</v>
      </c>
      <c r="AG441" s="202"/>
      <c r="AH441" s="203" t="s">
        <v>1155</v>
      </c>
      <c r="AI441" s="202">
        <v>0</v>
      </c>
      <c r="AJ441" s="202">
        <v>0</v>
      </c>
    </row>
    <row r="442" spans="2:36">
      <c r="B442" s="203">
        <v>2180</v>
      </c>
      <c r="C442" s="207">
        <v>181675</v>
      </c>
      <c r="D442" s="203" t="s">
        <v>97</v>
      </c>
      <c r="E442" s="202" t="s">
        <v>2429</v>
      </c>
      <c r="F442" s="203">
        <v>702</v>
      </c>
      <c r="G442" s="202"/>
      <c r="H442" s="202"/>
      <c r="I442" s="202"/>
      <c r="J442" s="202">
        <v>0</v>
      </c>
      <c r="K442" s="202" t="s">
        <v>2445</v>
      </c>
      <c r="L442" s="202"/>
      <c r="M442" s="202"/>
      <c r="N442" s="206">
        <v>42861</v>
      </c>
      <c r="O442" s="206">
        <v>42861</v>
      </c>
      <c r="P442" s="202" t="s">
        <v>2554</v>
      </c>
      <c r="Q442" s="203">
        <v>700</v>
      </c>
      <c r="R442" s="203">
        <v>14050</v>
      </c>
      <c r="S442" s="204">
        <v>36215.9</v>
      </c>
      <c r="T442" s="203">
        <v>14056</v>
      </c>
      <c r="U442" s="204">
        <v>26299.64</v>
      </c>
      <c r="V442" s="204">
        <f t="shared" si="18"/>
        <v>9916.260000000002</v>
      </c>
      <c r="W442" s="205">
        <v>2155.71</v>
      </c>
      <c r="X442" s="203">
        <v>54260</v>
      </c>
      <c r="Y442" s="204">
        <v>431.14</v>
      </c>
      <c r="Z442" s="202" t="s">
        <v>97</v>
      </c>
      <c r="AA442" s="202"/>
      <c r="AB442" s="202" t="s">
        <v>2553</v>
      </c>
      <c r="AC442" s="202"/>
      <c r="AD442" s="202" t="s">
        <v>1152</v>
      </c>
      <c r="AE442" s="202" t="s">
        <v>1153</v>
      </c>
      <c r="AF442" s="203" t="s">
        <v>1154</v>
      </c>
      <c r="AG442" s="202"/>
      <c r="AH442" s="203" t="s">
        <v>1155</v>
      </c>
      <c r="AI442" s="202">
        <v>0</v>
      </c>
      <c r="AJ442" s="202">
        <v>0</v>
      </c>
    </row>
    <row r="443" spans="2:36">
      <c r="B443" s="203">
        <v>2180</v>
      </c>
      <c r="C443" s="207">
        <v>181674</v>
      </c>
      <c r="D443" s="203" t="s">
        <v>97</v>
      </c>
      <c r="E443" s="202" t="s">
        <v>2552</v>
      </c>
      <c r="F443" s="203">
        <v>702</v>
      </c>
      <c r="G443" s="202"/>
      <c r="H443" s="202"/>
      <c r="I443" s="202"/>
      <c r="J443" s="202">
        <v>0</v>
      </c>
      <c r="K443" s="202" t="s">
        <v>2445</v>
      </c>
      <c r="L443" s="202"/>
      <c r="M443" s="202"/>
      <c r="N443" s="206">
        <v>42857</v>
      </c>
      <c r="O443" s="206">
        <v>42857</v>
      </c>
      <c r="P443" s="202" t="s">
        <v>2551</v>
      </c>
      <c r="Q443" s="203">
        <v>700</v>
      </c>
      <c r="R443" s="203">
        <v>14050</v>
      </c>
      <c r="S443" s="204">
        <v>34834.79</v>
      </c>
      <c r="T443" s="203">
        <v>14056</v>
      </c>
      <c r="U443" s="204">
        <v>25296.7</v>
      </c>
      <c r="V443" s="204">
        <f t="shared" si="18"/>
        <v>9538.09</v>
      </c>
      <c r="W443" s="205">
        <v>2073.5</v>
      </c>
      <c r="X443" s="203">
        <v>54260</v>
      </c>
      <c r="Y443" s="204">
        <v>414.7</v>
      </c>
      <c r="Z443" s="202" t="s">
        <v>97</v>
      </c>
      <c r="AA443" s="202"/>
      <c r="AB443" s="202" t="s">
        <v>2550</v>
      </c>
      <c r="AC443" s="202"/>
      <c r="AD443" s="202" t="s">
        <v>1152</v>
      </c>
      <c r="AE443" s="202" t="s">
        <v>1153</v>
      </c>
      <c r="AF443" s="203" t="s">
        <v>1154</v>
      </c>
      <c r="AG443" s="202"/>
      <c r="AH443" s="203" t="s">
        <v>1155</v>
      </c>
      <c r="AI443" s="202">
        <v>0</v>
      </c>
      <c r="AJ443" s="202">
        <v>0</v>
      </c>
    </row>
    <row r="444" spans="2:36">
      <c r="B444" s="203">
        <v>2180</v>
      </c>
      <c r="C444" s="207">
        <v>181673</v>
      </c>
      <c r="D444" s="203" t="s">
        <v>97</v>
      </c>
      <c r="E444" s="202" t="s">
        <v>2549</v>
      </c>
      <c r="F444" s="203">
        <v>20</v>
      </c>
      <c r="G444" s="202"/>
      <c r="H444" s="202"/>
      <c r="I444" s="202"/>
      <c r="J444" s="202">
        <v>0</v>
      </c>
      <c r="K444" s="202" t="s">
        <v>2445</v>
      </c>
      <c r="L444" s="202"/>
      <c r="M444" s="202" t="s">
        <v>1582</v>
      </c>
      <c r="N444" s="206">
        <v>42846</v>
      </c>
      <c r="O444" s="206">
        <v>42846</v>
      </c>
      <c r="P444" s="202" t="s">
        <v>2548</v>
      </c>
      <c r="Q444" s="203">
        <v>700</v>
      </c>
      <c r="R444" s="203">
        <v>14050</v>
      </c>
      <c r="S444" s="204">
        <v>15378.51</v>
      </c>
      <c r="T444" s="203">
        <v>14056</v>
      </c>
      <c r="U444" s="204">
        <v>11167.73</v>
      </c>
      <c r="V444" s="204">
        <f t="shared" si="18"/>
        <v>4210.7800000000007</v>
      </c>
      <c r="W444" s="205">
        <v>915.39</v>
      </c>
      <c r="X444" s="203">
        <v>54260</v>
      </c>
      <c r="Y444" s="204">
        <v>183.08</v>
      </c>
      <c r="Z444" s="202" t="s">
        <v>97</v>
      </c>
      <c r="AA444" s="202"/>
      <c r="AB444" s="202" t="s">
        <v>2547</v>
      </c>
      <c r="AC444" s="202"/>
      <c r="AD444" s="202" t="s">
        <v>1152</v>
      </c>
      <c r="AE444" s="202" t="s">
        <v>1153</v>
      </c>
      <c r="AF444" s="203" t="s">
        <v>1154</v>
      </c>
      <c r="AG444" s="202"/>
      <c r="AH444" s="203" t="s">
        <v>1155</v>
      </c>
      <c r="AI444" s="202">
        <v>0</v>
      </c>
      <c r="AJ444" s="202">
        <v>0</v>
      </c>
    </row>
    <row r="445" spans="2:36">
      <c r="B445" s="203">
        <v>2180</v>
      </c>
      <c r="C445" s="207">
        <v>181672</v>
      </c>
      <c r="D445" s="203" t="s">
        <v>97</v>
      </c>
      <c r="E445" s="202" t="s">
        <v>2546</v>
      </c>
      <c r="F445" s="203">
        <v>24</v>
      </c>
      <c r="G445" s="202"/>
      <c r="H445" s="202"/>
      <c r="I445" s="202"/>
      <c r="J445" s="202">
        <v>0</v>
      </c>
      <c r="K445" s="202" t="s">
        <v>2445</v>
      </c>
      <c r="L445" s="202"/>
      <c r="M445" s="202" t="s">
        <v>1555</v>
      </c>
      <c r="N445" s="206">
        <v>42846</v>
      </c>
      <c r="O445" s="206">
        <v>42846</v>
      </c>
      <c r="P445" s="202" t="s">
        <v>2545</v>
      </c>
      <c r="Q445" s="203">
        <v>700</v>
      </c>
      <c r="R445" s="203">
        <v>14050</v>
      </c>
      <c r="S445" s="204">
        <v>13828.86</v>
      </c>
      <c r="T445" s="203">
        <v>14056</v>
      </c>
      <c r="U445" s="204">
        <v>10042.39</v>
      </c>
      <c r="V445" s="204">
        <f t="shared" si="18"/>
        <v>3786.4700000000012</v>
      </c>
      <c r="W445" s="205">
        <v>823.15</v>
      </c>
      <c r="X445" s="203">
        <v>54260</v>
      </c>
      <c r="Y445" s="204">
        <v>164.63</v>
      </c>
      <c r="Z445" s="202" t="s">
        <v>97</v>
      </c>
      <c r="AA445" s="202"/>
      <c r="AB445" s="202" t="s">
        <v>2544</v>
      </c>
      <c r="AC445" s="202"/>
      <c r="AD445" s="202" t="s">
        <v>1152</v>
      </c>
      <c r="AE445" s="202" t="s">
        <v>1153</v>
      </c>
      <c r="AF445" s="203" t="s">
        <v>1154</v>
      </c>
      <c r="AG445" s="202"/>
      <c r="AH445" s="203" t="s">
        <v>1155</v>
      </c>
      <c r="AI445" s="202">
        <v>0</v>
      </c>
      <c r="AJ445" s="202">
        <v>0</v>
      </c>
    </row>
    <row r="446" spans="2:36">
      <c r="B446" s="203">
        <v>2180</v>
      </c>
      <c r="C446" s="207">
        <v>180957</v>
      </c>
      <c r="D446" s="203" t="s">
        <v>97</v>
      </c>
      <c r="E446" s="202" t="s">
        <v>2543</v>
      </c>
      <c r="F446" s="203">
        <v>0</v>
      </c>
      <c r="G446" s="202"/>
      <c r="H446" s="202" t="s">
        <v>2542</v>
      </c>
      <c r="I446" s="202"/>
      <c r="J446" s="202">
        <v>2006</v>
      </c>
      <c r="K446" s="202" t="s">
        <v>1388</v>
      </c>
      <c r="L446" s="202" t="s">
        <v>1255</v>
      </c>
      <c r="M446" s="202" t="s">
        <v>1385</v>
      </c>
      <c r="N446" s="206">
        <v>39755</v>
      </c>
      <c r="O446" s="206">
        <v>39755</v>
      </c>
      <c r="P446" s="202"/>
      <c r="Q446" s="203">
        <v>300</v>
      </c>
      <c r="R446" s="203">
        <v>14040</v>
      </c>
      <c r="S446" s="204">
        <v>13500</v>
      </c>
      <c r="T446" s="203">
        <v>14046</v>
      </c>
      <c r="U446" s="204">
        <v>13500</v>
      </c>
      <c r="V446" s="204">
        <f t="shared" si="18"/>
        <v>0</v>
      </c>
      <c r="W446" s="205">
        <v>0</v>
      </c>
      <c r="X446" s="203">
        <v>51260</v>
      </c>
      <c r="Y446" s="204">
        <v>0</v>
      </c>
      <c r="Z446" s="202" t="s">
        <v>1153</v>
      </c>
      <c r="AA446" s="202" t="s">
        <v>1383</v>
      </c>
      <c r="AB446" s="202"/>
      <c r="AC446" s="202">
        <v>6038</v>
      </c>
      <c r="AD446" s="202" t="s">
        <v>1152</v>
      </c>
      <c r="AE446" s="202" t="s">
        <v>1153</v>
      </c>
      <c r="AF446" s="203" t="s">
        <v>1154</v>
      </c>
      <c r="AG446" s="208">
        <v>42855</v>
      </c>
      <c r="AH446" s="203" t="s">
        <v>1155</v>
      </c>
      <c r="AI446" s="202">
        <v>0</v>
      </c>
      <c r="AJ446" s="202">
        <v>13500</v>
      </c>
    </row>
    <row r="447" spans="2:36">
      <c r="B447" s="203">
        <v>2180</v>
      </c>
      <c r="C447" s="207">
        <v>180930</v>
      </c>
      <c r="D447" s="203" t="s">
        <v>97</v>
      </c>
      <c r="E447" s="202" t="s">
        <v>2541</v>
      </c>
      <c r="F447" s="203">
        <v>0</v>
      </c>
      <c r="G447" s="202"/>
      <c r="H447" s="202" t="s">
        <v>2540</v>
      </c>
      <c r="I447" s="202"/>
      <c r="J447" s="202">
        <v>2012</v>
      </c>
      <c r="K447" s="202" t="s">
        <v>1733</v>
      </c>
      <c r="L447" s="202" t="s">
        <v>1395</v>
      </c>
      <c r="M447" s="202" t="s">
        <v>1394</v>
      </c>
      <c r="N447" s="206">
        <v>40786</v>
      </c>
      <c r="O447" s="206">
        <v>40786</v>
      </c>
      <c r="P447" s="202" t="s">
        <v>2539</v>
      </c>
      <c r="Q447" s="203">
        <v>1000</v>
      </c>
      <c r="R447" s="203">
        <v>14040</v>
      </c>
      <c r="S447" s="204">
        <v>247726.06</v>
      </c>
      <c r="T447" s="203">
        <v>14046</v>
      </c>
      <c r="U447" s="204">
        <v>247726.06</v>
      </c>
      <c r="V447" s="204">
        <f t="shared" si="18"/>
        <v>0</v>
      </c>
      <c r="W447" s="205">
        <v>0</v>
      </c>
      <c r="X447" s="203">
        <v>51260</v>
      </c>
      <c r="Y447" s="204">
        <v>0</v>
      </c>
      <c r="Z447" s="202" t="s">
        <v>97</v>
      </c>
      <c r="AA447" s="202"/>
      <c r="AB447" s="202">
        <v>1640871</v>
      </c>
      <c r="AC447" s="202">
        <v>1075</v>
      </c>
      <c r="AD447" s="202" t="s">
        <v>1152</v>
      </c>
      <c r="AE447" s="202" t="s">
        <v>1153</v>
      </c>
      <c r="AF447" s="203" t="s">
        <v>1154</v>
      </c>
      <c r="AG447" s="208">
        <v>42855</v>
      </c>
      <c r="AH447" s="203" t="s">
        <v>1155</v>
      </c>
      <c r="AI447" s="202">
        <v>0</v>
      </c>
      <c r="AJ447" s="202">
        <v>140378.13</v>
      </c>
    </row>
    <row r="448" spans="2:36">
      <c r="B448" s="203">
        <v>2180</v>
      </c>
      <c r="C448" s="207">
        <v>180202</v>
      </c>
      <c r="D448" s="203" t="s">
        <v>97</v>
      </c>
      <c r="E448" s="202" t="s">
        <v>2538</v>
      </c>
      <c r="F448" s="203">
        <v>0</v>
      </c>
      <c r="G448" s="202"/>
      <c r="H448" s="202" t="s">
        <v>2537</v>
      </c>
      <c r="I448" s="202"/>
      <c r="J448" s="202">
        <v>2013</v>
      </c>
      <c r="K448" s="202" t="s">
        <v>2536</v>
      </c>
      <c r="L448" s="202" t="s">
        <v>2066</v>
      </c>
      <c r="M448" s="202" t="s">
        <v>2535</v>
      </c>
      <c r="N448" s="206">
        <v>41386</v>
      </c>
      <c r="O448" s="206">
        <v>41386</v>
      </c>
      <c r="P448" s="202" t="s">
        <v>2534</v>
      </c>
      <c r="Q448" s="203">
        <v>500</v>
      </c>
      <c r="R448" s="203">
        <v>14040</v>
      </c>
      <c r="S448" s="204">
        <v>25999.99</v>
      </c>
      <c r="T448" s="203">
        <v>14046</v>
      </c>
      <c r="U448" s="204">
        <v>25999.99</v>
      </c>
      <c r="V448" s="204">
        <f t="shared" si="18"/>
        <v>0</v>
      </c>
      <c r="W448" s="205">
        <v>0</v>
      </c>
      <c r="X448" s="203">
        <v>51260</v>
      </c>
      <c r="Y448" s="204">
        <v>0</v>
      </c>
      <c r="Z448" s="202" t="s">
        <v>97</v>
      </c>
      <c r="AA448" s="202"/>
      <c r="AB448" s="202">
        <v>13368</v>
      </c>
      <c r="AC448" s="202">
        <v>6627</v>
      </c>
      <c r="AD448" s="202" t="s">
        <v>1152</v>
      </c>
      <c r="AE448" s="202" t="s">
        <v>1153</v>
      </c>
      <c r="AF448" s="203" t="s">
        <v>1154</v>
      </c>
      <c r="AG448" s="208">
        <v>42825</v>
      </c>
      <c r="AH448" s="203" t="s">
        <v>1155</v>
      </c>
      <c r="AI448" s="202">
        <v>0</v>
      </c>
      <c r="AJ448" s="202">
        <v>20366.669999999998</v>
      </c>
    </row>
    <row r="449" spans="2:36">
      <c r="B449" s="203">
        <v>2180</v>
      </c>
      <c r="C449" s="207">
        <v>179239</v>
      </c>
      <c r="D449" s="203" t="s">
        <v>97</v>
      </c>
      <c r="E449" s="202" t="s">
        <v>979</v>
      </c>
      <c r="F449" s="203"/>
      <c r="G449" s="202"/>
      <c r="H449" s="202"/>
      <c r="I449" s="202"/>
      <c r="J449" s="202">
        <v>0</v>
      </c>
      <c r="K449" s="202" t="s">
        <v>1429</v>
      </c>
      <c r="L449" s="202"/>
      <c r="M449" s="202"/>
      <c r="N449" s="206">
        <v>42796</v>
      </c>
      <c r="O449" s="206">
        <v>42796</v>
      </c>
      <c r="P449" s="202" t="s">
        <v>2533</v>
      </c>
      <c r="Q449" s="203">
        <v>300</v>
      </c>
      <c r="R449" s="203">
        <v>14110</v>
      </c>
      <c r="S449" s="204">
        <v>1241.69</v>
      </c>
      <c r="T449" s="203">
        <v>14116</v>
      </c>
      <c r="U449" s="204">
        <v>1241.69</v>
      </c>
      <c r="V449" s="204">
        <f t="shared" si="18"/>
        <v>0</v>
      </c>
      <c r="W449" s="205">
        <v>0</v>
      </c>
      <c r="X449" s="203">
        <v>70260</v>
      </c>
      <c r="Y449" s="204">
        <v>0</v>
      </c>
      <c r="Z449" s="202" t="s">
        <v>97</v>
      </c>
      <c r="AA449" s="202"/>
      <c r="AB449" s="202" t="s">
        <v>2532</v>
      </c>
      <c r="AC449" s="202"/>
      <c r="AD449" s="202" t="s">
        <v>1152</v>
      </c>
      <c r="AE449" s="202" t="s">
        <v>1153</v>
      </c>
      <c r="AF449" s="203" t="s">
        <v>1154</v>
      </c>
      <c r="AG449" s="202"/>
      <c r="AH449" s="203" t="s">
        <v>1155</v>
      </c>
      <c r="AI449" s="202">
        <v>0</v>
      </c>
      <c r="AJ449" s="202">
        <v>0</v>
      </c>
    </row>
    <row r="450" spans="2:36">
      <c r="B450" s="203">
        <v>2180</v>
      </c>
      <c r="C450" s="207">
        <v>179238</v>
      </c>
      <c r="D450" s="203" t="s">
        <v>97</v>
      </c>
      <c r="E450" s="202" t="s">
        <v>980</v>
      </c>
      <c r="F450" s="203"/>
      <c r="G450" s="202"/>
      <c r="H450" s="202"/>
      <c r="I450" s="202"/>
      <c r="J450" s="202">
        <v>0</v>
      </c>
      <c r="K450" s="202" t="s">
        <v>1429</v>
      </c>
      <c r="L450" s="202"/>
      <c r="M450" s="202"/>
      <c r="N450" s="206">
        <v>42795</v>
      </c>
      <c r="O450" s="206">
        <v>42795</v>
      </c>
      <c r="P450" s="202" t="s">
        <v>2530</v>
      </c>
      <c r="Q450" s="203">
        <v>300</v>
      </c>
      <c r="R450" s="203">
        <v>14110</v>
      </c>
      <c r="S450" s="204">
        <v>174.34</v>
      </c>
      <c r="T450" s="203">
        <v>14116</v>
      </c>
      <c r="U450" s="204">
        <v>174.34</v>
      </c>
      <c r="V450" s="204">
        <f t="shared" si="18"/>
        <v>0</v>
      </c>
      <c r="W450" s="205">
        <v>0</v>
      </c>
      <c r="X450" s="203">
        <v>70260</v>
      </c>
      <c r="Y450" s="204">
        <v>0</v>
      </c>
      <c r="Z450" s="202" t="s">
        <v>97</v>
      </c>
      <c r="AA450" s="202"/>
      <c r="AB450" s="202" t="s">
        <v>2531</v>
      </c>
      <c r="AC450" s="202"/>
      <c r="AD450" s="202" t="s">
        <v>1152</v>
      </c>
      <c r="AE450" s="202" t="s">
        <v>1153</v>
      </c>
      <c r="AF450" s="203" t="s">
        <v>1154</v>
      </c>
      <c r="AG450" s="202"/>
      <c r="AH450" s="203" t="s">
        <v>1155</v>
      </c>
      <c r="AI450" s="202">
        <v>0</v>
      </c>
      <c r="AJ450" s="202">
        <v>0</v>
      </c>
    </row>
    <row r="451" spans="2:36">
      <c r="B451" s="203">
        <v>2180</v>
      </c>
      <c r="C451" s="207">
        <v>179237</v>
      </c>
      <c r="D451" s="203" t="s">
        <v>97</v>
      </c>
      <c r="E451" s="202" t="s">
        <v>981</v>
      </c>
      <c r="F451" s="203"/>
      <c r="G451" s="202"/>
      <c r="H451" s="202"/>
      <c r="I451" s="202"/>
      <c r="J451" s="202">
        <v>0</v>
      </c>
      <c r="K451" s="202" t="s">
        <v>1429</v>
      </c>
      <c r="L451" s="202"/>
      <c r="M451" s="202"/>
      <c r="N451" s="206">
        <v>42795</v>
      </c>
      <c r="O451" s="206">
        <v>42795</v>
      </c>
      <c r="P451" s="202" t="s">
        <v>2530</v>
      </c>
      <c r="Q451" s="203">
        <v>300</v>
      </c>
      <c r="R451" s="203">
        <v>14110</v>
      </c>
      <c r="S451" s="204">
        <v>1021.58</v>
      </c>
      <c r="T451" s="203">
        <v>14116</v>
      </c>
      <c r="U451" s="204">
        <v>1021.58</v>
      </c>
      <c r="V451" s="204">
        <f t="shared" si="18"/>
        <v>0</v>
      </c>
      <c r="W451" s="205">
        <v>0</v>
      </c>
      <c r="X451" s="203">
        <v>70260</v>
      </c>
      <c r="Y451" s="204">
        <v>0</v>
      </c>
      <c r="Z451" s="202" t="s">
        <v>97</v>
      </c>
      <c r="AA451" s="202"/>
      <c r="AB451" s="202" t="s">
        <v>2529</v>
      </c>
      <c r="AC451" s="202"/>
      <c r="AD451" s="202" t="s">
        <v>1152</v>
      </c>
      <c r="AE451" s="202" t="s">
        <v>1153</v>
      </c>
      <c r="AF451" s="203" t="s">
        <v>1154</v>
      </c>
      <c r="AG451" s="202"/>
      <c r="AH451" s="203" t="s">
        <v>1155</v>
      </c>
      <c r="AI451" s="202">
        <v>0</v>
      </c>
      <c r="AJ451" s="202">
        <v>0</v>
      </c>
    </row>
    <row r="452" spans="2:36">
      <c r="B452" s="203">
        <v>2180</v>
      </c>
      <c r="C452" s="207">
        <v>177914</v>
      </c>
      <c r="D452" s="203" t="s">
        <v>97</v>
      </c>
      <c r="E452" s="202" t="s">
        <v>2528</v>
      </c>
      <c r="F452" s="203">
        <v>702</v>
      </c>
      <c r="G452" s="202"/>
      <c r="H452" s="202"/>
      <c r="I452" s="202"/>
      <c r="J452" s="202">
        <v>0</v>
      </c>
      <c r="K452" s="202" t="s">
        <v>2445</v>
      </c>
      <c r="L452" s="202"/>
      <c r="M452" s="202"/>
      <c r="N452" s="206">
        <v>42803</v>
      </c>
      <c r="O452" s="206">
        <v>42803</v>
      </c>
      <c r="P452" s="202" t="s">
        <v>2527</v>
      </c>
      <c r="Q452" s="203">
        <v>700</v>
      </c>
      <c r="R452" s="203">
        <v>14050</v>
      </c>
      <c r="S452" s="204">
        <v>37138.620000000003</v>
      </c>
      <c r="T452" s="203">
        <v>14056</v>
      </c>
      <c r="U452" s="204">
        <v>27853.98</v>
      </c>
      <c r="V452" s="204">
        <f t="shared" si="18"/>
        <v>9284.6400000000031</v>
      </c>
      <c r="W452" s="205">
        <v>2210.63</v>
      </c>
      <c r="X452" s="203">
        <v>54260</v>
      </c>
      <c r="Y452" s="204">
        <v>442.12</v>
      </c>
      <c r="Z452" s="202" t="s">
        <v>97</v>
      </c>
      <c r="AA452" s="202"/>
      <c r="AB452" s="202" t="s">
        <v>2526</v>
      </c>
      <c r="AC452" s="202"/>
      <c r="AD452" s="202" t="s">
        <v>1152</v>
      </c>
      <c r="AE452" s="202" t="s">
        <v>1153</v>
      </c>
      <c r="AF452" s="203" t="s">
        <v>1154</v>
      </c>
      <c r="AG452" s="202"/>
      <c r="AH452" s="203" t="s">
        <v>1155</v>
      </c>
      <c r="AI452" s="202">
        <v>0</v>
      </c>
      <c r="AJ452" s="202">
        <v>0</v>
      </c>
    </row>
    <row r="453" spans="2:36">
      <c r="B453" s="203">
        <v>2180</v>
      </c>
      <c r="C453" s="207">
        <v>177850</v>
      </c>
      <c r="D453" s="203" t="s">
        <v>97</v>
      </c>
      <c r="E453" s="202" t="s">
        <v>2525</v>
      </c>
      <c r="F453" s="203">
        <v>1080</v>
      </c>
      <c r="G453" s="202"/>
      <c r="H453" s="202"/>
      <c r="I453" s="202"/>
      <c r="J453" s="202">
        <v>0</v>
      </c>
      <c r="K453" s="202" t="s">
        <v>2445</v>
      </c>
      <c r="L453" s="202"/>
      <c r="M453" s="202"/>
      <c r="N453" s="206">
        <v>42787</v>
      </c>
      <c r="O453" s="206">
        <v>42787</v>
      </c>
      <c r="P453" s="202" t="s">
        <v>2523</v>
      </c>
      <c r="Q453" s="203">
        <v>700</v>
      </c>
      <c r="R453" s="203">
        <v>14050</v>
      </c>
      <c r="S453" s="204">
        <v>40131.97</v>
      </c>
      <c r="T453" s="203">
        <v>14056</v>
      </c>
      <c r="U453" s="204">
        <v>30098.99</v>
      </c>
      <c r="V453" s="204">
        <f t="shared" si="18"/>
        <v>10032.98</v>
      </c>
      <c r="W453" s="205">
        <v>2388.81</v>
      </c>
      <c r="X453" s="203">
        <v>54260</v>
      </c>
      <c r="Y453" s="204">
        <v>477.76</v>
      </c>
      <c r="Z453" s="202" t="s">
        <v>97</v>
      </c>
      <c r="AA453" s="202"/>
      <c r="AB453" s="202" t="s">
        <v>2524</v>
      </c>
      <c r="AC453" s="202"/>
      <c r="AD453" s="202" t="s">
        <v>1152</v>
      </c>
      <c r="AE453" s="202" t="s">
        <v>1153</v>
      </c>
      <c r="AF453" s="203" t="s">
        <v>1154</v>
      </c>
      <c r="AG453" s="202"/>
      <c r="AH453" s="203" t="s">
        <v>1155</v>
      </c>
      <c r="AI453" s="202">
        <v>0</v>
      </c>
      <c r="AJ453" s="202">
        <v>0</v>
      </c>
    </row>
    <row r="454" spans="2:36">
      <c r="B454" s="203">
        <v>2180</v>
      </c>
      <c r="C454" s="207">
        <v>177849</v>
      </c>
      <c r="D454" s="203" t="s">
        <v>97</v>
      </c>
      <c r="E454" s="202" t="s">
        <v>2395</v>
      </c>
      <c r="F454" s="203">
        <v>1080</v>
      </c>
      <c r="G454" s="202"/>
      <c r="H454" s="202"/>
      <c r="I454" s="202"/>
      <c r="J454" s="202">
        <v>0</v>
      </c>
      <c r="K454" s="202" t="s">
        <v>2445</v>
      </c>
      <c r="L454" s="202"/>
      <c r="M454" s="202"/>
      <c r="N454" s="206">
        <v>42787</v>
      </c>
      <c r="O454" s="206">
        <v>42787</v>
      </c>
      <c r="P454" s="202" t="s">
        <v>2523</v>
      </c>
      <c r="Q454" s="203">
        <v>700</v>
      </c>
      <c r="R454" s="203">
        <v>14050</v>
      </c>
      <c r="S454" s="204">
        <v>40131.97</v>
      </c>
      <c r="T454" s="203">
        <v>14056</v>
      </c>
      <c r="U454" s="204">
        <v>30098.99</v>
      </c>
      <c r="V454" s="204">
        <f t="shared" si="18"/>
        <v>10032.98</v>
      </c>
      <c r="W454" s="205">
        <v>2388.81</v>
      </c>
      <c r="X454" s="203">
        <v>54260</v>
      </c>
      <c r="Y454" s="204">
        <v>477.76</v>
      </c>
      <c r="Z454" s="202" t="s">
        <v>97</v>
      </c>
      <c r="AA454" s="202"/>
      <c r="AB454" s="202" t="s">
        <v>2522</v>
      </c>
      <c r="AC454" s="202"/>
      <c r="AD454" s="202" t="s">
        <v>1152</v>
      </c>
      <c r="AE454" s="202" t="s">
        <v>1153</v>
      </c>
      <c r="AF454" s="203" t="s">
        <v>1154</v>
      </c>
      <c r="AG454" s="202"/>
      <c r="AH454" s="203" t="s">
        <v>1155</v>
      </c>
      <c r="AI454" s="202">
        <v>0</v>
      </c>
      <c r="AJ454" s="202">
        <v>0</v>
      </c>
    </row>
    <row r="455" spans="2:36">
      <c r="B455" s="203">
        <v>2180</v>
      </c>
      <c r="C455" s="207">
        <v>177526</v>
      </c>
      <c r="D455" s="203" t="s">
        <v>97</v>
      </c>
      <c r="E455" s="202" t="s">
        <v>2520</v>
      </c>
      <c r="F455" s="203">
        <v>648</v>
      </c>
      <c r="G455" s="202"/>
      <c r="H455" s="202"/>
      <c r="I455" s="202"/>
      <c r="J455" s="202">
        <v>0</v>
      </c>
      <c r="K455" s="202" t="s">
        <v>2445</v>
      </c>
      <c r="L455" s="202"/>
      <c r="M455" s="202"/>
      <c r="N455" s="206">
        <v>42772</v>
      </c>
      <c r="O455" s="206">
        <v>42772</v>
      </c>
      <c r="P455" s="202" t="s">
        <v>2519</v>
      </c>
      <c r="Q455" s="203">
        <v>700</v>
      </c>
      <c r="R455" s="203">
        <v>14050</v>
      </c>
      <c r="S455" s="204">
        <v>30738.18</v>
      </c>
      <c r="T455" s="203">
        <v>14056</v>
      </c>
      <c r="U455" s="204">
        <v>23419.53</v>
      </c>
      <c r="V455" s="204">
        <f t="shared" si="18"/>
        <v>7318.6500000000015</v>
      </c>
      <c r="W455" s="205">
        <v>1829.65</v>
      </c>
      <c r="X455" s="203">
        <v>54260</v>
      </c>
      <c r="Y455" s="204">
        <v>365.93</v>
      </c>
      <c r="Z455" s="202" t="s">
        <v>97</v>
      </c>
      <c r="AA455" s="202"/>
      <c r="AB455" s="202" t="s">
        <v>2521</v>
      </c>
      <c r="AC455" s="202"/>
      <c r="AD455" s="202" t="s">
        <v>1152</v>
      </c>
      <c r="AE455" s="202" t="s">
        <v>1153</v>
      </c>
      <c r="AF455" s="203" t="s">
        <v>1154</v>
      </c>
      <c r="AG455" s="202"/>
      <c r="AH455" s="203" t="s">
        <v>1155</v>
      </c>
      <c r="AI455" s="202">
        <v>0</v>
      </c>
      <c r="AJ455" s="202">
        <v>0</v>
      </c>
    </row>
    <row r="456" spans="2:36">
      <c r="B456" s="203">
        <v>2180</v>
      </c>
      <c r="C456" s="207">
        <v>176741</v>
      </c>
      <c r="D456" s="203" t="s">
        <v>97</v>
      </c>
      <c r="E456" s="202" t="s">
        <v>2520</v>
      </c>
      <c r="F456" s="203">
        <v>648</v>
      </c>
      <c r="G456" s="202"/>
      <c r="H456" s="202"/>
      <c r="I456" s="202"/>
      <c r="J456" s="202">
        <v>0</v>
      </c>
      <c r="K456" s="202" t="s">
        <v>2445</v>
      </c>
      <c r="L456" s="202"/>
      <c r="M456" s="202"/>
      <c r="N456" s="206">
        <v>42772</v>
      </c>
      <c r="O456" s="206">
        <v>42772</v>
      </c>
      <c r="P456" s="202" t="s">
        <v>2519</v>
      </c>
      <c r="Q456" s="203">
        <v>700</v>
      </c>
      <c r="R456" s="203">
        <v>14050</v>
      </c>
      <c r="S456" s="204">
        <v>30738.18</v>
      </c>
      <c r="T456" s="203">
        <v>14056</v>
      </c>
      <c r="U456" s="204">
        <v>23419.53</v>
      </c>
      <c r="V456" s="204">
        <f t="shared" si="18"/>
        <v>7318.6500000000015</v>
      </c>
      <c r="W456" s="205">
        <v>1829.65</v>
      </c>
      <c r="X456" s="203">
        <v>54260</v>
      </c>
      <c r="Y456" s="204">
        <v>365.93</v>
      </c>
      <c r="Z456" s="202" t="s">
        <v>97</v>
      </c>
      <c r="AA456" s="202"/>
      <c r="AB456" s="202" t="s">
        <v>2518</v>
      </c>
      <c r="AC456" s="202"/>
      <c r="AD456" s="202" t="s">
        <v>1152</v>
      </c>
      <c r="AE456" s="202" t="s">
        <v>1153</v>
      </c>
      <c r="AF456" s="203" t="s">
        <v>1154</v>
      </c>
      <c r="AG456" s="202"/>
      <c r="AH456" s="203" t="s">
        <v>1155</v>
      </c>
      <c r="AI456" s="202">
        <v>0</v>
      </c>
      <c r="AJ456" s="202">
        <v>0</v>
      </c>
    </row>
    <row r="457" spans="2:36">
      <c r="B457" s="203">
        <v>2180</v>
      </c>
      <c r="C457" s="207">
        <v>176740</v>
      </c>
      <c r="D457" s="203" t="s">
        <v>97</v>
      </c>
      <c r="E457" s="202" t="s">
        <v>2517</v>
      </c>
      <c r="F457" s="203">
        <v>12</v>
      </c>
      <c r="G457" s="202"/>
      <c r="H457" s="202"/>
      <c r="I457" s="202"/>
      <c r="J457" s="202">
        <v>0</v>
      </c>
      <c r="K457" s="202" t="s">
        <v>2445</v>
      </c>
      <c r="L457" s="202"/>
      <c r="M457" s="202"/>
      <c r="N457" s="206">
        <v>42779</v>
      </c>
      <c r="O457" s="206">
        <v>42779</v>
      </c>
      <c r="P457" s="202" t="s">
        <v>2516</v>
      </c>
      <c r="Q457" s="203">
        <v>700</v>
      </c>
      <c r="R457" s="203">
        <v>14050</v>
      </c>
      <c r="S457" s="204">
        <v>4688.46</v>
      </c>
      <c r="T457" s="203">
        <v>14056</v>
      </c>
      <c r="U457" s="204">
        <v>3572.13</v>
      </c>
      <c r="V457" s="204">
        <f t="shared" si="18"/>
        <v>1116.33</v>
      </c>
      <c r="W457" s="205">
        <v>279.08</v>
      </c>
      <c r="X457" s="203">
        <v>54260</v>
      </c>
      <c r="Y457" s="204">
        <v>55.82</v>
      </c>
      <c r="Z457" s="202" t="s">
        <v>97</v>
      </c>
      <c r="AA457" s="202"/>
      <c r="AB457" s="202" t="s">
        <v>2515</v>
      </c>
      <c r="AC457" s="202"/>
      <c r="AD457" s="202" t="s">
        <v>1152</v>
      </c>
      <c r="AE457" s="202" t="s">
        <v>1153</v>
      </c>
      <c r="AF457" s="203" t="s">
        <v>1154</v>
      </c>
      <c r="AG457" s="202"/>
      <c r="AH457" s="203" t="s">
        <v>1155</v>
      </c>
      <c r="AI457" s="202">
        <v>0</v>
      </c>
      <c r="AJ457" s="202">
        <v>0</v>
      </c>
    </row>
    <row r="458" spans="2:36">
      <c r="B458" s="203">
        <v>2180</v>
      </c>
      <c r="C458" s="207">
        <v>174474</v>
      </c>
      <c r="D458" s="203">
        <v>171563</v>
      </c>
      <c r="E458" s="202" t="s">
        <v>2514</v>
      </c>
      <c r="F458" s="203">
        <v>0</v>
      </c>
      <c r="G458" s="202"/>
      <c r="H458" s="202"/>
      <c r="I458" s="202"/>
      <c r="J458" s="202">
        <v>0</v>
      </c>
      <c r="K458" s="202" t="s">
        <v>2513</v>
      </c>
      <c r="L458" s="202"/>
      <c r="M458" s="202"/>
      <c r="N458" s="206">
        <v>42736</v>
      </c>
      <c r="O458" s="206">
        <v>42736</v>
      </c>
      <c r="P458" s="202" t="s">
        <v>2500</v>
      </c>
      <c r="Q458" s="203">
        <v>611</v>
      </c>
      <c r="R458" s="203">
        <v>14050</v>
      </c>
      <c r="S458" s="204">
        <v>-1454.9</v>
      </c>
      <c r="T458" s="203">
        <v>14056</v>
      </c>
      <c r="U458" s="204">
        <v>-1139.4000000000001</v>
      </c>
      <c r="V458" s="204">
        <f t="shared" si="18"/>
        <v>-315.5</v>
      </c>
      <c r="W458" s="205">
        <v>-87.65</v>
      </c>
      <c r="X458" s="203">
        <v>54260</v>
      </c>
      <c r="Y458" s="204">
        <v>-17.53</v>
      </c>
      <c r="Z458" s="202" t="s">
        <v>97</v>
      </c>
      <c r="AA458" s="202"/>
      <c r="AB458" s="202" t="s">
        <v>2512</v>
      </c>
      <c r="AC458" s="202"/>
      <c r="AD458" s="202" t="s">
        <v>1152</v>
      </c>
      <c r="AE458" s="202" t="s">
        <v>1153</v>
      </c>
      <c r="AF458" s="203" t="s">
        <v>1154</v>
      </c>
      <c r="AG458" s="202"/>
      <c r="AH458" s="203" t="s">
        <v>1155</v>
      </c>
      <c r="AI458" s="202">
        <v>0</v>
      </c>
      <c r="AJ458" s="202">
        <v>0</v>
      </c>
    </row>
    <row r="459" spans="2:36">
      <c r="B459" s="203">
        <v>2180</v>
      </c>
      <c r="C459" s="207">
        <v>172666</v>
      </c>
      <c r="D459" s="203" t="s">
        <v>97</v>
      </c>
      <c r="E459" s="202" t="s">
        <v>2511</v>
      </c>
      <c r="F459" s="203">
        <v>32</v>
      </c>
      <c r="G459" s="202"/>
      <c r="H459" s="202"/>
      <c r="I459" s="202"/>
      <c r="J459" s="202">
        <v>0</v>
      </c>
      <c r="K459" s="202" t="s">
        <v>2081</v>
      </c>
      <c r="L459" s="202"/>
      <c r="M459" s="202" t="s">
        <v>1555</v>
      </c>
      <c r="N459" s="206">
        <v>42736</v>
      </c>
      <c r="O459" s="206">
        <v>42736</v>
      </c>
      <c r="P459" s="202" t="s">
        <v>2501</v>
      </c>
      <c r="Q459" s="203">
        <v>611</v>
      </c>
      <c r="R459" s="203">
        <v>14050</v>
      </c>
      <c r="S459" s="204">
        <v>17985.71</v>
      </c>
      <c r="T459" s="203">
        <v>14056</v>
      </c>
      <c r="U459" s="204">
        <v>14085.18</v>
      </c>
      <c r="V459" s="204">
        <f t="shared" si="18"/>
        <v>3900.5299999999988</v>
      </c>
      <c r="W459" s="205">
        <v>1083.48</v>
      </c>
      <c r="X459" s="203">
        <v>54260</v>
      </c>
      <c r="Y459" s="204">
        <v>216.7</v>
      </c>
      <c r="Z459" s="202" t="s">
        <v>97</v>
      </c>
      <c r="AA459" s="202"/>
      <c r="AB459" s="202">
        <v>65437118</v>
      </c>
      <c r="AC459" s="202"/>
      <c r="AD459" s="202" t="s">
        <v>1152</v>
      </c>
      <c r="AE459" s="202" t="s">
        <v>1153</v>
      </c>
      <c r="AF459" s="203" t="s">
        <v>1154</v>
      </c>
      <c r="AG459" s="202"/>
      <c r="AH459" s="203" t="s">
        <v>1155</v>
      </c>
      <c r="AI459" s="202">
        <v>0</v>
      </c>
      <c r="AJ459" s="202">
        <v>0</v>
      </c>
    </row>
    <row r="460" spans="2:36">
      <c r="B460" s="203">
        <v>2180</v>
      </c>
      <c r="C460" s="207">
        <v>172665</v>
      </c>
      <c r="D460" s="203" t="s">
        <v>97</v>
      </c>
      <c r="E460" s="202" t="s">
        <v>2468</v>
      </c>
      <c r="F460" s="203">
        <v>102</v>
      </c>
      <c r="G460" s="202"/>
      <c r="H460" s="202"/>
      <c r="I460" s="202"/>
      <c r="J460" s="202">
        <v>0</v>
      </c>
      <c r="K460" s="202" t="s">
        <v>1658</v>
      </c>
      <c r="L460" s="202"/>
      <c r="M460" s="202"/>
      <c r="N460" s="206">
        <v>42736</v>
      </c>
      <c r="O460" s="206">
        <v>42736</v>
      </c>
      <c r="P460" s="202" t="s">
        <v>2500</v>
      </c>
      <c r="Q460" s="203">
        <v>611</v>
      </c>
      <c r="R460" s="203">
        <v>14050</v>
      </c>
      <c r="S460" s="204">
        <v>4419.07</v>
      </c>
      <c r="T460" s="203">
        <v>14056</v>
      </c>
      <c r="U460" s="204">
        <v>3460.71</v>
      </c>
      <c r="V460" s="204">
        <f t="shared" si="18"/>
        <v>958.35999999999967</v>
      </c>
      <c r="W460" s="205">
        <v>266.20999999999998</v>
      </c>
      <c r="X460" s="203">
        <v>54260</v>
      </c>
      <c r="Y460" s="204">
        <v>53.24</v>
      </c>
      <c r="Z460" s="202" t="s">
        <v>97</v>
      </c>
      <c r="AA460" s="202"/>
      <c r="AB460" s="202" t="s">
        <v>2510</v>
      </c>
      <c r="AC460" s="202"/>
      <c r="AD460" s="202" t="s">
        <v>1152</v>
      </c>
      <c r="AE460" s="202" t="s">
        <v>1153</v>
      </c>
      <c r="AF460" s="203" t="s">
        <v>1154</v>
      </c>
      <c r="AG460" s="202"/>
      <c r="AH460" s="203" t="s">
        <v>1155</v>
      </c>
      <c r="AI460" s="202">
        <v>0</v>
      </c>
      <c r="AJ460" s="202">
        <v>0</v>
      </c>
    </row>
    <row r="461" spans="2:36">
      <c r="B461" s="203">
        <v>2180</v>
      </c>
      <c r="C461" s="207">
        <v>171585</v>
      </c>
      <c r="D461" s="203" t="s">
        <v>97</v>
      </c>
      <c r="E461" s="202" t="s">
        <v>2496</v>
      </c>
      <c r="F461" s="203">
        <v>9</v>
      </c>
      <c r="G461" s="202"/>
      <c r="H461" s="202"/>
      <c r="I461" s="202"/>
      <c r="J461" s="202">
        <v>0</v>
      </c>
      <c r="K461" s="202" t="s">
        <v>1574</v>
      </c>
      <c r="L461" s="202"/>
      <c r="M461" s="202" t="s">
        <v>1417</v>
      </c>
      <c r="N461" s="206">
        <v>42726</v>
      </c>
      <c r="O461" s="206">
        <v>42726</v>
      </c>
      <c r="P461" s="202" t="s">
        <v>2495</v>
      </c>
      <c r="Q461" s="203">
        <v>1200</v>
      </c>
      <c r="R461" s="203">
        <v>14050</v>
      </c>
      <c r="S461" s="204">
        <v>61632</v>
      </c>
      <c r="T461" s="203">
        <v>14056</v>
      </c>
      <c r="U461" s="204">
        <v>27820</v>
      </c>
      <c r="V461" s="204">
        <f t="shared" si="18"/>
        <v>33812</v>
      </c>
      <c r="W461" s="205">
        <v>2140</v>
      </c>
      <c r="X461" s="203">
        <v>54260</v>
      </c>
      <c r="Y461" s="204">
        <v>428</v>
      </c>
      <c r="Z461" s="202" t="s">
        <v>97</v>
      </c>
      <c r="AA461" s="202"/>
      <c r="AB461" s="202">
        <v>126133</v>
      </c>
      <c r="AC461" s="202"/>
      <c r="AD461" s="202" t="s">
        <v>1152</v>
      </c>
      <c r="AE461" s="202" t="s">
        <v>1153</v>
      </c>
      <c r="AF461" s="203" t="s">
        <v>1154</v>
      </c>
      <c r="AG461" s="202"/>
      <c r="AH461" s="203" t="s">
        <v>1155</v>
      </c>
      <c r="AI461" s="202">
        <v>0</v>
      </c>
      <c r="AJ461" s="202">
        <v>0</v>
      </c>
    </row>
    <row r="462" spans="2:36">
      <c r="B462" s="203">
        <v>2180</v>
      </c>
      <c r="C462" s="207">
        <v>171584</v>
      </c>
      <c r="D462" s="203" t="s">
        <v>97</v>
      </c>
      <c r="E462" s="202" t="s">
        <v>2509</v>
      </c>
      <c r="F462" s="203">
        <v>10</v>
      </c>
      <c r="G462" s="202"/>
      <c r="H462" s="202"/>
      <c r="I462" s="202"/>
      <c r="J462" s="202">
        <v>0</v>
      </c>
      <c r="K462" s="202" t="s">
        <v>1574</v>
      </c>
      <c r="L462" s="202"/>
      <c r="M462" s="202" t="s">
        <v>1454</v>
      </c>
      <c r="N462" s="206">
        <v>42726</v>
      </c>
      <c r="O462" s="206">
        <v>42726</v>
      </c>
      <c r="P462" s="202" t="s">
        <v>2495</v>
      </c>
      <c r="Q462" s="203">
        <v>1200</v>
      </c>
      <c r="R462" s="203">
        <v>14050</v>
      </c>
      <c r="S462" s="204">
        <v>59850</v>
      </c>
      <c r="T462" s="203">
        <v>14056</v>
      </c>
      <c r="U462" s="204">
        <v>27015.63</v>
      </c>
      <c r="V462" s="204">
        <f t="shared" ref="V462:V525" si="19">S462-U462</f>
        <v>32834.369999999995</v>
      </c>
      <c r="W462" s="205">
        <v>2078.13</v>
      </c>
      <c r="X462" s="203">
        <v>54260</v>
      </c>
      <c r="Y462" s="204">
        <v>415.63</v>
      </c>
      <c r="Z462" s="202" t="s">
        <v>97</v>
      </c>
      <c r="AA462" s="202"/>
      <c r="AB462" s="202">
        <v>126099</v>
      </c>
      <c r="AC462" s="202"/>
      <c r="AD462" s="202" t="s">
        <v>1152</v>
      </c>
      <c r="AE462" s="202" t="s">
        <v>1153</v>
      </c>
      <c r="AF462" s="203" t="s">
        <v>1154</v>
      </c>
      <c r="AG462" s="202"/>
      <c r="AH462" s="203" t="s">
        <v>1155</v>
      </c>
      <c r="AI462" s="202">
        <v>0</v>
      </c>
      <c r="AJ462" s="202">
        <v>0</v>
      </c>
    </row>
    <row r="463" spans="2:36">
      <c r="B463" s="203">
        <v>2180</v>
      </c>
      <c r="C463" s="207">
        <v>171566</v>
      </c>
      <c r="D463" s="203" t="s">
        <v>97</v>
      </c>
      <c r="E463" s="202" t="s">
        <v>2508</v>
      </c>
      <c r="F463" s="203">
        <v>648</v>
      </c>
      <c r="G463" s="202"/>
      <c r="H463" s="202"/>
      <c r="I463" s="202"/>
      <c r="J463" s="202">
        <v>0</v>
      </c>
      <c r="K463" s="202" t="s">
        <v>2445</v>
      </c>
      <c r="L463" s="202"/>
      <c r="M463" s="202"/>
      <c r="N463" s="206">
        <v>42712</v>
      </c>
      <c r="O463" s="206">
        <v>42712</v>
      </c>
      <c r="P463" s="202" t="s">
        <v>2500</v>
      </c>
      <c r="Q463" s="203">
        <v>700</v>
      </c>
      <c r="R463" s="203">
        <v>14050</v>
      </c>
      <c r="S463" s="204">
        <v>31283.66</v>
      </c>
      <c r="T463" s="203">
        <v>14056</v>
      </c>
      <c r="U463" s="204">
        <v>24580.06</v>
      </c>
      <c r="V463" s="204">
        <f t="shared" si="19"/>
        <v>6703.5999999999985</v>
      </c>
      <c r="W463" s="205">
        <v>1862.13</v>
      </c>
      <c r="X463" s="203">
        <v>54260</v>
      </c>
      <c r="Y463" s="204">
        <v>372.43</v>
      </c>
      <c r="Z463" s="202" t="s">
        <v>97</v>
      </c>
      <c r="AA463" s="202"/>
      <c r="AB463" s="202" t="s">
        <v>2507</v>
      </c>
      <c r="AC463" s="202"/>
      <c r="AD463" s="202" t="s">
        <v>1152</v>
      </c>
      <c r="AE463" s="202" t="s">
        <v>1153</v>
      </c>
      <c r="AF463" s="203" t="s">
        <v>1154</v>
      </c>
      <c r="AG463" s="202"/>
      <c r="AH463" s="203" t="s">
        <v>1155</v>
      </c>
      <c r="AI463" s="202">
        <v>0</v>
      </c>
      <c r="AJ463" s="202">
        <v>0</v>
      </c>
    </row>
    <row r="464" spans="2:36">
      <c r="B464" s="203">
        <v>2180</v>
      </c>
      <c r="C464" s="207">
        <v>171565</v>
      </c>
      <c r="D464" s="203" t="s">
        <v>97</v>
      </c>
      <c r="E464" s="202" t="s">
        <v>2506</v>
      </c>
      <c r="F464" s="203">
        <v>15</v>
      </c>
      <c r="G464" s="202"/>
      <c r="H464" s="202"/>
      <c r="I464" s="202"/>
      <c r="J464" s="202">
        <v>0</v>
      </c>
      <c r="K464" s="202" t="s">
        <v>2445</v>
      </c>
      <c r="L464" s="202"/>
      <c r="M464" s="202" t="s">
        <v>1464</v>
      </c>
      <c r="N464" s="206">
        <v>42719</v>
      </c>
      <c r="O464" s="206">
        <v>42719</v>
      </c>
      <c r="P464" s="202" t="s">
        <v>2505</v>
      </c>
      <c r="Q464" s="203">
        <v>700</v>
      </c>
      <c r="R464" s="203">
        <v>14050</v>
      </c>
      <c r="S464" s="204">
        <v>12240</v>
      </c>
      <c r="T464" s="203">
        <v>14056</v>
      </c>
      <c r="U464" s="204">
        <v>9617.14</v>
      </c>
      <c r="V464" s="204">
        <f t="shared" si="19"/>
        <v>2622.8600000000006</v>
      </c>
      <c r="W464" s="205">
        <v>728.57</v>
      </c>
      <c r="X464" s="203">
        <v>54260</v>
      </c>
      <c r="Y464" s="204">
        <v>145.71</v>
      </c>
      <c r="Z464" s="202" t="s">
        <v>97</v>
      </c>
      <c r="AA464" s="202"/>
      <c r="AB464" s="202" t="s">
        <v>2504</v>
      </c>
      <c r="AC464" s="202"/>
      <c r="AD464" s="202" t="s">
        <v>1152</v>
      </c>
      <c r="AE464" s="202" t="s">
        <v>1153</v>
      </c>
      <c r="AF464" s="203" t="s">
        <v>1154</v>
      </c>
      <c r="AG464" s="202"/>
      <c r="AH464" s="203" t="s">
        <v>1155</v>
      </c>
      <c r="AI464" s="202">
        <v>0</v>
      </c>
      <c r="AJ464" s="202">
        <v>0</v>
      </c>
    </row>
    <row r="465" spans="2:36">
      <c r="B465" s="203">
        <v>2180</v>
      </c>
      <c r="C465" s="207">
        <v>171564</v>
      </c>
      <c r="D465" s="203" t="s">
        <v>97</v>
      </c>
      <c r="E465" s="202" t="s">
        <v>2503</v>
      </c>
      <c r="F465" s="203">
        <v>32</v>
      </c>
      <c r="G465" s="202"/>
      <c r="H465" s="202"/>
      <c r="I465" s="202"/>
      <c r="J465" s="202">
        <v>0</v>
      </c>
      <c r="K465" s="202" t="s">
        <v>2502</v>
      </c>
      <c r="L465" s="202"/>
      <c r="M465" s="202" t="s">
        <v>1582</v>
      </c>
      <c r="N465" s="206">
        <v>42689</v>
      </c>
      <c r="O465" s="206">
        <v>42689</v>
      </c>
      <c r="P465" s="202" t="s">
        <v>2501</v>
      </c>
      <c r="Q465" s="203">
        <v>700</v>
      </c>
      <c r="R465" s="203">
        <v>14050</v>
      </c>
      <c r="S465" s="204">
        <v>23208.11</v>
      </c>
      <c r="T465" s="203">
        <v>14056</v>
      </c>
      <c r="U465" s="204">
        <v>18511.259999999998</v>
      </c>
      <c r="V465" s="204">
        <f t="shared" si="19"/>
        <v>4696.8500000000022</v>
      </c>
      <c r="W465" s="205">
        <v>1381.44</v>
      </c>
      <c r="X465" s="203">
        <v>54260</v>
      </c>
      <c r="Y465" s="204">
        <v>276.29000000000002</v>
      </c>
      <c r="Z465" s="202" t="s">
        <v>97</v>
      </c>
      <c r="AA465" s="202"/>
      <c r="AB465" s="202">
        <v>65436919</v>
      </c>
      <c r="AC465" s="202"/>
      <c r="AD465" s="202" t="s">
        <v>1152</v>
      </c>
      <c r="AE465" s="202" t="s">
        <v>1153</v>
      </c>
      <c r="AF465" s="203" t="s">
        <v>1154</v>
      </c>
      <c r="AG465" s="202"/>
      <c r="AH465" s="203" t="s">
        <v>1155</v>
      </c>
      <c r="AI465" s="202">
        <v>0</v>
      </c>
      <c r="AJ465" s="202">
        <v>0</v>
      </c>
    </row>
    <row r="466" spans="2:36">
      <c r="B466" s="203">
        <v>2180</v>
      </c>
      <c r="C466" s="207">
        <v>171563</v>
      </c>
      <c r="D466" s="203" t="s">
        <v>97</v>
      </c>
      <c r="E466" s="202" t="s">
        <v>2486</v>
      </c>
      <c r="F466" s="203">
        <v>750</v>
      </c>
      <c r="G466" s="202"/>
      <c r="H466" s="202"/>
      <c r="I466" s="202"/>
      <c r="J466" s="202">
        <v>0</v>
      </c>
      <c r="K466" s="202" t="s">
        <v>1658</v>
      </c>
      <c r="L466" s="202"/>
      <c r="M466" s="202"/>
      <c r="N466" s="206">
        <v>42716</v>
      </c>
      <c r="O466" s="206">
        <v>42716</v>
      </c>
      <c r="P466" s="202" t="s">
        <v>2500</v>
      </c>
      <c r="Q466" s="203">
        <v>700</v>
      </c>
      <c r="R466" s="203">
        <v>14050</v>
      </c>
      <c r="S466" s="204">
        <v>29778.560000000001</v>
      </c>
      <c r="T466" s="203">
        <v>14056</v>
      </c>
      <c r="U466" s="204">
        <v>23397.439999999999</v>
      </c>
      <c r="V466" s="204">
        <f t="shared" si="19"/>
        <v>6381.1200000000026</v>
      </c>
      <c r="W466" s="205">
        <v>1772.53</v>
      </c>
      <c r="X466" s="203">
        <v>54260</v>
      </c>
      <c r="Y466" s="204">
        <v>354.5</v>
      </c>
      <c r="Z466" s="202" t="s">
        <v>97</v>
      </c>
      <c r="AA466" s="202"/>
      <c r="AB466" s="202" t="s">
        <v>2499</v>
      </c>
      <c r="AC466" s="202"/>
      <c r="AD466" s="202" t="s">
        <v>1152</v>
      </c>
      <c r="AE466" s="202" t="s">
        <v>1153</v>
      </c>
      <c r="AF466" s="203" t="s">
        <v>1154</v>
      </c>
      <c r="AG466" s="202"/>
      <c r="AH466" s="203" t="s">
        <v>1155</v>
      </c>
      <c r="AI466" s="202">
        <v>0</v>
      </c>
      <c r="AJ466" s="202">
        <v>0</v>
      </c>
    </row>
    <row r="467" spans="2:36">
      <c r="B467" s="203">
        <v>2180</v>
      </c>
      <c r="C467" s="207">
        <v>171562</v>
      </c>
      <c r="D467" s="203" t="s">
        <v>97</v>
      </c>
      <c r="E467" s="202" t="s">
        <v>2498</v>
      </c>
      <c r="F467" s="203">
        <v>32</v>
      </c>
      <c r="G467" s="202"/>
      <c r="H467" s="202"/>
      <c r="I467" s="202"/>
      <c r="J467" s="202">
        <v>0</v>
      </c>
      <c r="K467" s="202" t="s">
        <v>1574</v>
      </c>
      <c r="L467" s="202"/>
      <c r="M467" s="202" t="s">
        <v>1462</v>
      </c>
      <c r="N467" s="206">
        <v>42717</v>
      </c>
      <c r="O467" s="206">
        <v>42717</v>
      </c>
      <c r="P467" s="202" t="s">
        <v>2497</v>
      </c>
      <c r="Q467" s="203">
        <v>1200</v>
      </c>
      <c r="R467" s="203">
        <v>14050</v>
      </c>
      <c r="S467" s="204">
        <v>18452.48</v>
      </c>
      <c r="T467" s="203">
        <v>14056</v>
      </c>
      <c r="U467" s="204">
        <v>8457.35</v>
      </c>
      <c r="V467" s="204">
        <f t="shared" si="19"/>
        <v>9995.1299999999992</v>
      </c>
      <c r="W467" s="205">
        <v>640.71</v>
      </c>
      <c r="X467" s="203">
        <v>54260</v>
      </c>
      <c r="Y467" s="204">
        <v>128.13999999999999</v>
      </c>
      <c r="Z467" s="202" t="s">
        <v>97</v>
      </c>
      <c r="AA467" s="202"/>
      <c r="AB467" s="202">
        <v>126088</v>
      </c>
      <c r="AC467" s="202"/>
      <c r="AD467" s="202" t="s">
        <v>1152</v>
      </c>
      <c r="AE467" s="202" t="s">
        <v>1153</v>
      </c>
      <c r="AF467" s="203" t="s">
        <v>1154</v>
      </c>
      <c r="AG467" s="202"/>
      <c r="AH467" s="203" t="s">
        <v>1155</v>
      </c>
      <c r="AI467" s="202">
        <v>0</v>
      </c>
      <c r="AJ467" s="202">
        <v>0</v>
      </c>
    </row>
    <row r="468" spans="2:36">
      <c r="B468" s="203">
        <v>2180</v>
      </c>
      <c r="C468" s="207">
        <v>171561</v>
      </c>
      <c r="D468" s="203" t="s">
        <v>97</v>
      </c>
      <c r="E468" s="202" t="s">
        <v>2496</v>
      </c>
      <c r="F468" s="203">
        <v>6</v>
      </c>
      <c r="G468" s="202"/>
      <c r="H468" s="202"/>
      <c r="I468" s="202"/>
      <c r="J468" s="202">
        <v>0</v>
      </c>
      <c r="K468" s="202" t="s">
        <v>1574</v>
      </c>
      <c r="L468" s="202"/>
      <c r="M468" s="202" t="s">
        <v>1417</v>
      </c>
      <c r="N468" s="206">
        <v>42726</v>
      </c>
      <c r="O468" s="206">
        <v>42726</v>
      </c>
      <c r="P468" s="202" t="s">
        <v>2495</v>
      </c>
      <c r="Q468" s="203">
        <v>1200</v>
      </c>
      <c r="R468" s="203">
        <v>14050</v>
      </c>
      <c r="S468" s="204">
        <v>41088</v>
      </c>
      <c r="T468" s="203">
        <v>14056</v>
      </c>
      <c r="U468" s="204">
        <v>18546.669999999998</v>
      </c>
      <c r="V468" s="204">
        <f t="shared" si="19"/>
        <v>22541.33</v>
      </c>
      <c r="W468" s="205">
        <v>1426.67</v>
      </c>
      <c r="X468" s="203">
        <v>54260</v>
      </c>
      <c r="Y468" s="204">
        <v>285.33999999999997</v>
      </c>
      <c r="Z468" s="202" t="s">
        <v>97</v>
      </c>
      <c r="AA468" s="202"/>
      <c r="AB468" s="202">
        <v>126132</v>
      </c>
      <c r="AC468" s="202"/>
      <c r="AD468" s="202" t="s">
        <v>1152</v>
      </c>
      <c r="AE468" s="202" t="s">
        <v>1153</v>
      </c>
      <c r="AF468" s="203" t="s">
        <v>1154</v>
      </c>
      <c r="AG468" s="202"/>
      <c r="AH468" s="203" t="s">
        <v>1155</v>
      </c>
      <c r="AI468" s="202">
        <v>0</v>
      </c>
      <c r="AJ468" s="202">
        <v>0</v>
      </c>
    </row>
    <row r="469" spans="2:36">
      <c r="B469" s="203">
        <v>2180</v>
      </c>
      <c r="C469" s="207">
        <v>170306</v>
      </c>
      <c r="D469" s="203" t="s">
        <v>97</v>
      </c>
      <c r="E469" s="202" t="s">
        <v>978</v>
      </c>
      <c r="F469" s="203"/>
      <c r="G469" s="202"/>
      <c r="H469" s="202"/>
      <c r="I469" s="202"/>
      <c r="J469" s="202">
        <v>0</v>
      </c>
      <c r="K469" s="202" t="s">
        <v>1429</v>
      </c>
      <c r="L469" s="202"/>
      <c r="M469" s="202"/>
      <c r="N469" s="206">
        <v>42664</v>
      </c>
      <c r="O469" s="206">
        <v>42664</v>
      </c>
      <c r="P469" s="202" t="s">
        <v>2479</v>
      </c>
      <c r="Q469" s="203">
        <v>200</v>
      </c>
      <c r="R469" s="203">
        <v>14110</v>
      </c>
      <c r="S469" s="204">
        <v>123.9</v>
      </c>
      <c r="T469" s="203">
        <v>14116</v>
      </c>
      <c r="U469" s="204">
        <v>123.9</v>
      </c>
      <c r="V469" s="204">
        <f t="shared" si="19"/>
        <v>0</v>
      </c>
      <c r="W469" s="205">
        <v>0</v>
      </c>
      <c r="X469" s="203">
        <v>70260</v>
      </c>
      <c r="Y469" s="204">
        <v>0</v>
      </c>
      <c r="Z469" s="202" t="s">
        <v>97</v>
      </c>
      <c r="AA469" s="202"/>
      <c r="AB469" s="202" t="s">
        <v>2494</v>
      </c>
      <c r="AC469" s="202"/>
      <c r="AD469" s="202" t="s">
        <v>1152</v>
      </c>
      <c r="AE469" s="202" t="s">
        <v>1153</v>
      </c>
      <c r="AF469" s="203" t="s">
        <v>1154</v>
      </c>
      <c r="AG469" s="202"/>
      <c r="AH469" s="203" t="s">
        <v>1155</v>
      </c>
      <c r="AI469" s="202">
        <v>0</v>
      </c>
      <c r="AJ469" s="202">
        <v>0</v>
      </c>
    </row>
    <row r="470" spans="2:36">
      <c r="B470" s="203">
        <v>2180</v>
      </c>
      <c r="C470" s="207">
        <v>170192</v>
      </c>
      <c r="D470" s="203" t="s">
        <v>97</v>
      </c>
      <c r="E470" s="202" t="s">
        <v>2468</v>
      </c>
      <c r="F470" s="203">
        <v>3</v>
      </c>
      <c r="G470" s="202"/>
      <c r="H470" s="202"/>
      <c r="I470" s="202"/>
      <c r="J470" s="202">
        <v>0</v>
      </c>
      <c r="K470" s="202" t="s">
        <v>2445</v>
      </c>
      <c r="L470" s="202"/>
      <c r="M470" s="202"/>
      <c r="N470" s="206">
        <v>42676</v>
      </c>
      <c r="O470" s="206">
        <v>42676</v>
      </c>
      <c r="P470" s="202" t="s">
        <v>2465</v>
      </c>
      <c r="Q470" s="203">
        <v>700</v>
      </c>
      <c r="R470" s="203">
        <v>14050</v>
      </c>
      <c r="S470" s="204">
        <v>96.85</v>
      </c>
      <c r="T470" s="203">
        <v>14056</v>
      </c>
      <c r="U470" s="204">
        <v>77.28</v>
      </c>
      <c r="V470" s="204">
        <f t="shared" si="19"/>
        <v>19.569999999999993</v>
      </c>
      <c r="W470" s="205">
        <v>5.77</v>
      </c>
      <c r="X470" s="203">
        <v>54260</v>
      </c>
      <c r="Y470" s="204">
        <v>1.1599999999999999</v>
      </c>
      <c r="Z470" s="202" t="s">
        <v>97</v>
      </c>
      <c r="AA470" s="202"/>
      <c r="AB470" s="202" t="s">
        <v>2493</v>
      </c>
      <c r="AC470" s="202"/>
      <c r="AD470" s="202" t="s">
        <v>1152</v>
      </c>
      <c r="AE470" s="202" t="s">
        <v>1153</v>
      </c>
      <c r="AF470" s="203" t="s">
        <v>1154</v>
      </c>
      <c r="AG470" s="202"/>
      <c r="AH470" s="203" t="s">
        <v>1155</v>
      </c>
      <c r="AI470" s="202">
        <v>0</v>
      </c>
      <c r="AJ470" s="202">
        <v>0</v>
      </c>
    </row>
    <row r="471" spans="2:36">
      <c r="B471" s="203">
        <v>2180</v>
      </c>
      <c r="C471" s="207">
        <v>170191</v>
      </c>
      <c r="D471" s="203" t="s">
        <v>97</v>
      </c>
      <c r="E471" s="202" t="s">
        <v>2468</v>
      </c>
      <c r="F471" s="203">
        <v>43</v>
      </c>
      <c r="G471" s="202"/>
      <c r="H471" s="202"/>
      <c r="I471" s="202"/>
      <c r="J471" s="202">
        <v>0</v>
      </c>
      <c r="K471" s="202" t="s">
        <v>2445</v>
      </c>
      <c r="L471" s="202"/>
      <c r="M471" s="202"/>
      <c r="N471" s="206">
        <v>42657</v>
      </c>
      <c r="O471" s="206">
        <v>42657</v>
      </c>
      <c r="P471" s="202" t="s">
        <v>2398</v>
      </c>
      <c r="Q471" s="203">
        <v>700</v>
      </c>
      <c r="R471" s="203">
        <v>14050</v>
      </c>
      <c r="S471" s="204">
        <v>3669</v>
      </c>
      <c r="T471" s="203">
        <v>14056</v>
      </c>
      <c r="U471" s="204">
        <v>2970.13</v>
      </c>
      <c r="V471" s="204">
        <f t="shared" si="19"/>
        <v>698.86999999999989</v>
      </c>
      <c r="W471" s="205">
        <v>218.39</v>
      </c>
      <c r="X471" s="203">
        <v>54260</v>
      </c>
      <c r="Y471" s="204">
        <v>43.68</v>
      </c>
      <c r="Z471" s="202" t="s">
        <v>97</v>
      </c>
      <c r="AA471" s="202"/>
      <c r="AB471" s="202" t="s">
        <v>2493</v>
      </c>
      <c r="AC471" s="202"/>
      <c r="AD471" s="202" t="s">
        <v>1152</v>
      </c>
      <c r="AE471" s="202" t="s">
        <v>1153</v>
      </c>
      <c r="AF471" s="203" t="s">
        <v>1154</v>
      </c>
      <c r="AG471" s="202"/>
      <c r="AH471" s="203" t="s">
        <v>1155</v>
      </c>
      <c r="AI471" s="202">
        <v>0</v>
      </c>
      <c r="AJ471" s="202">
        <v>0</v>
      </c>
    </row>
    <row r="472" spans="2:36">
      <c r="B472" s="203">
        <v>2180</v>
      </c>
      <c r="C472" s="207">
        <v>170190</v>
      </c>
      <c r="D472" s="203" t="s">
        <v>97</v>
      </c>
      <c r="E472" s="202" t="s">
        <v>2429</v>
      </c>
      <c r="F472" s="203">
        <v>486</v>
      </c>
      <c r="G472" s="202"/>
      <c r="H472" s="202"/>
      <c r="I472" s="202"/>
      <c r="J472" s="202">
        <v>0</v>
      </c>
      <c r="K472" s="202" t="s">
        <v>2445</v>
      </c>
      <c r="L472" s="202"/>
      <c r="M472" s="202"/>
      <c r="N472" s="206">
        <v>42667</v>
      </c>
      <c r="O472" s="206">
        <v>42667</v>
      </c>
      <c r="P472" s="202" t="s">
        <v>2491</v>
      </c>
      <c r="Q472" s="203">
        <v>700</v>
      </c>
      <c r="R472" s="203">
        <v>14050</v>
      </c>
      <c r="S472" s="204">
        <v>25718.36</v>
      </c>
      <c r="T472" s="203">
        <v>14056</v>
      </c>
      <c r="U472" s="204">
        <v>20513.34</v>
      </c>
      <c r="V472" s="204">
        <f t="shared" si="19"/>
        <v>5205.0200000000004</v>
      </c>
      <c r="W472" s="205">
        <v>1530.85</v>
      </c>
      <c r="X472" s="203">
        <v>54260</v>
      </c>
      <c r="Y472" s="204">
        <v>306.17</v>
      </c>
      <c r="Z472" s="202" t="s">
        <v>97</v>
      </c>
      <c r="AA472" s="202"/>
      <c r="AB472" s="202" t="s">
        <v>2492</v>
      </c>
      <c r="AC472" s="202"/>
      <c r="AD472" s="202" t="s">
        <v>1152</v>
      </c>
      <c r="AE472" s="202" t="s">
        <v>1153</v>
      </c>
      <c r="AF472" s="203" t="s">
        <v>1154</v>
      </c>
      <c r="AG472" s="202"/>
      <c r="AH472" s="203" t="s">
        <v>1155</v>
      </c>
      <c r="AI472" s="202">
        <v>0</v>
      </c>
      <c r="AJ472" s="202">
        <v>0</v>
      </c>
    </row>
    <row r="473" spans="2:36">
      <c r="B473" s="203">
        <v>2180</v>
      </c>
      <c r="C473" s="207">
        <v>170189</v>
      </c>
      <c r="D473" s="203" t="s">
        <v>97</v>
      </c>
      <c r="E473" s="202" t="s">
        <v>2429</v>
      </c>
      <c r="F473" s="203">
        <v>486</v>
      </c>
      <c r="G473" s="202"/>
      <c r="H473" s="202"/>
      <c r="I473" s="202"/>
      <c r="J473" s="202">
        <v>0</v>
      </c>
      <c r="K473" s="202" t="s">
        <v>2445</v>
      </c>
      <c r="L473" s="202"/>
      <c r="M473" s="202"/>
      <c r="N473" s="206">
        <v>42667</v>
      </c>
      <c r="O473" s="206">
        <v>42667</v>
      </c>
      <c r="P473" s="202" t="s">
        <v>2491</v>
      </c>
      <c r="Q473" s="203">
        <v>700</v>
      </c>
      <c r="R473" s="203">
        <v>14050</v>
      </c>
      <c r="S473" s="204">
        <v>25718.36</v>
      </c>
      <c r="T473" s="203">
        <v>14056</v>
      </c>
      <c r="U473" s="204">
        <v>20513.34</v>
      </c>
      <c r="V473" s="204">
        <f t="shared" si="19"/>
        <v>5205.0200000000004</v>
      </c>
      <c r="W473" s="205">
        <v>1530.85</v>
      </c>
      <c r="X473" s="203">
        <v>54260</v>
      </c>
      <c r="Y473" s="204">
        <v>306.17</v>
      </c>
      <c r="Z473" s="202" t="s">
        <v>97</v>
      </c>
      <c r="AA473" s="202"/>
      <c r="AB473" s="202" t="s">
        <v>2490</v>
      </c>
      <c r="AC473" s="202"/>
      <c r="AD473" s="202" t="s">
        <v>1152</v>
      </c>
      <c r="AE473" s="202" t="s">
        <v>1153</v>
      </c>
      <c r="AF473" s="203" t="s">
        <v>1154</v>
      </c>
      <c r="AG473" s="202"/>
      <c r="AH473" s="203" t="s">
        <v>1155</v>
      </c>
      <c r="AI473" s="202">
        <v>0</v>
      </c>
      <c r="AJ473" s="202">
        <v>0</v>
      </c>
    </row>
    <row r="474" spans="2:36">
      <c r="B474" s="203">
        <v>2180</v>
      </c>
      <c r="C474" s="207">
        <v>170164</v>
      </c>
      <c r="D474" s="203" t="s">
        <v>97</v>
      </c>
      <c r="E474" s="202" t="s">
        <v>2466</v>
      </c>
      <c r="F474" s="203">
        <v>504</v>
      </c>
      <c r="G474" s="202"/>
      <c r="H474" s="202"/>
      <c r="I474" s="202"/>
      <c r="J474" s="202">
        <v>0</v>
      </c>
      <c r="K474" s="202" t="s">
        <v>2445</v>
      </c>
      <c r="L474" s="202"/>
      <c r="M474" s="202"/>
      <c r="N474" s="206">
        <v>42676</v>
      </c>
      <c r="O474" s="206">
        <v>42676</v>
      </c>
      <c r="P474" s="202" t="s">
        <v>2465</v>
      </c>
      <c r="Q474" s="203">
        <v>700</v>
      </c>
      <c r="R474" s="203">
        <v>14050</v>
      </c>
      <c r="S474" s="204">
        <v>26710.19</v>
      </c>
      <c r="T474" s="203">
        <v>14056</v>
      </c>
      <c r="U474" s="204">
        <v>21304.55</v>
      </c>
      <c r="V474" s="204">
        <f t="shared" si="19"/>
        <v>5405.6399999999994</v>
      </c>
      <c r="W474" s="205">
        <v>1589.89</v>
      </c>
      <c r="X474" s="203">
        <v>54260</v>
      </c>
      <c r="Y474" s="204">
        <v>317.98</v>
      </c>
      <c r="Z474" s="202" t="s">
        <v>97</v>
      </c>
      <c r="AA474" s="202"/>
      <c r="AB474" s="202" t="s">
        <v>2489</v>
      </c>
      <c r="AC474" s="202"/>
      <c r="AD474" s="202" t="s">
        <v>1152</v>
      </c>
      <c r="AE474" s="202" t="s">
        <v>1153</v>
      </c>
      <c r="AF474" s="203" t="s">
        <v>1154</v>
      </c>
      <c r="AG474" s="202"/>
      <c r="AH474" s="203" t="s">
        <v>1155</v>
      </c>
      <c r="AI474" s="202">
        <v>0</v>
      </c>
      <c r="AJ474" s="202">
        <v>0</v>
      </c>
    </row>
    <row r="475" spans="2:36">
      <c r="B475" s="203">
        <v>2180</v>
      </c>
      <c r="C475" s="207">
        <v>169624</v>
      </c>
      <c r="D475" s="203" t="s">
        <v>97</v>
      </c>
      <c r="E475" s="202" t="s">
        <v>2460</v>
      </c>
      <c r="F475" s="203">
        <v>16</v>
      </c>
      <c r="G475" s="202"/>
      <c r="H475" s="202"/>
      <c r="I475" s="202"/>
      <c r="J475" s="202">
        <v>0</v>
      </c>
      <c r="K475" s="202" t="s">
        <v>1658</v>
      </c>
      <c r="L475" s="202"/>
      <c r="M475" s="202" t="s">
        <v>2382</v>
      </c>
      <c r="N475" s="206">
        <v>42664</v>
      </c>
      <c r="O475" s="206">
        <v>42664</v>
      </c>
      <c r="P475" s="202" t="s">
        <v>2481</v>
      </c>
      <c r="Q475" s="203">
        <v>700</v>
      </c>
      <c r="R475" s="203">
        <v>14050</v>
      </c>
      <c r="S475" s="204">
        <v>18430.72</v>
      </c>
      <c r="T475" s="203">
        <v>14056</v>
      </c>
      <c r="U475" s="204">
        <v>14700.7</v>
      </c>
      <c r="V475" s="204">
        <f t="shared" si="19"/>
        <v>3730.0200000000004</v>
      </c>
      <c r="W475" s="205">
        <v>1097.07</v>
      </c>
      <c r="X475" s="203">
        <v>54260</v>
      </c>
      <c r="Y475" s="204">
        <v>219.42</v>
      </c>
      <c r="Z475" s="202" t="s">
        <v>97</v>
      </c>
      <c r="AA475" s="202"/>
      <c r="AB475" s="202" t="s">
        <v>2488</v>
      </c>
      <c r="AC475" s="202"/>
      <c r="AD475" s="202" t="s">
        <v>1152</v>
      </c>
      <c r="AE475" s="202" t="s">
        <v>1153</v>
      </c>
      <c r="AF475" s="203" t="s">
        <v>1154</v>
      </c>
      <c r="AG475" s="202"/>
      <c r="AH475" s="203" t="s">
        <v>1155</v>
      </c>
      <c r="AI475" s="202">
        <v>0</v>
      </c>
      <c r="AJ475" s="202">
        <v>0</v>
      </c>
    </row>
    <row r="476" spans="2:36">
      <c r="B476" s="203">
        <v>2180</v>
      </c>
      <c r="C476" s="207">
        <v>169623</v>
      </c>
      <c r="D476" s="203" t="s">
        <v>97</v>
      </c>
      <c r="E476" s="202" t="s">
        <v>2486</v>
      </c>
      <c r="F476" s="203">
        <v>1080</v>
      </c>
      <c r="G476" s="202"/>
      <c r="H476" s="202"/>
      <c r="I476" s="202"/>
      <c r="J476" s="202">
        <v>0</v>
      </c>
      <c r="K476" s="202" t="s">
        <v>1658</v>
      </c>
      <c r="L476" s="202"/>
      <c r="M476" s="202"/>
      <c r="N476" s="206">
        <v>42664</v>
      </c>
      <c r="O476" s="206">
        <v>42664</v>
      </c>
      <c r="P476" s="202" t="s">
        <v>2485</v>
      </c>
      <c r="Q476" s="203">
        <v>700</v>
      </c>
      <c r="R476" s="203">
        <v>14050</v>
      </c>
      <c r="S476" s="204">
        <v>39812.97</v>
      </c>
      <c r="T476" s="203">
        <v>14056</v>
      </c>
      <c r="U476" s="204">
        <v>31755.599999999999</v>
      </c>
      <c r="V476" s="204">
        <f t="shared" si="19"/>
        <v>8057.3700000000026</v>
      </c>
      <c r="W476" s="205">
        <v>2369.8200000000002</v>
      </c>
      <c r="X476" s="203">
        <v>54260</v>
      </c>
      <c r="Y476" s="204">
        <v>473.96</v>
      </c>
      <c r="Z476" s="202" t="s">
        <v>97</v>
      </c>
      <c r="AA476" s="202"/>
      <c r="AB476" s="202" t="s">
        <v>2487</v>
      </c>
      <c r="AC476" s="202"/>
      <c r="AD476" s="202" t="s">
        <v>1152</v>
      </c>
      <c r="AE476" s="202" t="s">
        <v>1153</v>
      </c>
      <c r="AF476" s="203" t="s">
        <v>1154</v>
      </c>
      <c r="AG476" s="202"/>
      <c r="AH476" s="203" t="s">
        <v>1155</v>
      </c>
      <c r="AI476" s="202">
        <v>0</v>
      </c>
      <c r="AJ476" s="202">
        <v>0</v>
      </c>
    </row>
    <row r="477" spans="2:36">
      <c r="B477" s="203">
        <v>2180</v>
      </c>
      <c r="C477" s="207">
        <v>169622</v>
      </c>
      <c r="D477" s="203" t="s">
        <v>97</v>
      </c>
      <c r="E477" s="202" t="s">
        <v>2486</v>
      </c>
      <c r="F477" s="203">
        <v>1080</v>
      </c>
      <c r="G477" s="202"/>
      <c r="H477" s="202"/>
      <c r="I477" s="202"/>
      <c r="J477" s="202">
        <v>0</v>
      </c>
      <c r="K477" s="202" t="s">
        <v>1658</v>
      </c>
      <c r="L477" s="202"/>
      <c r="M477" s="202"/>
      <c r="N477" s="206">
        <v>42664</v>
      </c>
      <c r="O477" s="206">
        <v>42664</v>
      </c>
      <c r="P477" s="202" t="s">
        <v>2485</v>
      </c>
      <c r="Q477" s="203">
        <v>700</v>
      </c>
      <c r="R477" s="203">
        <v>14050</v>
      </c>
      <c r="S477" s="204">
        <v>39812.97</v>
      </c>
      <c r="T477" s="203">
        <v>14056</v>
      </c>
      <c r="U477" s="204">
        <v>31755.599999999999</v>
      </c>
      <c r="V477" s="204">
        <f t="shared" si="19"/>
        <v>8057.3700000000026</v>
      </c>
      <c r="W477" s="205">
        <v>2369.8200000000002</v>
      </c>
      <c r="X477" s="203">
        <v>54260</v>
      </c>
      <c r="Y477" s="204">
        <v>473.96</v>
      </c>
      <c r="Z477" s="202" t="s">
        <v>97</v>
      </c>
      <c r="AA477" s="202"/>
      <c r="AB477" s="202" t="s">
        <v>2484</v>
      </c>
      <c r="AC477" s="202"/>
      <c r="AD477" s="202" t="s">
        <v>1152</v>
      </c>
      <c r="AE477" s="202" t="s">
        <v>1153</v>
      </c>
      <c r="AF477" s="203" t="s">
        <v>1154</v>
      </c>
      <c r="AG477" s="202"/>
      <c r="AH477" s="203" t="s">
        <v>1155</v>
      </c>
      <c r="AI477" s="202">
        <v>0</v>
      </c>
      <c r="AJ477" s="202">
        <v>0</v>
      </c>
    </row>
    <row r="478" spans="2:36">
      <c r="B478" s="203">
        <v>2180</v>
      </c>
      <c r="C478" s="207">
        <v>169621</v>
      </c>
      <c r="D478" s="203" t="s">
        <v>97</v>
      </c>
      <c r="E478" s="202" t="s">
        <v>2468</v>
      </c>
      <c r="F478" s="203">
        <v>568</v>
      </c>
      <c r="G478" s="202"/>
      <c r="H478" s="202"/>
      <c r="I478" s="202"/>
      <c r="J478" s="202">
        <v>0</v>
      </c>
      <c r="K478" s="202" t="s">
        <v>1658</v>
      </c>
      <c r="L478" s="202"/>
      <c r="M478" s="202"/>
      <c r="N478" s="206">
        <v>42657</v>
      </c>
      <c r="O478" s="206">
        <v>42657</v>
      </c>
      <c r="P478" s="202" t="s">
        <v>2398</v>
      </c>
      <c r="Q478" s="203">
        <v>700</v>
      </c>
      <c r="R478" s="203">
        <v>14050</v>
      </c>
      <c r="S478" s="204">
        <v>29848.33</v>
      </c>
      <c r="T478" s="203">
        <v>14056</v>
      </c>
      <c r="U478" s="204">
        <v>24162.95</v>
      </c>
      <c r="V478" s="204">
        <f t="shared" si="19"/>
        <v>5685.380000000001</v>
      </c>
      <c r="W478" s="205">
        <v>1776.69</v>
      </c>
      <c r="X478" s="203">
        <v>54260</v>
      </c>
      <c r="Y478" s="204">
        <v>355.34</v>
      </c>
      <c r="Z478" s="202" t="s">
        <v>97</v>
      </c>
      <c r="AA478" s="202"/>
      <c r="AB478" s="202" t="s">
        <v>2483</v>
      </c>
      <c r="AC478" s="202"/>
      <c r="AD478" s="202" t="s">
        <v>1152</v>
      </c>
      <c r="AE478" s="202" t="s">
        <v>1153</v>
      </c>
      <c r="AF478" s="203" t="s">
        <v>1154</v>
      </c>
      <c r="AG478" s="202"/>
      <c r="AH478" s="203" t="s">
        <v>1155</v>
      </c>
      <c r="AI478" s="202">
        <v>0</v>
      </c>
      <c r="AJ478" s="202">
        <v>0</v>
      </c>
    </row>
    <row r="479" spans="2:36">
      <c r="B479" s="203">
        <v>2180</v>
      </c>
      <c r="C479" s="207">
        <v>169574</v>
      </c>
      <c r="D479" s="203" t="s">
        <v>97</v>
      </c>
      <c r="E479" s="202" t="s">
        <v>2468</v>
      </c>
      <c r="F479" s="203">
        <v>648</v>
      </c>
      <c r="G479" s="202"/>
      <c r="H479" s="202"/>
      <c r="I479" s="202"/>
      <c r="J479" s="202">
        <v>0</v>
      </c>
      <c r="K479" s="202" t="s">
        <v>1658</v>
      </c>
      <c r="L479" s="202"/>
      <c r="M479" s="202"/>
      <c r="N479" s="206">
        <v>42657</v>
      </c>
      <c r="O479" s="206">
        <v>42657</v>
      </c>
      <c r="P479" s="202" t="s">
        <v>2398</v>
      </c>
      <c r="Q479" s="203">
        <v>700</v>
      </c>
      <c r="R479" s="203">
        <v>14050</v>
      </c>
      <c r="S479" s="204">
        <v>29848.33</v>
      </c>
      <c r="T479" s="203">
        <v>14056</v>
      </c>
      <c r="U479" s="204">
        <v>24162.95</v>
      </c>
      <c r="V479" s="204">
        <f t="shared" si="19"/>
        <v>5685.380000000001</v>
      </c>
      <c r="W479" s="205">
        <v>1776.69</v>
      </c>
      <c r="X479" s="203">
        <v>54260</v>
      </c>
      <c r="Y479" s="204">
        <v>355.34</v>
      </c>
      <c r="Z479" s="202" t="s">
        <v>97</v>
      </c>
      <c r="AA479" s="202"/>
      <c r="AB479" s="202" t="s">
        <v>2482</v>
      </c>
      <c r="AC479" s="202"/>
      <c r="AD479" s="202" t="s">
        <v>1152</v>
      </c>
      <c r="AE479" s="202" t="s">
        <v>1153</v>
      </c>
      <c r="AF479" s="203" t="s">
        <v>1154</v>
      </c>
      <c r="AG479" s="202"/>
      <c r="AH479" s="203" t="s">
        <v>1155</v>
      </c>
      <c r="AI479" s="202">
        <v>0</v>
      </c>
      <c r="AJ479" s="202">
        <v>0</v>
      </c>
    </row>
    <row r="480" spans="2:36">
      <c r="B480" s="203">
        <v>2180</v>
      </c>
      <c r="C480" s="207">
        <v>169573</v>
      </c>
      <c r="D480" s="203" t="s">
        <v>97</v>
      </c>
      <c r="E480" s="202" t="s">
        <v>2460</v>
      </c>
      <c r="F480" s="203">
        <v>16</v>
      </c>
      <c r="G480" s="202"/>
      <c r="H480" s="202"/>
      <c r="I480" s="202"/>
      <c r="J480" s="202">
        <v>0</v>
      </c>
      <c r="K480" s="202" t="s">
        <v>1658</v>
      </c>
      <c r="L480" s="202"/>
      <c r="M480" s="202" t="s">
        <v>2382</v>
      </c>
      <c r="N480" s="206">
        <v>42664</v>
      </c>
      <c r="O480" s="206">
        <v>42664</v>
      </c>
      <c r="P480" s="202" t="s">
        <v>2481</v>
      </c>
      <c r="Q480" s="203">
        <v>700</v>
      </c>
      <c r="R480" s="203">
        <v>14050</v>
      </c>
      <c r="S480" s="204">
        <v>18430.72</v>
      </c>
      <c r="T480" s="203">
        <v>14056</v>
      </c>
      <c r="U480" s="204">
        <v>14700.7</v>
      </c>
      <c r="V480" s="204">
        <f t="shared" si="19"/>
        <v>3730.0200000000004</v>
      </c>
      <c r="W480" s="205">
        <v>1097.07</v>
      </c>
      <c r="X480" s="203">
        <v>54260</v>
      </c>
      <c r="Y480" s="204">
        <v>219.42</v>
      </c>
      <c r="Z480" s="202" t="s">
        <v>97</v>
      </c>
      <c r="AA480" s="202"/>
      <c r="AB480" s="202" t="s">
        <v>2480</v>
      </c>
      <c r="AC480" s="202"/>
      <c r="AD480" s="202" t="s">
        <v>1152</v>
      </c>
      <c r="AE480" s="202" t="s">
        <v>1153</v>
      </c>
      <c r="AF480" s="203" t="s">
        <v>1154</v>
      </c>
      <c r="AG480" s="202"/>
      <c r="AH480" s="203" t="s">
        <v>1155</v>
      </c>
      <c r="AI480" s="202">
        <v>0</v>
      </c>
      <c r="AJ480" s="202">
        <v>0</v>
      </c>
    </row>
    <row r="481" spans="2:36">
      <c r="B481" s="203">
        <v>2180</v>
      </c>
      <c r="C481" s="207">
        <v>169369</v>
      </c>
      <c r="D481" s="203" t="s">
        <v>97</v>
      </c>
      <c r="E481" s="202" t="s">
        <v>977</v>
      </c>
      <c r="F481" s="203"/>
      <c r="G481" s="202"/>
      <c r="H481" s="202"/>
      <c r="I481" s="202"/>
      <c r="J481" s="202">
        <v>0</v>
      </c>
      <c r="K481" s="202" t="s">
        <v>1429</v>
      </c>
      <c r="L481" s="202"/>
      <c r="M481" s="202"/>
      <c r="N481" s="206">
        <v>42664</v>
      </c>
      <c r="O481" s="206">
        <v>42664</v>
      </c>
      <c r="P481" s="202" t="s">
        <v>2479</v>
      </c>
      <c r="Q481" s="203">
        <v>200</v>
      </c>
      <c r="R481" s="203">
        <v>14110</v>
      </c>
      <c r="S481" s="204">
        <v>1311.95</v>
      </c>
      <c r="T481" s="203">
        <v>14116</v>
      </c>
      <c r="U481" s="204">
        <v>1311.95</v>
      </c>
      <c r="V481" s="204">
        <f t="shared" si="19"/>
        <v>0</v>
      </c>
      <c r="W481" s="205">
        <v>0</v>
      </c>
      <c r="X481" s="203">
        <v>70260</v>
      </c>
      <c r="Y481" s="204">
        <v>0</v>
      </c>
      <c r="Z481" s="202" t="s">
        <v>97</v>
      </c>
      <c r="AA481" s="202"/>
      <c r="AB481" s="202" t="s">
        <v>2478</v>
      </c>
      <c r="AC481" s="202"/>
      <c r="AD481" s="202" t="s">
        <v>1152</v>
      </c>
      <c r="AE481" s="202" t="s">
        <v>1153</v>
      </c>
      <c r="AF481" s="203" t="s">
        <v>1154</v>
      </c>
      <c r="AG481" s="202"/>
      <c r="AH481" s="203" t="s">
        <v>1155</v>
      </c>
      <c r="AI481" s="202">
        <v>0</v>
      </c>
      <c r="AJ481" s="202">
        <v>0</v>
      </c>
    </row>
    <row r="482" spans="2:36">
      <c r="B482" s="203">
        <v>2180</v>
      </c>
      <c r="C482" s="207">
        <v>169028</v>
      </c>
      <c r="D482" s="203" t="s">
        <v>97</v>
      </c>
      <c r="E482" s="202" t="s">
        <v>247</v>
      </c>
      <c r="F482" s="203"/>
      <c r="G482" s="202"/>
      <c r="H482" s="202" t="s">
        <v>2477</v>
      </c>
      <c r="I482" s="202"/>
      <c r="J482" s="202">
        <v>2017</v>
      </c>
      <c r="K482" s="202" t="s">
        <v>2290</v>
      </c>
      <c r="L482" s="202" t="s">
        <v>2476</v>
      </c>
      <c r="M482" s="202" t="s">
        <v>1503</v>
      </c>
      <c r="N482" s="206">
        <v>42643</v>
      </c>
      <c r="O482" s="206">
        <v>42643</v>
      </c>
      <c r="P482" s="202" t="s">
        <v>2475</v>
      </c>
      <c r="Q482" s="203">
        <v>1000</v>
      </c>
      <c r="R482" s="203">
        <v>14040</v>
      </c>
      <c r="S482" s="204">
        <v>198848.06</v>
      </c>
      <c r="T482" s="203">
        <v>14046</v>
      </c>
      <c r="U482" s="204">
        <v>112680.59</v>
      </c>
      <c r="V482" s="204">
        <f t="shared" si="19"/>
        <v>86167.47</v>
      </c>
      <c r="W482" s="205">
        <v>8285.34</v>
      </c>
      <c r="X482" s="203">
        <v>51260</v>
      </c>
      <c r="Y482" s="204">
        <v>1657.07</v>
      </c>
      <c r="Z482" s="202" t="s">
        <v>97</v>
      </c>
      <c r="AA482" s="202"/>
      <c r="AB482" s="202" t="s">
        <v>2474</v>
      </c>
      <c r="AC482" s="202">
        <v>4521</v>
      </c>
      <c r="AD482" s="202" t="s">
        <v>1152</v>
      </c>
      <c r="AE482" s="202" t="s">
        <v>1153</v>
      </c>
      <c r="AF482" s="203" t="s">
        <v>1154</v>
      </c>
      <c r="AG482" s="202"/>
      <c r="AH482" s="203" t="s">
        <v>1155</v>
      </c>
      <c r="AI482" s="202">
        <v>0</v>
      </c>
      <c r="AJ482" s="202">
        <v>0</v>
      </c>
    </row>
    <row r="483" spans="2:36">
      <c r="B483" s="203">
        <v>2180</v>
      </c>
      <c r="C483" s="207">
        <v>168985</v>
      </c>
      <c r="D483" s="203" t="s">
        <v>97</v>
      </c>
      <c r="E483" s="202" t="s">
        <v>2359</v>
      </c>
      <c r="F483" s="203">
        <v>486</v>
      </c>
      <c r="G483" s="202"/>
      <c r="H483" s="202"/>
      <c r="I483" s="202"/>
      <c r="J483" s="202">
        <v>0</v>
      </c>
      <c r="K483" s="202" t="s">
        <v>1658</v>
      </c>
      <c r="L483" s="202"/>
      <c r="M483" s="202"/>
      <c r="N483" s="206">
        <v>42650</v>
      </c>
      <c r="O483" s="206">
        <v>42650</v>
      </c>
      <c r="P483" s="202" t="s">
        <v>2472</v>
      </c>
      <c r="Q483" s="203">
        <v>700</v>
      </c>
      <c r="R483" s="203">
        <v>14050</v>
      </c>
      <c r="S483" s="204">
        <v>26099.16</v>
      </c>
      <c r="T483" s="203">
        <v>14056</v>
      </c>
      <c r="U483" s="204">
        <v>21127.88</v>
      </c>
      <c r="V483" s="204">
        <f t="shared" si="19"/>
        <v>4971.2799999999988</v>
      </c>
      <c r="W483" s="205">
        <v>1553.52</v>
      </c>
      <c r="X483" s="203">
        <v>54260</v>
      </c>
      <c r="Y483" s="204">
        <v>310.7</v>
      </c>
      <c r="Z483" s="202" t="s">
        <v>97</v>
      </c>
      <c r="AA483" s="202"/>
      <c r="AB483" s="202" t="s">
        <v>2473</v>
      </c>
      <c r="AC483" s="202"/>
      <c r="AD483" s="202" t="s">
        <v>1152</v>
      </c>
      <c r="AE483" s="202" t="s">
        <v>1153</v>
      </c>
      <c r="AF483" s="203" t="s">
        <v>1154</v>
      </c>
      <c r="AG483" s="202"/>
      <c r="AH483" s="203" t="s">
        <v>1155</v>
      </c>
      <c r="AI483" s="202">
        <v>0</v>
      </c>
      <c r="AJ483" s="202">
        <v>0</v>
      </c>
    </row>
    <row r="484" spans="2:36">
      <c r="B484" s="203">
        <v>2180</v>
      </c>
      <c r="C484" s="207">
        <v>168984</v>
      </c>
      <c r="D484" s="203" t="s">
        <v>97</v>
      </c>
      <c r="E484" s="202" t="s">
        <v>2359</v>
      </c>
      <c r="F484" s="203">
        <v>486</v>
      </c>
      <c r="G484" s="202"/>
      <c r="H484" s="202"/>
      <c r="I484" s="202"/>
      <c r="J484" s="202">
        <v>0</v>
      </c>
      <c r="K484" s="202" t="s">
        <v>1658</v>
      </c>
      <c r="L484" s="202"/>
      <c r="M484" s="202"/>
      <c r="N484" s="206">
        <v>42650</v>
      </c>
      <c r="O484" s="206">
        <v>42650</v>
      </c>
      <c r="P484" s="202" t="s">
        <v>2472</v>
      </c>
      <c r="Q484" s="203">
        <v>700</v>
      </c>
      <c r="R484" s="203">
        <v>14050</v>
      </c>
      <c r="S484" s="204">
        <v>26099.16</v>
      </c>
      <c r="T484" s="203">
        <v>14056</v>
      </c>
      <c r="U484" s="204">
        <v>21127.88</v>
      </c>
      <c r="V484" s="204">
        <f t="shared" si="19"/>
        <v>4971.2799999999988</v>
      </c>
      <c r="W484" s="205">
        <v>1553.52</v>
      </c>
      <c r="X484" s="203">
        <v>54260</v>
      </c>
      <c r="Y484" s="204">
        <v>310.7</v>
      </c>
      <c r="Z484" s="202" t="s">
        <v>97</v>
      </c>
      <c r="AA484" s="202"/>
      <c r="AB484" s="202" t="s">
        <v>2471</v>
      </c>
      <c r="AC484" s="202"/>
      <c r="AD484" s="202" t="s">
        <v>1152</v>
      </c>
      <c r="AE484" s="202" t="s">
        <v>1153</v>
      </c>
      <c r="AF484" s="203" t="s">
        <v>1154</v>
      </c>
      <c r="AG484" s="202"/>
      <c r="AH484" s="203" t="s">
        <v>1155</v>
      </c>
      <c r="AI484" s="202">
        <v>0</v>
      </c>
      <c r="AJ484" s="202">
        <v>0</v>
      </c>
    </row>
    <row r="485" spans="2:36">
      <c r="B485" s="203">
        <v>2180</v>
      </c>
      <c r="C485" s="207">
        <v>168783</v>
      </c>
      <c r="D485" s="203" t="s">
        <v>97</v>
      </c>
      <c r="E485" s="202" t="s">
        <v>2470</v>
      </c>
      <c r="F485" s="203">
        <v>29</v>
      </c>
      <c r="G485" s="202"/>
      <c r="H485" s="202"/>
      <c r="I485" s="202"/>
      <c r="J485" s="202">
        <v>0</v>
      </c>
      <c r="K485" s="202" t="s">
        <v>1574</v>
      </c>
      <c r="L485" s="202"/>
      <c r="M485" s="202" t="s">
        <v>1573</v>
      </c>
      <c r="N485" s="206">
        <v>42636</v>
      </c>
      <c r="O485" s="206">
        <v>42636</v>
      </c>
      <c r="P485" s="202" t="s">
        <v>2461</v>
      </c>
      <c r="Q485" s="203">
        <v>1200</v>
      </c>
      <c r="R485" s="203">
        <v>14050</v>
      </c>
      <c r="S485" s="204">
        <v>13409.6</v>
      </c>
      <c r="T485" s="203">
        <v>14056</v>
      </c>
      <c r="U485" s="204">
        <v>6332.33</v>
      </c>
      <c r="V485" s="204">
        <f t="shared" si="19"/>
        <v>7077.27</v>
      </c>
      <c r="W485" s="205">
        <v>465.61</v>
      </c>
      <c r="X485" s="203">
        <v>54260</v>
      </c>
      <c r="Y485" s="204">
        <v>93.12</v>
      </c>
      <c r="Z485" s="202" t="s">
        <v>97</v>
      </c>
      <c r="AA485" s="202"/>
      <c r="AB485" s="202">
        <v>123763</v>
      </c>
      <c r="AC485" s="202"/>
      <c r="AD485" s="202" t="s">
        <v>1152</v>
      </c>
      <c r="AE485" s="202" t="s">
        <v>1153</v>
      </c>
      <c r="AF485" s="203" t="s">
        <v>1154</v>
      </c>
      <c r="AG485" s="202"/>
      <c r="AH485" s="203" t="s">
        <v>1155</v>
      </c>
      <c r="AI485" s="202">
        <v>0</v>
      </c>
      <c r="AJ485" s="202">
        <v>0</v>
      </c>
    </row>
    <row r="486" spans="2:36">
      <c r="B486" s="203">
        <v>2180</v>
      </c>
      <c r="C486" s="207">
        <v>168668</v>
      </c>
      <c r="D486" s="203" t="s">
        <v>97</v>
      </c>
      <c r="E486" s="202" t="s">
        <v>2468</v>
      </c>
      <c r="F486" s="203">
        <v>648</v>
      </c>
      <c r="G486" s="202"/>
      <c r="H486" s="202"/>
      <c r="I486" s="202"/>
      <c r="J486" s="202">
        <v>0</v>
      </c>
      <c r="K486" s="202" t="s">
        <v>1658</v>
      </c>
      <c r="L486" s="202"/>
      <c r="M486" s="202"/>
      <c r="N486" s="206">
        <v>42604</v>
      </c>
      <c r="O486" s="206">
        <v>42604</v>
      </c>
      <c r="P486" s="202" t="s">
        <v>2398</v>
      </c>
      <c r="Q486" s="203">
        <v>700</v>
      </c>
      <c r="R486" s="203">
        <v>14050</v>
      </c>
      <c r="S486" s="204">
        <v>29821.13</v>
      </c>
      <c r="T486" s="203">
        <v>14056</v>
      </c>
      <c r="U486" s="204">
        <v>24495.919999999998</v>
      </c>
      <c r="V486" s="204">
        <f t="shared" si="19"/>
        <v>5325.2100000000028</v>
      </c>
      <c r="W486" s="205">
        <v>1775.07</v>
      </c>
      <c r="X486" s="203">
        <v>54260</v>
      </c>
      <c r="Y486" s="204">
        <v>355.02</v>
      </c>
      <c r="Z486" s="202" t="s">
        <v>97</v>
      </c>
      <c r="AA486" s="202"/>
      <c r="AB486" s="202" t="s">
        <v>2469</v>
      </c>
      <c r="AC486" s="202"/>
      <c r="AD486" s="202" t="s">
        <v>1152</v>
      </c>
      <c r="AE486" s="202" t="s">
        <v>1153</v>
      </c>
      <c r="AF486" s="203" t="s">
        <v>1154</v>
      </c>
      <c r="AG486" s="202"/>
      <c r="AH486" s="203" t="s">
        <v>1155</v>
      </c>
      <c r="AI486" s="202">
        <v>0</v>
      </c>
      <c r="AJ486" s="202">
        <v>0</v>
      </c>
    </row>
    <row r="487" spans="2:36">
      <c r="B487" s="203">
        <v>2180</v>
      </c>
      <c r="C487" s="207">
        <v>168667</v>
      </c>
      <c r="D487" s="203" t="s">
        <v>97</v>
      </c>
      <c r="E487" s="202" t="s">
        <v>2468</v>
      </c>
      <c r="F487" s="203">
        <v>648</v>
      </c>
      <c r="G487" s="202"/>
      <c r="H487" s="202"/>
      <c r="I487" s="202"/>
      <c r="J487" s="202">
        <v>0</v>
      </c>
      <c r="K487" s="202" t="s">
        <v>1658</v>
      </c>
      <c r="L487" s="202"/>
      <c r="M487" s="202"/>
      <c r="N487" s="206">
        <v>42604</v>
      </c>
      <c r="O487" s="206">
        <v>42604</v>
      </c>
      <c r="P487" s="202" t="s">
        <v>2398</v>
      </c>
      <c r="Q487" s="203">
        <v>700</v>
      </c>
      <c r="R487" s="203">
        <v>14050</v>
      </c>
      <c r="S487" s="204">
        <v>29821.13</v>
      </c>
      <c r="T487" s="203">
        <v>14056</v>
      </c>
      <c r="U487" s="204">
        <v>24495.919999999998</v>
      </c>
      <c r="V487" s="204">
        <f t="shared" si="19"/>
        <v>5325.2100000000028</v>
      </c>
      <c r="W487" s="205">
        <v>1775.07</v>
      </c>
      <c r="X487" s="203">
        <v>54260</v>
      </c>
      <c r="Y487" s="204">
        <v>355.02</v>
      </c>
      <c r="Z487" s="202" t="s">
        <v>97</v>
      </c>
      <c r="AA487" s="202"/>
      <c r="AB487" s="202" t="s">
        <v>2467</v>
      </c>
      <c r="AC487" s="202"/>
      <c r="AD487" s="202" t="s">
        <v>1152</v>
      </c>
      <c r="AE487" s="202" t="s">
        <v>1153</v>
      </c>
      <c r="AF487" s="203" t="s">
        <v>1154</v>
      </c>
      <c r="AG487" s="202"/>
      <c r="AH487" s="203" t="s">
        <v>1155</v>
      </c>
      <c r="AI487" s="202">
        <v>0</v>
      </c>
      <c r="AJ487" s="202">
        <v>0</v>
      </c>
    </row>
    <row r="488" spans="2:36">
      <c r="B488" s="203">
        <v>2180</v>
      </c>
      <c r="C488" s="207">
        <v>168666</v>
      </c>
      <c r="D488" s="203" t="s">
        <v>97</v>
      </c>
      <c r="E488" s="202" t="s">
        <v>2466</v>
      </c>
      <c r="F488" s="203">
        <v>486</v>
      </c>
      <c r="G488" s="202"/>
      <c r="H488" s="202"/>
      <c r="I488" s="202"/>
      <c r="J488" s="202">
        <v>0</v>
      </c>
      <c r="K488" s="202" t="s">
        <v>1658</v>
      </c>
      <c r="L488" s="202"/>
      <c r="M488" s="202"/>
      <c r="N488" s="206">
        <v>42619</v>
      </c>
      <c r="O488" s="206">
        <v>42619</v>
      </c>
      <c r="P488" s="202" t="s">
        <v>2465</v>
      </c>
      <c r="Q488" s="203">
        <v>700</v>
      </c>
      <c r="R488" s="203">
        <v>14050</v>
      </c>
      <c r="S488" s="204">
        <v>25827.17</v>
      </c>
      <c r="T488" s="203">
        <v>14056</v>
      </c>
      <c r="U488" s="204">
        <v>21215.200000000001</v>
      </c>
      <c r="V488" s="204">
        <f t="shared" si="19"/>
        <v>4611.9699999999975</v>
      </c>
      <c r="W488" s="205">
        <v>1537.33</v>
      </c>
      <c r="X488" s="203">
        <v>54260</v>
      </c>
      <c r="Y488" s="204">
        <v>307.45999999999998</v>
      </c>
      <c r="Z488" s="202" t="s">
        <v>97</v>
      </c>
      <c r="AA488" s="202"/>
      <c r="AB488" s="202" t="s">
        <v>2464</v>
      </c>
      <c r="AC488" s="202"/>
      <c r="AD488" s="202" t="s">
        <v>1152</v>
      </c>
      <c r="AE488" s="202" t="s">
        <v>1153</v>
      </c>
      <c r="AF488" s="203" t="s">
        <v>1154</v>
      </c>
      <c r="AG488" s="202"/>
      <c r="AH488" s="203" t="s">
        <v>1155</v>
      </c>
      <c r="AI488" s="202">
        <v>0</v>
      </c>
      <c r="AJ488" s="202">
        <v>0</v>
      </c>
    </row>
    <row r="489" spans="2:36">
      <c r="B489" s="203">
        <v>2180</v>
      </c>
      <c r="C489" s="207">
        <v>168665</v>
      </c>
      <c r="D489" s="203" t="s">
        <v>97</v>
      </c>
      <c r="E489" s="202" t="s">
        <v>2359</v>
      </c>
      <c r="F489" s="203">
        <v>486</v>
      </c>
      <c r="G489" s="202"/>
      <c r="H489" s="202"/>
      <c r="I489" s="202"/>
      <c r="J489" s="202">
        <v>0</v>
      </c>
      <c r="K489" s="202" t="s">
        <v>1658</v>
      </c>
      <c r="L489" s="202"/>
      <c r="M489" s="202"/>
      <c r="N489" s="206">
        <v>42629</v>
      </c>
      <c r="O489" s="206">
        <v>42629</v>
      </c>
      <c r="P489" s="202" t="s">
        <v>2437</v>
      </c>
      <c r="Q489" s="203">
        <v>700</v>
      </c>
      <c r="R489" s="203">
        <v>14050</v>
      </c>
      <c r="S489" s="204">
        <v>26240.6</v>
      </c>
      <c r="T489" s="203">
        <v>14056</v>
      </c>
      <c r="U489" s="204">
        <v>21242.41</v>
      </c>
      <c r="V489" s="204">
        <f t="shared" si="19"/>
        <v>4998.1899999999987</v>
      </c>
      <c r="W489" s="205">
        <v>1561.94</v>
      </c>
      <c r="X489" s="203">
        <v>54260</v>
      </c>
      <c r="Y489" s="204">
        <v>312.39</v>
      </c>
      <c r="Z489" s="202" t="s">
        <v>97</v>
      </c>
      <c r="AA489" s="202"/>
      <c r="AB489" s="202" t="s">
        <v>2463</v>
      </c>
      <c r="AC489" s="202"/>
      <c r="AD489" s="202" t="s">
        <v>1152</v>
      </c>
      <c r="AE489" s="202" t="s">
        <v>1153</v>
      </c>
      <c r="AF489" s="203" t="s">
        <v>1154</v>
      </c>
      <c r="AG489" s="202"/>
      <c r="AH489" s="203" t="s">
        <v>1155</v>
      </c>
      <c r="AI489" s="202">
        <v>0</v>
      </c>
      <c r="AJ489" s="202">
        <v>0</v>
      </c>
    </row>
    <row r="490" spans="2:36">
      <c r="B490" s="203">
        <v>2180</v>
      </c>
      <c r="C490" s="207">
        <v>168664</v>
      </c>
      <c r="D490" s="203" t="s">
        <v>97</v>
      </c>
      <c r="E490" s="202" t="s">
        <v>2462</v>
      </c>
      <c r="F490" s="203">
        <v>7</v>
      </c>
      <c r="G490" s="202"/>
      <c r="H490" s="202"/>
      <c r="I490" s="202"/>
      <c r="J490" s="202">
        <v>0</v>
      </c>
      <c r="K490" s="202" t="s">
        <v>1574</v>
      </c>
      <c r="L490" s="202"/>
      <c r="M490" s="202" t="s">
        <v>1573</v>
      </c>
      <c r="N490" s="206">
        <v>42634</v>
      </c>
      <c r="O490" s="206">
        <v>42634</v>
      </c>
      <c r="P490" s="202" t="s">
        <v>2461</v>
      </c>
      <c r="Q490" s="203">
        <v>1200</v>
      </c>
      <c r="R490" s="203">
        <v>14050</v>
      </c>
      <c r="S490" s="204">
        <v>3236.8</v>
      </c>
      <c r="T490" s="203">
        <v>14056</v>
      </c>
      <c r="U490" s="204">
        <v>1528.47</v>
      </c>
      <c r="V490" s="204">
        <f t="shared" si="19"/>
        <v>1708.3300000000002</v>
      </c>
      <c r="W490" s="205">
        <v>112.39</v>
      </c>
      <c r="X490" s="203">
        <v>54260</v>
      </c>
      <c r="Y490" s="204">
        <v>22.48</v>
      </c>
      <c r="Z490" s="202" t="s">
        <v>97</v>
      </c>
      <c r="AA490" s="202"/>
      <c r="AB490" s="202">
        <v>123862</v>
      </c>
      <c r="AC490" s="202"/>
      <c r="AD490" s="202" t="s">
        <v>1152</v>
      </c>
      <c r="AE490" s="202" t="s">
        <v>1153</v>
      </c>
      <c r="AF490" s="203" t="s">
        <v>1154</v>
      </c>
      <c r="AG490" s="202"/>
      <c r="AH490" s="203" t="s">
        <v>1155</v>
      </c>
      <c r="AI490" s="202">
        <v>0</v>
      </c>
      <c r="AJ490" s="202">
        <v>0</v>
      </c>
    </row>
    <row r="491" spans="2:36">
      <c r="B491" s="203">
        <v>2180</v>
      </c>
      <c r="C491" s="207">
        <v>167285</v>
      </c>
      <c r="D491" s="203" t="s">
        <v>97</v>
      </c>
      <c r="E491" s="202" t="s">
        <v>2460</v>
      </c>
      <c r="F491" s="203">
        <v>32</v>
      </c>
      <c r="G491" s="202"/>
      <c r="H491" s="202"/>
      <c r="I491" s="202"/>
      <c r="J491" s="202">
        <v>0</v>
      </c>
      <c r="K491" s="202" t="s">
        <v>1658</v>
      </c>
      <c r="L491" s="202"/>
      <c r="M491" s="202" t="s">
        <v>2382</v>
      </c>
      <c r="N491" s="206">
        <v>42613</v>
      </c>
      <c r="O491" s="206">
        <v>42613</v>
      </c>
      <c r="P491" s="202" t="s">
        <v>2459</v>
      </c>
      <c r="Q491" s="203">
        <v>700</v>
      </c>
      <c r="R491" s="203">
        <v>14050</v>
      </c>
      <c r="S491" s="204">
        <v>41648.639999999999</v>
      </c>
      <c r="T491" s="203">
        <v>14056</v>
      </c>
      <c r="U491" s="204">
        <v>34211.410000000003</v>
      </c>
      <c r="V491" s="204">
        <f t="shared" si="19"/>
        <v>7437.2299999999959</v>
      </c>
      <c r="W491" s="205">
        <v>2479.09</v>
      </c>
      <c r="X491" s="203">
        <v>54260</v>
      </c>
      <c r="Y491" s="204">
        <v>495.82</v>
      </c>
      <c r="Z491" s="202" t="s">
        <v>97</v>
      </c>
      <c r="AA491" s="202"/>
      <c r="AB491" s="202" t="s">
        <v>2458</v>
      </c>
      <c r="AC491" s="202"/>
      <c r="AD491" s="202" t="s">
        <v>1152</v>
      </c>
      <c r="AE491" s="202" t="s">
        <v>1153</v>
      </c>
      <c r="AF491" s="203" t="s">
        <v>1154</v>
      </c>
      <c r="AG491" s="202"/>
      <c r="AH491" s="203" t="s">
        <v>1155</v>
      </c>
      <c r="AI491" s="202">
        <v>0</v>
      </c>
      <c r="AJ491" s="202">
        <v>0</v>
      </c>
    </row>
    <row r="492" spans="2:36">
      <c r="B492" s="203">
        <v>2180</v>
      </c>
      <c r="C492" s="207">
        <v>166606</v>
      </c>
      <c r="D492" s="203">
        <v>60779</v>
      </c>
      <c r="E492" s="202" t="s">
        <v>2457</v>
      </c>
      <c r="F492" s="203"/>
      <c r="G492" s="202"/>
      <c r="H492" s="202"/>
      <c r="I492" s="202"/>
      <c r="J492" s="202">
        <v>0</v>
      </c>
      <c r="K492" s="202" t="s">
        <v>2296</v>
      </c>
      <c r="L492" s="202"/>
      <c r="M492" s="202" t="s">
        <v>1158</v>
      </c>
      <c r="N492" s="206">
        <v>42580</v>
      </c>
      <c r="O492" s="206">
        <v>42580</v>
      </c>
      <c r="P492" s="202" t="s">
        <v>2456</v>
      </c>
      <c r="Q492" s="203">
        <v>300</v>
      </c>
      <c r="R492" s="203">
        <v>14040</v>
      </c>
      <c r="S492" s="204">
        <v>16305.92</v>
      </c>
      <c r="T492" s="203">
        <v>14046</v>
      </c>
      <c r="U492" s="204">
        <v>16305.92</v>
      </c>
      <c r="V492" s="204">
        <f t="shared" si="19"/>
        <v>0</v>
      </c>
      <c r="W492" s="205">
        <v>0</v>
      </c>
      <c r="X492" s="203">
        <v>51260</v>
      </c>
      <c r="Y492" s="204">
        <v>0</v>
      </c>
      <c r="Z492" s="202" t="s">
        <v>97</v>
      </c>
      <c r="AA492" s="202"/>
      <c r="AB492" s="202" t="s">
        <v>2455</v>
      </c>
      <c r="AC492" s="202"/>
      <c r="AD492" s="202" t="s">
        <v>1152</v>
      </c>
      <c r="AE492" s="202" t="s">
        <v>1153</v>
      </c>
      <c r="AF492" s="203" t="s">
        <v>1154</v>
      </c>
      <c r="AG492" s="202"/>
      <c r="AH492" s="203" t="s">
        <v>1155</v>
      </c>
      <c r="AI492" s="202">
        <v>0</v>
      </c>
      <c r="AJ492" s="202">
        <v>0</v>
      </c>
    </row>
    <row r="493" spans="2:36">
      <c r="B493" s="203">
        <v>2180</v>
      </c>
      <c r="C493" s="207">
        <v>166253</v>
      </c>
      <c r="D493" s="203">
        <v>133441</v>
      </c>
      <c r="E493" s="202" t="s">
        <v>2454</v>
      </c>
      <c r="F493" s="203"/>
      <c r="G493" s="202"/>
      <c r="H493" s="202"/>
      <c r="I493" s="202"/>
      <c r="J493" s="202">
        <v>0</v>
      </c>
      <c r="K493" s="202" t="s">
        <v>1576</v>
      </c>
      <c r="L493" s="202"/>
      <c r="M493" s="202" t="s">
        <v>2453</v>
      </c>
      <c r="N493" s="206">
        <v>42551</v>
      </c>
      <c r="O493" s="206">
        <v>42551</v>
      </c>
      <c r="P493" s="202" t="s">
        <v>2439</v>
      </c>
      <c r="Q493" s="203">
        <v>1000</v>
      </c>
      <c r="R493" s="203">
        <v>14040</v>
      </c>
      <c r="S493" s="204">
        <v>6375.7</v>
      </c>
      <c r="T493" s="203">
        <v>14046</v>
      </c>
      <c r="U493" s="204">
        <v>3772.29</v>
      </c>
      <c r="V493" s="204">
        <f t="shared" si="19"/>
        <v>2603.41</v>
      </c>
      <c r="W493" s="205">
        <v>265.64999999999998</v>
      </c>
      <c r="X493" s="203">
        <v>51260</v>
      </c>
      <c r="Y493" s="204">
        <v>53.13</v>
      </c>
      <c r="Z493" s="202" t="s">
        <v>97</v>
      </c>
      <c r="AA493" s="202"/>
      <c r="AB493" s="202">
        <v>97499</v>
      </c>
      <c r="AC493" s="202"/>
      <c r="AD493" s="202" t="s">
        <v>1152</v>
      </c>
      <c r="AE493" s="202" t="s">
        <v>1153</v>
      </c>
      <c r="AF493" s="203" t="s">
        <v>1154</v>
      </c>
      <c r="AG493" s="202"/>
      <c r="AH493" s="203" t="s">
        <v>1155</v>
      </c>
      <c r="AI493" s="202">
        <v>0</v>
      </c>
      <c r="AJ493" s="202">
        <v>0</v>
      </c>
    </row>
    <row r="494" spans="2:36">
      <c r="B494" s="203">
        <v>2180</v>
      </c>
      <c r="C494" s="207">
        <v>166068</v>
      </c>
      <c r="D494" s="203" t="s">
        <v>97</v>
      </c>
      <c r="E494" s="202" t="s">
        <v>2452</v>
      </c>
      <c r="F494" s="203">
        <v>549</v>
      </c>
      <c r="G494" s="202"/>
      <c r="H494" s="202"/>
      <c r="I494" s="202"/>
      <c r="J494" s="202">
        <v>0</v>
      </c>
      <c r="K494" s="202" t="s">
        <v>2165</v>
      </c>
      <c r="L494" s="202"/>
      <c r="M494" s="202"/>
      <c r="N494" s="206">
        <v>42563</v>
      </c>
      <c r="O494" s="206">
        <v>42563</v>
      </c>
      <c r="P494" s="202" t="s">
        <v>2437</v>
      </c>
      <c r="Q494" s="203">
        <v>700</v>
      </c>
      <c r="R494" s="203">
        <v>14050</v>
      </c>
      <c r="S494" s="204">
        <v>26801.4</v>
      </c>
      <c r="T494" s="203">
        <v>14056</v>
      </c>
      <c r="U494" s="204">
        <v>22653.56</v>
      </c>
      <c r="V494" s="204">
        <f t="shared" si="19"/>
        <v>4147.84</v>
      </c>
      <c r="W494" s="205">
        <v>1595.32</v>
      </c>
      <c r="X494" s="203">
        <v>54260</v>
      </c>
      <c r="Y494" s="204">
        <v>319.06</v>
      </c>
      <c r="Z494" s="202" t="s">
        <v>97</v>
      </c>
      <c r="AA494" s="202"/>
      <c r="AB494" s="202" t="s">
        <v>2451</v>
      </c>
      <c r="AC494" s="202"/>
      <c r="AD494" s="202" t="s">
        <v>1152</v>
      </c>
      <c r="AE494" s="202" t="s">
        <v>1153</v>
      </c>
      <c r="AF494" s="203" t="s">
        <v>1154</v>
      </c>
      <c r="AG494" s="202"/>
      <c r="AH494" s="203" t="s">
        <v>1155</v>
      </c>
      <c r="AI494" s="202">
        <v>0</v>
      </c>
      <c r="AJ494" s="202">
        <v>0</v>
      </c>
    </row>
    <row r="495" spans="2:36">
      <c r="B495" s="203">
        <v>2180</v>
      </c>
      <c r="C495" s="207">
        <v>165737</v>
      </c>
      <c r="D495" s="203" t="s">
        <v>97</v>
      </c>
      <c r="E495" s="202" t="s">
        <v>2450</v>
      </c>
      <c r="F495" s="203">
        <v>16</v>
      </c>
      <c r="G495" s="202"/>
      <c r="H495" s="202"/>
      <c r="I495" s="202"/>
      <c r="J495" s="202">
        <v>0</v>
      </c>
      <c r="K495" s="202" t="s">
        <v>1658</v>
      </c>
      <c r="L495" s="202"/>
      <c r="M495" s="202" t="s">
        <v>2382</v>
      </c>
      <c r="N495" s="206">
        <v>42508</v>
      </c>
      <c r="O495" s="206">
        <v>42508</v>
      </c>
      <c r="P495" s="202" t="s">
        <v>2423</v>
      </c>
      <c r="Q495" s="203">
        <v>700</v>
      </c>
      <c r="R495" s="203">
        <v>14050</v>
      </c>
      <c r="S495" s="204">
        <v>17712.64</v>
      </c>
      <c r="T495" s="203">
        <v>14056</v>
      </c>
      <c r="U495" s="204">
        <v>15182.28</v>
      </c>
      <c r="V495" s="204">
        <f t="shared" si="19"/>
        <v>2530.3599999999988</v>
      </c>
      <c r="W495" s="205">
        <v>1054.33</v>
      </c>
      <c r="X495" s="203">
        <v>54260</v>
      </c>
      <c r="Y495" s="204">
        <v>210.87</v>
      </c>
      <c r="Z495" s="202" t="s">
        <v>97</v>
      </c>
      <c r="AA495" s="202"/>
      <c r="AB495" s="202" t="s">
        <v>2449</v>
      </c>
      <c r="AC495" s="202"/>
      <c r="AD495" s="202" t="s">
        <v>1152</v>
      </c>
      <c r="AE495" s="202" t="s">
        <v>1153</v>
      </c>
      <c r="AF495" s="203" t="s">
        <v>1154</v>
      </c>
      <c r="AG495" s="202"/>
      <c r="AH495" s="203" t="s">
        <v>1155</v>
      </c>
      <c r="AI495" s="202">
        <v>0</v>
      </c>
      <c r="AJ495" s="202">
        <v>0</v>
      </c>
    </row>
    <row r="496" spans="2:36">
      <c r="B496" s="203">
        <v>2180</v>
      </c>
      <c r="C496" s="207">
        <v>165690</v>
      </c>
      <c r="D496" s="203" t="s">
        <v>97</v>
      </c>
      <c r="E496" s="202" t="s">
        <v>2448</v>
      </c>
      <c r="F496" s="203">
        <v>66</v>
      </c>
      <c r="G496" s="202"/>
      <c r="H496" s="202"/>
      <c r="I496" s="202"/>
      <c r="J496" s="202">
        <v>0</v>
      </c>
      <c r="K496" s="202" t="s">
        <v>1658</v>
      </c>
      <c r="L496" s="202"/>
      <c r="M496" s="202" t="s">
        <v>1555</v>
      </c>
      <c r="N496" s="206">
        <v>42508</v>
      </c>
      <c r="O496" s="206">
        <v>42508</v>
      </c>
      <c r="P496" s="202" t="s">
        <v>2423</v>
      </c>
      <c r="Q496" s="203">
        <v>700</v>
      </c>
      <c r="R496" s="203">
        <v>14050</v>
      </c>
      <c r="S496" s="204">
        <v>39173.440000000002</v>
      </c>
      <c r="T496" s="203">
        <v>14056</v>
      </c>
      <c r="U496" s="204">
        <v>33577.25</v>
      </c>
      <c r="V496" s="204">
        <f t="shared" si="19"/>
        <v>5596.1900000000023</v>
      </c>
      <c r="W496" s="205">
        <v>2331.75</v>
      </c>
      <c r="X496" s="203">
        <v>54260</v>
      </c>
      <c r="Y496" s="204">
        <v>466.35</v>
      </c>
      <c r="Z496" s="202" t="s">
        <v>97</v>
      </c>
      <c r="AA496" s="202"/>
      <c r="AB496" s="202" t="s">
        <v>2447</v>
      </c>
      <c r="AC496" s="202"/>
      <c r="AD496" s="202" t="s">
        <v>1152</v>
      </c>
      <c r="AE496" s="202" t="s">
        <v>1153</v>
      </c>
      <c r="AF496" s="203" t="s">
        <v>1154</v>
      </c>
      <c r="AG496" s="202"/>
      <c r="AH496" s="203" t="s">
        <v>1155</v>
      </c>
      <c r="AI496" s="202">
        <v>0</v>
      </c>
      <c r="AJ496" s="202">
        <v>0</v>
      </c>
    </row>
    <row r="497" spans="2:36">
      <c r="B497" s="203">
        <v>2180</v>
      </c>
      <c r="C497" s="207">
        <v>139652</v>
      </c>
      <c r="D497" s="203" t="s">
        <v>97</v>
      </c>
      <c r="E497" s="202" t="s">
        <v>2443</v>
      </c>
      <c r="F497" s="203">
        <v>3</v>
      </c>
      <c r="G497" s="202"/>
      <c r="H497" s="202"/>
      <c r="I497" s="202"/>
      <c r="J497" s="202">
        <v>0</v>
      </c>
      <c r="K497" s="202" t="s">
        <v>1574</v>
      </c>
      <c r="L497" s="202"/>
      <c r="M497" s="202" t="s">
        <v>1462</v>
      </c>
      <c r="N497" s="206">
        <v>42537</v>
      </c>
      <c r="O497" s="206">
        <v>42537</v>
      </c>
      <c r="P497" s="202" t="s">
        <v>2423</v>
      </c>
      <c r="Q497" s="203">
        <v>700</v>
      </c>
      <c r="R497" s="203">
        <v>14050</v>
      </c>
      <c r="S497" s="204">
        <v>1419.84</v>
      </c>
      <c r="T497" s="203">
        <v>14056</v>
      </c>
      <c r="U497" s="204">
        <v>1200.1400000000001</v>
      </c>
      <c r="V497" s="204">
        <f t="shared" si="19"/>
        <v>219.69999999999982</v>
      </c>
      <c r="W497" s="205">
        <v>84.52</v>
      </c>
      <c r="X497" s="203">
        <v>54260</v>
      </c>
      <c r="Y497" s="204">
        <v>16.91</v>
      </c>
      <c r="Z497" s="202" t="s">
        <v>97</v>
      </c>
      <c r="AA497" s="202"/>
      <c r="AB497" s="202">
        <v>120717</v>
      </c>
      <c r="AC497" s="202"/>
      <c r="AD497" s="202" t="s">
        <v>1152</v>
      </c>
      <c r="AE497" s="202" t="s">
        <v>1153</v>
      </c>
      <c r="AF497" s="203" t="s">
        <v>1154</v>
      </c>
      <c r="AG497" s="202"/>
      <c r="AH497" s="203" t="s">
        <v>1155</v>
      </c>
      <c r="AI497" s="202">
        <v>0</v>
      </c>
      <c r="AJ497" s="202">
        <v>0</v>
      </c>
    </row>
    <row r="498" spans="2:36">
      <c r="B498" s="203">
        <v>2180</v>
      </c>
      <c r="C498" s="207">
        <v>133568</v>
      </c>
      <c r="D498" s="203" t="s">
        <v>97</v>
      </c>
      <c r="E498" s="202" t="s">
        <v>2446</v>
      </c>
      <c r="F498" s="203">
        <v>36</v>
      </c>
      <c r="G498" s="202"/>
      <c r="H498" s="202"/>
      <c r="I498" s="202"/>
      <c r="J498" s="202">
        <v>0</v>
      </c>
      <c r="K498" s="202" t="s">
        <v>2445</v>
      </c>
      <c r="L498" s="202"/>
      <c r="M498" s="202" t="s">
        <v>1558</v>
      </c>
      <c r="N498" s="206">
        <v>42534</v>
      </c>
      <c r="O498" s="206">
        <v>42534</v>
      </c>
      <c r="P498" s="202" t="s">
        <v>2423</v>
      </c>
      <c r="Q498" s="203">
        <v>700</v>
      </c>
      <c r="R498" s="203">
        <v>14050</v>
      </c>
      <c r="S498" s="204">
        <v>24382.080000000002</v>
      </c>
      <c r="T498" s="203">
        <v>14056</v>
      </c>
      <c r="U498" s="204">
        <v>20898.96</v>
      </c>
      <c r="V498" s="204">
        <f t="shared" si="19"/>
        <v>3483.1200000000026</v>
      </c>
      <c r="W498" s="205">
        <v>1451.32</v>
      </c>
      <c r="X498" s="203">
        <v>54260</v>
      </c>
      <c r="Y498" s="204">
        <v>290.27</v>
      </c>
      <c r="Z498" s="202" t="s">
        <v>97</v>
      </c>
      <c r="AA498" s="202"/>
      <c r="AB498" s="202" t="s">
        <v>2444</v>
      </c>
      <c r="AC498" s="202"/>
      <c r="AD498" s="202" t="s">
        <v>1152</v>
      </c>
      <c r="AE498" s="202" t="s">
        <v>1153</v>
      </c>
      <c r="AF498" s="203" t="s">
        <v>1154</v>
      </c>
      <c r="AG498" s="202"/>
      <c r="AH498" s="203" t="s">
        <v>1155</v>
      </c>
      <c r="AI498" s="202">
        <v>0</v>
      </c>
      <c r="AJ498" s="202">
        <v>0</v>
      </c>
    </row>
    <row r="499" spans="2:36">
      <c r="B499" s="203">
        <v>2180</v>
      </c>
      <c r="C499" s="207">
        <v>133567</v>
      </c>
      <c r="D499" s="203" t="s">
        <v>97</v>
      </c>
      <c r="E499" s="202" t="s">
        <v>2443</v>
      </c>
      <c r="F499" s="203">
        <v>12</v>
      </c>
      <c r="G499" s="202"/>
      <c r="H499" s="202"/>
      <c r="I499" s="202"/>
      <c r="J499" s="202">
        <v>0</v>
      </c>
      <c r="K499" s="202" t="s">
        <v>1574</v>
      </c>
      <c r="L499" s="202"/>
      <c r="M499" s="202" t="s">
        <v>1462</v>
      </c>
      <c r="N499" s="206">
        <v>42537</v>
      </c>
      <c r="O499" s="206">
        <v>42537</v>
      </c>
      <c r="P499" s="202" t="s">
        <v>2423</v>
      </c>
      <c r="Q499" s="203">
        <v>700</v>
      </c>
      <c r="R499" s="203">
        <v>14050</v>
      </c>
      <c r="S499" s="204">
        <v>5679.36</v>
      </c>
      <c r="T499" s="203">
        <v>14056</v>
      </c>
      <c r="U499" s="204">
        <v>4800.43</v>
      </c>
      <c r="V499" s="204">
        <f t="shared" si="19"/>
        <v>878.92999999999938</v>
      </c>
      <c r="W499" s="205">
        <v>338.06</v>
      </c>
      <c r="X499" s="203">
        <v>54260</v>
      </c>
      <c r="Y499" s="204">
        <v>67.61</v>
      </c>
      <c r="Z499" s="202" t="s">
        <v>97</v>
      </c>
      <c r="AA499" s="202"/>
      <c r="AB499" s="202">
        <v>120705</v>
      </c>
      <c r="AC499" s="202"/>
      <c r="AD499" s="202" t="s">
        <v>1152</v>
      </c>
      <c r="AE499" s="202" t="s">
        <v>1153</v>
      </c>
      <c r="AF499" s="203" t="s">
        <v>1154</v>
      </c>
      <c r="AG499" s="202"/>
      <c r="AH499" s="203" t="s">
        <v>1155</v>
      </c>
      <c r="AI499" s="202">
        <v>0</v>
      </c>
      <c r="AJ499" s="202">
        <v>0</v>
      </c>
    </row>
    <row r="500" spans="2:36">
      <c r="B500" s="203">
        <v>2180</v>
      </c>
      <c r="C500" s="207">
        <v>133441</v>
      </c>
      <c r="D500" s="203" t="s">
        <v>97</v>
      </c>
      <c r="E500" s="202" t="s">
        <v>2442</v>
      </c>
      <c r="F500" s="203"/>
      <c r="G500" s="202"/>
      <c r="H500" s="202" t="s">
        <v>2441</v>
      </c>
      <c r="I500" s="202"/>
      <c r="J500" s="202">
        <v>2016</v>
      </c>
      <c r="K500" s="202" t="s">
        <v>2290</v>
      </c>
      <c r="L500" s="202" t="s">
        <v>2440</v>
      </c>
      <c r="M500" s="202" t="s">
        <v>1999</v>
      </c>
      <c r="N500" s="206">
        <v>42551</v>
      </c>
      <c r="O500" s="206">
        <v>42551</v>
      </c>
      <c r="P500" s="202" t="s">
        <v>2439</v>
      </c>
      <c r="Q500" s="203">
        <v>1000</v>
      </c>
      <c r="R500" s="203">
        <v>14040</v>
      </c>
      <c r="S500" s="204">
        <v>315919.88</v>
      </c>
      <c r="T500" s="203">
        <v>14046</v>
      </c>
      <c r="U500" s="204">
        <v>186919.27</v>
      </c>
      <c r="V500" s="204">
        <f t="shared" si="19"/>
        <v>129000.61000000002</v>
      </c>
      <c r="W500" s="205">
        <v>13163.33</v>
      </c>
      <c r="X500" s="203">
        <v>51260</v>
      </c>
      <c r="Y500" s="204">
        <v>2632.67</v>
      </c>
      <c r="Z500" s="202" t="s">
        <v>97</v>
      </c>
      <c r="AA500" s="202"/>
      <c r="AB500" s="202" t="s">
        <v>2438</v>
      </c>
      <c r="AC500" s="202">
        <v>2045</v>
      </c>
      <c r="AD500" s="202" t="s">
        <v>1152</v>
      </c>
      <c r="AE500" s="202" t="s">
        <v>1153</v>
      </c>
      <c r="AF500" s="203" t="s">
        <v>1154</v>
      </c>
      <c r="AG500" s="202"/>
      <c r="AH500" s="203" t="s">
        <v>1155</v>
      </c>
      <c r="AI500" s="202">
        <v>0</v>
      </c>
      <c r="AJ500" s="202">
        <v>0</v>
      </c>
    </row>
    <row r="501" spans="2:36">
      <c r="B501" s="203">
        <v>2180</v>
      </c>
      <c r="C501" s="207">
        <v>133406</v>
      </c>
      <c r="D501" s="203" t="s">
        <v>97</v>
      </c>
      <c r="E501" s="202" t="s">
        <v>2359</v>
      </c>
      <c r="F501" s="203">
        <v>549</v>
      </c>
      <c r="G501" s="202"/>
      <c r="H501" s="202"/>
      <c r="I501" s="202"/>
      <c r="J501" s="202">
        <v>0</v>
      </c>
      <c r="K501" s="202" t="s">
        <v>2165</v>
      </c>
      <c r="L501" s="202"/>
      <c r="M501" s="202"/>
      <c r="N501" s="206">
        <v>42527</v>
      </c>
      <c r="O501" s="206">
        <v>42527</v>
      </c>
      <c r="P501" s="202" t="s">
        <v>2437</v>
      </c>
      <c r="Q501" s="203">
        <v>700</v>
      </c>
      <c r="R501" s="203">
        <v>14050</v>
      </c>
      <c r="S501" s="204">
        <v>27028.37</v>
      </c>
      <c r="T501" s="203">
        <v>14056</v>
      </c>
      <c r="U501" s="204">
        <v>23167.200000000001</v>
      </c>
      <c r="V501" s="204">
        <f t="shared" si="19"/>
        <v>3861.1699999999983</v>
      </c>
      <c r="W501" s="205">
        <v>1608.83</v>
      </c>
      <c r="X501" s="203">
        <v>54260</v>
      </c>
      <c r="Y501" s="204">
        <v>321.76</v>
      </c>
      <c r="Z501" s="202" t="s">
        <v>97</v>
      </c>
      <c r="AA501" s="202"/>
      <c r="AB501" s="202" t="s">
        <v>2436</v>
      </c>
      <c r="AC501" s="202"/>
      <c r="AD501" s="202" t="s">
        <v>1152</v>
      </c>
      <c r="AE501" s="202" t="s">
        <v>1153</v>
      </c>
      <c r="AF501" s="203" t="s">
        <v>1154</v>
      </c>
      <c r="AG501" s="202"/>
      <c r="AH501" s="203" t="s">
        <v>1155</v>
      </c>
      <c r="AI501" s="202">
        <v>0</v>
      </c>
      <c r="AJ501" s="202">
        <v>0</v>
      </c>
    </row>
    <row r="502" spans="2:36">
      <c r="B502" s="203">
        <v>2180</v>
      </c>
      <c r="C502" s="207">
        <v>133364</v>
      </c>
      <c r="D502" s="203" t="s">
        <v>97</v>
      </c>
      <c r="E502" s="202" t="s">
        <v>2435</v>
      </c>
      <c r="F502" s="203">
        <v>3</v>
      </c>
      <c r="G502" s="202"/>
      <c r="H502" s="202"/>
      <c r="I502" s="202"/>
      <c r="J502" s="202">
        <v>0</v>
      </c>
      <c r="K502" s="202" t="s">
        <v>1658</v>
      </c>
      <c r="L502" s="202"/>
      <c r="M502" s="202" t="s">
        <v>1421</v>
      </c>
      <c r="N502" s="206">
        <v>42503</v>
      </c>
      <c r="O502" s="206">
        <v>42503</v>
      </c>
      <c r="P502" s="202" t="s">
        <v>2423</v>
      </c>
      <c r="Q502" s="203">
        <v>700</v>
      </c>
      <c r="R502" s="203">
        <v>14050</v>
      </c>
      <c r="S502" s="204">
        <v>1715.95</v>
      </c>
      <c r="T502" s="203">
        <v>14056</v>
      </c>
      <c r="U502" s="204">
        <v>1491.26</v>
      </c>
      <c r="V502" s="204">
        <f t="shared" si="19"/>
        <v>224.69000000000005</v>
      </c>
      <c r="W502" s="205">
        <v>102.14</v>
      </c>
      <c r="X502" s="203">
        <v>54260</v>
      </c>
      <c r="Y502" s="204">
        <v>20.43</v>
      </c>
      <c r="Z502" s="202" t="s">
        <v>97</v>
      </c>
      <c r="AA502" s="202"/>
      <c r="AB502" s="202" t="s">
        <v>2434</v>
      </c>
      <c r="AC502" s="202"/>
      <c r="AD502" s="202" t="s">
        <v>1152</v>
      </c>
      <c r="AE502" s="202" t="s">
        <v>1153</v>
      </c>
      <c r="AF502" s="203" t="s">
        <v>1154</v>
      </c>
      <c r="AG502" s="202"/>
      <c r="AH502" s="203" t="s">
        <v>1155</v>
      </c>
      <c r="AI502" s="202">
        <v>0</v>
      </c>
      <c r="AJ502" s="202">
        <v>0</v>
      </c>
    </row>
    <row r="503" spans="2:36">
      <c r="B503" s="203">
        <v>2180</v>
      </c>
      <c r="C503" s="207">
        <v>133363</v>
      </c>
      <c r="D503" s="203" t="s">
        <v>97</v>
      </c>
      <c r="E503" s="202" t="s">
        <v>2433</v>
      </c>
      <c r="F503" s="203">
        <v>38</v>
      </c>
      <c r="G503" s="202"/>
      <c r="H503" s="202"/>
      <c r="I503" s="202"/>
      <c r="J503" s="202">
        <v>0</v>
      </c>
      <c r="K503" s="202" t="s">
        <v>1658</v>
      </c>
      <c r="L503" s="202"/>
      <c r="M503" s="202" t="s">
        <v>1582</v>
      </c>
      <c r="N503" s="206">
        <v>42516</v>
      </c>
      <c r="O503" s="206">
        <v>42516</v>
      </c>
      <c r="P503" s="202" t="s">
        <v>2423</v>
      </c>
      <c r="Q503" s="203">
        <v>700</v>
      </c>
      <c r="R503" s="203">
        <v>14050</v>
      </c>
      <c r="S503" s="204">
        <v>30292.639999999999</v>
      </c>
      <c r="T503" s="203">
        <v>14056</v>
      </c>
      <c r="U503" s="204">
        <v>25965.119999999999</v>
      </c>
      <c r="V503" s="204">
        <f t="shared" si="19"/>
        <v>4327.5200000000004</v>
      </c>
      <c r="W503" s="205">
        <v>1803.13</v>
      </c>
      <c r="X503" s="203">
        <v>54260</v>
      </c>
      <c r="Y503" s="204">
        <v>360.62</v>
      </c>
      <c r="Z503" s="202" t="s">
        <v>97</v>
      </c>
      <c r="AA503" s="202"/>
      <c r="AB503" s="202" t="s">
        <v>2432</v>
      </c>
      <c r="AC503" s="202"/>
      <c r="AD503" s="202" t="s">
        <v>1152</v>
      </c>
      <c r="AE503" s="202" t="s">
        <v>1153</v>
      </c>
      <c r="AF503" s="203" t="s">
        <v>1154</v>
      </c>
      <c r="AG503" s="202"/>
      <c r="AH503" s="203" t="s">
        <v>1155</v>
      </c>
      <c r="AI503" s="202">
        <v>0</v>
      </c>
      <c r="AJ503" s="202">
        <v>0</v>
      </c>
    </row>
    <row r="504" spans="2:36">
      <c r="B504" s="203">
        <v>2180</v>
      </c>
      <c r="C504" s="207">
        <v>133011</v>
      </c>
      <c r="D504" s="203" t="s">
        <v>97</v>
      </c>
      <c r="E504" s="202" t="s">
        <v>2431</v>
      </c>
      <c r="F504" s="203"/>
      <c r="G504" s="202"/>
      <c r="H504" s="202"/>
      <c r="I504" s="202"/>
      <c r="J504" s="202">
        <v>0</v>
      </c>
      <c r="K504" s="202" t="s">
        <v>1585</v>
      </c>
      <c r="L504" s="202"/>
      <c r="M504" s="202"/>
      <c r="N504" s="206">
        <v>42489</v>
      </c>
      <c r="O504" s="206">
        <v>42489</v>
      </c>
      <c r="P504" s="202" t="s">
        <v>2430</v>
      </c>
      <c r="Q504" s="203">
        <v>500</v>
      </c>
      <c r="R504" s="203">
        <v>14070</v>
      </c>
      <c r="S504" s="204">
        <v>16000</v>
      </c>
      <c r="T504" s="203">
        <v>14076</v>
      </c>
      <c r="U504" s="204">
        <v>16000</v>
      </c>
      <c r="V504" s="204">
        <f t="shared" si="19"/>
        <v>0</v>
      </c>
      <c r="W504" s="205">
        <v>0</v>
      </c>
      <c r="X504" s="203">
        <v>51260</v>
      </c>
      <c r="Y504" s="204">
        <v>0</v>
      </c>
      <c r="Z504" s="202" t="s">
        <v>97</v>
      </c>
      <c r="AA504" s="202"/>
      <c r="AB504" s="202">
        <v>913798789</v>
      </c>
      <c r="AC504" s="202"/>
      <c r="AD504" s="202" t="s">
        <v>1152</v>
      </c>
      <c r="AE504" s="202" t="s">
        <v>1153</v>
      </c>
      <c r="AF504" s="203" t="s">
        <v>1154</v>
      </c>
      <c r="AG504" s="202"/>
      <c r="AH504" s="203" t="s">
        <v>1155</v>
      </c>
      <c r="AI504" s="202">
        <v>0</v>
      </c>
      <c r="AJ504" s="202">
        <v>0</v>
      </c>
    </row>
    <row r="505" spans="2:36">
      <c r="B505" s="203">
        <v>2180</v>
      </c>
      <c r="C505" s="207">
        <v>132892</v>
      </c>
      <c r="D505" s="203" t="s">
        <v>97</v>
      </c>
      <c r="E505" s="202" t="s">
        <v>2429</v>
      </c>
      <c r="F505" s="203">
        <v>1008</v>
      </c>
      <c r="G505" s="202"/>
      <c r="H505" s="202"/>
      <c r="I505" s="202"/>
      <c r="J505" s="202">
        <v>0</v>
      </c>
      <c r="K505" s="202" t="s">
        <v>2315</v>
      </c>
      <c r="L505" s="202"/>
      <c r="M505" s="202"/>
      <c r="N505" s="206">
        <v>42471</v>
      </c>
      <c r="O505" s="206">
        <v>42471</v>
      </c>
      <c r="P505" s="202" t="s">
        <v>2428</v>
      </c>
      <c r="Q505" s="203">
        <v>700</v>
      </c>
      <c r="R505" s="203">
        <v>14050</v>
      </c>
      <c r="S505" s="204">
        <v>51665.81</v>
      </c>
      <c r="T505" s="203">
        <v>14056</v>
      </c>
      <c r="U505" s="204">
        <v>45515.12</v>
      </c>
      <c r="V505" s="204">
        <f t="shared" si="19"/>
        <v>6150.6899999999951</v>
      </c>
      <c r="W505" s="205">
        <v>3075.35</v>
      </c>
      <c r="X505" s="203">
        <v>54260</v>
      </c>
      <c r="Y505" s="204">
        <v>615.07000000000005</v>
      </c>
      <c r="Z505" s="202" t="s">
        <v>97</v>
      </c>
      <c r="AA505" s="202"/>
      <c r="AB505" s="202">
        <v>5343072</v>
      </c>
      <c r="AC505" s="202"/>
      <c r="AD505" s="202" t="s">
        <v>1152</v>
      </c>
      <c r="AE505" s="202" t="s">
        <v>1153</v>
      </c>
      <c r="AF505" s="203" t="s">
        <v>1154</v>
      </c>
      <c r="AG505" s="202"/>
      <c r="AH505" s="203" t="s">
        <v>1155</v>
      </c>
      <c r="AI505" s="202">
        <v>0</v>
      </c>
      <c r="AJ505" s="202">
        <v>0</v>
      </c>
    </row>
    <row r="506" spans="2:36">
      <c r="B506" s="203">
        <v>2180</v>
      </c>
      <c r="C506" s="207">
        <v>132891</v>
      </c>
      <c r="D506" s="203" t="s">
        <v>97</v>
      </c>
      <c r="E506" s="202" t="s">
        <v>2427</v>
      </c>
      <c r="F506" s="203">
        <v>16</v>
      </c>
      <c r="G506" s="202"/>
      <c r="H506" s="202"/>
      <c r="I506" s="202"/>
      <c r="J506" s="202">
        <v>0</v>
      </c>
      <c r="K506" s="202" t="s">
        <v>1658</v>
      </c>
      <c r="L506" s="202"/>
      <c r="M506" s="202" t="s">
        <v>2382</v>
      </c>
      <c r="N506" s="206">
        <v>42490</v>
      </c>
      <c r="O506" s="206">
        <v>42490</v>
      </c>
      <c r="P506" s="202" t="s">
        <v>2423</v>
      </c>
      <c r="Q506" s="203">
        <v>700</v>
      </c>
      <c r="R506" s="203">
        <v>14050</v>
      </c>
      <c r="S506" s="204">
        <v>18430.72</v>
      </c>
      <c r="T506" s="203">
        <v>14056</v>
      </c>
      <c r="U506" s="204">
        <v>16017.18</v>
      </c>
      <c r="V506" s="204">
        <f t="shared" si="19"/>
        <v>2413.5400000000009</v>
      </c>
      <c r="W506" s="205">
        <v>1097.07</v>
      </c>
      <c r="X506" s="203">
        <v>54260</v>
      </c>
      <c r="Y506" s="204">
        <v>219.42</v>
      </c>
      <c r="Z506" s="202" t="s">
        <v>97</v>
      </c>
      <c r="AA506" s="202"/>
      <c r="AB506" s="202" t="s">
        <v>2426</v>
      </c>
      <c r="AC506" s="202"/>
      <c r="AD506" s="202" t="s">
        <v>1152</v>
      </c>
      <c r="AE506" s="202" t="s">
        <v>1153</v>
      </c>
      <c r="AF506" s="203" t="s">
        <v>1154</v>
      </c>
      <c r="AG506" s="202"/>
      <c r="AH506" s="203" t="s">
        <v>1155</v>
      </c>
      <c r="AI506" s="202">
        <v>0</v>
      </c>
      <c r="AJ506" s="202">
        <v>0</v>
      </c>
    </row>
    <row r="507" spans="2:36">
      <c r="B507" s="203">
        <v>2180</v>
      </c>
      <c r="C507" s="207">
        <v>132890</v>
      </c>
      <c r="D507" s="203" t="s">
        <v>97</v>
      </c>
      <c r="E507" s="202" t="s">
        <v>2425</v>
      </c>
      <c r="F507" s="203">
        <v>2</v>
      </c>
      <c r="G507" s="202"/>
      <c r="H507" s="202"/>
      <c r="I507" s="202"/>
      <c r="J507" s="202">
        <v>0</v>
      </c>
      <c r="K507" s="202" t="s">
        <v>1658</v>
      </c>
      <c r="L507" s="202"/>
      <c r="M507" s="202" t="s">
        <v>1582</v>
      </c>
      <c r="N507" s="206">
        <v>42498</v>
      </c>
      <c r="O507" s="206">
        <v>42498</v>
      </c>
      <c r="P507" s="202" t="s">
        <v>2423</v>
      </c>
      <c r="Q507" s="203">
        <v>700</v>
      </c>
      <c r="R507" s="203">
        <v>14050</v>
      </c>
      <c r="S507" s="204">
        <v>1585.76</v>
      </c>
      <c r="T507" s="203">
        <v>14056</v>
      </c>
      <c r="U507" s="204">
        <v>1378.12</v>
      </c>
      <c r="V507" s="204">
        <f t="shared" si="19"/>
        <v>207.6400000000001</v>
      </c>
      <c r="W507" s="205">
        <v>94.39</v>
      </c>
      <c r="X507" s="203">
        <v>54260</v>
      </c>
      <c r="Y507" s="204">
        <v>18.88</v>
      </c>
      <c r="Z507" s="202" t="s">
        <v>97</v>
      </c>
      <c r="AA507" s="202"/>
      <c r="AB507" s="202" t="s">
        <v>2424</v>
      </c>
      <c r="AC507" s="202"/>
      <c r="AD507" s="202" t="s">
        <v>1152</v>
      </c>
      <c r="AE507" s="202" t="s">
        <v>1153</v>
      </c>
      <c r="AF507" s="203" t="s">
        <v>1154</v>
      </c>
      <c r="AG507" s="202"/>
      <c r="AH507" s="203" t="s">
        <v>1155</v>
      </c>
      <c r="AI507" s="202">
        <v>0</v>
      </c>
      <c r="AJ507" s="202">
        <v>0</v>
      </c>
    </row>
    <row r="508" spans="2:36">
      <c r="B508" s="203">
        <v>2180</v>
      </c>
      <c r="C508" s="207">
        <v>132889</v>
      </c>
      <c r="D508" s="203" t="s">
        <v>97</v>
      </c>
      <c r="E508" s="202" t="s">
        <v>2401</v>
      </c>
      <c r="F508" s="203">
        <v>39</v>
      </c>
      <c r="G508" s="202"/>
      <c r="H508" s="202"/>
      <c r="I508" s="202"/>
      <c r="J508" s="202">
        <v>0</v>
      </c>
      <c r="K508" s="202" t="s">
        <v>1658</v>
      </c>
      <c r="L508" s="202"/>
      <c r="M508" s="202" t="s">
        <v>1555</v>
      </c>
      <c r="N508" s="206">
        <v>42498</v>
      </c>
      <c r="O508" s="206">
        <v>42498</v>
      </c>
      <c r="P508" s="202" t="s">
        <v>2423</v>
      </c>
      <c r="Q508" s="203">
        <v>700</v>
      </c>
      <c r="R508" s="203">
        <v>14050</v>
      </c>
      <c r="S508" s="204">
        <v>22307.26</v>
      </c>
      <c r="T508" s="203">
        <v>14056</v>
      </c>
      <c r="U508" s="204">
        <v>19386.060000000001</v>
      </c>
      <c r="V508" s="204">
        <f t="shared" si="19"/>
        <v>2921.1999999999971</v>
      </c>
      <c r="W508" s="205">
        <v>1327.81</v>
      </c>
      <c r="X508" s="203">
        <v>54260</v>
      </c>
      <c r="Y508" s="204">
        <v>265.56</v>
      </c>
      <c r="Z508" s="202" t="s">
        <v>97</v>
      </c>
      <c r="AA508" s="202"/>
      <c r="AB508" s="202" t="s">
        <v>2422</v>
      </c>
      <c r="AC508" s="202"/>
      <c r="AD508" s="202" t="s">
        <v>1152</v>
      </c>
      <c r="AE508" s="202" t="s">
        <v>1153</v>
      </c>
      <c r="AF508" s="203" t="s">
        <v>1154</v>
      </c>
      <c r="AG508" s="202"/>
      <c r="AH508" s="203" t="s">
        <v>1155</v>
      </c>
      <c r="AI508" s="202">
        <v>0</v>
      </c>
      <c r="AJ508" s="202">
        <v>0</v>
      </c>
    </row>
    <row r="509" spans="2:36">
      <c r="B509" s="203">
        <v>2180</v>
      </c>
      <c r="C509" s="207">
        <v>132590</v>
      </c>
      <c r="D509" s="203" t="s">
        <v>97</v>
      </c>
      <c r="E509" s="202" t="s">
        <v>2421</v>
      </c>
      <c r="F509" s="203">
        <v>556</v>
      </c>
      <c r="G509" s="202"/>
      <c r="H509" s="202"/>
      <c r="I509" s="202"/>
      <c r="J509" s="202">
        <v>0</v>
      </c>
      <c r="K509" s="202" t="s">
        <v>2315</v>
      </c>
      <c r="L509" s="202"/>
      <c r="M509" s="202"/>
      <c r="N509" s="206">
        <v>42451</v>
      </c>
      <c r="O509" s="206">
        <v>42451</v>
      </c>
      <c r="P509" s="202" t="s">
        <v>2407</v>
      </c>
      <c r="Q509" s="203">
        <v>700</v>
      </c>
      <c r="R509" s="203">
        <v>14050</v>
      </c>
      <c r="S509" s="204">
        <v>25010.16</v>
      </c>
      <c r="T509" s="203">
        <v>14056</v>
      </c>
      <c r="U509" s="204">
        <v>22032.76</v>
      </c>
      <c r="V509" s="204">
        <f t="shared" si="19"/>
        <v>2977.4000000000015</v>
      </c>
      <c r="W509" s="205">
        <v>1488.7</v>
      </c>
      <c r="X509" s="203">
        <v>54260</v>
      </c>
      <c r="Y509" s="204">
        <v>297.74</v>
      </c>
      <c r="Z509" s="202" t="s">
        <v>97</v>
      </c>
      <c r="AA509" s="202"/>
      <c r="AB509" s="202">
        <v>5342808</v>
      </c>
      <c r="AC509" s="202"/>
      <c r="AD509" s="202" t="s">
        <v>1152</v>
      </c>
      <c r="AE509" s="202" t="s">
        <v>1153</v>
      </c>
      <c r="AF509" s="203" t="s">
        <v>1154</v>
      </c>
      <c r="AG509" s="202"/>
      <c r="AH509" s="203" t="s">
        <v>1155</v>
      </c>
      <c r="AI509" s="202">
        <v>0</v>
      </c>
      <c r="AJ509" s="202">
        <v>0</v>
      </c>
    </row>
    <row r="510" spans="2:36">
      <c r="B510" s="203">
        <v>2180</v>
      </c>
      <c r="C510" s="207">
        <v>132589</v>
      </c>
      <c r="D510" s="203" t="s">
        <v>97</v>
      </c>
      <c r="E510" s="202" t="s">
        <v>2421</v>
      </c>
      <c r="F510" s="203">
        <v>884</v>
      </c>
      <c r="G510" s="202"/>
      <c r="H510" s="202"/>
      <c r="I510" s="202"/>
      <c r="J510" s="202">
        <v>0</v>
      </c>
      <c r="K510" s="202" t="s">
        <v>2315</v>
      </c>
      <c r="L510" s="202"/>
      <c r="M510" s="202"/>
      <c r="N510" s="206">
        <v>42451</v>
      </c>
      <c r="O510" s="206">
        <v>42451</v>
      </c>
      <c r="P510" s="202" t="s">
        <v>2409</v>
      </c>
      <c r="Q510" s="203">
        <v>700</v>
      </c>
      <c r="R510" s="203">
        <v>14050</v>
      </c>
      <c r="S510" s="204">
        <v>39802</v>
      </c>
      <c r="T510" s="203">
        <v>14056</v>
      </c>
      <c r="U510" s="204">
        <v>35063.67</v>
      </c>
      <c r="V510" s="204">
        <f t="shared" si="19"/>
        <v>4738.3300000000017</v>
      </c>
      <c r="W510" s="205">
        <v>2369.17</v>
      </c>
      <c r="X510" s="203">
        <v>54260</v>
      </c>
      <c r="Y510" s="204">
        <v>473.84</v>
      </c>
      <c r="Z510" s="202" t="s">
        <v>97</v>
      </c>
      <c r="AA510" s="202"/>
      <c r="AB510" s="202">
        <v>5342808</v>
      </c>
      <c r="AC510" s="202"/>
      <c r="AD510" s="202" t="s">
        <v>1152</v>
      </c>
      <c r="AE510" s="202" t="s">
        <v>1153</v>
      </c>
      <c r="AF510" s="203" t="s">
        <v>1154</v>
      </c>
      <c r="AG510" s="202"/>
      <c r="AH510" s="203" t="s">
        <v>1155</v>
      </c>
      <c r="AI510" s="202">
        <v>0</v>
      </c>
      <c r="AJ510" s="202">
        <v>0</v>
      </c>
    </row>
    <row r="511" spans="2:36">
      <c r="B511" s="203">
        <v>2180</v>
      </c>
      <c r="C511" s="207">
        <v>132079</v>
      </c>
      <c r="D511" s="203" t="s">
        <v>97</v>
      </c>
      <c r="E511" s="202" t="s">
        <v>2292</v>
      </c>
      <c r="F511" s="203"/>
      <c r="G511" s="202"/>
      <c r="H511" s="202" t="s">
        <v>2420</v>
      </c>
      <c r="I511" s="202"/>
      <c r="J511" s="202">
        <v>2016</v>
      </c>
      <c r="K511" s="202" t="s">
        <v>2290</v>
      </c>
      <c r="L511" s="202" t="s">
        <v>2413</v>
      </c>
      <c r="M511" s="202" t="s">
        <v>1404</v>
      </c>
      <c r="N511" s="206">
        <v>42480</v>
      </c>
      <c r="O511" s="206">
        <v>42480</v>
      </c>
      <c r="P511" s="202" t="s">
        <v>2419</v>
      </c>
      <c r="Q511" s="203">
        <v>1000</v>
      </c>
      <c r="R511" s="203">
        <v>14040</v>
      </c>
      <c r="S511" s="204">
        <v>337626.52</v>
      </c>
      <c r="T511" s="203">
        <v>14046</v>
      </c>
      <c r="U511" s="204">
        <v>205389.46</v>
      </c>
      <c r="V511" s="204">
        <f t="shared" si="19"/>
        <v>132237.06000000003</v>
      </c>
      <c r="W511" s="205">
        <v>14067.77</v>
      </c>
      <c r="X511" s="203">
        <v>51260</v>
      </c>
      <c r="Y511" s="204">
        <v>2813.55</v>
      </c>
      <c r="Z511" s="202" t="s">
        <v>97</v>
      </c>
      <c r="AA511" s="202"/>
      <c r="AB511" s="202" t="s">
        <v>2418</v>
      </c>
      <c r="AC511" s="202">
        <v>3651</v>
      </c>
      <c r="AD511" s="202" t="s">
        <v>1152</v>
      </c>
      <c r="AE511" s="202" t="s">
        <v>1153</v>
      </c>
      <c r="AF511" s="203" t="s">
        <v>1154</v>
      </c>
      <c r="AG511" s="202"/>
      <c r="AH511" s="203" t="s">
        <v>1155</v>
      </c>
      <c r="AI511" s="202">
        <v>0</v>
      </c>
      <c r="AJ511" s="202">
        <v>0</v>
      </c>
    </row>
    <row r="512" spans="2:36">
      <c r="B512" s="203">
        <v>2180</v>
      </c>
      <c r="C512" s="207">
        <v>132078</v>
      </c>
      <c r="D512" s="203" t="s">
        <v>97</v>
      </c>
      <c r="E512" s="202" t="s">
        <v>2292</v>
      </c>
      <c r="F512" s="203"/>
      <c r="G512" s="202"/>
      <c r="H512" s="202" t="s">
        <v>2417</v>
      </c>
      <c r="I512" s="202"/>
      <c r="J512" s="202">
        <v>2016</v>
      </c>
      <c r="K512" s="202" t="s">
        <v>2290</v>
      </c>
      <c r="L512" s="202" t="s">
        <v>2413</v>
      </c>
      <c r="M512" s="202" t="s">
        <v>1404</v>
      </c>
      <c r="N512" s="206">
        <v>42480</v>
      </c>
      <c r="O512" s="206">
        <v>42480</v>
      </c>
      <c r="P512" s="202" t="s">
        <v>2416</v>
      </c>
      <c r="Q512" s="203">
        <v>1000</v>
      </c>
      <c r="R512" s="203">
        <v>14040</v>
      </c>
      <c r="S512" s="204">
        <v>336680.5</v>
      </c>
      <c r="T512" s="203">
        <v>14046</v>
      </c>
      <c r="U512" s="204">
        <v>204813.97</v>
      </c>
      <c r="V512" s="204">
        <f t="shared" si="19"/>
        <v>131866.53</v>
      </c>
      <c r="W512" s="205">
        <v>14028.35</v>
      </c>
      <c r="X512" s="203">
        <v>51260</v>
      </c>
      <c r="Y512" s="204">
        <v>2805.67</v>
      </c>
      <c r="Z512" s="202" t="s">
        <v>97</v>
      </c>
      <c r="AA512" s="202"/>
      <c r="AB512" s="202" t="s">
        <v>2415</v>
      </c>
      <c r="AC512" s="202">
        <v>3652</v>
      </c>
      <c r="AD512" s="202" t="s">
        <v>1152</v>
      </c>
      <c r="AE512" s="202" t="s">
        <v>1153</v>
      </c>
      <c r="AF512" s="203" t="s">
        <v>1154</v>
      </c>
      <c r="AG512" s="202"/>
      <c r="AH512" s="203" t="s">
        <v>1155</v>
      </c>
      <c r="AI512" s="202">
        <v>0</v>
      </c>
      <c r="AJ512" s="202">
        <v>0</v>
      </c>
    </row>
    <row r="513" spans="2:36">
      <c r="B513" s="203">
        <v>2180</v>
      </c>
      <c r="C513" s="207">
        <v>132077</v>
      </c>
      <c r="D513" s="203" t="s">
        <v>97</v>
      </c>
      <c r="E513" s="202" t="s">
        <v>2292</v>
      </c>
      <c r="F513" s="203"/>
      <c r="G513" s="202"/>
      <c r="H513" s="202" t="s">
        <v>2414</v>
      </c>
      <c r="I513" s="202"/>
      <c r="J513" s="202">
        <v>2016</v>
      </c>
      <c r="K513" s="202" t="s">
        <v>2290</v>
      </c>
      <c r="L513" s="202" t="s">
        <v>2413</v>
      </c>
      <c r="M513" s="202" t="s">
        <v>1404</v>
      </c>
      <c r="N513" s="206">
        <v>42480</v>
      </c>
      <c r="O513" s="206">
        <v>42480</v>
      </c>
      <c r="P513" s="202" t="s">
        <v>2412</v>
      </c>
      <c r="Q513" s="203">
        <v>1000</v>
      </c>
      <c r="R513" s="203">
        <v>14040</v>
      </c>
      <c r="S513" s="204">
        <v>339573.74</v>
      </c>
      <c r="T513" s="203">
        <v>14046</v>
      </c>
      <c r="U513" s="204">
        <v>206574</v>
      </c>
      <c r="V513" s="204">
        <f t="shared" si="19"/>
        <v>132999.74</v>
      </c>
      <c r="W513" s="205">
        <v>14148.9</v>
      </c>
      <c r="X513" s="203">
        <v>51260</v>
      </c>
      <c r="Y513" s="204">
        <v>2829.78</v>
      </c>
      <c r="Z513" s="202" t="s">
        <v>97</v>
      </c>
      <c r="AA513" s="202"/>
      <c r="AB513" s="202" t="s">
        <v>2411</v>
      </c>
      <c r="AC513" s="202">
        <v>3650</v>
      </c>
      <c r="AD513" s="202" t="s">
        <v>1152</v>
      </c>
      <c r="AE513" s="202" t="s">
        <v>1153</v>
      </c>
      <c r="AF513" s="203" t="s">
        <v>1154</v>
      </c>
      <c r="AG513" s="202"/>
      <c r="AH513" s="203" t="s">
        <v>1155</v>
      </c>
      <c r="AI513" s="202">
        <v>0</v>
      </c>
      <c r="AJ513" s="202">
        <v>0</v>
      </c>
    </row>
    <row r="514" spans="2:36">
      <c r="B514" s="203">
        <v>2180</v>
      </c>
      <c r="C514" s="207">
        <v>132009</v>
      </c>
      <c r="D514" s="203" t="s">
        <v>97</v>
      </c>
      <c r="E514" s="202" t="s">
        <v>2410</v>
      </c>
      <c r="F514" s="203">
        <v>504</v>
      </c>
      <c r="G514" s="202"/>
      <c r="H514" s="202"/>
      <c r="I514" s="202"/>
      <c r="J514" s="202">
        <v>0</v>
      </c>
      <c r="K514" s="202" t="s">
        <v>2315</v>
      </c>
      <c r="L514" s="202"/>
      <c r="M514" s="202"/>
      <c r="N514" s="206">
        <v>42460</v>
      </c>
      <c r="O514" s="206">
        <v>42460</v>
      </c>
      <c r="P514" s="202" t="s">
        <v>2409</v>
      </c>
      <c r="Q514" s="203">
        <v>700</v>
      </c>
      <c r="R514" s="203">
        <v>14050</v>
      </c>
      <c r="S514" s="204">
        <v>25010.38</v>
      </c>
      <c r="T514" s="203">
        <v>14056</v>
      </c>
      <c r="U514" s="204">
        <v>22032.94</v>
      </c>
      <c r="V514" s="204">
        <f t="shared" si="19"/>
        <v>2977.4400000000023</v>
      </c>
      <c r="W514" s="205">
        <v>1488.71</v>
      </c>
      <c r="X514" s="203">
        <v>54260</v>
      </c>
      <c r="Y514" s="204">
        <v>297.74</v>
      </c>
      <c r="Z514" s="202" t="s">
        <v>97</v>
      </c>
      <c r="AA514" s="202"/>
      <c r="AB514" s="202">
        <v>19713</v>
      </c>
      <c r="AC514" s="202"/>
      <c r="AD514" s="202" t="s">
        <v>1152</v>
      </c>
      <c r="AE514" s="202" t="s">
        <v>1153</v>
      </c>
      <c r="AF514" s="203" t="s">
        <v>1154</v>
      </c>
      <c r="AG514" s="202"/>
      <c r="AH514" s="203" t="s">
        <v>1155</v>
      </c>
      <c r="AI514" s="202">
        <v>0</v>
      </c>
      <c r="AJ514" s="202">
        <v>0</v>
      </c>
    </row>
    <row r="515" spans="2:36">
      <c r="B515" s="203">
        <v>2180</v>
      </c>
      <c r="C515" s="207">
        <v>132008</v>
      </c>
      <c r="D515" s="203" t="s">
        <v>97</v>
      </c>
      <c r="E515" s="202" t="s">
        <v>2408</v>
      </c>
      <c r="F515" s="203">
        <v>504</v>
      </c>
      <c r="G515" s="202"/>
      <c r="H515" s="202"/>
      <c r="I515" s="202"/>
      <c r="J515" s="202">
        <v>0</v>
      </c>
      <c r="K515" s="202" t="s">
        <v>2315</v>
      </c>
      <c r="L515" s="202"/>
      <c r="M515" s="202"/>
      <c r="N515" s="206">
        <v>42460</v>
      </c>
      <c r="O515" s="206">
        <v>42460</v>
      </c>
      <c r="P515" s="202" t="s">
        <v>2407</v>
      </c>
      <c r="Q515" s="203">
        <v>700</v>
      </c>
      <c r="R515" s="203">
        <v>14050</v>
      </c>
      <c r="S515" s="204">
        <v>25010.38</v>
      </c>
      <c r="T515" s="203">
        <v>14056</v>
      </c>
      <c r="U515" s="204">
        <v>22032.94</v>
      </c>
      <c r="V515" s="204">
        <f t="shared" si="19"/>
        <v>2977.4400000000023</v>
      </c>
      <c r="W515" s="205">
        <v>1488.71</v>
      </c>
      <c r="X515" s="203">
        <v>54260</v>
      </c>
      <c r="Y515" s="204">
        <v>297.74</v>
      </c>
      <c r="Z515" s="202" t="s">
        <v>97</v>
      </c>
      <c r="AA515" s="202"/>
      <c r="AB515" s="202">
        <v>19713</v>
      </c>
      <c r="AC515" s="202"/>
      <c r="AD515" s="202" t="s">
        <v>1152</v>
      </c>
      <c r="AE515" s="202" t="s">
        <v>1153</v>
      </c>
      <c r="AF515" s="203" t="s">
        <v>1154</v>
      </c>
      <c r="AG515" s="202"/>
      <c r="AH515" s="203" t="s">
        <v>1155</v>
      </c>
      <c r="AI515" s="202">
        <v>0</v>
      </c>
      <c r="AJ515" s="202">
        <v>0</v>
      </c>
    </row>
    <row r="516" spans="2:36">
      <c r="B516" s="203">
        <v>2180</v>
      </c>
      <c r="C516" s="207">
        <v>132007</v>
      </c>
      <c r="D516" s="203" t="s">
        <v>97</v>
      </c>
      <c r="E516" s="202" t="s">
        <v>2408</v>
      </c>
      <c r="F516" s="203">
        <v>504</v>
      </c>
      <c r="G516" s="202"/>
      <c r="H516" s="202"/>
      <c r="I516" s="202"/>
      <c r="J516" s="202">
        <v>0</v>
      </c>
      <c r="K516" s="202" t="s">
        <v>2315</v>
      </c>
      <c r="L516" s="202"/>
      <c r="M516" s="202"/>
      <c r="N516" s="206">
        <v>42468</v>
      </c>
      <c r="O516" s="206">
        <v>42468</v>
      </c>
      <c r="P516" s="202" t="s">
        <v>2407</v>
      </c>
      <c r="Q516" s="203">
        <v>700</v>
      </c>
      <c r="R516" s="203">
        <v>14050</v>
      </c>
      <c r="S516" s="204">
        <v>25010.39</v>
      </c>
      <c r="T516" s="203">
        <v>14056</v>
      </c>
      <c r="U516" s="204">
        <v>22032.95</v>
      </c>
      <c r="V516" s="204">
        <f t="shared" si="19"/>
        <v>2977.4399999999987</v>
      </c>
      <c r="W516" s="205">
        <v>1488.71</v>
      </c>
      <c r="X516" s="203">
        <v>54260</v>
      </c>
      <c r="Y516" s="204">
        <v>297.74</v>
      </c>
      <c r="Z516" s="202" t="s">
        <v>97</v>
      </c>
      <c r="AA516" s="202"/>
      <c r="AB516" s="202">
        <v>5343051</v>
      </c>
      <c r="AC516" s="202"/>
      <c r="AD516" s="202" t="s">
        <v>1152</v>
      </c>
      <c r="AE516" s="202" t="s">
        <v>1153</v>
      </c>
      <c r="AF516" s="203" t="s">
        <v>1154</v>
      </c>
      <c r="AG516" s="202"/>
      <c r="AH516" s="203" t="s">
        <v>1155</v>
      </c>
      <c r="AI516" s="202">
        <v>0</v>
      </c>
      <c r="AJ516" s="202">
        <v>0</v>
      </c>
    </row>
    <row r="517" spans="2:36">
      <c r="B517" s="203">
        <v>2180</v>
      </c>
      <c r="C517" s="207">
        <v>131778</v>
      </c>
      <c r="D517" s="203" t="s">
        <v>97</v>
      </c>
      <c r="E517" s="202" t="s">
        <v>2399</v>
      </c>
      <c r="F517" s="203">
        <v>864</v>
      </c>
      <c r="G517" s="202"/>
      <c r="H517" s="202"/>
      <c r="I517" s="202"/>
      <c r="J517" s="202">
        <v>0</v>
      </c>
      <c r="K517" s="202" t="s">
        <v>2081</v>
      </c>
      <c r="L517" s="202"/>
      <c r="M517" s="202"/>
      <c r="N517" s="206">
        <v>42418</v>
      </c>
      <c r="O517" s="206">
        <v>42418</v>
      </c>
      <c r="P517" s="202" t="s">
        <v>2398</v>
      </c>
      <c r="Q517" s="203">
        <v>700</v>
      </c>
      <c r="R517" s="203">
        <v>14050</v>
      </c>
      <c r="S517" s="204">
        <v>36644.400000000001</v>
      </c>
      <c r="T517" s="203">
        <v>14056</v>
      </c>
      <c r="U517" s="204">
        <v>32718.25</v>
      </c>
      <c r="V517" s="204">
        <f t="shared" si="19"/>
        <v>3926.1500000000015</v>
      </c>
      <c r="W517" s="205">
        <v>2181.2199999999998</v>
      </c>
      <c r="X517" s="203">
        <v>54260</v>
      </c>
      <c r="Y517" s="204">
        <v>436.25</v>
      </c>
      <c r="Z517" s="202" t="s">
        <v>97</v>
      </c>
      <c r="AA517" s="202"/>
      <c r="AB517" s="202">
        <v>65396951</v>
      </c>
      <c r="AC517" s="202"/>
      <c r="AD517" s="202" t="s">
        <v>1152</v>
      </c>
      <c r="AE517" s="202" t="s">
        <v>1153</v>
      </c>
      <c r="AF517" s="203" t="s">
        <v>1154</v>
      </c>
      <c r="AG517" s="202"/>
      <c r="AH517" s="203" t="s">
        <v>1155</v>
      </c>
      <c r="AI517" s="202">
        <v>0</v>
      </c>
      <c r="AJ517" s="202">
        <v>0</v>
      </c>
    </row>
    <row r="518" spans="2:36">
      <c r="B518" s="203">
        <v>2180</v>
      </c>
      <c r="C518" s="207">
        <v>131755</v>
      </c>
      <c r="D518" s="203" t="s">
        <v>97</v>
      </c>
      <c r="E518" s="202" t="s">
        <v>2343</v>
      </c>
      <c r="F518" s="203">
        <v>624</v>
      </c>
      <c r="G518" s="202"/>
      <c r="H518" s="202"/>
      <c r="I518" s="202"/>
      <c r="J518" s="202">
        <v>0</v>
      </c>
      <c r="K518" s="202" t="s">
        <v>2081</v>
      </c>
      <c r="L518" s="202"/>
      <c r="M518" s="202"/>
      <c r="N518" s="206">
        <v>42427</v>
      </c>
      <c r="O518" s="206">
        <v>42427</v>
      </c>
      <c r="P518" s="202" t="s">
        <v>2396</v>
      </c>
      <c r="Q518" s="203">
        <v>700</v>
      </c>
      <c r="R518" s="203">
        <v>14050</v>
      </c>
      <c r="S518" s="204">
        <v>31260.11</v>
      </c>
      <c r="T518" s="203">
        <v>14056</v>
      </c>
      <c r="U518" s="204">
        <v>27910.81</v>
      </c>
      <c r="V518" s="204">
        <f t="shared" si="19"/>
        <v>3349.2999999999993</v>
      </c>
      <c r="W518" s="205">
        <v>1860.72</v>
      </c>
      <c r="X518" s="203">
        <v>54260</v>
      </c>
      <c r="Y518" s="204">
        <v>372.14</v>
      </c>
      <c r="Z518" s="202" t="s">
        <v>97</v>
      </c>
      <c r="AA518" s="202"/>
      <c r="AB518" s="202">
        <v>65399288</v>
      </c>
      <c r="AC518" s="202"/>
      <c r="AD518" s="202" t="s">
        <v>1152</v>
      </c>
      <c r="AE518" s="202" t="s">
        <v>1153</v>
      </c>
      <c r="AF518" s="203" t="s">
        <v>1154</v>
      </c>
      <c r="AG518" s="202"/>
      <c r="AH518" s="203" t="s">
        <v>1155</v>
      </c>
      <c r="AI518" s="202">
        <v>0</v>
      </c>
      <c r="AJ518" s="202">
        <v>0</v>
      </c>
    </row>
    <row r="519" spans="2:36">
      <c r="B519" s="203">
        <v>2180</v>
      </c>
      <c r="C519" s="207">
        <v>131546</v>
      </c>
      <c r="D519" s="203" t="s">
        <v>97</v>
      </c>
      <c r="E519" s="202" t="s">
        <v>2406</v>
      </c>
      <c r="F519" s="203"/>
      <c r="G519" s="202"/>
      <c r="H519" s="202"/>
      <c r="I519" s="202"/>
      <c r="J519" s="202">
        <v>0</v>
      </c>
      <c r="K519" s="202" t="s">
        <v>1429</v>
      </c>
      <c r="L519" s="202"/>
      <c r="M519" s="202"/>
      <c r="N519" s="206">
        <v>42446</v>
      </c>
      <c r="O519" s="206">
        <v>42446</v>
      </c>
      <c r="P519" s="202" t="s">
        <v>2403</v>
      </c>
      <c r="Q519" s="203">
        <v>300</v>
      </c>
      <c r="R519" s="203">
        <v>14110</v>
      </c>
      <c r="S519" s="204">
        <v>155.91999999999999</v>
      </c>
      <c r="T519" s="203">
        <v>14116</v>
      </c>
      <c r="U519" s="204">
        <v>155.91999999999999</v>
      </c>
      <c r="V519" s="204">
        <f t="shared" si="19"/>
        <v>0</v>
      </c>
      <c r="W519" s="205">
        <v>0</v>
      </c>
      <c r="X519" s="203">
        <v>70260</v>
      </c>
      <c r="Y519" s="204">
        <v>0</v>
      </c>
      <c r="Z519" s="202" t="s">
        <v>97</v>
      </c>
      <c r="AA519" s="202"/>
      <c r="AB519" s="202" t="s">
        <v>2405</v>
      </c>
      <c r="AC519" s="202"/>
      <c r="AD519" s="202" t="s">
        <v>1152</v>
      </c>
      <c r="AE519" s="202" t="s">
        <v>1153</v>
      </c>
      <c r="AF519" s="203" t="s">
        <v>1154</v>
      </c>
      <c r="AG519" s="202"/>
      <c r="AH519" s="203" t="s">
        <v>1155</v>
      </c>
      <c r="AI519" s="202">
        <v>0</v>
      </c>
      <c r="AJ519" s="202">
        <v>0</v>
      </c>
    </row>
    <row r="520" spans="2:36">
      <c r="B520" s="203">
        <v>2180</v>
      </c>
      <c r="C520" s="207">
        <v>131296</v>
      </c>
      <c r="D520" s="203" t="s">
        <v>97</v>
      </c>
      <c r="E520" s="202" t="s">
        <v>2404</v>
      </c>
      <c r="F520" s="203"/>
      <c r="G520" s="202"/>
      <c r="H520" s="202"/>
      <c r="I520" s="202"/>
      <c r="J520" s="202">
        <v>0</v>
      </c>
      <c r="K520" s="202" t="s">
        <v>1429</v>
      </c>
      <c r="L520" s="202"/>
      <c r="M520" s="202"/>
      <c r="N520" s="206">
        <v>42446</v>
      </c>
      <c r="O520" s="206">
        <v>42446</v>
      </c>
      <c r="P520" s="202" t="s">
        <v>2403</v>
      </c>
      <c r="Q520" s="203">
        <v>300</v>
      </c>
      <c r="R520" s="203">
        <v>14110</v>
      </c>
      <c r="S520" s="204">
        <v>980.25</v>
      </c>
      <c r="T520" s="203">
        <v>14116</v>
      </c>
      <c r="U520" s="204">
        <v>980.25</v>
      </c>
      <c r="V520" s="204">
        <f t="shared" si="19"/>
        <v>0</v>
      </c>
      <c r="W520" s="205">
        <v>0</v>
      </c>
      <c r="X520" s="203">
        <v>70260</v>
      </c>
      <c r="Y520" s="204">
        <v>0</v>
      </c>
      <c r="Z520" s="202" t="s">
        <v>97</v>
      </c>
      <c r="AA520" s="202"/>
      <c r="AB520" s="202" t="s">
        <v>2402</v>
      </c>
      <c r="AC520" s="202"/>
      <c r="AD520" s="202" t="s">
        <v>1152</v>
      </c>
      <c r="AE520" s="202" t="s">
        <v>1153</v>
      </c>
      <c r="AF520" s="203" t="s">
        <v>1154</v>
      </c>
      <c r="AG520" s="202"/>
      <c r="AH520" s="203" t="s">
        <v>1155</v>
      </c>
      <c r="AI520" s="202">
        <v>0</v>
      </c>
      <c r="AJ520" s="202">
        <v>0</v>
      </c>
    </row>
    <row r="521" spans="2:36">
      <c r="B521" s="203">
        <v>2180</v>
      </c>
      <c r="C521" s="207">
        <v>130994</v>
      </c>
      <c r="D521" s="203" t="s">
        <v>97</v>
      </c>
      <c r="E521" s="202" t="s">
        <v>2401</v>
      </c>
      <c r="F521" s="203">
        <v>41</v>
      </c>
      <c r="G521" s="202"/>
      <c r="H521" s="202"/>
      <c r="I521" s="202"/>
      <c r="J521" s="202">
        <v>0</v>
      </c>
      <c r="K521" s="202" t="s">
        <v>1658</v>
      </c>
      <c r="L521" s="202"/>
      <c r="M521" s="202" t="s">
        <v>1555</v>
      </c>
      <c r="N521" s="206">
        <v>42370</v>
      </c>
      <c r="O521" s="206">
        <v>42370</v>
      </c>
      <c r="P521" s="202" t="s">
        <v>2352</v>
      </c>
      <c r="Q521" s="203">
        <v>611</v>
      </c>
      <c r="R521" s="203">
        <v>14050</v>
      </c>
      <c r="S521" s="204">
        <v>23454.97</v>
      </c>
      <c r="T521" s="203">
        <v>14056</v>
      </c>
      <c r="U521" s="204">
        <v>21759.43</v>
      </c>
      <c r="V521" s="204">
        <f t="shared" si="19"/>
        <v>1695.5400000000009</v>
      </c>
      <c r="W521" s="205">
        <v>1412.95</v>
      </c>
      <c r="X521" s="203">
        <v>54260</v>
      </c>
      <c r="Y521" s="204">
        <v>282.58999999999997</v>
      </c>
      <c r="Z521" s="202" t="s">
        <v>97</v>
      </c>
      <c r="AA521" s="202"/>
      <c r="AB521" s="202" t="s">
        <v>2400</v>
      </c>
      <c r="AC521" s="202"/>
      <c r="AD521" s="202" t="s">
        <v>1152</v>
      </c>
      <c r="AE521" s="202" t="s">
        <v>1153</v>
      </c>
      <c r="AF521" s="203" t="s">
        <v>1154</v>
      </c>
      <c r="AG521" s="202"/>
      <c r="AH521" s="203" t="s">
        <v>1155</v>
      </c>
      <c r="AI521" s="202">
        <v>0</v>
      </c>
      <c r="AJ521" s="202">
        <v>0</v>
      </c>
    </row>
    <row r="522" spans="2:36">
      <c r="B522" s="203">
        <v>2180</v>
      </c>
      <c r="C522" s="207">
        <v>130763</v>
      </c>
      <c r="D522" s="203" t="s">
        <v>97</v>
      </c>
      <c r="E522" s="202" t="s">
        <v>2399</v>
      </c>
      <c r="F522" s="203">
        <v>864</v>
      </c>
      <c r="G522" s="202"/>
      <c r="H522" s="202"/>
      <c r="I522" s="202"/>
      <c r="J522" s="202">
        <v>0</v>
      </c>
      <c r="K522" s="202" t="s">
        <v>2081</v>
      </c>
      <c r="L522" s="202"/>
      <c r="M522" s="202"/>
      <c r="N522" s="206">
        <v>42418</v>
      </c>
      <c r="O522" s="206">
        <v>42418</v>
      </c>
      <c r="P522" s="202" t="s">
        <v>2398</v>
      </c>
      <c r="Q522" s="203">
        <v>700</v>
      </c>
      <c r="R522" s="203">
        <v>14050</v>
      </c>
      <c r="S522" s="204">
        <v>36644.400000000001</v>
      </c>
      <c r="T522" s="203">
        <v>14056</v>
      </c>
      <c r="U522" s="204">
        <v>32718.25</v>
      </c>
      <c r="V522" s="204">
        <f t="shared" si="19"/>
        <v>3926.1500000000015</v>
      </c>
      <c r="W522" s="205">
        <v>2181.2199999999998</v>
      </c>
      <c r="X522" s="203">
        <v>54260</v>
      </c>
      <c r="Y522" s="204">
        <v>436.25</v>
      </c>
      <c r="Z522" s="202" t="s">
        <v>97</v>
      </c>
      <c r="AA522" s="202"/>
      <c r="AB522" s="202">
        <v>65396943</v>
      </c>
      <c r="AC522" s="202"/>
      <c r="AD522" s="202" t="s">
        <v>1152</v>
      </c>
      <c r="AE522" s="202" t="s">
        <v>1153</v>
      </c>
      <c r="AF522" s="203" t="s">
        <v>1154</v>
      </c>
      <c r="AG522" s="202"/>
      <c r="AH522" s="203" t="s">
        <v>1155</v>
      </c>
      <c r="AI522" s="202">
        <v>0</v>
      </c>
      <c r="AJ522" s="202">
        <v>0</v>
      </c>
    </row>
    <row r="523" spans="2:36">
      <c r="B523" s="203">
        <v>2180</v>
      </c>
      <c r="C523" s="207">
        <v>130762</v>
      </c>
      <c r="D523" s="203" t="s">
        <v>97</v>
      </c>
      <c r="E523" s="202" t="s">
        <v>2397</v>
      </c>
      <c r="F523" s="203">
        <v>624</v>
      </c>
      <c r="G523" s="202"/>
      <c r="H523" s="202"/>
      <c r="I523" s="202"/>
      <c r="J523" s="202">
        <v>0</v>
      </c>
      <c r="K523" s="202" t="s">
        <v>2081</v>
      </c>
      <c r="L523" s="202"/>
      <c r="M523" s="202"/>
      <c r="N523" s="206">
        <v>42419</v>
      </c>
      <c r="O523" s="206">
        <v>42419</v>
      </c>
      <c r="P523" s="202" t="s">
        <v>2396</v>
      </c>
      <c r="Q523" s="203">
        <v>700</v>
      </c>
      <c r="R523" s="203">
        <v>14050</v>
      </c>
      <c r="S523" s="204">
        <v>31260.11</v>
      </c>
      <c r="T523" s="203">
        <v>14056</v>
      </c>
      <c r="U523" s="204">
        <v>27910.81</v>
      </c>
      <c r="V523" s="204">
        <f t="shared" si="19"/>
        <v>3349.2999999999993</v>
      </c>
      <c r="W523" s="205">
        <v>1860.72</v>
      </c>
      <c r="X523" s="203">
        <v>54260</v>
      </c>
      <c r="Y523" s="204">
        <v>372.14</v>
      </c>
      <c r="Z523" s="202" t="s">
        <v>97</v>
      </c>
      <c r="AA523" s="202"/>
      <c r="AB523" s="202">
        <v>65397383</v>
      </c>
      <c r="AC523" s="202"/>
      <c r="AD523" s="202" t="s">
        <v>1152</v>
      </c>
      <c r="AE523" s="202" t="s">
        <v>1153</v>
      </c>
      <c r="AF523" s="203" t="s">
        <v>1154</v>
      </c>
      <c r="AG523" s="202"/>
      <c r="AH523" s="203" t="s">
        <v>1155</v>
      </c>
      <c r="AI523" s="202">
        <v>0</v>
      </c>
      <c r="AJ523" s="202">
        <v>0</v>
      </c>
    </row>
    <row r="524" spans="2:36">
      <c r="B524" s="203">
        <v>2180</v>
      </c>
      <c r="C524" s="207">
        <v>130455</v>
      </c>
      <c r="D524" s="203">
        <v>128671</v>
      </c>
      <c r="E524" s="202" t="s">
        <v>110</v>
      </c>
      <c r="F524" s="203"/>
      <c r="G524" s="202"/>
      <c r="H524" s="202"/>
      <c r="I524" s="202"/>
      <c r="J524" s="202">
        <v>0</v>
      </c>
      <c r="K524" s="202" t="s">
        <v>1732</v>
      </c>
      <c r="L524" s="202" t="s">
        <v>2375</v>
      </c>
      <c r="M524" s="202" t="s">
        <v>1158</v>
      </c>
      <c r="N524" s="206">
        <v>42370</v>
      </c>
      <c r="O524" s="206">
        <v>42370</v>
      </c>
      <c r="P524" s="202" t="s">
        <v>2374</v>
      </c>
      <c r="Q524" s="203">
        <v>1000</v>
      </c>
      <c r="R524" s="203">
        <v>14040</v>
      </c>
      <c r="S524" s="204">
        <v>951.46</v>
      </c>
      <c r="T524" s="203">
        <v>14046</v>
      </c>
      <c r="U524" s="204">
        <v>610.54999999999995</v>
      </c>
      <c r="V524" s="204">
        <f t="shared" si="19"/>
        <v>340.91000000000008</v>
      </c>
      <c r="W524" s="205">
        <v>39.65</v>
      </c>
      <c r="X524" s="203">
        <v>51260</v>
      </c>
      <c r="Y524" s="204">
        <v>7.93</v>
      </c>
      <c r="Z524" s="202" t="s">
        <v>97</v>
      </c>
      <c r="AA524" s="202"/>
      <c r="AB524" s="202">
        <v>10740</v>
      </c>
      <c r="AC524" s="202"/>
      <c r="AD524" s="202" t="s">
        <v>1152</v>
      </c>
      <c r="AE524" s="202" t="s">
        <v>1153</v>
      </c>
      <c r="AF524" s="203" t="s">
        <v>1154</v>
      </c>
      <c r="AG524" s="202"/>
      <c r="AH524" s="203" t="s">
        <v>1155</v>
      </c>
      <c r="AI524" s="202">
        <v>0</v>
      </c>
      <c r="AJ524" s="202">
        <v>0</v>
      </c>
    </row>
    <row r="525" spans="2:36">
      <c r="B525" s="203">
        <v>2180</v>
      </c>
      <c r="C525" s="207">
        <v>129839</v>
      </c>
      <c r="D525" s="203" t="s">
        <v>97</v>
      </c>
      <c r="E525" s="202" t="s">
        <v>2395</v>
      </c>
      <c r="F525" s="203">
        <v>580</v>
      </c>
      <c r="G525" s="202"/>
      <c r="H525" s="202"/>
      <c r="I525" s="202"/>
      <c r="J525" s="202">
        <v>0</v>
      </c>
      <c r="K525" s="202" t="s">
        <v>2318</v>
      </c>
      <c r="L525" s="202"/>
      <c r="M525" s="202"/>
      <c r="N525" s="206">
        <v>42370</v>
      </c>
      <c r="O525" s="206">
        <v>42370</v>
      </c>
      <c r="P525" s="202" t="s">
        <v>2307</v>
      </c>
      <c r="Q525" s="203">
        <v>700</v>
      </c>
      <c r="R525" s="203">
        <v>14050</v>
      </c>
      <c r="S525" s="204">
        <v>20519.68</v>
      </c>
      <c r="T525" s="203">
        <v>14056</v>
      </c>
      <c r="U525" s="204">
        <v>18809.689999999999</v>
      </c>
      <c r="V525" s="204">
        <f t="shared" si="19"/>
        <v>1709.9900000000016</v>
      </c>
      <c r="W525" s="205">
        <v>1221.4100000000001</v>
      </c>
      <c r="X525" s="203">
        <v>54260</v>
      </c>
      <c r="Y525" s="204">
        <v>244.28</v>
      </c>
      <c r="Z525" s="202" t="s">
        <v>97</v>
      </c>
      <c r="AA525" s="202"/>
      <c r="AB525" s="202">
        <v>65392283</v>
      </c>
      <c r="AC525" s="202"/>
      <c r="AD525" s="202" t="s">
        <v>1152</v>
      </c>
      <c r="AE525" s="202" t="s">
        <v>1153</v>
      </c>
      <c r="AF525" s="203" t="s">
        <v>1154</v>
      </c>
      <c r="AG525" s="202"/>
      <c r="AH525" s="203" t="s">
        <v>1155</v>
      </c>
      <c r="AI525" s="202">
        <v>0</v>
      </c>
      <c r="AJ525" s="202">
        <v>0</v>
      </c>
    </row>
    <row r="526" spans="2:36">
      <c r="B526" s="203">
        <v>2180</v>
      </c>
      <c r="C526" s="207">
        <v>129382</v>
      </c>
      <c r="D526" s="203" t="s">
        <v>97</v>
      </c>
      <c r="E526" s="202" t="s">
        <v>2394</v>
      </c>
      <c r="F526" s="203">
        <v>864</v>
      </c>
      <c r="G526" s="202"/>
      <c r="H526" s="202"/>
      <c r="I526" s="202"/>
      <c r="J526" s="202">
        <v>0</v>
      </c>
      <c r="K526" s="202" t="s">
        <v>2081</v>
      </c>
      <c r="L526" s="202"/>
      <c r="M526" s="202"/>
      <c r="N526" s="206">
        <v>42370</v>
      </c>
      <c r="O526" s="206">
        <v>42370</v>
      </c>
      <c r="P526" s="202" t="s">
        <v>2314</v>
      </c>
      <c r="Q526" s="203">
        <v>700</v>
      </c>
      <c r="R526" s="203">
        <v>14050</v>
      </c>
      <c r="S526" s="204">
        <v>37847.26</v>
      </c>
      <c r="T526" s="203">
        <v>14056</v>
      </c>
      <c r="U526" s="204">
        <v>34693.31</v>
      </c>
      <c r="V526" s="204">
        <f t="shared" ref="V526:V589" si="20">S526-U526</f>
        <v>3153.9500000000044</v>
      </c>
      <c r="W526" s="205">
        <v>2252.81</v>
      </c>
      <c r="X526" s="203">
        <v>54260</v>
      </c>
      <c r="Y526" s="204">
        <v>450.56</v>
      </c>
      <c r="Z526" s="202" t="s">
        <v>97</v>
      </c>
      <c r="AA526" s="202"/>
      <c r="AB526" s="202">
        <v>65388020</v>
      </c>
      <c r="AC526" s="202"/>
      <c r="AD526" s="202" t="s">
        <v>1152</v>
      </c>
      <c r="AE526" s="202" t="s">
        <v>1153</v>
      </c>
      <c r="AF526" s="203" t="s">
        <v>1154</v>
      </c>
      <c r="AG526" s="202"/>
      <c r="AH526" s="203" t="s">
        <v>1155</v>
      </c>
      <c r="AI526" s="202">
        <v>0</v>
      </c>
      <c r="AJ526" s="202">
        <v>0</v>
      </c>
    </row>
    <row r="527" spans="2:36">
      <c r="B527" s="203">
        <v>2180</v>
      </c>
      <c r="C527" s="207">
        <v>129323</v>
      </c>
      <c r="D527" s="203" t="s">
        <v>97</v>
      </c>
      <c r="E527" s="202" t="s">
        <v>2394</v>
      </c>
      <c r="F527" s="203">
        <v>864</v>
      </c>
      <c r="G527" s="202"/>
      <c r="H527" s="202"/>
      <c r="I527" s="202"/>
      <c r="J527" s="202">
        <v>0</v>
      </c>
      <c r="K527" s="202" t="s">
        <v>2081</v>
      </c>
      <c r="L527" s="202"/>
      <c r="M527" s="202"/>
      <c r="N527" s="206">
        <v>42370</v>
      </c>
      <c r="O527" s="206">
        <v>42370</v>
      </c>
      <c r="P527" s="202" t="s">
        <v>2314</v>
      </c>
      <c r="Q527" s="203">
        <v>700</v>
      </c>
      <c r="R527" s="203">
        <v>14050</v>
      </c>
      <c r="S527" s="204">
        <v>37847.26</v>
      </c>
      <c r="T527" s="203">
        <v>14056</v>
      </c>
      <c r="U527" s="204">
        <v>34693.31</v>
      </c>
      <c r="V527" s="204">
        <f t="shared" si="20"/>
        <v>3153.9500000000044</v>
      </c>
      <c r="W527" s="205">
        <v>2252.81</v>
      </c>
      <c r="X527" s="203">
        <v>54260</v>
      </c>
      <c r="Y527" s="204">
        <v>450.56</v>
      </c>
      <c r="Z527" s="202" t="s">
        <v>97</v>
      </c>
      <c r="AA527" s="202"/>
      <c r="AB527" s="202">
        <v>65388416</v>
      </c>
      <c r="AC527" s="202"/>
      <c r="AD527" s="202" t="s">
        <v>1152</v>
      </c>
      <c r="AE527" s="202" t="s">
        <v>1153</v>
      </c>
      <c r="AF527" s="203" t="s">
        <v>1154</v>
      </c>
      <c r="AG527" s="202"/>
      <c r="AH527" s="203" t="s">
        <v>1155</v>
      </c>
      <c r="AI527" s="202">
        <v>0</v>
      </c>
      <c r="AJ527" s="202">
        <v>0</v>
      </c>
    </row>
    <row r="528" spans="2:36">
      <c r="B528" s="203">
        <v>2180</v>
      </c>
      <c r="C528" s="207">
        <v>128930</v>
      </c>
      <c r="D528" s="203">
        <v>128671</v>
      </c>
      <c r="E528" s="202" t="s">
        <v>2393</v>
      </c>
      <c r="F528" s="203"/>
      <c r="G528" s="202"/>
      <c r="H528" s="202"/>
      <c r="I528" s="202"/>
      <c r="J528" s="202">
        <v>0</v>
      </c>
      <c r="K528" s="202" t="s">
        <v>1732</v>
      </c>
      <c r="L528" s="202" t="s">
        <v>2375</v>
      </c>
      <c r="M528" s="202" t="s">
        <v>1158</v>
      </c>
      <c r="N528" s="206">
        <v>42369</v>
      </c>
      <c r="O528" s="206">
        <v>42369</v>
      </c>
      <c r="P528" s="202" t="s">
        <v>2374</v>
      </c>
      <c r="Q528" s="203">
        <v>1000</v>
      </c>
      <c r="R528" s="203">
        <v>14040</v>
      </c>
      <c r="S528" s="204">
        <v>637.96</v>
      </c>
      <c r="T528" s="203">
        <v>14046</v>
      </c>
      <c r="U528" s="204">
        <v>409.38</v>
      </c>
      <c r="V528" s="204">
        <f t="shared" si="20"/>
        <v>228.58000000000004</v>
      </c>
      <c r="W528" s="205">
        <v>26.58</v>
      </c>
      <c r="X528" s="203">
        <v>51260</v>
      </c>
      <c r="Y528" s="204">
        <v>5.31</v>
      </c>
      <c r="Z528" s="202" t="s">
        <v>97</v>
      </c>
      <c r="AA528" s="202"/>
      <c r="AB528" s="202">
        <v>5032494</v>
      </c>
      <c r="AC528" s="202"/>
      <c r="AD528" s="202" t="s">
        <v>1152</v>
      </c>
      <c r="AE528" s="202" t="s">
        <v>1153</v>
      </c>
      <c r="AF528" s="203" t="s">
        <v>1154</v>
      </c>
      <c r="AG528" s="202"/>
      <c r="AH528" s="203" t="s">
        <v>1155</v>
      </c>
      <c r="AI528" s="202">
        <v>0</v>
      </c>
      <c r="AJ528" s="202">
        <v>0</v>
      </c>
    </row>
    <row r="529" spans="2:36">
      <c r="B529" s="203">
        <v>2180</v>
      </c>
      <c r="C529" s="207">
        <v>128929</v>
      </c>
      <c r="D529" s="203">
        <v>128662</v>
      </c>
      <c r="E529" s="202" t="s">
        <v>108</v>
      </c>
      <c r="F529" s="203"/>
      <c r="G529" s="202"/>
      <c r="H529" s="202"/>
      <c r="I529" s="202"/>
      <c r="J529" s="202">
        <v>0</v>
      </c>
      <c r="K529" s="202" t="s">
        <v>2136</v>
      </c>
      <c r="L529" s="202"/>
      <c r="M529" s="202" t="s">
        <v>1158</v>
      </c>
      <c r="N529" s="206">
        <v>42341</v>
      </c>
      <c r="O529" s="206">
        <v>42341</v>
      </c>
      <c r="P529" s="202" t="s">
        <v>2368</v>
      </c>
      <c r="Q529" s="203">
        <v>1000</v>
      </c>
      <c r="R529" s="203">
        <v>14040</v>
      </c>
      <c r="S529" s="204">
        <v>1607.35</v>
      </c>
      <c r="T529" s="203">
        <v>14046</v>
      </c>
      <c r="U529" s="204">
        <v>1044.76</v>
      </c>
      <c r="V529" s="204">
        <f t="shared" si="20"/>
        <v>562.58999999999992</v>
      </c>
      <c r="W529" s="205">
        <v>66.98</v>
      </c>
      <c r="X529" s="203">
        <v>51260</v>
      </c>
      <c r="Y529" s="204">
        <v>13.4</v>
      </c>
      <c r="Z529" s="202" t="s">
        <v>97</v>
      </c>
      <c r="AA529" s="202"/>
      <c r="AB529" s="202">
        <v>1964</v>
      </c>
      <c r="AC529" s="202"/>
      <c r="AD529" s="202" t="s">
        <v>1152</v>
      </c>
      <c r="AE529" s="202" t="s">
        <v>1153</v>
      </c>
      <c r="AF529" s="203" t="s">
        <v>1154</v>
      </c>
      <c r="AG529" s="202"/>
      <c r="AH529" s="203" t="s">
        <v>1155</v>
      </c>
      <c r="AI529" s="202">
        <v>0</v>
      </c>
      <c r="AJ529" s="202">
        <v>0</v>
      </c>
    </row>
    <row r="530" spans="2:36">
      <c r="B530" s="203">
        <v>2180</v>
      </c>
      <c r="C530" s="207">
        <v>128928</v>
      </c>
      <c r="D530" s="203">
        <v>128671</v>
      </c>
      <c r="E530" s="202" t="s">
        <v>108</v>
      </c>
      <c r="F530" s="203"/>
      <c r="G530" s="202"/>
      <c r="H530" s="202"/>
      <c r="I530" s="202"/>
      <c r="J530" s="202">
        <v>0</v>
      </c>
      <c r="K530" s="202" t="s">
        <v>1732</v>
      </c>
      <c r="L530" s="202" t="s">
        <v>2375</v>
      </c>
      <c r="M530" s="202" t="s">
        <v>1158</v>
      </c>
      <c r="N530" s="206">
        <v>42369</v>
      </c>
      <c r="O530" s="206">
        <v>42369</v>
      </c>
      <c r="P530" s="202" t="s">
        <v>2374</v>
      </c>
      <c r="Q530" s="203">
        <v>1000</v>
      </c>
      <c r="R530" s="203">
        <v>14040</v>
      </c>
      <c r="S530" s="204">
        <v>969.39</v>
      </c>
      <c r="T530" s="203">
        <v>14046</v>
      </c>
      <c r="U530" s="204">
        <v>622.03</v>
      </c>
      <c r="V530" s="204">
        <f t="shared" si="20"/>
        <v>347.36</v>
      </c>
      <c r="W530" s="205">
        <v>40.39</v>
      </c>
      <c r="X530" s="203">
        <v>51260</v>
      </c>
      <c r="Y530" s="204">
        <v>8.08</v>
      </c>
      <c r="Z530" s="202" t="s">
        <v>97</v>
      </c>
      <c r="AA530" s="202"/>
      <c r="AB530" s="202">
        <v>1965</v>
      </c>
      <c r="AC530" s="202"/>
      <c r="AD530" s="202" t="s">
        <v>1152</v>
      </c>
      <c r="AE530" s="202" t="s">
        <v>1153</v>
      </c>
      <c r="AF530" s="203" t="s">
        <v>1154</v>
      </c>
      <c r="AG530" s="202"/>
      <c r="AH530" s="203" t="s">
        <v>1155</v>
      </c>
      <c r="AI530" s="202">
        <v>0</v>
      </c>
      <c r="AJ530" s="202">
        <v>0</v>
      </c>
    </row>
    <row r="531" spans="2:36">
      <c r="B531" s="203">
        <v>2180</v>
      </c>
      <c r="C531" s="207">
        <v>128909</v>
      </c>
      <c r="D531" s="203" t="s">
        <v>97</v>
      </c>
      <c r="E531" s="202" t="s">
        <v>2392</v>
      </c>
      <c r="F531" s="203"/>
      <c r="G531" s="202"/>
      <c r="H531" s="202"/>
      <c r="I531" s="202"/>
      <c r="J531" s="202">
        <v>0</v>
      </c>
      <c r="K531" s="202" t="s">
        <v>1429</v>
      </c>
      <c r="L531" s="202"/>
      <c r="M531" s="202"/>
      <c r="N531" s="206">
        <v>42342</v>
      </c>
      <c r="O531" s="206">
        <v>42342</v>
      </c>
      <c r="P531" s="202" t="s">
        <v>2389</v>
      </c>
      <c r="Q531" s="203">
        <v>300</v>
      </c>
      <c r="R531" s="203">
        <v>14110</v>
      </c>
      <c r="S531" s="204">
        <v>1087.92</v>
      </c>
      <c r="T531" s="203">
        <v>14116</v>
      </c>
      <c r="U531" s="204">
        <v>1087.92</v>
      </c>
      <c r="V531" s="204">
        <f t="shared" si="20"/>
        <v>0</v>
      </c>
      <c r="W531" s="205">
        <v>0</v>
      </c>
      <c r="X531" s="203">
        <v>70260</v>
      </c>
      <c r="Y531" s="204">
        <v>0</v>
      </c>
      <c r="Z531" s="202" t="s">
        <v>97</v>
      </c>
      <c r="AA531" s="202"/>
      <c r="AB531" s="202" t="s">
        <v>2391</v>
      </c>
      <c r="AC531" s="202"/>
      <c r="AD531" s="202" t="s">
        <v>1152</v>
      </c>
      <c r="AE531" s="202" t="s">
        <v>1153</v>
      </c>
      <c r="AF531" s="203" t="s">
        <v>1154</v>
      </c>
      <c r="AG531" s="202"/>
      <c r="AH531" s="203" t="s">
        <v>1155</v>
      </c>
      <c r="AI531" s="202">
        <v>0</v>
      </c>
      <c r="AJ531" s="202">
        <v>0</v>
      </c>
    </row>
    <row r="532" spans="2:36">
      <c r="B532" s="203">
        <v>2180</v>
      </c>
      <c r="C532" s="207">
        <v>128908</v>
      </c>
      <c r="D532" s="203" t="s">
        <v>97</v>
      </c>
      <c r="E532" s="202" t="s">
        <v>2390</v>
      </c>
      <c r="F532" s="203"/>
      <c r="G532" s="202"/>
      <c r="H532" s="202"/>
      <c r="I532" s="202"/>
      <c r="J532" s="202">
        <v>0</v>
      </c>
      <c r="K532" s="202" t="s">
        <v>1429</v>
      </c>
      <c r="L532" s="202"/>
      <c r="M532" s="202"/>
      <c r="N532" s="206">
        <v>42342</v>
      </c>
      <c r="O532" s="206">
        <v>42342</v>
      </c>
      <c r="P532" s="202" t="s">
        <v>2389</v>
      </c>
      <c r="Q532" s="203">
        <v>300</v>
      </c>
      <c r="R532" s="203">
        <v>14110</v>
      </c>
      <c r="S532" s="204">
        <v>1087.92</v>
      </c>
      <c r="T532" s="203">
        <v>14116</v>
      </c>
      <c r="U532" s="204">
        <v>1087.92</v>
      </c>
      <c r="V532" s="204">
        <f t="shared" si="20"/>
        <v>0</v>
      </c>
      <c r="W532" s="205">
        <v>0</v>
      </c>
      <c r="X532" s="203">
        <v>70260</v>
      </c>
      <c r="Y532" s="204">
        <v>0</v>
      </c>
      <c r="Z532" s="202" t="s">
        <v>97</v>
      </c>
      <c r="AA532" s="202"/>
      <c r="AB532" s="202" t="s">
        <v>2388</v>
      </c>
      <c r="AC532" s="202"/>
      <c r="AD532" s="202" t="s">
        <v>1152</v>
      </c>
      <c r="AE532" s="202" t="s">
        <v>1153</v>
      </c>
      <c r="AF532" s="203" t="s">
        <v>1154</v>
      </c>
      <c r="AG532" s="202"/>
      <c r="AH532" s="203" t="s">
        <v>1155</v>
      </c>
      <c r="AI532" s="202">
        <v>0</v>
      </c>
      <c r="AJ532" s="202">
        <v>0</v>
      </c>
    </row>
    <row r="533" spans="2:36">
      <c r="B533" s="203">
        <v>2180</v>
      </c>
      <c r="C533" s="207">
        <v>128768</v>
      </c>
      <c r="D533" s="203" t="s">
        <v>97</v>
      </c>
      <c r="E533" s="202" t="s">
        <v>2387</v>
      </c>
      <c r="F533" s="203">
        <v>624</v>
      </c>
      <c r="G533" s="202"/>
      <c r="H533" s="202"/>
      <c r="I533" s="202"/>
      <c r="J533" s="202">
        <v>0</v>
      </c>
      <c r="K533" s="202" t="s">
        <v>2081</v>
      </c>
      <c r="L533" s="202"/>
      <c r="M533" s="202"/>
      <c r="N533" s="206">
        <v>42139</v>
      </c>
      <c r="O533" s="206">
        <v>42139</v>
      </c>
      <c r="P533" s="202" t="s">
        <v>2307</v>
      </c>
      <c r="Q533" s="203">
        <v>700</v>
      </c>
      <c r="R533" s="203">
        <v>14050</v>
      </c>
      <c r="S533" s="204">
        <v>32423.49</v>
      </c>
      <c r="T533" s="203">
        <v>14056</v>
      </c>
      <c r="U533" s="204">
        <v>32423.49</v>
      </c>
      <c r="V533" s="204">
        <f t="shared" si="20"/>
        <v>0</v>
      </c>
      <c r="W533" s="205">
        <v>1543.96</v>
      </c>
      <c r="X533" s="203">
        <v>54260</v>
      </c>
      <c r="Y533" s="204">
        <v>0</v>
      </c>
      <c r="Z533" s="202" t="s">
        <v>97</v>
      </c>
      <c r="AA533" s="202"/>
      <c r="AB533" s="202">
        <v>65391878</v>
      </c>
      <c r="AC533" s="202"/>
      <c r="AD533" s="202" t="s">
        <v>1152</v>
      </c>
      <c r="AE533" s="202" t="s">
        <v>1153</v>
      </c>
      <c r="AF533" s="203" t="s">
        <v>1154</v>
      </c>
      <c r="AG533" s="202"/>
      <c r="AH533" s="203" t="s">
        <v>1155</v>
      </c>
      <c r="AI533" s="202">
        <v>0</v>
      </c>
      <c r="AJ533" s="202">
        <v>0</v>
      </c>
    </row>
    <row r="534" spans="2:36">
      <c r="B534" s="203">
        <v>2180</v>
      </c>
      <c r="C534" s="207">
        <v>128767</v>
      </c>
      <c r="D534" s="203" t="s">
        <v>97</v>
      </c>
      <c r="E534" s="202" t="s">
        <v>2386</v>
      </c>
      <c r="F534" s="203">
        <v>624</v>
      </c>
      <c r="G534" s="202"/>
      <c r="H534" s="202"/>
      <c r="I534" s="202"/>
      <c r="J534" s="202">
        <v>0</v>
      </c>
      <c r="K534" s="202" t="s">
        <v>2081</v>
      </c>
      <c r="L534" s="202"/>
      <c r="M534" s="202"/>
      <c r="N534" s="206">
        <v>42139</v>
      </c>
      <c r="O534" s="206">
        <v>42139</v>
      </c>
      <c r="P534" s="202" t="s">
        <v>2307</v>
      </c>
      <c r="Q534" s="203">
        <v>700</v>
      </c>
      <c r="R534" s="203">
        <v>14050</v>
      </c>
      <c r="S534" s="204">
        <v>31744.58</v>
      </c>
      <c r="T534" s="203">
        <v>14056</v>
      </c>
      <c r="U534" s="204">
        <v>31744.58</v>
      </c>
      <c r="V534" s="204">
        <f t="shared" si="20"/>
        <v>0</v>
      </c>
      <c r="W534" s="205">
        <v>1511.65</v>
      </c>
      <c r="X534" s="203">
        <v>54260</v>
      </c>
      <c r="Y534" s="204">
        <v>0</v>
      </c>
      <c r="Z534" s="202" t="s">
        <v>97</v>
      </c>
      <c r="AA534" s="202"/>
      <c r="AB534" s="202">
        <v>65391613</v>
      </c>
      <c r="AC534" s="202"/>
      <c r="AD534" s="202" t="s">
        <v>1152</v>
      </c>
      <c r="AE534" s="202" t="s">
        <v>1153</v>
      </c>
      <c r="AF534" s="203" t="s">
        <v>1154</v>
      </c>
      <c r="AG534" s="202"/>
      <c r="AH534" s="203" t="s">
        <v>1155</v>
      </c>
      <c r="AI534" s="202">
        <v>0</v>
      </c>
      <c r="AJ534" s="202">
        <v>0</v>
      </c>
    </row>
    <row r="535" spans="2:36">
      <c r="B535" s="203">
        <v>2180</v>
      </c>
      <c r="C535" s="207">
        <v>128766</v>
      </c>
      <c r="D535" s="203" t="s">
        <v>97</v>
      </c>
      <c r="E535" s="202" t="s">
        <v>2385</v>
      </c>
      <c r="F535" s="203">
        <v>25</v>
      </c>
      <c r="G535" s="202"/>
      <c r="H535" s="202"/>
      <c r="I535" s="202"/>
      <c r="J535" s="202">
        <v>0</v>
      </c>
      <c r="K535" s="202" t="s">
        <v>1658</v>
      </c>
      <c r="L535" s="202"/>
      <c r="M535" s="202" t="s">
        <v>1555</v>
      </c>
      <c r="N535" s="206">
        <v>42266</v>
      </c>
      <c r="O535" s="206">
        <v>42266</v>
      </c>
      <c r="P535" s="202" t="s">
        <v>2352</v>
      </c>
      <c r="Q535" s="203">
        <v>700</v>
      </c>
      <c r="R535" s="203">
        <v>14050</v>
      </c>
      <c r="S535" s="204">
        <v>18973.75</v>
      </c>
      <c r="T535" s="203">
        <v>14056</v>
      </c>
      <c r="U535" s="204">
        <v>18070.259999999998</v>
      </c>
      <c r="V535" s="204">
        <f t="shared" si="20"/>
        <v>903.4900000000016</v>
      </c>
      <c r="W535" s="205">
        <v>1129.3900000000001</v>
      </c>
      <c r="X535" s="203">
        <v>54260</v>
      </c>
      <c r="Y535" s="204">
        <v>225.88</v>
      </c>
      <c r="Z535" s="202" t="s">
        <v>97</v>
      </c>
      <c r="AA535" s="202"/>
      <c r="AB535" s="202" t="s">
        <v>2384</v>
      </c>
      <c r="AC535" s="202"/>
      <c r="AD535" s="202" t="s">
        <v>1152</v>
      </c>
      <c r="AE535" s="202" t="s">
        <v>1153</v>
      </c>
      <c r="AF535" s="203" t="s">
        <v>1154</v>
      </c>
      <c r="AG535" s="202"/>
      <c r="AH535" s="203" t="s">
        <v>1155</v>
      </c>
      <c r="AI535" s="202">
        <v>0</v>
      </c>
      <c r="AJ535" s="202">
        <v>0</v>
      </c>
    </row>
    <row r="536" spans="2:36">
      <c r="B536" s="203">
        <v>2180</v>
      </c>
      <c r="C536" s="207">
        <v>128765</v>
      </c>
      <c r="D536" s="203" t="s">
        <v>97</v>
      </c>
      <c r="E536" s="202" t="s">
        <v>2383</v>
      </c>
      <c r="F536" s="203">
        <v>55</v>
      </c>
      <c r="G536" s="202"/>
      <c r="H536" s="202"/>
      <c r="I536" s="202"/>
      <c r="J536" s="202">
        <v>0</v>
      </c>
      <c r="K536" s="202" t="s">
        <v>1658</v>
      </c>
      <c r="L536" s="202"/>
      <c r="M536" s="202" t="s">
        <v>2382</v>
      </c>
      <c r="N536" s="206">
        <v>42266</v>
      </c>
      <c r="O536" s="206">
        <v>42266</v>
      </c>
      <c r="P536" s="202" t="s">
        <v>2352</v>
      </c>
      <c r="Q536" s="203">
        <v>700</v>
      </c>
      <c r="R536" s="203">
        <v>14050</v>
      </c>
      <c r="S536" s="204">
        <v>36034.559999999998</v>
      </c>
      <c r="T536" s="203">
        <v>14056</v>
      </c>
      <c r="U536" s="204">
        <v>34318.68</v>
      </c>
      <c r="V536" s="204">
        <f t="shared" si="20"/>
        <v>1715.8799999999974</v>
      </c>
      <c r="W536" s="205">
        <v>2144.9299999999998</v>
      </c>
      <c r="X536" s="203">
        <v>54260</v>
      </c>
      <c r="Y536" s="204">
        <v>428.99</v>
      </c>
      <c r="Z536" s="202" t="s">
        <v>97</v>
      </c>
      <c r="AA536" s="202"/>
      <c r="AB536" s="202" t="s">
        <v>2381</v>
      </c>
      <c r="AC536" s="202"/>
      <c r="AD536" s="202" t="s">
        <v>1152</v>
      </c>
      <c r="AE536" s="202" t="s">
        <v>1153</v>
      </c>
      <c r="AF536" s="203" t="s">
        <v>1154</v>
      </c>
      <c r="AG536" s="202"/>
      <c r="AH536" s="203" t="s">
        <v>1155</v>
      </c>
      <c r="AI536" s="202">
        <v>0</v>
      </c>
      <c r="AJ536" s="202">
        <v>0</v>
      </c>
    </row>
    <row r="537" spans="2:36">
      <c r="B537" s="203">
        <v>2180</v>
      </c>
      <c r="C537" s="207">
        <v>128672</v>
      </c>
      <c r="D537" s="203" t="s">
        <v>97</v>
      </c>
      <c r="E537" s="202" t="s">
        <v>2380</v>
      </c>
      <c r="F537" s="203"/>
      <c r="G537" s="202"/>
      <c r="H537" s="202" t="s">
        <v>2379</v>
      </c>
      <c r="I537" s="202"/>
      <c r="J537" s="202">
        <v>2016</v>
      </c>
      <c r="K537" s="202" t="s">
        <v>2066</v>
      </c>
      <c r="L537" s="202" t="s">
        <v>2066</v>
      </c>
      <c r="M537" s="202" t="s">
        <v>1391</v>
      </c>
      <c r="N537" s="206">
        <v>42369</v>
      </c>
      <c r="O537" s="206">
        <v>42369</v>
      </c>
      <c r="P537" s="202" t="s">
        <v>2378</v>
      </c>
      <c r="Q537" s="203">
        <v>900</v>
      </c>
      <c r="R537" s="203">
        <v>14040</v>
      </c>
      <c r="S537" s="204">
        <v>73306.22</v>
      </c>
      <c r="T537" s="203">
        <v>14046</v>
      </c>
      <c r="U537" s="204">
        <v>52264.65</v>
      </c>
      <c r="V537" s="204">
        <f t="shared" si="20"/>
        <v>21041.57</v>
      </c>
      <c r="W537" s="205">
        <v>3393.81</v>
      </c>
      <c r="X537" s="203">
        <v>51260</v>
      </c>
      <c r="Y537" s="204">
        <v>678.76</v>
      </c>
      <c r="Z537" s="202" t="s">
        <v>97</v>
      </c>
      <c r="AA537" s="202"/>
      <c r="AB537" s="202" t="s">
        <v>2377</v>
      </c>
      <c r="AC537" s="202">
        <v>6055</v>
      </c>
      <c r="AD537" s="202" t="s">
        <v>1152</v>
      </c>
      <c r="AE537" s="202" t="s">
        <v>1153</v>
      </c>
      <c r="AF537" s="203" t="s">
        <v>1154</v>
      </c>
      <c r="AG537" s="202"/>
      <c r="AH537" s="203" t="s">
        <v>1155</v>
      </c>
      <c r="AI537" s="202">
        <v>0</v>
      </c>
      <c r="AJ537" s="202">
        <v>0</v>
      </c>
    </row>
    <row r="538" spans="2:36">
      <c r="B538" s="203">
        <v>2180</v>
      </c>
      <c r="C538" s="207">
        <v>128671</v>
      </c>
      <c r="D538" s="203" t="s">
        <v>97</v>
      </c>
      <c r="E538" s="202" t="s">
        <v>2292</v>
      </c>
      <c r="F538" s="203"/>
      <c r="G538" s="202"/>
      <c r="H538" s="202" t="s">
        <v>2376</v>
      </c>
      <c r="I538" s="202"/>
      <c r="J538" s="202">
        <v>2016</v>
      </c>
      <c r="K538" s="202" t="s">
        <v>2290</v>
      </c>
      <c r="L538" s="202" t="s">
        <v>2375</v>
      </c>
      <c r="M538" s="202" t="s">
        <v>1404</v>
      </c>
      <c r="N538" s="206">
        <v>42369</v>
      </c>
      <c r="O538" s="206">
        <v>42369</v>
      </c>
      <c r="P538" s="202" t="s">
        <v>2374</v>
      </c>
      <c r="Q538" s="203">
        <v>1000</v>
      </c>
      <c r="R538" s="203">
        <v>14040</v>
      </c>
      <c r="S538" s="204">
        <v>335414.45</v>
      </c>
      <c r="T538" s="203">
        <v>14046</v>
      </c>
      <c r="U538" s="204">
        <v>215224.3</v>
      </c>
      <c r="V538" s="204">
        <f t="shared" si="20"/>
        <v>120190.15000000002</v>
      </c>
      <c r="W538" s="205">
        <v>13975.6</v>
      </c>
      <c r="X538" s="203">
        <v>51260</v>
      </c>
      <c r="Y538" s="204">
        <v>2795.12</v>
      </c>
      <c r="Z538" s="202" t="s">
        <v>97</v>
      </c>
      <c r="AA538" s="202"/>
      <c r="AB538" s="202" t="s">
        <v>2373</v>
      </c>
      <c r="AC538" s="202">
        <v>3649</v>
      </c>
      <c r="AD538" s="202" t="s">
        <v>1152</v>
      </c>
      <c r="AE538" s="202" t="s">
        <v>1153</v>
      </c>
      <c r="AF538" s="203" t="s">
        <v>1154</v>
      </c>
      <c r="AG538" s="202"/>
      <c r="AH538" s="203" t="s">
        <v>1155</v>
      </c>
      <c r="AI538" s="202">
        <v>0</v>
      </c>
      <c r="AJ538" s="202">
        <v>0</v>
      </c>
    </row>
    <row r="539" spans="2:36">
      <c r="B539" s="203">
        <v>2180</v>
      </c>
      <c r="C539" s="207">
        <v>128670</v>
      </c>
      <c r="D539" s="203" t="s">
        <v>97</v>
      </c>
      <c r="E539" s="202" t="s">
        <v>2292</v>
      </c>
      <c r="F539" s="203"/>
      <c r="G539" s="202"/>
      <c r="H539" s="202" t="s">
        <v>2372</v>
      </c>
      <c r="I539" s="202"/>
      <c r="J539" s="202">
        <v>2016</v>
      </c>
      <c r="K539" s="202" t="s">
        <v>2290</v>
      </c>
      <c r="L539" s="202" t="s">
        <v>1406</v>
      </c>
      <c r="M539" s="202" t="s">
        <v>1404</v>
      </c>
      <c r="N539" s="206">
        <v>42369</v>
      </c>
      <c r="O539" s="206">
        <v>42369</v>
      </c>
      <c r="P539" s="202" t="s">
        <v>2371</v>
      </c>
      <c r="Q539" s="203">
        <v>1000</v>
      </c>
      <c r="R539" s="203">
        <v>14040</v>
      </c>
      <c r="S539" s="204">
        <v>327882.52</v>
      </c>
      <c r="T539" s="203">
        <v>14046</v>
      </c>
      <c r="U539" s="204">
        <v>210391.27</v>
      </c>
      <c r="V539" s="204">
        <f t="shared" si="20"/>
        <v>117491.25000000003</v>
      </c>
      <c r="W539" s="205">
        <v>13661.77</v>
      </c>
      <c r="X539" s="203">
        <v>51260</v>
      </c>
      <c r="Y539" s="204">
        <v>2732.35</v>
      </c>
      <c r="Z539" s="202" t="s">
        <v>97</v>
      </c>
      <c r="AA539" s="202"/>
      <c r="AB539" s="202" t="s">
        <v>2370</v>
      </c>
      <c r="AC539" s="202">
        <v>3647</v>
      </c>
      <c r="AD539" s="202" t="s">
        <v>1152</v>
      </c>
      <c r="AE539" s="202" t="s">
        <v>1153</v>
      </c>
      <c r="AF539" s="203" t="s">
        <v>1154</v>
      </c>
      <c r="AG539" s="202"/>
      <c r="AH539" s="203" t="s">
        <v>1155</v>
      </c>
      <c r="AI539" s="202">
        <v>0</v>
      </c>
      <c r="AJ539" s="202">
        <v>0</v>
      </c>
    </row>
    <row r="540" spans="2:36">
      <c r="B540" s="203">
        <v>2180</v>
      </c>
      <c r="C540" s="207">
        <v>128669</v>
      </c>
      <c r="D540" s="203" t="s">
        <v>97</v>
      </c>
      <c r="E540" s="202" t="s">
        <v>2292</v>
      </c>
      <c r="F540" s="203"/>
      <c r="G540" s="202"/>
      <c r="H540" s="202" t="s">
        <v>2369</v>
      </c>
      <c r="I540" s="202"/>
      <c r="J540" s="202">
        <v>2016</v>
      </c>
      <c r="K540" s="202" t="s">
        <v>2290</v>
      </c>
      <c r="L540" s="202" t="s">
        <v>1406</v>
      </c>
      <c r="M540" s="202" t="s">
        <v>1404</v>
      </c>
      <c r="N540" s="206">
        <v>42369</v>
      </c>
      <c r="O540" s="206">
        <v>42369</v>
      </c>
      <c r="P540" s="202" t="s">
        <v>2368</v>
      </c>
      <c r="Q540" s="203">
        <v>900</v>
      </c>
      <c r="R540" s="203">
        <v>14040</v>
      </c>
      <c r="S540" s="204">
        <v>335912.58</v>
      </c>
      <c r="T540" s="203">
        <v>14046</v>
      </c>
      <c r="U540" s="204">
        <v>239493.23</v>
      </c>
      <c r="V540" s="204">
        <f t="shared" si="20"/>
        <v>96419.35</v>
      </c>
      <c r="W540" s="205">
        <v>15551.51</v>
      </c>
      <c r="X540" s="203">
        <v>51260</v>
      </c>
      <c r="Y540" s="204">
        <v>3110.3</v>
      </c>
      <c r="Z540" s="202" t="s">
        <v>97</v>
      </c>
      <c r="AA540" s="202"/>
      <c r="AB540" s="202" t="s">
        <v>2367</v>
      </c>
      <c r="AC540" s="202">
        <v>3648</v>
      </c>
      <c r="AD540" s="202" t="s">
        <v>1152</v>
      </c>
      <c r="AE540" s="202" t="s">
        <v>1153</v>
      </c>
      <c r="AF540" s="203" t="s">
        <v>1154</v>
      </c>
      <c r="AG540" s="202"/>
      <c r="AH540" s="203" t="s">
        <v>1155</v>
      </c>
      <c r="AI540" s="202">
        <v>0</v>
      </c>
      <c r="AJ540" s="202">
        <v>0</v>
      </c>
    </row>
    <row r="541" spans="2:36">
      <c r="B541" s="203">
        <v>2180</v>
      </c>
      <c r="C541" s="207">
        <v>127691</v>
      </c>
      <c r="D541" s="203" t="s">
        <v>97</v>
      </c>
      <c r="E541" s="202" t="s">
        <v>2366</v>
      </c>
      <c r="F541" s="203">
        <v>0</v>
      </c>
      <c r="G541" s="202"/>
      <c r="H541" s="202"/>
      <c r="I541" s="202"/>
      <c r="J541" s="202">
        <v>0</v>
      </c>
      <c r="K541" s="202" t="s">
        <v>2365</v>
      </c>
      <c r="L541" s="202"/>
      <c r="M541" s="202"/>
      <c r="N541" s="206">
        <v>42286</v>
      </c>
      <c r="O541" s="206">
        <v>42286</v>
      </c>
      <c r="P541" s="202" t="s">
        <v>2364</v>
      </c>
      <c r="Q541" s="203">
        <v>500</v>
      </c>
      <c r="R541" s="203">
        <v>14050</v>
      </c>
      <c r="S541" s="204">
        <v>19344.64</v>
      </c>
      <c r="T541" s="203">
        <v>14056</v>
      </c>
      <c r="U541" s="204">
        <v>19344.64</v>
      </c>
      <c r="V541" s="204">
        <f t="shared" si="20"/>
        <v>0</v>
      </c>
      <c r="W541" s="205">
        <v>0</v>
      </c>
      <c r="X541" s="203">
        <v>54260</v>
      </c>
      <c r="Y541" s="204">
        <v>0</v>
      </c>
      <c r="Z541" s="202" t="s">
        <v>97</v>
      </c>
      <c r="AA541" s="202"/>
      <c r="AB541" s="202" t="s">
        <v>2363</v>
      </c>
      <c r="AC541" s="202"/>
      <c r="AD541" s="202" t="s">
        <v>1152</v>
      </c>
      <c r="AE541" s="202" t="s">
        <v>1153</v>
      </c>
      <c r="AF541" s="203" t="s">
        <v>1154</v>
      </c>
      <c r="AG541" s="202"/>
      <c r="AH541" s="203" t="s">
        <v>1155</v>
      </c>
      <c r="AI541" s="202">
        <v>0</v>
      </c>
      <c r="AJ541" s="202">
        <v>0</v>
      </c>
    </row>
    <row r="542" spans="2:36">
      <c r="B542" s="203">
        <v>2180</v>
      </c>
      <c r="C542" s="207">
        <v>126494</v>
      </c>
      <c r="D542" s="203">
        <v>60789</v>
      </c>
      <c r="E542" s="202" t="s">
        <v>2362</v>
      </c>
      <c r="F542" s="203"/>
      <c r="G542" s="202"/>
      <c r="H542" s="202"/>
      <c r="I542" s="202"/>
      <c r="J542" s="202">
        <v>0</v>
      </c>
      <c r="K542" s="202" t="s">
        <v>2296</v>
      </c>
      <c r="L542" s="202"/>
      <c r="M542" s="202" t="s">
        <v>1158</v>
      </c>
      <c r="N542" s="206">
        <v>42270</v>
      </c>
      <c r="O542" s="206">
        <v>42270</v>
      </c>
      <c r="P542" s="202" t="s">
        <v>2361</v>
      </c>
      <c r="Q542" s="203">
        <v>300</v>
      </c>
      <c r="R542" s="203">
        <v>14040</v>
      </c>
      <c r="S542" s="204">
        <v>20740.36</v>
      </c>
      <c r="T542" s="203">
        <v>14046</v>
      </c>
      <c r="U542" s="204">
        <v>20740.36</v>
      </c>
      <c r="V542" s="204">
        <f t="shared" si="20"/>
        <v>0</v>
      </c>
      <c r="W542" s="205">
        <v>0</v>
      </c>
      <c r="X542" s="203">
        <v>51260</v>
      </c>
      <c r="Y542" s="204">
        <v>0</v>
      </c>
      <c r="Z542" s="202" t="s">
        <v>97</v>
      </c>
      <c r="AA542" s="202"/>
      <c r="AB542" s="202" t="s">
        <v>2360</v>
      </c>
      <c r="AC542" s="202"/>
      <c r="AD542" s="202" t="s">
        <v>1152</v>
      </c>
      <c r="AE542" s="202" t="s">
        <v>1153</v>
      </c>
      <c r="AF542" s="203" t="s">
        <v>1154</v>
      </c>
      <c r="AG542" s="202"/>
      <c r="AH542" s="203" t="s">
        <v>1155</v>
      </c>
      <c r="AI542" s="202">
        <v>0</v>
      </c>
      <c r="AJ542" s="202">
        <v>0</v>
      </c>
    </row>
    <row r="543" spans="2:36">
      <c r="B543" s="203">
        <v>2180</v>
      </c>
      <c r="C543" s="207">
        <v>126471</v>
      </c>
      <c r="D543" s="203" t="s">
        <v>97</v>
      </c>
      <c r="E543" s="202" t="s">
        <v>2359</v>
      </c>
      <c r="F543" s="203">
        <v>624</v>
      </c>
      <c r="G543" s="202"/>
      <c r="H543" s="202"/>
      <c r="I543" s="202"/>
      <c r="J543" s="202">
        <v>0</v>
      </c>
      <c r="K543" s="202" t="s">
        <v>2318</v>
      </c>
      <c r="L543" s="202"/>
      <c r="M543" s="202"/>
      <c r="N543" s="206">
        <v>42289</v>
      </c>
      <c r="O543" s="206">
        <v>42289</v>
      </c>
      <c r="P543" s="202" t="s">
        <v>2309</v>
      </c>
      <c r="Q543" s="203">
        <v>700</v>
      </c>
      <c r="R543" s="203">
        <v>14050</v>
      </c>
      <c r="S543" s="204">
        <v>32121.15</v>
      </c>
      <c r="T543" s="203">
        <v>14056</v>
      </c>
      <c r="U543" s="204">
        <v>30591.599999999999</v>
      </c>
      <c r="V543" s="204">
        <f t="shared" si="20"/>
        <v>1529.5500000000029</v>
      </c>
      <c r="W543" s="205">
        <v>1911.98</v>
      </c>
      <c r="X543" s="203">
        <v>54260</v>
      </c>
      <c r="Y543" s="204">
        <v>382.39</v>
      </c>
      <c r="Z543" s="202" t="s">
        <v>97</v>
      </c>
      <c r="AA543" s="202"/>
      <c r="AB543" s="202">
        <v>65384969</v>
      </c>
      <c r="AC543" s="202"/>
      <c r="AD543" s="202" t="s">
        <v>1152</v>
      </c>
      <c r="AE543" s="202" t="s">
        <v>1153</v>
      </c>
      <c r="AF543" s="203" t="s">
        <v>1154</v>
      </c>
      <c r="AG543" s="202"/>
      <c r="AH543" s="203" t="s">
        <v>1155</v>
      </c>
      <c r="AI543" s="202">
        <v>0</v>
      </c>
      <c r="AJ543" s="202">
        <v>0</v>
      </c>
    </row>
    <row r="544" spans="2:36">
      <c r="B544" s="203">
        <v>2180</v>
      </c>
      <c r="C544" s="207">
        <v>126470</v>
      </c>
      <c r="D544" s="203" t="s">
        <v>97</v>
      </c>
      <c r="E544" s="202" t="s">
        <v>2359</v>
      </c>
      <c r="F544" s="203">
        <v>624</v>
      </c>
      <c r="G544" s="202"/>
      <c r="H544" s="202"/>
      <c r="I544" s="202"/>
      <c r="J544" s="202">
        <v>0</v>
      </c>
      <c r="K544" s="202" t="s">
        <v>2318</v>
      </c>
      <c r="L544" s="202"/>
      <c r="M544" s="202"/>
      <c r="N544" s="206">
        <v>42289</v>
      </c>
      <c r="O544" s="206">
        <v>42289</v>
      </c>
      <c r="P544" s="202" t="s">
        <v>2309</v>
      </c>
      <c r="Q544" s="203">
        <v>700</v>
      </c>
      <c r="R544" s="203">
        <v>14050</v>
      </c>
      <c r="S544" s="204">
        <v>32121.15</v>
      </c>
      <c r="T544" s="203">
        <v>14056</v>
      </c>
      <c r="U544" s="204">
        <v>30591.599999999999</v>
      </c>
      <c r="V544" s="204">
        <f t="shared" si="20"/>
        <v>1529.5500000000029</v>
      </c>
      <c r="W544" s="205">
        <v>1911.98</v>
      </c>
      <c r="X544" s="203">
        <v>54260</v>
      </c>
      <c r="Y544" s="204">
        <v>382.39</v>
      </c>
      <c r="Z544" s="202" t="s">
        <v>97</v>
      </c>
      <c r="AA544" s="202"/>
      <c r="AB544" s="202">
        <v>65385023</v>
      </c>
      <c r="AC544" s="202"/>
      <c r="AD544" s="202" t="s">
        <v>1152</v>
      </c>
      <c r="AE544" s="202" t="s">
        <v>1153</v>
      </c>
      <c r="AF544" s="203" t="s">
        <v>1154</v>
      </c>
      <c r="AG544" s="202"/>
      <c r="AH544" s="203" t="s">
        <v>1155</v>
      </c>
      <c r="AI544" s="202">
        <v>0</v>
      </c>
      <c r="AJ544" s="202">
        <v>0</v>
      </c>
    </row>
    <row r="545" spans="2:36">
      <c r="B545" s="203">
        <v>2180</v>
      </c>
      <c r="C545" s="207">
        <v>126469</v>
      </c>
      <c r="D545" s="203" t="s">
        <v>97</v>
      </c>
      <c r="E545" s="202" t="s">
        <v>2358</v>
      </c>
      <c r="F545" s="203">
        <v>14</v>
      </c>
      <c r="G545" s="202"/>
      <c r="H545" s="202"/>
      <c r="I545" s="202"/>
      <c r="J545" s="202">
        <v>0</v>
      </c>
      <c r="K545" s="202" t="s">
        <v>2041</v>
      </c>
      <c r="L545" s="202"/>
      <c r="M545" s="202" t="s">
        <v>1421</v>
      </c>
      <c r="N545" s="206">
        <v>42209</v>
      </c>
      <c r="O545" s="206">
        <v>42209</v>
      </c>
      <c r="P545" s="202" t="s">
        <v>2333</v>
      </c>
      <c r="Q545" s="203">
        <v>1200</v>
      </c>
      <c r="R545" s="203">
        <v>14050</v>
      </c>
      <c r="S545" s="204">
        <v>7996.8</v>
      </c>
      <c r="T545" s="203">
        <v>14056</v>
      </c>
      <c r="U545" s="204">
        <v>4553.67</v>
      </c>
      <c r="V545" s="204">
        <f t="shared" si="20"/>
        <v>3443.13</v>
      </c>
      <c r="W545" s="205">
        <v>277.67</v>
      </c>
      <c r="X545" s="203">
        <v>54260</v>
      </c>
      <c r="Y545" s="204">
        <v>55.54</v>
      </c>
      <c r="Z545" s="202" t="s">
        <v>97</v>
      </c>
      <c r="AA545" s="202"/>
      <c r="AB545" s="202">
        <v>110884</v>
      </c>
      <c r="AC545" s="202"/>
      <c r="AD545" s="202" t="s">
        <v>1152</v>
      </c>
      <c r="AE545" s="202" t="s">
        <v>1153</v>
      </c>
      <c r="AF545" s="203" t="s">
        <v>1154</v>
      </c>
      <c r="AG545" s="202"/>
      <c r="AH545" s="203" t="s">
        <v>1155</v>
      </c>
      <c r="AI545" s="202">
        <v>0</v>
      </c>
      <c r="AJ545" s="202">
        <v>0</v>
      </c>
    </row>
    <row r="546" spans="2:36">
      <c r="B546" s="203">
        <v>2180</v>
      </c>
      <c r="C546" s="207">
        <v>126212</v>
      </c>
      <c r="D546" s="203" t="s">
        <v>97</v>
      </c>
      <c r="E546" s="202" t="s">
        <v>2357</v>
      </c>
      <c r="F546" s="203">
        <v>15</v>
      </c>
      <c r="G546" s="202"/>
      <c r="H546" s="202"/>
      <c r="I546" s="202"/>
      <c r="J546" s="202">
        <v>0</v>
      </c>
      <c r="K546" s="202" t="s">
        <v>2041</v>
      </c>
      <c r="L546" s="202"/>
      <c r="M546" s="202" t="s">
        <v>1421</v>
      </c>
      <c r="N546" s="206">
        <v>42275</v>
      </c>
      <c r="O546" s="206">
        <v>42275</v>
      </c>
      <c r="P546" s="202" t="s">
        <v>2333</v>
      </c>
      <c r="Q546" s="203">
        <v>1200</v>
      </c>
      <c r="R546" s="203">
        <v>14050</v>
      </c>
      <c r="S546" s="204">
        <v>7670.4</v>
      </c>
      <c r="T546" s="203">
        <v>14056</v>
      </c>
      <c r="U546" s="204">
        <v>4261.33</v>
      </c>
      <c r="V546" s="204">
        <f t="shared" si="20"/>
        <v>3409.0699999999997</v>
      </c>
      <c r="W546" s="205">
        <v>266.33</v>
      </c>
      <c r="X546" s="203">
        <v>54260</v>
      </c>
      <c r="Y546" s="204">
        <v>53.26</v>
      </c>
      <c r="Z546" s="202" t="s">
        <v>97</v>
      </c>
      <c r="AA546" s="202"/>
      <c r="AB546" s="202">
        <v>113117</v>
      </c>
      <c r="AC546" s="202"/>
      <c r="AD546" s="202" t="s">
        <v>1152</v>
      </c>
      <c r="AE546" s="202" t="s">
        <v>1153</v>
      </c>
      <c r="AF546" s="203" t="s">
        <v>1154</v>
      </c>
      <c r="AG546" s="202"/>
      <c r="AH546" s="203" t="s">
        <v>1155</v>
      </c>
      <c r="AI546" s="202">
        <v>0</v>
      </c>
      <c r="AJ546" s="202">
        <v>0</v>
      </c>
    </row>
    <row r="547" spans="2:36">
      <c r="B547" s="203">
        <v>2180</v>
      </c>
      <c r="C547" s="207">
        <v>126211</v>
      </c>
      <c r="D547" s="203" t="s">
        <v>97</v>
      </c>
      <c r="E547" s="202" t="s">
        <v>2356</v>
      </c>
      <c r="F547" s="203">
        <v>10</v>
      </c>
      <c r="G547" s="202"/>
      <c r="H547" s="202"/>
      <c r="I547" s="202"/>
      <c r="J547" s="202">
        <v>0</v>
      </c>
      <c r="K547" s="202" t="s">
        <v>2041</v>
      </c>
      <c r="L547" s="202"/>
      <c r="M547" s="202" t="s">
        <v>1417</v>
      </c>
      <c r="N547" s="206">
        <v>42275</v>
      </c>
      <c r="O547" s="206">
        <v>42275</v>
      </c>
      <c r="P547" s="202" t="s">
        <v>2345</v>
      </c>
      <c r="Q547" s="203">
        <v>1200</v>
      </c>
      <c r="R547" s="203">
        <v>14050</v>
      </c>
      <c r="S547" s="204">
        <v>61900</v>
      </c>
      <c r="T547" s="203">
        <v>14056</v>
      </c>
      <c r="U547" s="204">
        <v>34388.74</v>
      </c>
      <c r="V547" s="204">
        <f t="shared" si="20"/>
        <v>27511.260000000002</v>
      </c>
      <c r="W547" s="205">
        <v>2149.3000000000002</v>
      </c>
      <c r="X547" s="203">
        <v>54260</v>
      </c>
      <c r="Y547" s="204">
        <v>429.86</v>
      </c>
      <c r="Z547" s="202" t="s">
        <v>97</v>
      </c>
      <c r="AA547" s="202"/>
      <c r="AB547" s="202">
        <v>113116</v>
      </c>
      <c r="AC547" s="202"/>
      <c r="AD547" s="202" t="s">
        <v>1152</v>
      </c>
      <c r="AE547" s="202" t="s">
        <v>1153</v>
      </c>
      <c r="AF547" s="203" t="s">
        <v>1154</v>
      </c>
      <c r="AG547" s="202"/>
      <c r="AH547" s="203" t="s">
        <v>1155</v>
      </c>
      <c r="AI547" s="202">
        <v>0</v>
      </c>
      <c r="AJ547" s="202">
        <v>0</v>
      </c>
    </row>
    <row r="548" spans="2:36">
      <c r="B548" s="203">
        <v>2180</v>
      </c>
      <c r="C548" s="207">
        <v>126210</v>
      </c>
      <c r="D548" s="203" t="s">
        <v>97</v>
      </c>
      <c r="E548" s="202" t="s">
        <v>2355</v>
      </c>
      <c r="F548" s="203">
        <v>42</v>
      </c>
      <c r="G548" s="202"/>
      <c r="H548" s="202"/>
      <c r="I548" s="202"/>
      <c r="J548" s="202">
        <v>0</v>
      </c>
      <c r="K548" s="202" t="s">
        <v>1658</v>
      </c>
      <c r="L548" s="202"/>
      <c r="M548" s="202" t="s">
        <v>1555</v>
      </c>
      <c r="N548" s="206">
        <v>42263</v>
      </c>
      <c r="O548" s="206">
        <v>42263</v>
      </c>
      <c r="P548" s="202" t="s">
        <v>2352</v>
      </c>
      <c r="Q548" s="203">
        <v>700</v>
      </c>
      <c r="R548" s="203">
        <v>14050</v>
      </c>
      <c r="S548" s="204">
        <v>24186.240000000002</v>
      </c>
      <c r="T548" s="203">
        <v>14056</v>
      </c>
      <c r="U548" s="204">
        <v>23034.54</v>
      </c>
      <c r="V548" s="204">
        <f t="shared" si="20"/>
        <v>1151.7000000000007</v>
      </c>
      <c r="W548" s="205">
        <v>1439.66</v>
      </c>
      <c r="X548" s="203">
        <v>54260</v>
      </c>
      <c r="Y548" s="204">
        <v>287.94</v>
      </c>
      <c r="Z548" s="202" t="s">
        <v>97</v>
      </c>
      <c r="AA548" s="202"/>
      <c r="AB548" s="202" t="s">
        <v>2354</v>
      </c>
      <c r="AC548" s="202"/>
      <c r="AD548" s="202" t="s">
        <v>1152</v>
      </c>
      <c r="AE548" s="202" t="s">
        <v>1153</v>
      </c>
      <c r="AF548" s="203" t="s">
        <v>1154</v>
      </c>
      <c r="AG548" s="202"/>
      <c r="AH548" s="203" t="s">
        <v>1155</v>
      </c>
      <c r="AI548" s="202">
        <v>0</v>
      </c>
      <c r="AJ548" s="202">
        <v>0</v>
      </c>
    </row>
    <row r="549" spans="2:36">
      <c r="B549" s="203">
        <v>2180</v>
      </c>
      <c r="C549" s="207">
        <v>126209</v>
      </c>
      <c r="D549" s="203" t="s">
        <v>97</v>
      </c>
      <c r="E549" s="202" t="s">
        <v>2353</v>
      </c>
      <c r="F549" s="203">
        <v>36</v>
      </c>
      <c r="G549" s="202"/>
      <c r="H549" s="202"/>
      <c r="I549" s="202"/>
      <c r="J549" s="202">
        <v>0</v>
      </c>
      <c r="K549" s="202" t="s">
        <v>1658</v>
      </c>
      <c r="L549" s="202"/>
      <c r="M549" s="202" t="s">
        <v>1558</v>
      </c>
      <c r="N549" s="206">
        <v>42263</v>
      </c>
      <c r="O549" s="206">
        <v>42263</v>
      </c>
      <c r="P549" s="202" t="s">
        <v>2352</v>
      </c>
      <c r="Q549" s="203">
        <v>700</v>
      </c>
      <c r="R549" s="203">
        <v>14050</v>
      </c>
      <c r="S549" s="204">
        <v>24545.279999999999</v>
      </c>
      <c r="T549" s="203">
        <v>14056</v>
      </c>
      <c r="U549" s="204">
        <v>23376.46</v>
      </c>
      <c r="V549" s="204">
        <f t="shared" si="20"/>
        <v>1168.8199999999997</v>
      </c>
      <c r="W549" s="205">
        <v>1461.02</v>
      </c>
      <c r="X549" s="203">
        <v>54260</v>
      </c>
      <c r="Y549" s="204">
        <v>292.20999999999998</v>
      </c>
      <c r="Z549" s="202" t="s">
        <v>97</v>
      </c>
      <c r="AA549" s="202"/>
      <c r="AB549" s="202" t="s">
        <v>2351</v>
      </c>
      <c r="AC549" s="202"/>
      <c r="AD549" s="202" t="s">
        <v>1152</v>
      </c>
      <c r="AE549" s="202" t="s">
        <v>1153</v>
      </c>
      <c r="AF549" s="203" t="s">
        <v>1154</v>
      </c>
      <c r="AG549" s="202"/>
      <c r="AH549" s="203" t="s">
        <v>1155</v>
      </c>
      <c r="AI549" s="202">
        <v>0</v>
      </c>
      <c r="AJ549" s="202">
        <v>0</v>
      </c>
    </row>
    <row r="550" spans="2:36">
      <c r="B550" s="203">
        <v>2180</v>
      </c>
      <c r="C550" s="207">
        <v>125751</v>
      </c>
      <c r="D550" s="203">
        <v>125550</v>
      </c>
      <c r="E550" s="202" t="s">
        <v>2350</v>
      </c>
      <c r="F550" s="203"/>
      <c r="G550" s="202"/>
      <c r="H550" s="202"/>
      <c r="I550" s="202"/>
      <c r="J550" s="202">
        <v>2015</v>
      </c>
      <c r="K550" s="202" t="s">
        <v>2138</v>
      </c>
      <c r="L550" s="202"/>
      <c r="M550" s="202" t="s">
        <v>1158</v>
      </c>
      <c r="N550" s="206">
        <v>42249</v>
      </c>
      <c r="O550" s="206">
        <v>42249</v>
      </c>
      <c r="P550" s="202" t="s">
        <v>2348</v>
      </c>
      <c r="Q550" s="203">
        <v>1000</v>
      </c>
      <c r="R550" s="203">
        <v>14040</v>
      </c>
      <c r="S550" s="204">
        <v>3252.04</v>
      </c>
      <c r="T550" s="203">
        <v>14046</v>
      </c>
      <c r="U550" s="204">
        <v>2195.1</v>
      </c>
      <c r="V550" s="204">
        <f t="shared" si="20"/>
        <v>1056.94</v>
      </c>
      <c r="W550" s="205">
        <v>135.5</v>
      </c>
      <c r="X550" s="203">
        <v>51260</v>
      </c>
      <c r="Y550" s="204">
        <v>27.1</v>
      </c>
      <c r="Z550" s="202" t="s">
        <v>97</v>
      </c>
      <c r="AA550" s="202"/>
      <c r="AB550" s="202">
        <v>96790</v>
      </c>
      <c r="AC550" s="202"/>
      <c r="AD550" s="202" t="s">
        <v>1152</v>
      </c>
      <c r="AE550" s="202" t="s">
        <v>1153</v>
      </c>
      <c r="AF550" s="203" t="s">
        <v>1154</v>
      </c>
      <c r="AG550" s="202"/>
      <c r="AH550" s="203" t="s">
        <v>1155</v>
      </c>
      <c r="AI550" s="202">
        <v>0</v>
      </c>
      <c r="AJ550" s="202">
        <v>0</v>
      </c>
    </row>
    <row r="551" spans="2:36">
      <c r="B551" s="203">
        <v>2180</v>
      </c>
      <c r="C551" s="207">
        <v>125550</v>
      </c>
      <c r="D551" s="203" t="s">
        <v>97</v>
      </c>
      <c r="E551" s="202" t="s">
        <v>2292</v>
      </c>
      <c r="F551" s="203"/>
      <c r="G551" s="202"/>
      <c r="H551" s="202" t="s">
        <v>2349</v>
      </c>
      <c r="I551" s="202"/>
      <c r="J551" s="202">
        <v>2016</v>
      </c>
      <c r="K551" s="202" t="s">
        <v>2290</v>
      </c>
      <c r="L551" s="202" t="s">
        <v>1406</v>
      </c>
      <c r="M551" s="202" t="s">
        <v>1404</v>
      </c>
      <c r="N551" s="206">
        <v>42277</v>
      </c>
      <c r="O551" s="206">
        <v>42277</v>
      </c>
      <c r="P551" s="202" t="s">
        <v>2348</v>
      </c>
      <c r="Q551" s="203">
        <v>1000</v>
      </c>
      <c r="R551" s="203">
        <v>14040</v>
      </c>
      <c r="S551" s="204">
        <v>341500.78</v>
      </c>
      <c r="T551" s="203">
        <v>14046</v>
      </c>
      <c r="U551" s="204">
        <v>227667.20000000001</v>
      </c>
      <c r="V551" s="204">
        <f t="shared" si="20"/>
        <v>113833.58000000002</v>
      </c>
      <c r="W551" s="205">
        <v>14229.2</v>
      </c>
      <c r="X551" s="203">
        <v>51260</v>
      </c>
      <c r="Y551" s="204">
        <v>2845.84</v>
      </c>
      <c r="Z551" s="202" t="s">
        <v>97</v>
      </c>
      <c r="AA551" s="202"/>
      <c r="AB551" s="202" t="s">
        <v>2347</v>
      </c>
      <c r="AC551" s="202">
        <v>3644</v>
      </c>
      <c r="AD551" s="202" t="s">
        <v>1152</v>
      </c>
      <c r="AE551" s="202" t="s">
        <v>1153</v>
      </c>
      <c r="AF551" s="203" t="s">
        <v>1154</v>
      </c>
      <c r="AG551" s="202"/>
      <c r="AH551" s="203" t="s">
        <v>1155</v>
      </c>
      <c r="AI551" s="202">
        <v>0</v>
      </c>
      <c r="AJ551" s="202">
        <v>0</v>
      </c>
    </row>
    <row r="552" spans="2:36">
      <c r="B552" s="203">
        <v>2180</v>
      </c>
      <c r="C552" s="207">
        <v>125537</v>
      </c>
      <c r="D552" s="203" t="s">
        <v>97</v>
      </c>
      <c r="E552" s="202" t="s">
        <v>2346</v>
      </c>
      <c r="F552" s="203">
        <v>10</v>
      </c>
      <c r="G552" s="202"/>
      <c r="H552" s="202"/>
      <c r="I552" s="202"/>
      <c r="J552" s="202">
        <v>0</v>
      </c>
      <c r="K552" s="202" t="s">
        <v>2041</v>
      </c>
      <c r="L552" s="202"/>
      <c r="M552" s="202" t="s">
        <v>1454</v>
      </c>
      <c r="N552" s="206">
        <v>42262</v>
      </c>
      <c r="O552" s="206">
        <v>42262</v>
      </c>
      <c r="P552" s="202" t="s">
        <v>2345</v>
      </c>
      <c r="Q552" s="203">
        <v>1200</v>
      </c>
      <c r="R552" s="203">
        <v>14050</v>
      </c>
      <c r="S552" s="204">
        <v>55700</v>
      </c>
      <c r="T552" s="203">
        <v>14056</v>
      </c>
      <c r="U552" s="204">
        <v>31331.27</v>
      </c>
      <c r="V552" s="204">
        <f t="shared" si="20"/>
        <v>24368.73</v>
      </c>
      <c r="W552" s="205">
        <v>1934.03</v>
      </c>
      <c r="X552" s="203">
        <v>54260</v>
      </c>
      <c r="Y552" s="204">
        <v>386.81</v>
      </c>
      <c r="Z552" s="202" t="s">
        <v>97</v>
      </c>
      <c r="AA552" s="202"/>
      <c r="AB552" s="202">
        <v>112699</v>
      </c>
      <c r="AC552" s="202"/>
      <c r="AD552" s="202" t="s">
        <v>1152</v>
      </c>
      <c r="AE552" s="202" t="s">
        <v>1153</v>
      </c>
      <c r="AF552" s="203" t="s">
        <v>1154</v>
      </c>
      <c r="AG552" s="202"/>
      <c r="AH552" s="203" t="s">
        <v>1155</v>
      </c>
      <c r="AI552" s="202">
        <v>0</v>
      </c>
      <c r="AJ552" s="202">
        <v>0</v>
      </c>
    </row>
    <row r="553" spans="2:36">
      <c r="B553" s="203">
        <v>2180</v>
      </c>
      <c r="C553" s="207">
        <v>125536</v>
      </c>
      <c r="D553" s="203" t="s">
        <v>97</v>
      </c>
      <c r="E553" s="202" t="s">
        <v>2344</v>
      </c>
      <c r="F553" s="203">
        <v>10</v>
      </c>
      <c r="G553" s="202"/>
      <c r="H553" s="202"/>
      <c r="I553" s="202"/>
      <c r="J553" s="202">
        <v>0</v>
      </c>
      <c r="K553" s="202" t="s">
        <v>2041</v>
      </c>
      <c r="L553" s="202"/>
      <c r="M553" s="202" t="s">
        <v>1462</v>
      </c>
      <c r="N553" s="206">
        <v>42262</v>
      </c>
      <c r="O553" s="206">
        <v>42262</v>
      </c>
      <c r="P553" s="202" t="s">
        <v>2333</v>
      </c>
      <c r="Q553" s="203">
        <v>1200</v>
      </c>
      <c r="R553" s="203">
        <v>14050</v>
      </c>
      <c r="S553" s="204">
        <v>4732.8</v>
      </c>
      <c r="T553" s="203">
        <v>14056</v>
      </c>
      <c r="U553" s="204">
        <v>2662.2</v>
      </c>
      <c r="V553" s="204">
        <f t="shared" si="20"/>
        <v>2070.6000000000004</v>
      </c>
      <c r="W553" s="205">
        <v>164.33</v>
      </c>
      <c r="X553" s="203">
        <v>54260</v>
      </c>
      <c r="Y553" s="204">
        <v>32.86</v>
      </c>
      <c r="Z553" s="202" t="s">
        <v>97</v>
      </c>
      <c r="AA553" s="202"/>
      <c r="AB553" s="202">
        <v>112700</v>
      </c>
      <c r="AC553" s="202"/>
      <c r="AD553" s="202" t="s">
        <v>1152</v>
      </c>
      <c r="AE553" s="202" t="s">
        <v>1153</v>
      </c>
      <c r="AF553" s="203" t="s">
        <v>1154</v>
      </c>
      <c r="AG553" s="202"/>
      <c r="AH553" s="203" t="s">
        <v>1155</v>
      </c>
      <c r="AI553" s="202">
        <v>0</v>
      </c>
      <c r="AJ553" s="202">
        <v>0</v>
      </c>
    </row>
    <row r="554" spans="2:36">
      <c r="B554" s="203">
        <v>2180</v>
      </c>
      <c r="C554" s="207">
        <v>125423</v>
      </c>
      <c r="D554" s="203" t="s">
        <v>97</v>
      </c>
      <c r="E554" s="202" t="s">
        <v>2343</v>
      </c>
      <c r="F554" s="203">
        <v>624</v>
      </c>
      <c r="G554" s="202"/>
      <c r="H554" s="202"/>
      <c r="I554" s="202"/>
      <c r="J554" s="202">
        <v>0</v>
      </c>
      <c r="K554" s="202" t="s">
        <v>2318</v>
      </c>
      <c r="L554" s="202"/>
      <c r="M554" s="202"/>
      <c r="N554" s="206">
        <v>42237</v>
      </c>
      <c r="O554" s="206">
        <v>42237</v>
      </c>
      <c r="P554" s="202" t="s">
        <v>2285</v>
      </c>
      <c r="Q554" s="203">
        <v>700</v>
      </c>
      <c r="R554" s="203">
        <v>14050</v>
      </c>
      <c r="S554" s="204">
        <v>30890.5</v>
      </c>
      <c r="T554" s="203">
        <v>14056</v>
      </c>
      <c r="U554" s="204">
        <v>29787.279999999999</v>
      </c>
      <c r="V554" s="204">
        <f t="shared" si="20"/>
        <v>1103.2200000000012</v>
      </c>
      <c r="W554" s="205">
        <v>1838.72</v>
      </c>
      <c r="X554" s="203">
        <v>54260</v>
      </c>
      <c r="Y554" s="204">
        <v>367.74</v>
      </c>
      <c r="Z554" s="202" t="s">
        <v>97</v>
      </c>
      <c r="AA554" s="202"/>
      <c r="AB554" s="202">
        <v>65379585</v>
      </c>
      <c r="AC554" s="202"/>
      <c r="AD554" s="202" t="s">
        <v>1152</v>
      </c>
      <c r="AE554" s="202" t="s">
        <v>1153</v>
      </c>
      <c r="AF554" s="203" t="s">
        <v>1154</v>
      </c>
      <c r="AG554" s="202"/>
      <c r="AH554" s="203" t="s">
        <v>1155</v>
      </c>
      <c r="AI554" s="202">
        <v>0</v>
      </c>
      <c r="AJ554" s="202">
        <v>0</v>
      </c>
    </row>
    <row r="555" spans="2:36">
      <c r="B555" s="203">
        <v>2180</v>
      </c>
      <c r="C555" s="207">
        <v>125040</v>
      </c>
      <c r="D555" s="203" t="s">
        <v>97</v>
      </c>
      <c r="E555" s="202" t="s">
        <v>2342</v>
      </c>
      <c r="F555" s="203"/>
      <c r="G555" s="202"/>
      <c r="H555" s="202">
        <v>56213147</v>
      </c>
      <c r="I555" s="202"/>
      <c r="J555" s="202">
        <v>2004</v>
      </c>
      <c r="K555" s="202" t="s">
        <v>2341</v>
      </c>
      <c r="L555" s="202" t="s">
        <v>2340</v>
      </c>
      <c r="M555" s="202" t="s">
        <v>2339</v>
      </c>
      <c r="N555" s="206">
        <v>42208</v>
      </c>
      <c r="O555" s="206">
        <v>42208</v>
      </c>
      <c r="P555" s="202" t="s">
        <v>2338</v>
      </c>
      <c r="Q555" s="203">
        <v>300</v>
      </c>
      <c r="R555" s="203">
        <v>14030</v>
      </c>
      <c r="S555" s="204">
        <v>25833</v>
      </c>
      <c r="T555" s="203">
        <v>14036</v>
      </c>
      <c r="U555" s="204">
        <v>25833</v>
      </c>
      <c r="V555" s="204">
        <f t="shared" si="20"/>
        <v>0</v>
      </c>
      <c r="W555" s="205">
        <v>0</v>
      </c>
      <c r="X555" s="203">
        <v>51260</v>
      </c>
      <c r="Y555" s="204">
        <v>0</v>
      </c>
      <c r="Z555" s="202" t="s">
        <v>97</v>
      </c>
      <c r="AA555" s="202"/>
      <c r="AB555" s="202">
        <v>56213147</v>
      </c>
      <c r="AC555" s="202">
        <v>7366</v>
      </c>
      <c r="AD555" s="202" t="s">
        <v>1152</v>
      </c>
      <c r="AE555" s="202" t="s">
        <v>1153</v>
      </c>
      <c r="AF555" s="203" t="s">
        <v>1154</v>
      </c>
      <c r="AG555" s="202"/>
      <c r="AH555" s="203" t="s">
        <v>1155</v>
      </c>
      <c r="AI555" s="202">
        <v>0</v>
      </c>
      <c r="AJ555" s="202">
        <v>0</v>
      </c>
    </row>
    <row r="556" spans="2:36">
      <c r="B556" s="203">
        <v>2180</v>
      </c>
      <c r="C556" s="207">
        <v>124722</v>
      </c>
      <c r="D556" s="203" t="s">
        <v>97</v>
      </c>
      <c r="E556" s="202" t="s">
        <v>2337</v>
      </c>
      <c r="F556" s="203">
        <v>624</v>
      </c>
      <c r="G556" s="202"/>
      <c r="H556" s="202"/>
      <c r="I556" s="202"/>
      <c r="J556" s="202">
        <v>0</v>
      </c>
      <c r="K556" s="202" t="s">
        <v>2318</v>
      </c>
      <c r="L556" s="202"/>
      <c r="M556" s="202"/>
      <c r="N556" s="206">
        <v>42227</v>
      </c>
      <c r="O556" s="206">
        <v>42227</v>
      </c>
      <c r="P556" s="202" t="s">
        <v>2285</v>
      </c>
      <c r="Q556" s="203">
        <v>700</v>
      </c>
      <c r="R556" s="203">
        <v>14050</v>
      </c>
      <c r="S556" s="204">
        <v>34841.589999999997</v>
      </c>
      <c r="T556" s="203">
        <v>14056</v>
      </c>
      <c r="U556" s="204">
        <v>34012.01</v>
      </c>
      <c r="V556" s="204">
        <f t="shared" si="20"/>
        <v>829.57999999999447</v>
      </c>
      <c r="W556" s="205">
        <v>2073.94</v>
      </c>
      <c r="X556" s="203">
        <v>54260</v>
      </c>
      <c r="Y556" s="204">
        <v>414.79</v>
      </c>
      <c r="Z556" s="202" t="s">
        <v>97</v>
      </c>
      <c r="AA556" s="202"/>
      <c r="AB556" s="202">
        <v>65378523</v>
      </c>
      <c r="AC556" s="202"/>
      <c r="AD556" s="202" t="s">
        <v>1152</v>
      </c>
      <c r="AE556" s="202" t="s">
        <v>1153</v>
      </c>
      <c r="AF556" s="203" t="s">
        <v>1154</v>
      </c>
      <c r="AG556" s="202"/>
      <c r="AH556" s="203" t="s">
        <v>1155</v>
      </c>
      <c r="AI556" s="202">
        <v>0</v>
      </c>
      <c r="AJ556" s="202">
        <v>0</v>
      </c>
    </row>
    <row r="557" spans="2:36">
      <c r="B557" s="203">
        <v>2180</v>
      </c>
      <c r="C557" s="207">
        <v>124608</v>
      </c>
      <c r="D557" s="203" t="s">
        <v>97</v>
      </c>
      <c r="E557" s="202" t="s">
        <v>2336</v>
      </c>
      <c r="F557" s="203">
        <v>8</v>
      </c>
      <c r="G557" s="202"/>
      <c r="H557" s="202"/>
      <c r="I557" s="202"/>
      <c r="J557" s="202">
        <v>0</v>
      </c>
      <c r="K557" s="202" t="s">
        <v>2041</v>
      </c>
      <c r="L557" s="202"/>
      <c r="M557" s="202" t="s">
        <v>1462</v>
      </c>
      <c r="N557" s="206">
        <v>42216</v>
      </c>
      <c r="O557" s="206">
        <v>42216</v>
      </c>
      <c r="P557" s="202" t="s">
        <v>2333</v>
      </c>
      <c r="Q557" s="203">
        <v>1200</v>
      </c>
      <c r="R557" s="203">
        <v>14050</v>
      </c>
      <c r="S557" s="204">
        <v>5624.96</v>
      </c>
      <c r="T557" s="203">
        <v>14056</v>
      </c>
      <c r="U557" s="204">
        <v>3203.05</v>
      </c>
      <c r="V557" s="204">
        <f t="shared" si="20"/>
        <v>2421.91</v>
      </c>
      <c r="W557" s="205">
        <v>195.31</v>
      </c>
      <c r="X557" s="203">
        <v>54260</v>
      </c>
      <c r="Y557" s="204">
        <v>39.06</v>
      </c>
      <c r="Z557" s="202" t="s">
        <v>97</v>
      </c>
      <c r="AA557" s="202"/>
      <c r="AB557" s="202">
        <v>110676</v>
      </c>
      <c r="AC557" s="202"/>
      <c r="AD557" s="202" t="s">
        <v>1152</v>
      </c>
      <c r="AE557" s="202" t="s">
        <v>1153</v>
      </c>
      <c r="AF557" s="203" t="s">
        <v>1154</v>
      </c>
      <c r="AG557" s="202"/>
      <c r="AH557" s="203" t="s">
        <v>1155</v>
      </c>
      <c r="AI557" s="202">
        <v>0</v>
      </c>
      <c r="AJ557" s="202">
        <v>0</v>
      </c>
    </row>
    <row r="558" spans="2:36">
      <c r="B558" s="203">
        <v>2180</v>
      </c>
      <c r="C558" s="207">
        <v>124560</v>
      </c>
      <c r="D558" s="203" t="s">
        <v>97</v>
      </c>
      <c r="E558" s="202" t="s">
        <v>2335</v>
      </c>
      <c r="F558" s="203">
        <v>1</v>
      </c>
      <c r="G558" s="202"/>
      <c r="H558" s="202"/>
      <c r="I558" s="202"/>
      <c r="J558" s="202">
        <v>0</v>
      </c>
      <c r="K558" s="202" t="s">
        <v>2041</v>
      </c>
      <c r="L558" s="202"/>
      <c r="M558" s="202" t="s">
        <v>1421</v>
      </c>
      <c r="N558" s="206">
        <v>42209</v>
      </c>
      <c r="O558" s="206">
        <v>42209</v>
      </c>
      <c r="P558" s="202" t="s">
        <v>2333</v>
      </c>
      <c r="Q558" s="203">
        <v>1200</v>
      </c>
      <c r="R558" s="203">
        <v>14050</v>
      </c>
      <c r="S558" s="204">
        <v>571.20000000000005</v>
      </c>
      <c r="T558" s="203">
        <v>14056</v>
      </c>
      <c r="U558" s="204">
        <v>325.26</v>
      </c>
      <c r="V558" s="204">
        <f t="shared" si="20"/>
        <v>245.94000000000005</v>
      </c>
      <c r="W558" s="205">
        <v>19.829999999999998</v>
      </c>
      <c r="X558" s="203">
        <v>54260</v>
      </c>
      <c r="Y558" s="204">
        <v>3.96</v>
      </c>
      <c r="Z558" s="202" t="s">
        <v>97</v>
      </c>
      <c r="AA558" s="202"/>
      <c r="AB558" s="202">
        <v>110874</v>
      </c>
      <c r="AC558" s="202"/>
      <c r="AD558" s="202" t="s">
        <v>1152</v>
      </c>
      <c r="AE558" s="202" t="s">
        <v>1153</v>
      </c>
      <c r="AF558" s="203" t="s">
        <v>1154</v>
      </c>
      <c r="AG558" s="202"/>
      <c r="AH558" s="203" t="s">
        <v>1155</v>
      </c>
      <c r="AI558" s="202">
        <v>0</v>
      </c>
      <c r="AJ558" s="202">
        <v>0</v>
      </c>
    </row>
    <row r="559" spans="2:36">
      <c r="B559" s="203">
        <v>2180</v>
      </c>
      <c r="C559" s="207">
        <v>124559</v>
      </c>
      <c r="D559" s="203" t="s">
        <v>97</v>
      </c>
      <c r="E559" s="202" t="s">
        <v>2334</v>
      </c>
      <c r="F559" s="203">
        <v>10</v>
      </c>
      <c r="G559" s="202"/>
      <c r="H559" s="202"/>
      <c r="I559" s="202"/>
      <c r="J559" s="202">
        <v>0</v>
      </c>
      <c r="K559" s="202" t="s">
        <v>2041</v>
      </c>
      <c r="L559" s="202"/>
      <c r="M559" s="202" t="s">
        <v>1456</v>
      </c>
      <c r="N559" s="206">
        <v>42209</v>
      </c>
      <c r="O559" s="206">
        <v>42209</v>
      </c>
      <c r="P559" s="202" t="s">
        <v>2333</v>
      </c>
      <c r="Q559" s="203">
        <v>1200</v>
      </c>
      <c r="R559" s="203">
        <v>14050</v>
      </c>
      <c r="S559" s="204">
        <v>8997.76</v>
      </c>
      <c r="T559" s="203">
        <v>14056</v>
      </c>
      <c r="U559" s="204">
        <v>5123.7</v>
      </c>
      <c r="V559" s="204">
        <f t="shared" si="20"/>
        <v>3874.0600000000004</v>
      </c>
      <c r="W559" s="205">
        <v>312.42</v>
      </c>
      <c r="X559" s="203">
        <v>54260</v>
      </c>
      <c r="Y559" s="204">
        <v>62.48</v>
      </c>
      <c r="Z559" s="202" t="s">
        <v>97</v>
      </c>
      <c r="AA559" s="202"/>
      <c r="AB559" s="202">
        <v>110677</v>
      </c>
      <c r="AC559" s="202"/>
      <c r="AD559" s="202" t="s">
        <v>1152</v>
      </c>
      <c r="AE559" s="202" t="s">
        <v>1153</v>
      </c>
      <c r="AF559" s="203" t="s">
        <v>1154</v>
      </c>
      <c r="AG559" s="202"/>
      <c r="AH559" s="203" t="s">
        <v>1155</v>
      </c>
      <c r="AI559" s="202">
        <v>0</v>
      </c>
      <c r="AJ559" s="202">
        <v>0</v>
      </c>
    </row>
    <row r="560" spans="2:36">
      <c r="B560" s="203">
        <v>2180</v>
      </c>
      <c r="C560" s="207">
        <v>124285</v>
      </c>
      <c r="D560" s="203" t="s">
        <v>97</v>
      </c>
      <c r="E560" s="202" t="s">
        <v>2332</v>
      </c>
      <c r="F560" s="203"/>
      <c r="G560" s="202"/>
      <c r="H560" s="202"/>
      <c r="I560" s="202"/>
      <c r="J560" s="202">
        <v>0</v>
      </c>
      <c r="K560" s="202" t="s">
        <v>1429</v>
      </c>
      <c r="L560" s="202"/>
      <c r="M560" s="202"/>
      <c r="N560" s="206">
        <v>42201</v>
      </c>
      <c r="O560" s="206">
        <v>42201</v>
      </c>
      <c r="P560" s="202" t="s">
        <v>2331</v>
      </c>
      <c r="Q560" s="203">
        <v>300</v>
      </c>
      <c r="R560" s="203">
        <v>14110</v>
      </c>
      <c r="S560" s="204">
        <v>1034.5999999999999</v>
      </c>
      <c r="T560" s="203">
        <v>14116</v>
      </c>
      <c r="U560" s="204">
        <v>1034.5999999999999</v>
      </c>
      <c r="V560" s="204">
        <f t="shared" si="20"/>
        <v>0</v>
      </c>
      <c r="W560" s="205">
        <v>0</v>
      </c>
      <c r="X560" s="203">
        <v>70260</v>
      </c>
      <c r="Y560" s="204">
        <v>0</v>
      </c>
      <c r="Z560" s="202" t="s">
        <v>97</v>
      </c>
      <c r="AA560" s="202"/>
      <c r="AB560" s="202" t="s">
        <v>2330</v>
      </c>
      <c r="AC560" s="202"/>
      <c r="AD560" s="202" t="s">
        <v>1152</v>
      </c>
      <c r="AE560" s="202" t="s">
        <v>1153</v>
      </c>
      <c r="AF560" s="203" t="s">
        <v>1154</v>
      </c>
      <c r="AG560" s="202"/>
      <c r="AH560" s="203" t="s">
        <v>1155</v>
      </c>
      <c r="AI560" s="202">
        <v>0</v>
      </c>
      <c r="AJ560" s="202">
        <v>0</v>
      </c>
    </row>
    <row r="561" spans="2:36">
      <c r="B561" s="203">
        <v>2180</v>
      </c>
      <c r="C561" s="207">
        <v>124224</v>
      </c>
      <c r="D561" s="203">
        <v>122561</v>
      </c>
      <c r="E561" s="202" t="s">
        <v>2329</v>
      </c>
      <c r="F561" s="203"/>
      <c r="G561" s="202"/>
      <c r="H561" s="202"/>
      <c r="I561" s="202"/>
      <c r="J561" s="202">
        <v>0</v>
      </c>
      <c r="K561" s="202" t="s">
        <v>2138</v>
      </c>
      <c r="L561" s="202"/>
      <c r="M561" s="202" t="s">
        <v>1158</v>
      </c>
      <c r="N561" s="206">
        <v>42154</v>
      </c>
      <c r="O561" s="206">
        <v>42154</v>
      </c>
      <c r="P561" s="202" t="s">
        <v>2289</v>
      </c>
      <c r="Q561" s="203">
        <v>1000</v>
      </c>
      <c r="R561" s="203">
        <v>14040</v>
      </c>
      <c r="S561" s="204">
        <v>5973.14</v>
      </c>
      <c r="T561" s="203">
        <v>14046</v>
      </c>
      <c r="U561" s="204">
        <v>4181.17</v>
      </c>
      <c r="V561" s="204">
        <f t="shared" si="20"/>
        <v>1791.9700000000003</v>
      </c>
      <c r="W561" s="205">
        <v>248.88</v>
      </c>
      <c r="X561" s="203">
        <v>51260</v>
      </c>
      <c r="Y561" s="204">
        <v>49.78</v>
      </c>
      <c r="Z561" s="202" t="s">
        <v>97</v>
      </c>
      <c r="AA561" s="202"/>
      <c r="AB561" s="202">
        <v>96544</v>
      </c>
      <c r="AC561" s="202"/>
      <c r="AD561" s="202" t="s">
        <v>1152</v>
      </c>
      <c r="AE561" s="202" t="s">
        <v>1153</v>
      </c>
      <c r="AF561" s="203" t="s">
        <v>1154</v>
      </c>
      <c r="AG561" s="202"/>
      <c r="AH561" s="203" t="s">
        <v>1155</v>
      </c>
      <c r="AI561" s="202">
        <v>0</v>
      </c>
      <c r="AJ561" s="202">
        <v>0</v>
      </c>
    </row>
    <row r="562" spans="2:36">
      <c r="B562" s="203">
        <v>2180</v>
      </c>
      <c r="C562" s="207">
        <v>123931</v>
      </c>
      <c r="D562" s="203" t="s">
        <v>97</v>
      </c>
      <c r="E562" s="202" t="s">
        <v>2316</v>
      </c>
      <c r="F562" s="203">
        <v>864</v>
      </c>
      <c r="G562" s="202"/>
      <c r="H562" s="202"/>
      <c r="I562" s="202"/>
      <c r="J562" s="202">
        <v>0</v>
      </c>
      <c r="K562" s="202" t="s">
        <v>2318</v>
      </c>
      <c r="L562" s="202"/>
      <c r="M562" s="202"/>
      <c r="N562" s="206">
        <v>42195</v>
      </c>
      <c r="O562" s="206">
        <v>42195</v>
      </c>
      <c r="P562" s="202" t="s">
        <v>2314</v>
      </c>
      <c r="Q562" s="203">
        <v>700</v>
      </c>
      <c r="R562" s="203">
        <v>14050</v>
      </c>
      <c r="S562" s="204">
        <v>37601.279999999999</v>
      </c>
      <c r="T562" s="203">
        <v>14056</v>
      </c>
      <c r="U562" s="204">
        <v>37153.65</v>
      </c>
      <c r="V562" s="204">
        <f t="shared" si="20"/>
        <v>447.62999999999738</v>
      </c>
      <c r="W562" s="205">
        <v>2238.1799999999998</v>
      </c>
      <c r="X562" s="203">
        <v>54260</v>
      </c>
      <c r="Y562" s="204">
        <v>447.64</v>
      </c>
      <c r="Z562" s="202" t="s">
        <v>97</v>
      </c>
      <c r="AA562" s="202"/>
      <c r="AB562" s="202">
        <v>65374787</v>
      </c>
      <c r="AC562" s="202"/>
      <c r="AD562" s="202" t="s">
        <v>1152</v>
      </c>
      <c r="AE562" s="202" t="s">
        <v>1153</v>
      </c>
      <c r="AF562" s="203" t="s">
        <v>1154</v>
      </c>
      <c r="AG562" s="202"/>
      <c r="AH562" s="203" t="s">
        <v>1155</v>
      </c>
      <c r="AI562" s="202">
        <v>0</v>
      </c>
      <c r="AJ562" s="202">
        <v>0</v>
      </c>
    </row>
    <row r="563" spans="2:36">
      <c r="B563" s="203">
        <v>2180</v>
      </c>
      <c r="C563" s="207">
        <v>123708</v>
      </c>
      <c r="D563" s="203" t="s">
        <v>97</v>
      </c>
      <c r="E563" s="202" t="s">
        <v>2316</v>
      </c>
      <c r="F563" s="203">
        <v>864</v>
      </c>
      <c r="G563" s="202"/>
      <c r="H563" s="202"/>
      <c r="I563" s="202"/>
      <c r="J563" s="202">
        <v>0</v>
      </c>
      <c r="K563" s="202" t="s">
        <v>2318</v>
      </c>
      <c r="L563" s="202"/>
      <c r="M563" s="202"/>
      <c r="N563" s="206">
        <v>42187</v>
      </c>
      <c r="O563" s="206">
        <v>42187</v>
      </c>
      <c r="P563" s="202" t="s">
        <v>2314</v>
      </c>
      <c r="Q563" s="203">
        <v>700</v>
      </c>
      <c r="R563" s="203">
        <v>14050</v>
      </c>
      <c r="S563" s="204">
        <v>41476.04</v>
      </c>
      <c r="T563" s="203">
        <v>14056</v>
      </c>
      <c r="U563" s="204">
        <v>40982.300000000003</v>
      </c>
      <c r="V563" s="204">
        <f t="shared" si="20"/>
        <v>493.73999999999796</v>
      </c>
      <c r="W563" s="205">
        <v>2468.8200000000002</v>
      </c>
      <c r="X563" s="203">
        <v>54260</v>
      </c>
      <c r="Y563" s="204">
        <v>493.77</v>
      </c>
      <c r="Z563" s="202" t="s">
        <v>97</v>
      </c>
      <c r="AA563" s="202"/>
      <c r="AB563" s="202">
        <v>65374415</v>
      </c>
      <c r="AC563" s="202"/>
      <c r="AD563" s="202" t="s">
        <v>1152</v>
      </c>
      <c r="AE563" s="202" t="s">
        <v>1153</v>
      </c>
      <c r="AF563" s="203" t="s">
        <v>1154</v>
      </c>
      <c r="AG563" s="202"/>
      <c r="AH563" s="203" t="s">
        <v>1155</v>
      </c>
      <c r="AI563" s="202">
        <v>0</v>
      </c>
      <c r="AJ563" s="202">
        <v>0</v>
      </c>
    </row>
    <row r="564" spans="2:36">
      <c r="B564" s="203">
        <v>2180</v>
      </c>
      <c r="C564" s="207">
        <v>123629</v>
      </c>
      <c r="D564" s="203" t="s">
        <v>97</v>
      </c>
      <c r="E564" s="202" t="s">
        <v>2328</v>
      </c>
      <c r="F564" s="203"/>
      <c r="G564" s="202"/>
      <c r="H564" s="202" t="s">
        <v>2327</v>
      </c>
      <c r="I564" s="202"/>
      <c r="J564" s="202">
        <v>2016</v>
      </c>
      <c r="K564" s="202" t="s">
        <v>2290</v>
      </c>
      <c r="L564" s="202" t="s">
        <v>1830</v>
      </c>
      <c r="M564" s="202" t="s">
        <v>1824</v>
      </c>
      <c r="N564" s="206">
        <v>42185</v>
      </c>
      <c r="O564" s="206">
        <v>42185</v>
      </c>
      <c r="P564" s="202" t="s">
        <v>2326</v>
      </c>
      <c r="Q564" s="203">
        <v>1000</v>
      </c>
      <c r="R564" s="203">
        <v>14040</v>
      </c>
      <c r="S564" s="204">
        <v>202299.47</v>
      </c>
      <c r="T564" s="203">
        <v>14046</v>
      </c>
      <c r="U564" s="204">
        <v>139923.82</v>
      </c>
      <c r="V564" s="204">
        <f t="shared" si="20"/>
        <v>62375.649999999994</v>
      </c>
      <c r="W564" s="205">
        <v>8429.15</v>
      </c>
      <c r="X564" s="203">
        <v>51260</v>
      </c>
      <c r="Y564" s="204">
        <v>1685.83</v>
      </c>
      <c r="Z564" s="202" t="s">
        <v>97</v>
      </c>
      <c r="AA564" s="202"/>
      <c r="AB564" s="202" t="s">
        <v>2325</v>
      </c>
      <c r="AC564" s="202">
        <v>4075</v>
      </c>
      <c r="AD564" s="202" t="s">
        <v>1152</v>
      </c>
      <c r="AE564" s="202" t="s">
        <v>1153</v>
      </c>
      <c r="AF564" s="203" t="s">
        <v>1154</v>
      </c>
      <c r="AG564" s="208">
        <v>42185</v>
      </c>
      <c r="AH564" s="203" t="s">
        <v>1155</v>
      </c>
      <c r="AI564" s="202">
        <v>0</v>
      </c>
      <c r="AJ564" s="202">
        <v>0</v>
      </c>
    </row>
    <row r="565" spans="2:36">
      <c r="B565" s="203">
        <v>2180</v>
      </c>
      <c r="C565" s="207">
        <v>123428</v>
      </c>
      <c r="D565" s="203" t="s">
        <v>97</v>
      </c>
      <c r="E565" s="202" t="s">
        <v>2324</v>
      </c>
      <c r="F565" s="203"/>
      <c r="G565" s="202"/>
      <c r="H565" s="202" t="s">
        <v>2323</v>
      </c>
      <c r="I565" s="202"/>
      <c r="J565" s="202">
        <v>2007</v>
      </c>
      <c r="K565" s="202" t="s">
        <v>1719</v>
      </c>
      <c r="L565" s="202" t="s">
        <v>1719</v>
      </c>
      <c r="M565" s="202" t="s">
        <v>1412</v>
      </c>
      <c r="N565" s="206">
        <v>42150</v>
      </c>
      <c r="O565" s="206">
        <v>42150</v>
      </c>
      <c r="P565" s="202" t="s">
        <v>2322</v>
      </c>
      <c r="Q565" s="203">
        <v>300</v>
      </c>
      <c r="R565" s="203">
        <v>14030</v>
      </c>
      <c r="S565" s="204">
        <v>31902.34</v>
      </c>
      <c r="T565" s="203">
        <v>14036</v>
      </c>
      <c r="U565" s="204">
        <v>31902.34</v>
      </c>
      <c r="V565" s="204">
        <f t="shared" si="20"/>
        <v>0</v>
      </c>
      <c r="W565" s="205">
        <v>0</v>
      </c>
      <c r="X565" s="203">
        <v>51260</v>
      </c>
      <c r="Y565" s="204">
        <v>0</v>
      </c>
      <c r="Z565" s="202" t="s">
        <v>97</v>
      </c>
      <c r="AA565" s="202"/>
      <c r="AB565" s="202" t="s">
        <v>2321</v>
      </c>
      <c r="AC565" s="202">
        <v>7049</v>
      </c>
      <c r="AD565" s="202" t="s">
        <v>1152</v>
      </c>
      <c r="AE565" s="202" t="s">
        <v>1153</v>
      </c>
      <c r="AF565" s="203" t="s">
        <v>1154</v>
      </c>
      <c r="AG565" s="202"/>
      <c r="AH565" s="203" t="s">
        <v>1155</v>
      </c>
      <c r="AI565" s="202">
        <v>0</v>
      </c>
      <c r="AJ565" s="202">
        <v>0</v>
      </c>
    </row>
    <row r="566" spans="2:36">
      <c r="B566" s="203">
        <v>2180</v>
      </c>
      <c r="C566" s="207">
        <v>123337</v>
      </c>
      <c r="D566" s="203" t="s">
        <v>97</v>
      </c>
      <c r="E566" s="202" t="s">
        <v>2320</v>
      </c>
      <c r="F566" s="203">
        <v>624</v>
      </c>
      <c r="G566" s="202"/>
      <c r="H566" s="202"/>
      <c r="I566" s="202"/>
      <c r="J566" s="202">
        <v>0</v>
      </c>
      <c r="K566" s="202" t="s">
        <v>2318</v>
      </c>
      <c r="L566" s="202"/>
      <c r="M566" s="202"/>
      <c r="N566" s="206">
        <v>42139</v>
      </c>
      <c r="O566" s="206">
        <v>42139</v>
      </c>
      <c r="P566" s="202" t="s">
        <v>2307</v>
      </c>
      <c r="Q566" s="203">
        <v>700</v>
      </c>
      <c r="R566" s="203">
        <v>14050</v>
      </c>
      <c r="S566" s="204">
        <v>32729.22</v>
      </c>
      <c r="T566" s="203">
        <v>14056</v>
      </c>
      <c r="U566" s="204">
        <v>32729.22</v>
      </c>
      <c r="V566" s="204">
        <f t="shared" si="20"/>
        <v>0</v>
      </c>
      <c r="W566" s="205">
        <v>1558.55</v>
      </c>
      <c r="X566" s="203">
        <v>54260</v>
      </c>
      <c r="Y566" s="204">
        <v>0</v>
      </c>
      <c r="Z566" s="202" t="s">
        <v>97</v>
      </c>
      <c r="AA566" s="202"/>
      <c r="AB566" s="202">
        <v>65367910</v>
      </c>
      <c r="AC566" s="202"/>
      <c r="AD566" s="202" t="s">
        <v>1152</v>
      </c>
      <c r="AE566" s="202" t="s">
        <v>1153</v>
      </c>
      <c r="AF566" s="203" t="s">
        <v>1154</v>
      </c>
      <c r="AG566" s="202"/>
      <c r="AH566" s="203" t="s">
        <v>1155</v>
      </c>
      <c r="AI566" s="202">
        <v>0</v>
      </c>
      <c r="AJ566" s="202">
        <v>0</v>
      </c>
    </row>
    <row r="567" spans="2:36">
      <c r="B567" s="203">
        <v>2180</v>
      </c>
      <c r="C567" s="207">
        <v>123336</v>
      </c>
      <c r="D567" s="203" t="s">
        <v>97</v>
      </c>
      <c r="E567" s="202" t="s">
        <v>2319</v>
      </c>
      <c r="F567" s="203">
        <v>912</v>
      </c>
      <c r="G567" s="202"/>
      <c r="H567" s="202"/>
      <c r="I567" s="202"/>
      <c r="J567" s="202">
        <v>0</v>
      </c>
      <c r="K567" s="202" t="s">
        <v>2318</v>
      </c>
      <c r="L567" s="202"/>
      <c r="M567" s="202"/>
      <c r="N567" s="206">
        <v>42173</v>
      </c>
      <c r="O567" s="206">
        <v>42173</v>
      </c>
      <c r="P567" s="202" t="s">
        <v>2317</v>
      </c>
      <c r="Q567" s="203">
        <v>700</v>
      </c>
      <c r="R567" s="203">
        <v>14050</v>
      </c>
      <c r="S567" s="204">
        <v>40129.97</v>
      </c>
      <c r="T567" s="203">
        <v>14056</v>
      </c>
      <c r="U567" s="204">
        <v>39652.230000000003</v>
      </c>
      <c r="V567" s="204">
        <f t="shared" si="20"/>
        <v>477.73999999999796</v>
      </c>
      <c r="W567" s="205">
        <v>2388.6999999999998</v>
      </c>
      <c r="X567" s="203">
        <v>54260</v>
      </c>
      <c r="Y567" s="204">
        <v>477.74</v>
      </c>
      <c r="Z567" s="202" t="s">
        <v>97</v>
      </c>
      <c r="AA567" s="202"/>
      <c r="AB567" s="202">
        <v>65372622</v>
      </c>
      <c r="AC567" s="202"/>
      <c r="AD567" s="202" t="s">
        <v>1152</v>
      </c>
      <c r="AE567" s="202" t="s">
        <v>1153</v>
      </c>
      <c r="AF567" s="203" t="s">
        <v>1154</v>
      </c>
      <c r="AG567" s="202"/>
      <c r="AH567" s="203" t="s">
        <v>1155</v>
      </c>
      <c r="AI567" s="202">
        <v>0</v>
      </c>
      <c r="AJ567" s="202">
        <v>0</v>
      </c>
    </row>
    <row r="568" spans="2:36">
      <c r="B568" s="203">
        <v>2180</v>
      </c>
      <c r="C568" s="207">
        <v>123335</v>
      </c>
      <c r="D568" s="203" t="s">
        <v>97</v>
      </c>
      <c r="E568" s="202" t="s">
        <v>2319</v>
      </c>
      <c r="F568" s="203">
        <v>912</v>
      </c>
      <c r="G568" s="202"/>
      <c r="H568" s="202"/>
      <c r="I568" s="202"/>
      <c r="J568" s="202">
        <v>0</v>
      </c>
      <c r="K568" s="202" t="s">
        <v>2318</v>
      </c>
      <c r="L568" s="202"/>
      <c r="M568" s="202"/>
      <c r="N568" s="206">
        <v>42168</v>
      </c>
      <c r="O568" s="206">
        <v>42168</v>
      </c>
      <c r="P568" s="202" t="s">
        <v>2317</v>
      </c>
      <c r="Q568" s="203">
        <v>700</v>
      </c>
      <c r="R568" s="203">
        <v>14050</v>
      </c>
      <c r="S568" s="204">
        <v>40129.97</v>
      </c>
      <c r="T568" s="203">
        <v>14056</v>
      </c>
      <c r="U568" s="204">
        <v>40129.97</v>
      </c>
      <c r="V568" s="204">
        <f t="shared" si="20"/>
        <v>0</v>
      </c>
      <c r="W568" s="205">
        <v>2388.6999999999998</v>
      </c>
      <c r="X568" s="203">
        <v>54260</v>
      </c>
      <c r="Y568" s="204">
        <v>477.74</v>
      </c>
      <c r="Z568" s="202" t="s">
        <v>97</v>
      </c>
      <c r="AA568" s="202"/>
      <c r="AB568" s="202">
        <v>65372257</v>
      </c>
      <c r="AC568" s="202"/>
      <c r="AD568" s="202" t="s">
        <v>1152</v>
      </c>
      <c r="AE568" s="202" t="s">
        <v>1153</v>
      </c>
      <c r="AF568" s="203" t="s">
        <v>1154</v>
      </c>
      <c r="AG568" s="202"/>
      <c r="AH568" s="203" t="s">
        <v>1155</v>
      </c>
      <c r="AI568" s="202">
        <v>0</v>
      </c>
      <c r="AJ568" s="202">
        <v>0</v>
      </c>
    </row>
    <row r="569" spans="2:36">
      <c r="B569" s="203">
        <v>2180</v>
      </c>
      <c r="C569" s="207">
        <v>123334</v>
      </c>
      <c r="D569" s="203" t="s">
        <v>97</v>
      </c>
      <c r="E569" s="202" t="s">
        <v>2319</v>
      </c>
      <c r="F569" s="203">
        <v>912</v>
      </c>
      <c r="G569" s="202"/>
      <c r="H569" s="202"/>
      <c r="I569" s="202"/>
      <c r="J569" s="202">
        <v>0</v>
      </c>
      <c r="K569" s="202" t="s">
        <v>2318</v>
      </c>
      <c r="L569" s="202"/>
      <c r="M569" s="202"/>
      <c r="N569" s="206">
        <v>42168</v>
      </c>
      <c r="O569" s="206">
        <v>42168</v>
      </c>
      <c r="P569" s="202" t="s">
        <v>2317</v>
      </c>
      <c r="Q569" s="203">
        <v>700</v>
      </c>
      <c r="R569" s="203">
        <v>14050</v>
      </c>
      <c r="S569" s="204">
        <v>40129.97</v>
      </c>
      <c r="T569" s="203">
        <v>14056</v>
      </c>
      <c r="U569" s="204">
        <v>40129.97</v>
      </c>
      <c r="V569" s="204">
        <f t="shared" si="20"/>
        <v>0</v>
      </c>
      <c r="W569" s="205">
        <v>2388.6999999999998</v>
      </c>
      <c r="X569" s="203">
        <v>54260</v>
      </c>
      <c r="Y569" s="204">
        <v>477.74</v>
      </c>
      <c r="Z569" s="202" t="s">
        <v>97</v>
      </c>
      <c r="AA569" s="202"/>
      <c r="AB569" s="202">
        <v>65372258</v>
      </c>
      <c r="AC569" s="202"/>
      <c r="AD569" s="202" t="s">
        <v>1152</v>
      </c>
      <c r="AE569" s="202" t="s">
        <v>1153</v>
      </c>
      <c r="AF569" s="203" t="s">
        <v>1154</v>
      </c>
      <c r="AG569" s="202"/>
      <c r="AH569" s="203" t="s">
        <v>1155</v>
      </c>
      <c r="AI569" s="202">
        <v>0</v>
      </c>
      <c r="AJ569" s="202">
        <v>0</v>
      </c>
    </row>
    <row r="570" spans="2:36">
      <c r="B570" s="203">
        <v>2180</v>
      </c>
      <c r="C570" s="207">
        <v>123333</v>
      </c>
      <c r="D570" s="203" t="s">
        <v>97</v>
      </c>
      <c r="E570" s="202" t="s">
        <v>2319</v>
      </c>
      <c r="F570" s="203">
        <v>912</v>
      </c>
      <c r="G570" s="202"/>
      <c r="H570" s="202"/>
      <c r="I570" s="202"/>
      <c r="J570" s="202">
        <v>0</v>
      </c>
      <c r="K570" s="202" t="s">
        <v>2318</v>
      </c>
      <c r="L570" s="202"/>
      <c r="M570" s="202"/>
      <c r="N570" s="206">
        <v>42168</v>
      </c>
      <c r="O570" s="206">
        <v>42168</v>
      </c>
      <c r="P570" s="202" t="s">
        <v>2317</v>
      </c>
      <c r="Q570" s="203">
        <v>700</v>
      </c>
      <c r="R570" s="203">
        <v>14050</v>
      </c>
      <c r="S570" s="204">
        <v>40129.97</v>
      </c>
      <c r="T570" s="203">
        <v>14056</v>
      </c>
      <c r="U570" s="204">
        <v>40129.97</v>
      </c>
      <c r="V570" s="204">
        <f t="shared" si="20"/>
        <v>0</v>
      </c>
      <c r="W570" s="205">
        <v>2388.6999999999998</v>
      </c>
      <c r="X570" s="203">
        <v>54260</v>
      </c>
      <c r="Y570" s="204">
        <v>477.74</v>
      </c>
      <c r="Z570" s="202" t="s">
        <v>97</v>
      </c>
      <c r="AA570" s="202"/>
      <c r="AB570" s="202">
        <v>65372277</v>
      </c>
      <c r="AC570" s="202"/>
      <c r="AD570" s="202" t="s">
        <v>1152</v>
      </c>
      <c r="AE570" s="202" t="s">
        <v>1153</v>
      </c>
      <c r="AF570" s="203" t="s">
        <v>1154</v>
      </c>
      <c r="AG570" s="202"/>
      <c r="AH570" s="203" t="s">
        <v>1155</v>
      </c>
      <c r="AI570" s="202">
        <v>0</v>
      </c>
      <c r="AJ570" s="202">
        <v>0</v>
      </c>
    </row>
    <row r="571" spans="2:36">
      <c r="B571" s="203">
        <v>2180</v>
      </c>
      <c r="C571" s="207">
        <v>123156</v>
      </c>
      <c r="D571" s="203" t="s">
        <v>97</v>
      </c>
      <c r="E571" s="202" t="s">
        <v>2316</v>
      </c>
      <c r="F571" s="203">
        <v>1440</v>
      </c>
      <c r="G571" s="202"/>
      <c r="H571" s="202"/>
      <c r="I571" s="202"/>
      <c r="J571" s="202">
        <v>0</v>
      </c>
      <c r="K571" s="202" t="s">
        <v>2315</v>
      </c>
      <c r="L571" s="202"/>
      <c r="M571" s="202"/>
      <c r="N571" s="206">
        <v>42109</v>
      </c>
      <c r="O571" s="206">
        <v>42109</v>
      </c>
      <c r="P571" s="202" t="s">
        <v>2314</v>
      </c>
      <c r="Q571" s="203">
        <v>700</v>
      </c>
      <c r="R571" s="203">
        <v>14050</v>
      </c>
      <c r="S571" s="204">
        <v>65323.519999999997</v>
      </c>
      <c r="T571" s="203">
        <v>14056</v>
      </c>
      <c r="U571" s="204">
        <v>65323.519999999997</v>
      </c>
      <c r="V571" s="204">
        <f t="shared" si="20"/>
        <v>0</v>
      </c>
      <c r="W571" s="205">
        <v>2332.9899999999998</v>
      </c>
      <c r="X571" s="203">
        <v>54260</v>
      </c>
      <c r="Y571" s="204">
        <v>0</v>
      </c>
      <c r="Z571" s="202" t="s">
        <v>97</v>
      </c>
      <c r="AA571" s="202"/>
      <c r="AB571" s="202">
        <v>5334121</v>
      </c>
      <c r="AC571" s="202"/>
      <c r="AD571" s="202" t="s">
        <v>1152</v>
      </c>
      <c r="AE571" s="202" t="s">
        <v>1153</v>
      </c>
      <c r="AF571" s="203" t="s">
        <v>1154</v>
      </c>
      <c r="AG571" s="202"/>
      <c r="AH571" s="203" t="s">
        <v>1155</v>
      </c>
      <c r="AI571" s="202">
        <v>0</v>
      </c>
      <c r="AJ571" s="202">
        <v>0</v>
      </c>
    </row>
    <row r="572" spans="2:36">
      <c r="B572" s="203">
        <v>2180</v>
      </c>
      <c r="C572" s="207">
        <v>123056</v>
      </c>
      <c r="D572" s="203" t="s">
        <v>97</v>
      </c>
      <c r="E572" s="202" t="s">
        <v>2313</v>
      </c>
      <c r="F572" s="203">
        <v>624</v>
      </c>
      <c r="G572" s="202"/>
      <c r="H572" s="202"/>
      <c r="I572" s="202"/>
      <c r="J572" s="202">
        <v>0</v>
      </c>
      <c r="K572" s="202" t="s">
        <v>2081</v>
      </c>
      <c r="L572" s="202"/>
      <c r="M572" s="202"/>
      <c r="N572" s="206">
        <v>42160</v>
      </c>
      <c r="O572" s="206">
        <v>42160</v>
      </c>
      <c r="P572" s="202" t="s">
        <v>2309</v>
      </c>
      <c r="Q572" s="203">
        <v>700</v>
      </c>
      <c r="R572" s="203">
        <v>14050</v>
      </c>
      <c r="S572" s="204">
        <v>32479.15</v>
      </c>
      <c r="T572" s="203">
        <v>14056</v>
      </c>
      <c r="U572" s="204">
        <v>32479.15</v>
      </c>
      <c r="V572" s="204">
        <f t="shared" si="20"/>
        <v>0</v>
      </c>
      <c r="W572" s="205">
        <v>1933.27</v>
      </c>
      <c r="X572" s="203">
        <v>54260</v>
      </c>
      <c r="Y572" s="204">
        <v>386.66</v>
      </c>
      <c r="Z572" s="202" t="s">
        <v>97</v>
      </c>
      <c r="AA572" s="202"/>
      <c r="AB572" s="202">
        <v>65371505</v>
      </c>
      <c r="AC572" s="202"/>
      <c r="AD572" s="202" t="s">
        <v>1152</v>
      </c>
      <c r="AE572" s="202" t="s">
        <v>1153</v>
      </c>
      <c r="AF572" s="203" t="s">
        <v>1154</v>
      </c>
      <c r="AG572" s="202"/>
      <c r="AH572" s="203" t="s">
        <v>1155</v>
      </c>
      <c r="AI572" s="202">
        <v>0</v>
      </c>
      <c r="AJ572" s="202">
        <v>0</v>
      </c>
    </row>
    <row r="573" spans="2:36">
      <c r="B573" s="203">
        <v>2180</v>
      </c>
      <c r="C573" s="207">
        <v>123055</v>
      </c>
      <c r="D573" s="203" t="s">
        <v>97</v>
      </c>
      <c r="E573" s="202" t="s">
        <v>2311</v>
      </c>
      <c r="F573" s="203">
        <v>624</v>
      </c>
      <c r="G573" s="202"/>
      <c r="H573" s="202"/>
      <c r="I573" s="202"/>
      <c r="J573" s="202">
        <v>0</v>
      </c>
      <c r="K573" s="202" t="s">
        <v>2081</v>
      </c>
      <c r="L573" s="202"/>
      <c r="M573" s="202"/>
      <c r="N573" s="206">
        <v>42160</v>
      </c>
      <c r="O573" s="206">
        <v>42160</v>
      </c>
      <c r="P573" s="202" t="s">
        <v>2309</v>
      </c>
      <c r="Q573" s="203">
        <v>700</v>
      </c>
      <c r="R573" s="203">
        <v>14050</v>
      </c>
      <c r="S573" s="204">
        <v>32479.15</v>
      </c>
      <c r="T573" s="203">
        <v>14056</v>
      </c>
      <c r="U573" s="204">
        <v>32479.15</v>
      </c>
      <c r="V573" s="204">
        <f t="shared" si="20"/>
        <v>0</v>
      </c>
      <c r="W573" s="205">
        <v>1933.27</v>
      </c>
      <c r="X573" s="203">
        <v>54260</v>
      </c>
      <c r="Y573" s="204">
        <v>386.66</v>
      </c>
      <c r="Z573" s="202" t="s">
        <v>97</v>
      </c>
      <c r="AA573" s="202"/>
      <c r="AB573" s="202">
        <v>65371601</v>
      </c>
      <c r="AC573" s="202"/>
      <c r="AD573" s="202" t="s">
        <v>1152</v>
      </c>
      <c r="AE573" s="202" t="s">
        <v>1153</v>
      </c>
      <c r="AF573" s="203" t="s">
        <v>1154</v>
      </c>
      <c r="AG573" s="202"/>
      <c r="AH573" s="203" t="s">
        <v>1155</v>
      </c>
      <c r="AI573" s="202">
        <v>0</v>
      </c>
      <c r="AJ573" s="202">
        <v>0</v>
      </c>
    </row>
    <row r="574" spans="2:36">
      <c r="B574" s="203">
        <v>2180</v>
      </c>
      <c r="C574" s="207">
        <v>123054</v>
      </c>
      <c r="D574" s="203" t="s">
        <v>97</v>
      </c>
      <c r="E574" s="202" t="s">
        <v>2312</v>
      </c>
      <c r="F574" s="203">
        <v>624</v>
      </c>
      <c r="G574" s="202"/>
      <c r="H574" s="202"/>
      <c r="I574" s="202"/>
      <c r="J574" s="202">
        <v>0</v>
      </c>
      <c r="K574" s="202" t="s">
        <v>2081</v>
      </c>
      <c r="L574" s="202"/>
      <c r="M574" s="202"/>
      <c r="N574" s="206">
        <v>42134</v>
      </c>
      <c r="O574" s="206">
        <v>42134</v>
      </c>
      <c r="P574" s="202" t="s">
        <v>2285</v>
      </c>
      <c r="Q574" s="203">
        <v>700</v>
      </c>
      <c r="R574" s="203">
        <v>14050</v>
      </c>
      <c r="S574" s="204">
        <v>32729.22</v>
      </c>
      <c r="T574" s="203">
        <v>14056</v>
      </c>
      <c r="U574" s="204">
        <v>32729.22</v>
      </c>
      <c r="V574" s="204">
        <f t="shared" si="20"/>
        <v>0</v>
      </c>
      <c r="W574" s="205">
        <v>1558.55</v>
      </c>
      <c r="X574" s="203">
        <v>54260</v>
      </c>
      <c r="Y574" s="204">
        <v>0</v>
      </c>
      <c r="Z574" s="202" t="s">
        <v>97</v>
      </c>
      <c r="AA574" s="202"/>
      <c r="AB574" s="202">
        <v>65368129</v>
      </c>
      <c r="AC574" s="202"/>
      <c r="AD574" s="202" t="s">
        <v>1152</v>
      </c>
      <c r="AE574" s="202" t="s">
        <v>1153</v>
      </c>
      <c r="AF574" s="203" t="s">
        <v>1154</v>
      </c>
      <c r="AG574" s="202"/>
      <c r="AH574" s="203" t="s">
        <v>1155</v>
      </c>
      <c r="AI574" s="202">
        <v>0</v>
      </c>
      <c r="AJ574" s="202">
        <v>0</v>
      </c>
    </row>
    <row r="575" spans="2:36">
      <c r="B575" s="203">
        <v>2180</v>
      </c>
      <c r="C575" s="207">
        <v>123053</v>
      </c>
      <c r="D575" s="203" t="s">
        <v>97</v>
      </c>
      <c r="E575" s="202" t="s">
        <v>2311</v>
      </c>
      <c r="F575" s="203">
        <v>624</v>
      </c>
      <c r="G575" s="202"/>
      <c r="H575" s="202"/>
      <c r="I575" s="202"/>
      <c r="J575" s="202">
        <v>0</v>
      </c>
      <c r="K575" s="202" t="s">
        <v>2081</v>
      </c>
      <c r="L575" s="202"/>
      <c r="M575" s="202"/>
      <c r="N575" s="206">
        <v>42104</v>
      </c>
      <c r="O575" s="206">
        <v>42104</v>
      </c>
      <c r="P575" s="202" t="s">
        <v>2309</v>
      </c>
      <c r="Q575" s="203">
        <v>700</v>
      </c>
      <c r="R575" s="203">
        <v>14050</v>
      </c>
      <c r="S575" s="204">
        <v>32729.22</v>
      </c>
      <c r="T575" s="203">
        <v>14056</v>
      </c>
      <c r="U575" s="204">
        <v>32729.22</v>
      </c>
      <c r="V575" s="204">
        <f t="shared" si="20"/>
        <v>0</v>
      </c>
      <c r="W575" s="205">
        <v>1168.92</v>
      </c>
      <c r="X575" s="203">
        <v>54260</v>
      </c>
      <c r="Y575" s="204">
        <v>0</v>
      </c>
      <c r="Z575" s="202" t="s">
        <v>97</v>
      </c>
      <c r="AA575" s="202"/>
      <c r="AB575" s="202">
        <v>65366244</v>
      </c>
      <c r="AC575" s="202"/>
      <c r="AD575" s="202" t="s">
        <v>1152</v>
      </c>
      <c r="AE575" s="202" t="s">
        <v>1153</v>
      </c>
      <c r="AF575" s="203" t="s">
        <v>1154</v>
      </c>
      <c r="AG575" s="202"/>
      <c r="AH575" s="203" t="s">
        <v>1155</v>
      </c>
      <c r="AI575" s="202">
        <v>0</v>
      </c>
      <c r="AJ575" s="202">
        <v>0</v>
      </c>
    </row>
    <row r="576" spans="2:36">
      <c r="B576" s="203">
        <v>2180</v>
      </c>
      <c r="C576" s="207">
        <v>123052</v>
      </c>
      <c r="D576" s="203" t="s">
        <v>97</v>
      </c>
      <c r="E576" s="202" t="s">
        <v>2310</v>
      </c>
      <c r="F576" s="203">
        <v>624</v>
      </c>
      <c r="G576" s="202"/>
      <c r="H576" s="202"/>
      <c r="I576" s="202"/>
      <c r="J576" s="202">
        <v>0</v>
      </c>
      <c r="K576" s="202" t="s">
        <v>2081</v>
      </c>
      <c r="L576" s="202"/>
      <c r="M576" s="202"/>
      <c r="N576" s="206">
        <v>42104</v>
      </c>
      <c r="O576" s="206">
        <v>42104</v>
      </c>
      <c r="P576" s="202" t="s">
        <v>2309</v>
      </c>
      <c r="Q576" s="203">
        <v>700</v>
      </c>
      <c r="R576" s="203">
        <v>14050</v>
      </c>
      <c r="S576" s="204">
        <v>32729.22</v>
      </c>
      <c r="T576" s="203">
        <v>14056</v>
      </c>
      <c r="U576" s="204">
        <v>32729.22</v>
      </c>
      <c r="V576" s="204">
        <f t="shared" si="20"/>
        <v>0</v>
      </c>
      <c r="W576" s="205">
        <v>1168.92</v>
      </c>
      <c r="X576" s="203">
        <v>54260</v>
      </c>
      <c r="Y576" s="204">
        <v>0</v>
      </c>
      <c r="Z576" s="202" t="s">
        <v>97</v>
      </c>
      <c r="AA576" s="202"/>
      <c r="AB576" s="202">
        <v>65366195</v>
      </c>
      <c r="AC576" s="202"/>
      <c r="AD576" s="202" t="s">
        <v>1152</v>
      </c>
      <c r="AE576" s="202" t="s">
        <v>1153</v>
      </c>
      <c r="AF576" s="203" t="s">
        <v>1154</v>
      </c>
      <c r="AG576" s="202"/>
      <c r="AH576" s="203" t="s">
        <v>1155</v>
      </c>
      <c r="AI576" s="202">
        <v>0</v>
      </c>
      <c r="AJ576" s="202">
        <v>0</v>
      </c>
    </row>
    <row r="577" spans="2:36">
      <c r="B577" s="203">
        <v>2180</v>
      </c>
      <c r="C577" s="207">
        <v>122925</v>
      </c>
      <c r="D577" s="203" t="s">
        <v>97</v>
      </c>
      <c r="E577" s="202" t="s">
        <v>2308</v>
      </c>
      <c r="F577" s="203">
        <v>624</v>
      </c>
      <c r="G577" s="202"/>
      <c r="H577" s="202"/>
      <c r="I577" s="202"/>
      <c r="J577" s="202">
        <v>0</v>
      </c>
      <c r="K577" s="202" t="s">
        <v>2081</v>
      </c>
      <c r="L577" s="202"/>
      <c r="M577" s="202"/>
      <c r="N577" s="206">
        <v>42139</v>
      </c>
      <c r="O577" s="206">
        <v>42139</v>
      </c>
      <c r="P577" s="202" t="s">
        <v>2307</v>
      </c>
      <c r="Q577" s="203">
        <v>700</v>
      </c>
      <c r="R577" s="203">
        <v>14050</v>
      </c>
      <c r="S577" s="204">
        <v>32729.22</v>
      </c>
      <c r="T577" s="203">
        <v>14056</v>
      </c>
      <c r="U577" s="204">
        <v>32729.22</v>
      </c>
      <c r="V577" s="204">
        <f t="shared" si="20"/>
        <v>0</v>
      </c>
      <c r="W577" s="205">
        <v>1558.55</v>
      </c>
      <c r="X577" s="203">
        <v>54260</v>
      </c>
      <c r="Y577" s="204">
        <v>0</v>
      </c>
      <c r="Z577" s="202" t="s">
        <v>97</v>
      </c>
      <c r="AA577" s="202"/>
      <c r="AB577" s="202">
        <v>65368815</v>
      </c>
      <c r="AC577" s="202"/>
      <c r="AD577" s="202" t="s">
        <v>1152</v>
      </c>
      <c r="AE577" s="202" t="s">
        <v>1153</v>
      </c>
      <c r="AF577" s="203" t="s">
        <v>1154</v>
      </c>
      <c r="AG577" s="202"/>
      <c r="AH577" s="203" t="s">
        <v>1155</v>
      </c>
      <c r="AI577" s="202">
        <v>0</v>
      </c>
      <c r="AJ577" s="202">
        <v>0</v>
      </c>
    </row>
    <row r="578" spans="2:36">
      <c r="B578" s="203">
        <v>2180</v>
      </c>
      <c r="C578" s="207">
        <v>122830</v>
      </c>
      <c r="D578" s="203" t="s">
        <v>97</v>
      </c>
      <c r="E578" s="202" t="s">
        <v>2306</v>
      </c>
      <c r="F578" s="203"/>
      <c r="G578" s="202"/>
      <c r="H578" s="202"/>
      <c r="I578" s="202"/>
      <c r="J578" s="202">
        <v>0</v>
      </c>
      <c r="K578" s="202"/>
      <c r="L578" s="202"/>
      <c r="M578" s="202"/>
      <c r="N578" s="206">
        <v>42147</v>
      </c>
      <c r="O578" s="206">
        <v>42147</v>
      </c>
      <c r="P578" s="202" t="s">
        <v>2305</v>
      </c>
      <c r="Q578" s="203">
        <v>300</v>
      </c>
      <c r="R578" s="203">
        <v>14110</v>
      </c>
      <c r="S578" s="204">
        <v>716.06</v>
      </c>
      <c r="T578" s="203">
        <v>14116</v>
      </c>
      <c r="U578" s="204">
        <v>716.06</v>
      </c>
      <c r="V578" s="204">
        <f t="shared" si="20"/>
        <v>0</v>
      </c>
      <c r="W578" s="205">
        <v>0</v>
      </c>
      <c r="X578" s="203">
        <v>70260</v>
      </c>
      <c r="Y578" s="204">
        <v>0</v>
      </c>
      <c r="Z578" s="202" t="s">
        <v>97</v>
      </c>
      <c r="AA578" s="202"/>
      <c r="AB578" s="202" t="s">
        <v>2304</v>
      </c>
      <c r="AC578" s="202"/>
      <c r="AD578" s="202" t="s">
        <v>1152</v>
      </c>
      <c r="AE578" s="202" t="s">
        <v>1153</v>
      </c>
      <c r="AF578" s="203" t="s">
        <v>1154</v>
      </c>
      <c r="AG578" s="202"/>
      <c r="AH578" s="203" t="s">
        <v>1155</v>
      </c>
      <c r="AI578" s="202">
        <v>0</v>
      </c>
      <c r="AJ578" s="202">
        <v>0</v>
      </c>
    </row>
    <row r="579" spans="2:36">
      <c r="B579" s="203">
        <v>2180</v>
      </c>
      <c r="C579" s="207">
        <v>122829</v>
      </c>
      <c r="D579" s="203" t="s">
        <v>97</v>
      </c>
      <c r="E579" s="202" t="s">
        <v>2303</v>
      </c>
      <c r="F579" s="203"/>
      <c r="G579" s="202"/>
      <c r="H579" s="202"/>
      <c r="I579" s="202"/>
      <c r="J579" s="202">
        <v>0</v>
      </c>
      <c r="K579" s="202"/>
      <c r="L579" s="202"/>
      <c r="M579" s="202"/>
      <c r="N579" s="206">
        <v>42139</v>
      </c>
      <c r="O579" s="206">
        <v>42139</v>
      </c>
      <c r="P579" s="202" t="s">
        <v>2302</v>
      </c>
      <c r="Q579" s="203">
        <v>300</v>
      </c>
      <c r="R579" s="203">
        <v>14110</v>
      </c>
      <c r="S579" s="204">
        <v>1084.92</v>
      </c>
      <c r="T579" s="203">
        <v>14116</v>
      </c>
      <c r="U579" s="204">
        <v>1084.92</v>
      </c>
      <c r="V579" s="204">
        <f t="shared" si="20"/>
        <v>0</v>
      </c>
      <c r="W579" s="205">
        <v>0</v>
      </c>
      <c r="X579" s="203">
        <v>70260</v>
      </c>
      <c r="Y579" s="204">
        <v>0</v>
      </c>
      <c r="Z579" s="202" t="s">
        <v>97</v>
      </c>
      <c r="AA579" s="202"/>
      <c r="AB579" s="202" t="s">
        <v>2301</v>
      </c>
      <c r="AC579" s="202"/>
      <c r="AD579" s="202" t="s">
        <v>1152</v>
      </c>
      <c r="AE579" s="202" t="s">
        <v>1153</v>
      </c>
      <c r="AF579" s="203" t="s">
        <v>1154</v>
      </c>
      <c r="AG579" s="202"/>
      <c r="AH579" s="203" t="s">
        <v>1155</v>
      </c>
      <c r="AI579" s="202">
        <v>0</v>
      </c>
      <c r="AJ579" s="202">
        <v>0</v>
      </c>
    </row>
    <row r="580" spans="2:36">
      <c r="B580" s="203">
        <v>2180</v>
      </c>
      <c r="C580" s="207">
        <v>122828</v>
      </c>
      <c r="D580" s="203" t="s">
        <v>97</v>
      </c>
      <c r="E580" s="202" t="s">
        <v>2300</v>
      </c>
      <c r="F580" s="203"/>
      <c r="G580" s="202"/>
      <c r="H580" s="202"/>
      <c r="I580" s="202"/>
      <c r="J580" s="202">
        <v>0</v>
      </c>
      <c r="K580" s="202"/>
      <c r="L580" s="202"/>
      <c r="M580" s="202"/>
      <c r="N580" s="206">
        <v>42139</v>
      </c>
      <c r="O580" s="206">
        <v>42139</v>
      </c>
      <c r="P580" s="202" t="s">
        <v>2299</v>
      </c>
      <c r="Q580" s="203">
        <v>300</v>
      </c>
      <c r="R580" s="203">
        <v>14110</v>
      </c>
      <c r="S580" s="204">
        <v>1096.6600000000001</v>
      </c>
      <c r="T580" s="203">
        <v>14116</v>
      </c>
      <c r="U580" s="204">
        <v>1096.6600000000001</v>
      </c>
      <c r="V580" s="204">
        <f t="shared" si="20"/>
        <v>0</v>
      </c>
      <c r="W580" s="205">
        <v>0</v>
      </c>
      <c r="X580" s="203">
        <v>70260</v>
      </c>
      <c r="Y580" s="204">
        <v>0</v>
      </c>
      <c r="Z580" s="202" t="s">
        <v>97</v>
      </c>
      <c r="AA580" s="202"/>
      <c r="AB580" s="202" t="s">
        <v>2298</v>
      </c>
      <c r="AC580" s="202"/>
      <c r="AD580" s="202" t="s">
        <v>1152</v>
      </c>
      <c r="AE580" s="202" t="s">
        <v>1153</v>
      </c>
      <c r="AF580" s="203" t="s">
        <v>1154</v>
      </c>
      <c r="AG580" s="202"/>
      <c r="AH580" s="203" t="s">
        <v>1155</v>
      </c>
      <c r="AI580" s="202">
        <v>0</v>
      </c>
      <c r="AJ580" s="202">
        <v>0</v>
      </c>
    </row>
    <row r="581" spans="2:36">
      <c r="B581" s="203">
        <v>2180</v>
      </c>
      <c r="C581" s="207">
        <v>122789</v>
      </c>
      <c r="D581" s="203">
        <v>60721</v>
      </c>
      <c r="E581" s="202" t="s">
        <v>2297</v>
      </c>
      <c r="F581" s="203"/>
      <c r="G581" s="202"/>
      <c r="H581" s="202"/>
      <c r="I581" s="202"/>
      <c r="J581" s="202">
        <v>0</v>
      </c>
      <c r="K581" s="202" t="s">
        <v>2296</v>
      </c>
      <c r="L581" s="202"/>
      <c r="M581" s="202" t="s">
        <v>1158</v>
      </c>
      <c r="N581" s="206">
        <v>42116</v>
      </c>
      <c r="O581" s="206">
        <v>42116</v>
      </c>
      <c r="P581" s="202" t="s">
        <v>2295</v>
      </c>
      <c r="Q581" s="203">
        <v>300</v>
      </c>
      <c r="R581" s="203">
        <v>14040</v>
      </c>
      <c r="S581" s="204">
        <v>11461.68</v>
      </c>
      <c r="T581" s="203">
        <v>14046</v>
      </c>
      <c r="U581" s="204">
        <v>11461.68</v>
      </c>
      <c r="V581" s="204">
        <f t="shared" si="20"/>
        <v>0</v>
      </c>
      <c r="W581" s="205">
        <v>0</v>
      </c>
      <c r="X581" s="203">
        <v>51260</v>
      </c>
      <c r="Y581" s="204">
        <v>0</v>
      </c>
      <c r="Z581" s="202" t="s">
        <v>97</v>
      </c>
      <c r="AA581" s="202"/>
      <c r="AB581" s="202" t="s">
        <v>2294</v>
      </c>
      <c r="AC581" s="202"/>
      <c r="AD581" s="202" t="s">
        <v>1152</v>
      </c>
      <c r="AE581" s="202" t="s">
        <v>1153</v>
      </c>
      <c r="AF581" s="203" t="s">
        <v>1154</v>
      </c>
      <c r="AG581" s="202"/>
      <c r="AH581" s="203" t="s">
        <v>1155</v>
      </c>
      <c r="AI581" s="202">
        <v>0</v>
      </c>
      <c r="AJ581" s="202">
        <v>0</v>
      </c>
    </row>
    <row r="582" spans="2:36">
      <c r="B582" s="203">
        <v>2180</v>
      </c>
      <c r="C582" s="207">
        <v>122695</v>
      </c>
      <c r="D582" s="203" t="s">
        <v>97</v>
      </c>
      <c r="E582" s="202" t="s">
        <v>2293</v>
      </c>
      <c r="F582" s="203">
        <v>624</v>
      </c>
      <c r="G582" s="202"/>
      <c r="H582" s="202"/>
      <c r="I582" s="202"/>
      <c r="J582" s="202">
        <v>0</v>
      </c>
      <c r="K582" s="202" t="s">
        <v>2081</v>
      </c>
      <c r="L582" s="202"/>
      <c r="M582" s="202"/>
      <c r="N582" s="206">
        <v>42134</v>
      </c>
      <c r="O582" s="206">
        <v>42134</v>
      </c>
      <c r="P582" s="202" t="s">
        <v>2285</v>
      </c>
      <c r="Q582" s="203">
        <v>700</v>
      </c>
      <c r="R582" s="203">
        <v>14050</v>
      </c>
      <c r="S582" s="204">
        <v>32729.22</v>
      </c>
      <c r="T582" s="203">
        <v>14056</v>
      </c>
      <c r="U582" s="204">
        <v>32729.22</v>
      </c>
      <c r="V582" s="204">
        <f t="shared" si="20"/>
        <v>0</v>
      </c>
      <c r="W582" s="205">
        <v>1558.55</v>
      </c>
      <c r="X582" s="203">
        <v>54260</v>
      </c>
      <c r="Y582" s="204">
        <v>0</v>
      </c>
      <c r="Z582" s="202" t="s">
        <v>97</v>
      </c>
      <c r="AA582" s="202"/>
      <c r="AB582" s="202">
        <v>65369248</v>
      </c>
      <c r="AC582" s="202"/>
      <c r="AD582" s="202" t="s">
        <v>1152</v>
      </c>
      <c r="AE582" s="202" t="s">
        <v>1153</v>
      </c>
      <c r="AF582" s="203" t="s">
        <v>1154</v>
      </c>
      <c r="AG582" s="202"/>
      <c r="AH582" s="203" t="s">
        <v>1155</v>
      </c>
      <c r="AI582" s="202">
        <v>0</v>
      </c>
      <c r="AJ582" s="202">
        <v>0</v>
      </c>
    </row>
    <row r="583" spans="2:36">
      <c r="B583" s="203">
        <v>2180</v>
      </c>
      <c r="C583" s="207">
        <v>122561</v>
      </c>
      <c r="D583" s="203" t="s">
        <v>97</v>
      </c>
      <c r="E583" s="202" t="s">
        <v>2292</v>
      </c>
      <c r="F583" s="203"/>
      <c r="G583" s="202"/>
      <c r="H583" s="202" t="s">
        <v>2291</v>
      </c>
      <c r="I583" s="202"/>
      <c r="J583" s="202">
        <v>2016</v>
      </c>
      <c r="K583" s="202" t="s">
        <v>2290</v>
      </c>
      <c r="L583" s="202" t="s">
        <v>1732</v>
      </c>
      <c r="M583" s="202" t="s">
        <v>1404</v>
      </c>
      <c r="N583" s="206">
        <v>42154</v>
      </c>
      <c r="O583" s="206">
        <v>42154</v>
      </c>
      <c r="P583" s="202" t="s">
        <v>2289</v>
      </c>
      <c r="Q583" s="203">
        <v>1000</v>
      </c>
      <c r="R583" s="203">
        <v>14040</v>
      </c>
      <c r="S583" s="204">
        <v>339958.46</v>
      </c>
      <c r="T583" s="203">
        <v>14046</v>
      </c>
      <c r="U583" s="204">
        <v>237970.95</v>
      </c>
      <c r="V583" s="204">
        <f t="shared" si="20"/>
        <v>101987.51000000001</v>
      </c>
      <c r="W583" s="205">
        <v>14164.94</v>
      </c>
      <c r="X583" s="203">
        <v>51260</v>
      </c>
      <c r="Y583" s="204">
        <v>2832.99</v>
      </c>
      <c r="Z583" s="202" t="s">
        <v>97</v>
      </c>
      <c r="AA583" s="202"/>
      <c r="AB583" s="202" t="s">
        <v>2288</v>
      </c>
      <c r="AC583" s="202">
        <v>3643</v>
      </c>
      <c r="AD583" s="202" t="s">
        <v>1152</v>
      </c>
      <c r="AE583" s="202" t="s">
        <v>1153</v>
      </c>
      <c r="AF583" s="203" t="s">
        <v>1154</v>
      </c>
      <c r="AG583" s="202"/>
      <c r="AH583" s="203" t="s">
        <v>1155</v>
      </c>
      <c r="AI583" s="202">
        <v>0</v>
      </c>
      <c r="AJ583" s="202">
        <v>0</v>
      </c>
    </row>
    <row r="584" spans="2:36">
      <c r="B584" s="203">
        <v>2180</v>
      </c>
      <c r="C584" s="207">
        <v>122196</v>
      </c>
      <c r="D584" s="203" t="s">
        <v>97</v>
      </c>
      <c r="E584" s="202" t="s">
        <v>2287</v>
      </c>
      <c r="F584" s="203">
        <v>486</v>
      </c>
      <c r="G584" s="202"/>
      <c r="H584" s="202"/>
      <c r="I584" s="202"/>
      <c r="J584" s="202">
        <v>0</v>
      </c>
      <c r="K584" s="202" t="s">
        <v>1658</v>
      </c>
      <c r="L584" s="202"/>
      <c r="M584" s="202"/>
      <c r="N584" s="206">
        <v>42021</v>
      </c>
      <c r="O584" s="206">
        <v>42021</v>
      </c>
      <c r="P584" s="202" t="s">
        <v>2285</v>
      </c>
      <c r="Q584" s="203">
        <v>700</v>
      </c>
      <c r="R584" s="203">
        <v>14050</v>
      </c>
      <c r="S584" s="204">
        <v>27796.59</v>
      </c>
      <c r="T584" s="203">
        <v>14056</v>
      </c>
      <c r="U584" s="204">
        <v>27796.59</v>
      </c>
      <c r="V584" s="204">
        <f t="shared" si="20"/>
        <v>0</v>
      </c>
      <c r="W584" s="205">
        <v>330.92</v>
      </c>
      <c r="X584" s="203">
        <v>54260</v>
      </c>
      <c r="Y584" s="204">
        <v>0</v>
      </c>
      <c r="Z584" s="202" t="s">
        <v>97</v>
      </c>
      <c r="AA584" s="202"/>
      <c r="AB584" s="202" t="s">
        <v>2286</v>
      </c>
      <c r="AC584" s="202"/>
      <c r="AD584" s="202" t="s">
        <v>1152</v>
      </c>
      <c r="AE584" s="202" t="s">
        <v>1153</v>
      </c>
      <c r="AF584" s="203" t="s">
        <v>1154</v>
      </c>
      <c r="AG584" s="202"/>
      <c r="AH584" s="203" t="s">
        <v>1155</v>
      </c>
      <c r="AI584" s="202">
        <v>0</v>
      </c>
      <c r="AJ584" s="202">
        <v>0</v>
      </c>
    </row>
    <row r="585" spans="2:36">
      <c r="B585" s="203">
        <v>2180</v>
      </c>
      <c r="C585" s="207">
        <v>122195</v>
      </c>
      <c r="D585" s="203" t="s">
        <v>97</v>
      </c>
      <c r="E585" s="202" t="s">
        <v>1928</v>
      </c>
      <c r="F585" s="203">
        <v>486</v>
      </c>
      <c r="G585" s="202"/>
      <c r="H585" s="202"/>
      <c r="I585" s="202"/>
      <c r="J585" s="202">
        <v>0</v>
      </c>
      <c r="K585" s="202" t="s">
        <v>1658</v>
      </c>
      <c r="L585" s="202"/>
      <c r="M585" s="202"/>
      <c r="N585" s="206">
        <v>42021</v>
      </c>
      <c r="O585" s="206">
        <v>42021</v>
      </c>
      <c r="P585" s="202" t="s">
        <v>2285</v>
      </c>
      <c r="Q585" s="203">
        <v>700</v>
      </c>
      <c r="R585" s="203">
        <v>14050</v>
      </c>
      <c r="S585" s="204">
        <v>27796.59</v>
      </c>
      <c r="T585" s="203">
        <v>14056</v>
      </c>
      <c r="U585" s="204">
        <v>27796.59</v>
      </c>
      <c r="V585" s="204">
        <f t="shared" si="20"/>
        <v>0</v>
      </c>
      <c r="W585" s="205">
        <v>330.92</v>
      </c>
      <c r="X585" s="203">
        <v>54260</v>
      </c>
      <c r="Y585" s="204">
        <v>0</v>
      </c>
      <c r="Z585" s="202" t="s">
        <v>97</v>
      </c>
      <c r="AA585" s="202"/>
      <c r="AB585" s="202" t="s">
        <v>2284</v>
      </c>
      <c r="AC585" s="202"/>
      <c r="AD585" s="202" t="s">
        <v>1152</v>
      </c>
      <c r="AE585" s="202" t="s">
        <v>1153</v>
      </c>
      <c r="AF585" s="203" t="s">
        <v>1154</v>
      </c>
      <c r="AG585" s="202"/>
      <c r="AH585" s="203" t="s">
        <v>1155</v>
      </c>
      <c r="AI585" s="202">
        <v>0</v>
      </c>
      <c r="AJ585" s="202">
        <v>0</v>
      </c>
    </row>
    <row r="586" spans="2:36">
      <c r="B586" s="203">
        <v>2180</v>
      </c>
      <c r="C586" s="207">
        <v>120654</v>
      </c>
      <c r="D586" s="203" t="s">
        <v>97</v>
      </c>
      <c r="E586" s="202" t="s">
        <v>2283</v>
      </c>
      <c r="F586" s="203"/>
      <c r="G586" s="202"/>
      <c r="H586" s="202"/>
      <c r="I586" s="202"/>
      <c r="J586" s="202">
        <v>0</v>
      </c>
      <c r="K586" s="202" t="s">
        <v>1429</v>
      </c>
      <c r="L586" s="202"/>
      <c r="M586" s="202"/>
      <c r="N586" s="206">
        <v>42055</v>
      </c>
      <c r="O586" s="206">
        <v>42055</v>
      </c>
      <c r="P586" s="202" t="s">
        <v>2282</v>
      </c>
      <c r="Q586" s="203">
        <v>300</v>
      </c>
      <c r="R586" s="203">
        <v>14110</v>
      </c>
      <c r="S586" s="204">
        <v>4387.54</v>
      </c>
      <c r="T586" s="203">
        <v>14116</v>
      </c>
      <c r="U586" s="204">
        <v>4387.54</v>
      </c>
      <c r="V586" s="204">
        <f t="shared" si="20"/>
        <v>0</v>
      </c>
      <c r="W586" s="205">
        <v>0</v>
      </c>
      <c r="X586" s="203">
        <v>70260</v>
      </c>
      <c r="Y586" s="204">
        <v>0</v>
      </c>
      <c r="Z586" s="202" t="s">
        <v>97</v>
      </c>
      <c r="AA586" s="202"/>
      <c r="AB586" s="202" t="s">
        <v>2281</v>
      </c>
      <c r="AC586" s="202"/>
      <c r="AD586" s="202" t="s">
        <v>1152</v>
      </c>
      <c r="AE586" s="202" t="s">
        <v>1153</v>
      </c>
      <c r="AF586" s="203" t="s">
        <v>1154</v>
      </c>
      <c r="AG586" s="202"/>
      <c r="AH586" s="203" t="s">
        <v>1155</v>
      </c>
      <c r="AI586" s="202">
        <v>0</v>
      </c>
      <c r="AJ586" s="202">
        <v>0</v>
      </c>
    </row>
    <row r="587" spans="2:36">
      <c r="B587" s="203">
        <v>2180</v>
      </c>
      <c r="C587" s="207">
        <v>120653</v>
      </c>
      <c r="D587" s="203" t="s">
        <v>97</v>
      </c>
      <c r="E587" s="202" t="s">
        <v>2280</v>
      </c>
      <c r="F587" s="203"/>
      <c r="G587" s="202"/>
      <c r="H587" s="202"/>
      <c r="I587" s="202"/>
      <c r="J587" s="202">
        <v>0</v>
      </c>
      <c r="K587" s="202" t="s">
        <v>1429</v>
      </c>
      <c r="L587" s="202"/>
      <c r="M587" s="202"/>
      <c r="N587" s="206">
        <v>42055</v>
      </c>
      <c r="O587" s="206">
        <v>42055</v>
      </c>
      <c r="P587" s="202" t="s">
        <v>2279</v>
      </c>
      <c r="Q587" s="203">
        <v>300</v>
      </c>
      <c r="R587" s="203">
        <v>14110</v>
      </c>
      <c r="S587" s="204">
        <v>9908.6299999999992</v>
      </c>
      <c r="T587" s="203">
        <v>14116</v>
      </c>
      <c r="U587" s="204">
        <v>9908.6299999999992</v>
      </c>
      <c r="V587" s="204">
        <f t="shared" si="20"/>
        <v>0</v>
      </c>
      <c r="W587" s="205">
        <v>0</v>
      </c>
      <c r="X587" s="203">
        <v>70260</v>
      </c>
      <c r="Y587" s="204">
        <v>0</v>
      </c>
      <c r="Z587" s="202" t="s">
        <v>97</v>
      </c>
      <c r="AA587" s="202"/>
      <c r="AB587" s="202" t="s">
        <v>2278</v>
      </c>
      <c r="AC587" s="202"/>
      <c r="AD587" s="202" t="s">
        <v>1152</v>
      </c>
      <c r="AE587" s="202" t="s">
        <v>1153</v>
      </c>
      <c r="AF587" s="203" t="s">
        <v>1154</v>
      </c>
      <c r="AG587" s="202"/>
      <c r="AH587" s="203" t="s">
        <v>1155</v>
      </c>
      <c r="AI587" s="202">
        <v>0</v>
      </c>
      <c r="AJ587" s="202">
        <v>0</v>
      </c>
    </row>
    <row r="588" spans="2:36">
      <c r="B588" s="203">
        <v>2180</v>
      </c>
      <c r="C588" s="207">
        <v>119073</v>
      </c>
      <c r="D588" s="203" t="s">
        <v>97</v>
      </c>
      <c r="E588" s="202" t="s">
        <v>2277</v>
      </c>
      <c r="F588" s="203"/>
      <c r="G588" s="202"/>
      <c r="H588" s="202" t="s">
        <v>2276</v>
      </c>
      <c r="I588" s="202"/>
      <c r="J588" s="202">
        <v>2012</v>
      </c>
      <c r="K588" s="202" t="s">
        <v>2275</v>
      </c>
      <c r="L588" s="202" t="s">
        <v>2275</v>
      </c>
      <c r="M588" s="202" t="s">
        <v>1385</v>
      </c>
      <c r="N588" s="206">
        <v>42007</v>
      </c>
      <c r="O588" s="206">
        <v>42007</v>
      </c>
      <c r="P588" s="202" t="s">
        <v>2274</v>
      </c>
      <c r="Q588" s="203">
        <v>300</v>
      </c>
      <c r="R588" s="203">
        <v>14040</v>
      </c>
      <c r="S588" s="204">
        <v>27000</v>
      </c>
      <c r="T588" s="203">
        <v>14046</v>
      </c>
      <c r="U588" s="204">
        <v>27000</v>
      </c>
      <c r="V588" s="204">
        <f t="shared" si="20"/>
        <v>0</v>
      </c>
      <c r="W588" s="205">
        <v>0</v>
      </c>
      <c r="X588" s="203">
        <v>51260</v>
      </c>
      <c r="Y588" s="204">
        <v>0</v>
      </c>
      <c r="Z588" s="202" t="s">
        <v>97</v>
      </c>
      <c r="AA588" s="202"/>
      <c r="AB588" s="202">
        <v>1032015</v>
      </c>
      <c r="AC588" s="202">
        <v>6051</v>
      </c>
      <c r="AD588" s="202" t="s">
        <v>1152</v>
      </c>
      <c r="AE588" s="202" t="s">
        <v>1153</v>
      </c>
      <c r="AF588" s="203" t="s">
        <v>1154</v>
      </c>
      <c r="AG588" s="202"/>
      <c r="AH588" s="203" t="s">
        <v>1155</v>
      </c>
      <c r="AI588" s="202">
        <v>0</v>
      </c>
      <c r="AJ588" s="202">
        <v>0</v>
      </c>
    </row>
    <row r="589" spans="2:36">
      <c r="B589" s="203">
        <v>2180</v>
      </c>
      <c r="C589" s="207">
        <v>118903</v>
      </c>
      <c r="D589" s="203" t="s">
        <v>97</v>
      </c>
      <c r="E589" s="202" t="s">
        <v>2273</v>
      </c>
      <c r="F589" s="203">
        <v>486</v>
      </c>
      <c r="G589" s="202"/>
      <c r="H589" s="202"/>
      <c r="I589" s="202"/>
      <c r="J589" s="202">
        <v>0</v>
      </c>
      <c r="K589" s="202" t="s">
        <v>1658</v>
      </c>
      <c r="L589" s="202"/>
      <c r="M589" s="202"/>
      <c r="N589" s="206">
        <v>42005</v>
      </c>
      <c r="O589" s="206">
        <v>42005</v>
      </c>
      <c r="P589" s="202" t="s">
        <v>2188</v>
      </c>
      <c r="Q589" s="203">
        <v>607</v>
      </c>
      <c r="R589" s="203">
        <v>14050</v>
      </c>
      <c r="S589" s="204">
        <v>27813.17</v>
      </c>
      <c r="T589" s="203">
        <v>14056</v>
      </c>
      <c r="U589" s="204">
        <v>27813.17</v>
      </c>
      <c r="V589" s="204">
        <f t="shared" si="20"/>
        <v>0</v>
      </c>
      <c r="W589" s="205">
        <v>0</v>
      </c>
      <c r="X589" s="203">
        <v>54260</v>
      </c>
      <c r="Y589" s="204">
        <v>0</v>
      </c>
      <c r="Z589" s="202" t="s">
        <v>97</v>
      </c>
      <c r="AA589" s="202"/>
      <c r="AB589" s="202" t="s">
        <v>2272</v>
      </c>
      <c r="AC589" s="202"/>
      <c r="AD589" s="202" t="s">
        <v>1152</v>
      </c>
      <c r="AE589" s="202" t="s">
        <v>1153</v>
      </c>
      <c r="AF589" s="203" t="s">
        <v>1154</v>
      </c>
      <c r="AG589" s="202"/>
      <c r="AH589" s="203" t="s">
        <v>1155</v>
      </c>
      <c r="AI589" s="202">
        <v>0</v>
      </c>
      <c r="AJ589" s="202">
        <v>0</v>
      </c>
    </row>
    <row r="590" spans="2:36">
      <c r="B590" s="203">
        <v>2180</v>
      </c>
      <c r="C590" s="207">
        <v>118545</v>
      </c>
      <c r="D590" s="203" t="s">
        <v>97</v>
      </c>
      <c r="E590" s="202" t="s">
        <v>2271</v>
      </c>
      <c r="F590" s="203"/>
      <c r="G590" s="202"/>
      <c r="H590" s="202"/>
      <c r="I590" s="202"/>
      <c r="J590" s="202">
        <v>0</v>
      </c>
      <c r="K590" s="202" t="s">
        <v>2270</v>
      </c>
      <c r="L590" s="202"/>
      <c r="M590" s="202"/>
      <c r="N590" s="206">
        <v>41969</v>
      </c>
      <c r="O590" s="206">
        <v>41969</v>
      </c>
      <c r="P590" s="202" t="s">
        <v>2269</v>
      </c>
      <c r="Q590" s="203">
        <v>300</v>
      </c>
      <c r="R590" s="203">
        <v>14110</v>
      </c>
      <c r="S590" s="204">
        <v>3066</v>
      </c>
      <c r="T590" s="203">
        <v>14116</v>
      </c>
      <c r="U590" s="204">
        <v>3066</v>
      </c>
      <c r="V590" s="204">
        <f t="shared" ref="V590:V653" si="21">S590-U590</f>
        <v>0</v>
      </c>
      <c r="W590" s="205">
        <v>0</v>
      </c>
      <c r="X590" s="203">
        <v>70260</v>
      </c>
      <c r="Y590" s="204">
        <v>0</v>
      </c>
      <c r="Z590" s="202" t="s">
        <v>97</v>
      </c>
      <c r="AA590" s="202"/>
      <c r="AB590" s="202">
        <v>1287960</v>
      </c>
      <c r="AC590" s="202"/>
      <c r="AD590" s="202" t="s">
        <v>1152</v>
      </c>
      <c r="AE590" s="202" t="s">
        <v>1153</v>
      </c>
      <c r="AF590" s="203" t="s">
        <v>1154</v>
      </c>
      <c r="AG590" s="202"/>
      <c r="AH590" s="203" t="s">
        <v>1155</v>
      </c>
      <c r="AI590" s="202">
        <v>0</v>
      </c>
      <c r="AJ590" s="202">
        <v>0</v>
      </c>
    </row>
    <row r="591" spans="2:36">
      <c r="B591" s="203">
        <v>2180</v>
      </c>
      <c r="C591" s="207">
        <v>118539</v>
      </c>
      <c r="D591" s="203" t="s">
        <v>97</v>
      </c>
      <c r="E591" s="202" t="s">
        <v>921</v>
      </c>
      <c r="F591" s="203"/>
      <c r="G591" s="202"/>
      <c r="H591" s="202"/>
      <c r="I591" s="202"/>
      <c r="J591" s="202">
        <v>0</v>
      </c>
      <c r="K591" s="202" t="s">
        <v>2268</v>
      </c>
      <c r="L591" s="202"/>
      <c r="M591" s="202"/>
      <c r="N591" s="206">
        <v>41992</v>
      </c>
      <c r="O591" s="206">
        <v>41992</v>
      </c>
      <c r="P591" s="202" t="s">
        <v>2267</v>
      </c>
      <c r="Q591" s="203">
        <v>500</v>
      </c>
      <c r="R591" s="203">
        <v>14070</v>
      </c>
      <c r="S591" s="204">
        <v>12525.06</v>
      </c>
      <c r="T591" s="203">
        <v>14076</v>
      </c>
      <c r="U591" s="204">
        <v>12525.06</v>
      </c>
      <c r="V591" s="204">
        <f t="shared" si="21"/>
        <v>0</v>
      </c>
      <c r="W591" s="205">
        <v>0</v>
      </c>
      <c r="X591" s="203">
        <v>51260</v>
      </c>
      <c r="Y591" s="204">
        <v>0</v>
      </c>
      <c r="Z591" s="202" t="s">
        <v>97</v>
      </c>
      <c r="AA591" s="202"/>
      <c r="AB591" s="202" t="s">
        <v>2266</v>
      </c>
      <c r="AC591" s="202"/>
      <c r="AD591" s="202" t="s">
        <v>1152</v>
      </c>
      <c r="AE591" s="202" t="s">
        <v>1153</v>
      </c>
      <c r="AF591" s="203" t="s">
        <v>1154</v>
      </c>
      <c r="AG591" s="202"/>
      <c r="AH591" s="203" t="s">
        <v>1155</v>
      </c>
      <c r="AI591" s="202">
        <v>0</v>
      </c>
      <c r="AJ591" s="202">
        <v>0</v>
      </c>
    </row>
    <row r="592" spans="2:36">
      <c r="B592" s="203">
        <v>2180</v>
      </c>
      <c r="C592" s="207">
        <v>118538</v>
      </c>
      <c r="D592" s="203" t="s">
        <v>97</v>
      </c>
      <c r="E592" s="202" t="s">
        <v>922</v>
      </c>
      <c r="F592" s="203"/>
      <c r="G592" s="202"/>
      <c r="H592" s="202"/>
      <c r="I592" s="202"/>
      <c r="J592" s="202">
        <v>0</v>
      </c>
      <c r="K592" s="202" t="s">
        <v>2265</v>
      </c>
      <c r="L592" s="202"/>
      <c r="M592" s="202"/>
      <c r="N592" s="206">
        <v>41995</v>
      </c>
      <c r="O592" s="206">
        <v>41995</v>
      </c>
      <c r="P592" s="202" t="s">
        <v>2264</v>
      </c>
      <c r="Q592" s="203">
        <v>500</v>
      </c>
      <c r="R592" s="203">
        <v>14070</v>
      </c>
      <c r="S592" s="204">
        <v>6310.39</v>
      </c>
      <c r="T592" s="203">
        <v>14076</v>
      </c>
      <c r="U592" s="204">
        <v>6310.39</v>
      </c>
      <c r="V592" s="204">
        <f t="shared" si="21"/>
        <v>0</v>
      </c>
      <c r="W592" s="205">
        <v>0</v>
      </c>
      <c r="X592" s="203">
        <v>51260</v>
      </c>
      <c r="Y592" s="204">
        <v>0</v>
      </c>
      <c r="Z592" s="202" t="s">
        <v>97</v>
      </c>
      <c r="AA592" s="202"/>
      <c r="AB592" s="202">
        <v>66186334</v>
      </c>
      <c r="AC592" s="202"/>
      <c r="AD592" s="202" t="s">
        <v>1152</v>
      </c>
      <c r="AE592" s="202" t="s">
        <v>1153</v>
      </c>
      <c r="AF592" s="203" t="s">
        <v>1154</v>
      </c>
      <c r="AG592" s="202"/>
      <c r="AH592" s="203" t="s">
        <v>1155</v>
      </c>
      <c r="AI592" s="202">
        <v>0</v>
      </c>
      <c r="AJ592" s="202">
        <v>0</v>
      </c>
    </row>
    <row r="593" spans="2:36">
      <c r="B593" s="203">
        <v>2180</v>
      </c>
      <c r="C593" s="207">
        <v>118517</v>
      </c>
      <c r="D593" s="203">
        <v>90535</v>
      </c>
      <c r="E593" s="202" t="s">
        <v>2263</v>
      </c>
      <c r="F593" s="203"/>
      <c r="G593" s="202"/>
      <c r="H593" s="202"/>
      <c r="I593" s="202"/>
      <c r="J593" s="202">
        <v>0</v>
      </c>
      <c r="K593" s="202" t="s">
        <v>2262</v>
      </c>
      <c r="L593" s="202"/>
      <c r="M593" s="202" t="s">
        <v>1158</v>
      </c>
      <c r="N593" s="206">
        <v>41978</v>
      </c>
      <c r="O593" s="206">
        <v>41978</v>
      </c>
      <c r="P593" s="202" t="s">
        <v>2261</v>
      </c>
      <c r="Q593" s="203">
        <v>300</v>
      </c>
      <c r="R593" s="203">
        <v>14040</v>
      </c>
      <c r="S593" s="204">
        <v>8921.6</v>
      </c>
      <c r="T593" s="203">
        <v>14046</v>
      </c>
      <c r="U593" s="204">
        <v>8921.6</v>
      </c>
      <c r="V593" s="204">
        <f t="shared" si="21"/>
        <v>0</v>
      </c>
      <c r="W593" s="205">
        <v>0</v>
      </c>
      <c r="X593" s="203">
        <v>51260</v>
      </c>
      <c r="Y593" s="204">
        <v>0</v>
      </c>
      <c r="Z593" s="202" t="s">
        <v>97</v>
      </c>
      <c r="AA593" s="202"/>
      <c r="AB593" s="202">
        <v>54530</v>
      </c>
      <c r="AC593" s="202"/>
      <c r="AD593" s="202" t="s">
        <v>1152</v>
      </c>
      <c r="AE593" s="202" t="s">
        <v>1153</v>
      </c>
      <c r="AF593" s="203" t="s">
        <v>1154</v>
      </c>
      <c r="AG593" s="202"/>
      <c r="AH593" s="203" t="s">
        <v>1155</v>
      </c>
      <c r="AI593" s="202">
        <v>0</v>
      </c>
      <c r="AJ593" s="202">
        <v>0</v>
      </c>
    </row>
    <row r="594" spans="2:36">
      <c r="B594" s="203">
        <v>2180</v>
      </c>
      <c r="C594" s="207">
        <v>118515</v>
      </c>
      <c r="D594" s="203">
        <v>90564</v>
      </c>
      <c r="E594" s="202" t="s">
        <v>2260</v>
      </c>
      <c r="F594" s="203"/>
      <c r="G594" s="202"/>
      <c r="H594" s="202"/>
      <c r="I594" s="202"/>
      <c r="J594" s="202">
        <v>0</v>
      </c>
      <c r="K594" s="202" t="s">
        <v>2259</v>
      </c>
      <c r="L594" s="202"/>
      <c r="M594" s="202" t="s">
        <v>1158</v>
      </c>
      <c r="N594" s="206">
        <v>41989</v>
      </c>
      <c r="O594" s="206">
        <v>41989</v>
      </c>
      <c r="P594" s="202" t="s">
        <v>2258</v>
      </c>
      <c r="Q594" s="203">
        <v>300</v>
      </c>
      <c r="R594" s="203">
        <v>14040</v>
      </c>
      <c r="S594" s="204">
        <v>8921.6</v>
      </c>
      <c r="T594" s="203">
        <v>14046</v>
      </c>
      <c r="U594" s="204">
        <v>8921.6</v>
      </c>
      <c r="V594" s="204">
        <f t="shared" si="21"/>
        <v>0</v>
      </c>
      <c r="W594" s="205">
        <v>0</v>
      </c>
      <c r="X594" s="203">
        <v>51260</v>
      </c>
      <c r="Y594" s="204">
        <v>0</v>
      </c>
      <c r="Z594" s="202" t="s">
        <v>97</v>
      </c>
      <c r="AA594" s="202"/>
      <c r="AB594" s="202">
        <v>54608</v>
      </c>
      <c r="AC594" s="202"/>
      <c r="AD594" s="202" t="s">
        <v>1152</v>
      </c>
      <c r="AE594" s="202" t="s">
        <v>1153</v>
      </c>
      <c r="AF594" s="203" t="s">
        <v>1154</v>
      </c>
      <c r="AG594" s="202"/>
      <c r="AH594" s="203" t="s">
        <v>1155</v>
      </c>
      <c r="AI594" s="202">
        <v>0</v>
      </c>
      <c r="AJ594" s="202">
        <v>0</v>
      </c>
    </row>
    <row r="595" spans="2:36">
      <c r="B595" s="203">
        <v>2180</v>
      </c>
      <c r="C595" s="207">
        <v>118512</v>
      </c>
      <c r="D595" s="203">
        <v>90529</v>
      </c>
      <c r="E595" s="202" t="s">
        <v>2257</v>
      </c>
      <c r="F595" s="203"/>
      <c r="G595" s="202"/>
      <c r="H595" s="202"/>
      <c r="I595" s="202"/>
      <c r="J595" s="202">
        <v>0</v>
      </c>
      <c r="K595" s="202" t="s">
        <v>2256</v>
      </c>
      <c r="L595" s="202"/>
      <c r="M595" s="202" t="s">
        <v>1158</v>
      </c>
      <c r="N595" s="206">
        <v>41968</v>
      </c>
      <c r="O595" s="206">
        <v>41968</v>
      </c>
      <c r="P595" s="202" t="s">
        <v>2255</v>
      </c>
      <c r="Q595" s="203">
        <v>300</v>
      </c>
      <c r="R595" s="203">
        <v>14040</v>
      </c>
      <c r="S595" s="204">
        <v>8921.6</v>
      </c>
      <c r="T595" s="203">
        <v>14046</v>
      </c>
      <c r="U595" s="204">
        <v>8921.6</v>
      </c>
      <c r="V595" s="204">
        <f t="shared" si="21"/>
        <v>0</v>
      </c>
      <c r="W595" s="205">
        <v>0</v>
      </c>
      <c r="X595" s="203">
        <v>51260</v>
      </c>
      <c r="Y595" s="204">
        <v>0</v>
      </c>
      <c r="Z595" s="202" t="s">
        <v>97</v>
      </c>
      <c r="AA595" s="202"/>
      <c r="AB595" s="202">
        <v>54431</v>
      </c>
      <c r="AC595" s="202"/>
      <c r="AD595" s="202" t="s">
        <v>1152</v>
      </c>
      <c r="AE595" s="202" t="s">
        <v>1153</v>
      </c>
      <c r="AF595" s="203" t="s">
        <v>1154</v>
      </c>
      <c r="AG595" s="202"/>
      <c r="AH595" s="203" t="s">
        <v>1155</v>
      </c>
      <c r="AI595" s="202">
        <v>0</v>
      </c>
      <c r="AJ595" s="202">
        <v>0</v>
      </c>
    </row>
    <row r="596" spans="2:36">
      <c r="B596" s="203">
        <v>2180</v>
      </c>
      <c r="C596" s="207">
        <v>117837</v>
      </c>
      <c r="D596" s="203" t="s">
        <v>97</v>
      </c>
      <c r="E596" s="202" t="s">
        <v>2254</v>
      </c>
      <c r="F596" s="203">
        <v>624</v>
      </c>
      <c r="G596" s="202"/>
      <c r="H596" s="202"/>
      <c r="I596" s="202"/>
      <c r="J596" s="202">
        <v>0</v>
      </c>
      <c r="K596" s="202" t="s">
        <v>2010</v>
      </c>
      <c r="L596" s="202"/>
      <c r="M596" s="202"/>
      <c r="N596" s="206">
        <v>41936</v>
      </c>
      <c r="O596" s="206">
        <v>41936</v>
      </c>
      <c r="P596" s="202" t="s">
        <v>2251</v>
      </c>
      <c r="Q596" s="203">
        <v>700</v>
      </c>
      <c r="R596" s="203">
        <v>14050</v>
      </c>
      <c r="S596" s="204">
        <v>26546.799999999999</v>
      </c>
      <c r="T596" s="203">
        <v>14056</v>
      </c>
      <c r="U596" s="204">
        <v>26546.799999999999</v>
      </c>
      <c r="V596" s="204">
        <f t="shared" si="21"/>
        <v>0</v>
      </c>
      <c r="W596" s="205">
        <v>0</v>
      </c>
      <c r="X596" s="203">
        <v>54260</v>
      </c>
      <c r="Y596" s="204">
        <v>0</v>
      </c>
      <c r="Z596" s="202" t="s">
        <v>97</v>
      </c>
      <c r="AA596" s="202"/>
      <c r="AB596" s="202" t="s">
        <v>2250</v>
      </c>
      <c r="AC596" s="202"/>
      <c r="AD596" s="202" t="s">
        <v>1152</v>
      </c>
      <c r="AE596" s="202" t="s">
        <v>1153</v>
      </c>
      <c r="AF596" s="203" t="s">
        <v>1154</v>
      </c>
      <c r="AG596" s="202"/>
      <c r="AH596" s="203" t="s">
        <v>1155</v>
      </c>
      <c r="AI596" s="202">
        <v>0</v>
      </c>
      <c r="AJ596" s="202">
        <v>0</v>
      </c>
    </row>
    <row r="597" spans="2:36">
      <c r="B597" s="203">
        <v>2180</v>
      </c>
      <c r="C597" s="207">
        <v>117836</v>
      </c>
      <c r="D597" s="203" t="s">
        <v>97</v>
      </c>
      <c r="E597" s="202" t="s">
        <v>2253</v>
      </c>
      <c r="F597" s="203">
        <v>624</v>
      </c>
      <c r="G597" s="202"/>
      <c r="H597" s="202"/>
      <c r="I597" s="202"/>
      <c r="J597" s="202">
        <v>0</v>
      </c>
      <c r="K597" s="202" t="s">
        <v>2010</v>
      </c>
      <c r="L597" s="202"/>
      <c r="M597" s="202"/>
      <c r="N597" s="206">
        <v>41936</v>
      </c>
      <c r="O597" s="206">
        <v>41936</v>
      </c>
      <c r="P597" s="202" t="s">
        <v>2251</v>
      </c>
      <c r="Q597" s="203">
        <v>700</v>
      </c>
      <c r="R597" s="203">
        <v>14050</v>
      </c>
      <c r="S597" s="204">
        <v>26546.799999999999</v>
      </c>
      <c r="T597" s="203">
        <v>14056</v>
      </c>
      <c r="U597" s="204">
        <v>26546.799999999999</v>
      </c>
      <c r="V597" s="204">
        <f t="shared" si="21"/>
        <v>0</v>
      </c>
      <c r="W597" s="205">
        <v>0</v>
      </c>
      <c r="X597" s="203">
        <v>54260</v>
      </c>
      <c r="Y597" s="204">
        <v>0</v>
      </c>
      <c r="Z597" s="202" t="s">
        <v>97</v>
      </c>
      <c r="AA597" s="202"/>
      <c r="AB597" s="202" t="s">
        <v>2250</v>
      </c>
      <c r="AC597" s="202"/>
      <c r="AD597" s="202" t="s">
        <v>1152</v>
      </c>
      <c r="AE597" s="202" t="s">
        <v>1153</v>
      </c>
      <c r="AF597" s="203" t="s">
        <v>1154</v>
      </c>
      <c r="AG597" s="202"/>
      <c r="AH597" s="203" t="s">
        <v>1155</v>
      </c>
      <c r="AI597" s="202">
        <v>0</v>
      </c>
      <c r="AJ597" s="202">
        <v>0</v>
      </c>
    </row>
    <row r="598" spans="2:36">
      <c r="B598" s="203">
        <v>2180</v>
      </c>
      <c r="C598" s="207">
        <v>117835</v>
      </c>
      <c r="D598" s="203" t="s">
        <v>97</v>
      </c>
      <c r="E598" s="202" t="s">
        <v>2252</v>
      </c>
      <c r="F598" s="203">
        <v>1728</v>
      </c>
      <c r="G598" s="202"/>
      <c r="H598" s="202"/>
      <c r="I598" s="202"/>
      <c r="J598" s="202">
        <v>0</v>
      </c>
      <c r="K598" s="202" t="s">
        <v>2010</v>
      </c>
      <c r="L598" s="202"/>
      <c r="M598" s="202"/>
      <c r="N598" s="206">
        <v>41941</v>
      </c>
      <c r="O598" s="206">
        <v>41941</v>
      </c>
      <c r="P598" s="202" t="s">
        <v>2251</v>
      </c>
      <c r="Q598" s="203">
        <v>700</v>
      </c>
      <c r="R598" s="203">
        <v>14050</v>
      </c>
      <c r="S598" s="204">
        <v>62667.29</v>
      </c>
      <c r="T598" s="203">
        <v>14056</v>
      </c>
      <c r="U598" s="204">
        <v>62667.29</v>
      </c>
      <c r="V598" s="204">
        <f t="shared" si="21"/>
        <v>0</v>
      </c>
      <c r="W598" s="205">
        <v>0</v>
      </c>
      <c r="X598" s="203">
        <v>54260</v>
      </c>
      <c r="Y598" s="204">
        <v>0</v>
      </c>
      <c r="Z598" s="202" t="s">
        <v>97</v>
      </c>
      <c r="AA598" s="202"/>
      <c r="AB598" s="202" t="s">
        <v>2250</v>
      </c>
      <c r="AC598" s="202"/>
      <c r="AD598" s="202" t="s">
        <v>1152</v>
      </c>
      <c r="AE598" s="202" t="s">
        <v>1153</v>
      </c>
      <c r="AF598" s="203" t="s">
        <v>1154</v>
      </c>
      <c r="AG598" s="202"/>
      <c r="AH598" s="203" t="s">
        <v>1155</v>
      </c>
      <c r="AI598" s="202">
        <v>0</v>
      </c>
      <c r="AJ598" s="202">
        <v>0</v>
      </c>
    </row>
    <row r="599" spans="2:36">
      <c r="B599" s="203">
        <v>2180</v>
      </c>
      <c r="C599" s="207">
        <v>117319</v>
      </c>
      <c r="D599" s="203" t="s">
        <v>97</v>
      </c>
      <c r="E599" s="202" t="s">
        <v>2228</v>
      </c>
      <c r="F599" s="203">
        <v>0</v>
      </c>
      <c r="G599" s="202"/>
      <c r="H599" s="202" t="s">
        <v>2249</v>
      </c>
      <c r="I599" s="202"/>
      <c r="J599" s="202">
        <v>2015</v>
      </c>
      <c r="K599" s="202" t="s">
        <v>1822</v>
      </c>
      <c r="L599" s="202" t="s">
        <v>2216</v>
      </c>
      <c r="M599" s="202" t="s">
        <v>1404</v>
      </c>
      <c r="N599" s="206">
        <v>41973</v>
      </c>
      <c r="O599" s="206">
        <v>41973</v>
      </c>
      <c r="P599" s="202" t="s">
        <v>2248</v>
      </c>
      <c r="Q599" s="203">
        <v>1000</v>
      </c>
      <c r="R599" s="203">
        <v>14040</v>
      </c>
      <c r="S599" s="204">
        <v>318890.2</v>
      </c>
      <c r="T599" s="203">
        <v>14046</v>
      </c>
      <c r="U599" s="204">
        <v>239167.65</v>
      </c>
      <c r="V599" s="204">
        <f t="shared" si="21"/>
        <v>79722.550000000017</v>
      </c>
      <c r="W599" s="205">
        <v>13287.09</v>
      </c>
      <c r="X599" s="203">
        <v>51260</v>
      </c>
      <c r="Y599" s="204">
        <v>2657.42</v>
      </c>
      <c r="Z599" s="202" t="s">
        <v>97</v>
      </c>
      <c r="AA599" s="202"/>
      <c r="AB599" s="202"/>
      <c r="AC599" s="202">
        <v>3641</v>
      </c>
      <c r="AD599" s="202" t="s">
        <v>1152</v>
      </c>
      <c r="AE599" s="202" t="s">
        <v>1153</v>
      </c>
      <c r="AF599" s="203" t="s">
        <v>1154</v>
      </c>
      <c r="AG599" s="202"/>
      <c r="AH599" s="203" t="s">
        <v>1155</v>
      </c>
      <c r="AI599" s="202">
        <v>0</v>
      </c>
      <c r="AJ599" s="202">
        <v>0</v>
      </c>
    </row>
    <row r="600" spans="2:36">
      <c r="B600" s="203">
        <v>2180</v>
      </c>
      <c r="C600" s="207">
        <v>116970</v>
      </c>
      <c r="D600" s="203" t="s">
        <v>97</v>
      </c>
      <c r="E600" s="202" t="s">
        <v>1262</v>
      </c>
      <c r="F600" s="203">
        <v>549</v>
      </c>
      <c r="G600" s="202"/>
      <c r="H600" s="202"/>
      <c r="I600" s="202"/>
      <c r="J600" s="202">
        <v>0</v>
      </c>
      <c r="K600" s="202" t="s">
        <v>2165</v>
      </c>
      <c r="L600" s="202"/>
      <c r="M600" s="202"/>
      <c r="N600" s="206">
        <v>41894</v>
      </c>
      <c r="O600" s="206">
        <v>41894</v>
      </c>
      <c r="P600" s="202" t="s">
        <v>2164</v>
      </c>
      <c r="Q600" s="203">
        <v>700</v>
      </c>
      <c r="R600" s="203">
        <v>14050</v>
      </c>
      <c r="S600" s="204">
        <v>30794.2</v>
      </c>
      <c r="T600" s="203">
        <v>14056</v>
      </c>
      <c r="U600" s="204">
        <v>30794.2</v>
      </c>
      <c r="V600" s="204">
        <f t="shared" si="21"/>
        <v>0</v>
      </c>
      <c r="W600" s="205">
        <v>0</v>
      </c>
      <c r="X600" s="203">
        <v>54260</v>
      </c>
      <c r="Y600" s="204">
        <v>0</v>
      </c>
      <c r="Z600" s="202" t="s">
        <v>97</v>
      </c>
      <c r="AA600" s="202"/>
      <c r="AB600" s="202" t="s">
        <v>2247</v>
      </c>
      <c r="AC600" s="202"/>
      <c r="AD600" s="202" t="s">
        <v>1152</v>
      </c>
      <c r="AE600" s="202" t="s">
        <v>1153</v>
      </c>
      <c r="AF600" s="203" t="s">
        <v>1154</v>
      </c>
      <c r="AG600" s="202"/>
      <c r="AH600" s="203" t="s">
        <v>1155</v>
      </c>
      <c r="AI600" s="202">
        <v>0</v>
      </c>
      <c r="AJ600" s="202">
        <v>0</v>
      </c>
    </row>
    <row r="601" spans="2:36">
      <c r="B601" s="203">
        <v>2180</v>
      </c>
      <c r="C601" s="207">
        <v>116969</v>
      </c>
      <c r="D601" s="203" t="s">
        <v>97</v>
      </c>
      <c r="E601" s="202" t="s">
        <v>672</v>
      </c>
      <c r="F601" s="203">
        <v>486</v>
      </c>
      <c r="G601" s="202"/>
      <c r="H601" s="202"/>
      <c r="I601" s="202"/>
      <c r="J601" s="202">
        <v>0</v>
      </c>
      <c r="K601" s="202" t="s">
        <v>1658</v>
      </c>
      <c r="L601" s="202"/>
      <c r="M601" s="202"/>
      <c r="N601" s="206">
        <v>41920</v>
      </c>
      <c r="O601" s="206">
        <v>41920</v>
      </c>
      <c r="P601" s="202" t="s">
        <v>2161</v>
      </c>
      <c r="Q601" s="203">
        <v>700</v>
      </c>
      <c r="R601" s="203">
        <v>14050</v>
      </c>
      <c r="S601" s="204">
        <v>27750.61</v>
      </c>
      <c r="T601" s="203">
        <v>14056</v>
      </c>
      <c r="U601" s="204">
        <v>27750.61</v>
      </c>
      <c r="V601" s="204">
        <f t="shared" si="21"/>
        <v>0</v>
      </c>
      <c r="W601" s="205">
        <v>0</v>
      </c>
      <c r="X601" s="203">
        <v>54260</v>
      </c>
      <c r="Y601" s="204">
        <v>0</v>
      </c>
      <c r="Z601" s="202" t="s">
        <v>97</v>
      </c>
      <c r="AA601" s="202"/>
      <c r="AB601" s="202" t="s">
        <v>2246</v>
      </c>
      <c r="AC601" s="202"/>
      <c r="AD601" s="202" t="s">
        <v>1152</v>
      </c>
      <c r="AE601" s="202" t="s">
        <v>1153</v>
      </c>
      <c r="AF601" s="203" t="s">
        <v>1154</v>
      </c>
      <c r="AG601" s="202"/>
      <c r="AH601" s="203" t="s">
        <v>1155</v>
      </c>
      <c r="AI601" s="202">
        <v>0</v>
      </c>
      <c r="AJ601" s="202">
        <v>0</v>
      </c>
    </row>
    <row r="602" spans="2:36">
      <c r="B602" s="203">
        <v>2180</v>
      </c>
      <c r="C602" s="207">
        <v>116855</v>
      </c>
      <c r="D602" s="203">
        <v>116569</v>
      </c>
      <c r="E602" s="202" t="s">
        <v>2245</v>
      </c>
      <c r="F602" s="203"/>
      <c r="G602" s="202"/>
      <c r="H602" s="202"/>
      <c r="I602" s="202"/>
      <c r="J602" s="202">
        <v>0</v>
      </c>
      <c r="K602" s="202" t="s">
        <v>2136</v>
      </c>
      <c r="L602" s="202"/>
      <c r="M602" s="202" t="s">
        <v>1158</v>
      </c>
      <c r="N602" s="206">
        <v>41943</v>
      </c>
      <c r="O602" s="206">
        <v>41943</v>
      </c>
      <c r="P602" s="202" t="s">
        <v>2238</v>
      </c>
      <c r="Q602" s="203">
        <v>700</v>
      </c>
      <c r="R602" s="203">
        <v>14040</v>
      </c>
      <c r="S602" s="204">
        <v>913.92</v>
      </c>
      <c r="T602" s="203">
        <v>14046</v>
      </c>
      <c r="U602" s="204">
        <v>913.92</v>
      </c>
      <c r="V602" s="204">
        <f t="shared" si="21"/>
        <v>0</v>
      </c>
      <c r="W602" s="205">
        <v>0</v>
      </c>
      <c r="X602" s="203">
        <v>51260</v>
      </c>
      <c r="Y602" s="204">
        <v>0</v>
      </c>
      <c r="Z602" s="202" t="s">
        <v>97</v>
      </c>
      <c r="AA602" s="202"/>
      <c r="AB602" s="202">
        <v>1527</v>
      </c>
      <c r="AC602" s="202"/>
      <c r="AD602" s="202" t="s">
        <v>1152</v>
      </c>
      <c r="AE602" s="202" t="s">
        <v>1153</v>
      </c>
      <c r="AF602" s="203" t="s">
        <v>1154</v>
      </c>
      <c r="AG602" s="202"/>
      <c r="AH602" s="203" t="s">
        <v>1155</v>
      </c>
      <c r="AI602" s="202">
        <v>0</v>
      </c>
      <c r="AJ602" s="202">
        <v>0</v>
      </c>
    </row>
    <row r="603" spans="2:36">
      <c r="B603" s="203">
        <v>2180</v>
      </c>
      <c r="C603" s="207">
        <v>116854</v>
      </c>
      <c r="D603" s="203">
        <v>116569</v>
      </c>
      <c r="E603" s="202" t="s">
        <v>2244</v>
      </c>
      <c r="F603" s="203"/>
      <c r="G603" s="202"/>
      <c r="H603" s="202"/>
      <c r="I603" s="202"/>
      <c r="J603" s="202">
        <v>0</v>
      </c>
      <c r="K603" s="202" t="s">
        <v>2243</v>
      </c>
      <c r="L603" s="202"/>
      <c r="M603" s="202" t="s">
        <v>1158</v>
      </c>
      <c r="N603" s="206">
        <v>41943</v>
      </c>
      <c r="O603" s="206">
        <v>41943</v>
      </c>
      <c r="P603" s="202" t="s">
        <v>2238</v>
      </c>
      <c r="Q603" s="203">
        <v>700</v>
      </c>
      <c r="R603" s="203">
        <v>14040</v>
      </c>
      <c r="S603" s="204">
        <v>22274.73</v>
      </c>
      <c r="T603" s="203">
        <v>14046</v>
      </c>
      <c r="U603" s="204">
        <v>22274.73</v>
      </c>
      <c r="V603" s="204">
        <f t="shared" si="21"/>
        <v>0</v>
      </c>
      <c r="W603" s="205">
        <v>0</v>
      </c>
      <c r="X603" s="203">
        <v>51260</v>
      </c>
      <c r="Y603" s="204">
        <v>0</v>
      </c>
      <c r="Z603" s="202" t="s">
        <v>97</v>
      </c>
      <c r="AA603" s="202"/>
      <c r="AB603" s="202" t="s">
        <v>2242</v>
      </c>
      <c r="AC603" s="202"/>
      <c r="AD603" s="202" t="s">
        <v>1152</v>
      </c>
      <c r="AE603" s="202" t="s">
        <v>1153</v>
      </c>
      <c r="AF603" s="203" t="s">
        <v>1154</v>
      </c>
      <c r="AG603" s="202"/>
      <c r="AH603" s="203" t="s">
        <v>1155</v>
      </c>
      <c r="AI603" s="202">
        <v>0</v>
      </c>
      <c r="AJ603" s="202">
        <v>0</v>
      </c>
    </row>
    <row r="604" spans="2:36">
      <c r="B604" s="203">
        <v>2180</v>
      </c>
      <c r="C604" s="207">
        <v>116569</v>
      </c>
      <c r="D604" s="203" t="s">
        <v>97</v>
      </c>
      <c r="E604" s="202" t="s">
        <v>2241</v>
      </c>
      <c r="F604" s="203">
        <v>0</v>
      </c>
      <c r="G604" s="202"/>
      <c r="H604" s="202" t="s">
        <v>2240</v>
      </c>
      <c r="I604" s="202"/>
      <c r="J604" s="202">
        <v>2012</v>
      </c>
      <c r="K604" s="202" t="s">
        <v>2199</v>
      </c>
      <c r="L604" s="202" t="s">
        <v>2239</v>
      </c>
      <c r="M604" s="202" t="s">
        <v>1999</v>
      </c>
      <c r="N604" s="206">
        <v>41943</v>
      </c>
      <c r="O604" s="206">
        <v>41943</v>
      </c>
      <c r="P604" s="202" t="s">
        <v>2238</v>
      </c>
      <c r="Q604" s="203">
        <v>700</v>
      </c>
      <c r="R604" s="203">
        <v>14040</v>
      </c>
      <c r="S604" s="204">
        <v>257104</v>
      </c>
      <c r="T604" s="203">
        <v>14046</v>
      </c>
      <c r="U604" s="204">
        <v>257104</v>
      </c>
      <c r="V604" s="204">
        <f t="shared" si="21"/>
        <v>0</v>
      </c>
      <c r="W604" s="205">
        <v>0</v>
      </c>
      <c r="X604" s="203">
        <v>51260</v>
      </c>
      <c r="Y604" s="204">
        <v>0</v>
      </c>
      <c r="Z604" s="202" t="s">
        <v>97</v>
      </c>
      <c r="AA604" s="202"/>
      <c r="AB604" s="202"/>
      <c r="AC604" s="202">
        <v>2043</v>
      </c>
      <c r="AD604" s="202" t="s">
        <v>1152</v>
      </c>
      <c r="AE604" s="202" t="s">
        <v>1153</v>
      </c>
      <c r="AF604" s="203" t="s">
        <v>1154</v>
      </c>
      <c r="AG604" s="202"/>
      <c r="AH604" s="203" t="s">
        <v>1155</v>
      </c>
      <c r="AI604" s="202">
        <v>0</v>
      </c>
      <c r="AJ604" s="202">
        <v>0</v>
      </c>
    </row>
    <row r="605" spans="2:36">
      <c r="B605" s="203">
        <v>2180</v>
      </c>
      <c r="C605" s="207">
        <v>116164</v>
      </c>
      <c r="D605" s="203">
        <v>90521</v>
      </c>
      <c r="E605" s="202" t="s">
        <v>176</v>
      </c>
      <c r="F605" s="203"/>
      <c r="G605" s="202"/>
      <c r="H605" s="202"/>
      <c r="I605" s="202"/>
      <c r="J605" s="202">
        <v>0</v>
      </c>
      <c r="K605" s="202"/>
      <c r="L605" s="202"/>
      <c r="M605" s="202" t="s">
        <v>1158</v>
      </c>
      <c r="N605" s="206">
        <v>41900</v>
      </c>
      <c r="O605" s="206">
        <v>41900</v>
      </c>
      <c r="P605" s="202" t="s">
        <v>2237</v>
      </c>
      <c r="Q605" s="203">
        <v>300</v>
      </c>
      <c r="R605" s="203">
        <v>14040</v>
      </c>
      <c r="S605" s="204">
        <v>28134.68</v>
      </c>
      <c r="T605" s="203">
        <v>14046</v>
      </c>
      <c r="U605" s="204">
        <v>28134.68</v>
      </c>
      <c r="V605" s="204">
        <f t="shared" si="21"/>
        <v>0</v>
      </c>
      <c r="W605" s="205">
        <v>0</v>
      </c>
      <c r="X605" s="203">
        <v>51260</v>
      </c>
      <c r="Y605" s="204">
        <v>0</v>
      </c>
      <c r="Z605" s="202" t="s">
        <v>97</v>
      </c>
      <c r="AA605" s="202"/>
      <c r="AB605" s="202">
        <v>2613673</v>
      </c>
      <c r="AC605" s="202"/>
      <c r="AD605" s="202" t="s">
        <v>1152</v>
      </c>
      <c r="AE605" s="202" t="s">
        <v>1153</v>
      </c>
      <c r="AF605" s="203" t="s">
        <v>1154</v>
      </c>
      <c r="AG605" s="202"/>
      <c r="AH605" s="203" t="s">
        <v>1155</v>
      </c>
      <c r="AI605" s="202">
        <v>0</v>
      </c>
      <c r="AJ605" s="202">
        <v>0</v>
      </c>
    </row>
    <row r="606" spans="2:36">
      <c r="B606" s="203">
        <v>2180</v>
      </c>
      <c r="C606" s="207">
        <v>116079</v>
      </c>
      <c r="D606" s="203">
        <v>115278</v>
      </c>
      <c r="E606" s="202" t="s">
        <v>2236</v>
      </c>
      <c r="F606" s="203"/>
      <c r="G606" s="202"/>
      <c r="H606" s="202" t="s">
        <v>2227</v>
      </c>
      <c r="I606" s="202"/>
      <c r="J606" s="202">
        <v>0</v>
      </c>
      <c r="K606" s="202"/>
      <c r="L606" s="202"/>
      <c r="M606" s="202" t="s">
        <v>1158</v>
      </c>
      <c r="N606" s="206">
        <v>41873</v>
      </c>
      <c r="O606" s="206">
        <v>41873</v>
      </c>
      <c r="P606" s="202" t="s">
        <v>2226</v>
      </c>
      <c r="Q606" s="203">
        <v>1000</v>
      </c>
      <c r="R606" s="203">
        <v>14040</v>
      </c>
      <c r="S606" s="204">
        <v>913.92</v>
      </c>
      <c r="T606" s="203">
        <v>14046</v>
      </c>
      <c r="U606" s="204">
        <v>708.27</v>
      </c>
      <c r="V606" s="204">
        <f t="shared" si="21"/>
        <v>205.64999999999998</v>
      </c>
      <c r="W606" s="205">
        <v>38.08</v>
      </c>
      <c r="X606" s="203">
        <v>51260</v>
      </c>
      <c r="Y606" s="204">
        <v>7.62</v>
      </c>
      <c r="Z606" s="202" t="s">
        <v>97</v>
      </c>
      <c r="AA606" s="202"/>
      <c r="AB606" s="202">
        <v>1488</v>
      </c>
      <c r="AC606" s="202"/>
      <c r="AD606" s="202" t="s">
        <v>1152</v>
      </c>
      <c r="AE606" s="202" t="s">
        <v>1153</v>
      </c>
      <c r="AF606" s="203" t="s">
        <v>1154</v>
      </c>
      <c r="AG606" s="202"/>
      <c r="AH606" s="203" t="s">
        <v>1155</v>
      </c>
      <c r="AI606" s="202">
        <v>0</v>
      </c>
      <c r="AJ606" s="202">
        <v>0</v>
      </c>
    </row>
    <row r="607" spans="2:36">
      <c r="B607" s="203">
        <v>2180</v>
      </c>
      <c r="C607" s="207">
        <v>115960</v>
      </c>
      <c r="D607" s="203">
        <v>60775</v>
      </c>
      <c r="E607" s="202" t="s">
        <v>176</v>
      </c>
      <c r="F607" s="203">
        <v>0</v>
      </c>
      <c r="G607" s="202"/>
      <c r="H607" s="202"/>
      <c r="I607" s="202"/>
      <c r="J607" s="202">
        <v>0</v>
      </c>
      <c r="K607" s="202"/>
      <c r="L607" s="202"/>
      <c r="M607" s="202" t="s">
        <v>1447</v>
      </c>
      <c r="N607" s="206">
        <v>41814</v>
      </c>
      <c r="O607" s="206">
        <v>41814</v>
      </c>
      <c r="P607" s="202" t="s">
        <v>2235</v>
      </c>
      <c r="Q607" s="203">
        <v>300</v>
      </c>
      <c r="R607" s="203">
        <v>14040</v>
      </c>
      <c r="S607" s="204">
        <v>26931.15</v>
      </c>
      <c r="T607" s="203">
        <v>14046</v>
      </c>
      <c r="U607" s="204">
        <v>26931.15</v>
      </c>
      <c r="V607" s="204">
        <f t="shared" si="21"/>
        <v>0</v>
      </c>
      <c r="W607" s="205">
        <v>0</v>
      </c>
      <c r="X607" s="203">
        <v>51260</v>
      </c>
      <c r="Y607" s="204">
        <v>0</v>
      </c>
      <c r="Z607" s="202" t="s">
        <v>97</v>
      </c>
      <c r="AA607" s="202"/>
      <c r="AB607" s="202"/>
      <c r="AC607" s="202"/>
      <c r="AD607" s="202" t="s">
        <v>1152</v>
      </c>
      <c r="AE607" s="202" t="s">
        <v>1153</v>
      </c>
      <c r="AF607" s="203" t="s">
        <v>1154</v>
      </c>
      <c r="AG607" s="202"/>
      <c r="AH607" s="203" t="s">
        <v>1155</v>
      </c>
      <c r="AI607" s="202">
        <v>0</v>
      </c>
      <c r="AJ607" s="202">
        <v>0</v>
      </c>
    </row>
    <row r="608" spans="2:36">
      <c r="B608" s="203">
        <v>2180</v>
      </c>
      <c r="C608" s="207">
        <v>115909</v>
      </c>
      <c r="D608" s="203" t="s">
        <v>97</v>
      </c>
      <c r="E608" s="202" t="s">
        <v>920</v>
      </c>
      <c r="F608" s="203"/>
      <c r="G608" s="202"/>
      <c r="H608" s="202"/>
      <c r="I608" s="202"/>
      <c r="J608" s="202">
        <v>0</v>
      </c>
      <c r="K608" s="202" t="s">
        <v>2234</v>
      </c>
      <c r="L608" s="202"/>
      <c r="M608" s="202"/>
      <c r="N608" s="206">
        <v>41815</v>
      </c>
      <c r="O608" s="206">
        <v>41815</v>
      </c>
      <c r="P608" s="202" t="s">
        <v>2233</v>
      </c>
      <c r="Q608" s="203">
        <v>500</v>
      </c>
      <c r="R608" s="203">
        <v>14070</v>
      </c>
      <c r="S608" s="204">
        <v>4221.4399999999996</v>
      </c>
      <c r="T608" s="203">
        <v>14076</v>
      </c>
      <c r="U608" s="204">
        <v>4221.4399999999996</v>
      </c>
      <c r="V608" s="204">
        <f t="shared" si="21"/>
        <v>0</v>
      </c>
      <c r="W608" s="205">
        <v>0</v>
      </c>
      <c r="X608" s="203">
        <v>51260</v>
      </c>
      <c r="Y608" s="204">
        <v>0</v>
      </c>
      <c r="Z608" s="202" t="s">
        <v>97</v>
      </c>
      <c r="AA608" s="202"/>
      <c r="AB608" s="202">
        <v>6425258475</v>
      </c>
      <c r="AC608" s="202"/>
      <c r="AD608" s="202" t="s">
        <v>1152</v>
      </c>
      <c r="AE608" s="202" t="s">
        <v>1153</v>
      </c>
      <c r="AF608" s="203" t="s">
        <v>1154</v>
      </c>
      <c r="AG608" s="202"/>
      <c r="AH608" s="203" t="s">
        <v>1155</v>
      </c>
      <c r="AI608" s="202">
        <v>0</v>
      </c>
      <c r="AJ608" s="202">
        <v>0</v>
      </c>
    </row>
    <row r="609" spans="2:36">
      <c r="B609" s="203">
        <v>2180</v>
      </c>
      <c r="C609" s="207">
        <v>115899</v>
      </c>
      <c r="D609" s="203" t="s">
        <v>97</v>
      </c>
      <c r="E609" s="202" t="s">
        <v>2232</v>
      </c>
      <c r="F609" s="203">
        <v>20</v>
      </c>
      <c r="G609" s="202"/>
      <c r="H609" s="202"/>
      <c r="I609" s="202"/>
      <c r="J609" s="202">
        <v>0</v>
      </c>
      <c r="K609" s="202" t="s">
        <v>2010</v>
      </c>
      <c r="L609" s="202"/>
      <c r="M609" s="202" t="s">
        <v>1421</v>
      </c>
      <c r="N609" s="206">
        <v>41830</v>
      </c>
      <c r="O609" s="206">
        <v>41830</v>
      </c>
      <c r="P609" s="202" t="s">
        <v>2174</v>
      </c>
      <c r="Q609" s="203">
        <v>1200</v>
      </c>
      <c r="R609" s="203">
        <v>14050</v>
      </c>
      <c r="S609" s="204">
        <v>12033.28</v>
      </c>
      <c r="T609" s="203">
        <v>14056</v>
      </c>
      <c r="U609" s="204">
        <v>7938.6</v>
      </c>
      <c r="V609" s="204">
        <f t="shared" si="21"/>
        <v>4094.6800000000003</v>
      </c>
      <c r="W609" s="205">
        <v>417.82</v>
      </c>
      <c r="X609" s="203">
        <v>54260</v>
      </c>
      <c r="Y609" s="204">
        <v>83.56</v>
      </c>
      <c r="Z609" s="202" t="s">
        <v>97</v>
      </c>
      <c r="AA609" s="202"/>
      <c r="AB609" s="202" t="s">
        <v>2231</v>
      </c>
      <c r="AC609" s="202"/>
      <c r="AD609" s="202" t="s">
        <v>1152</v>
      </c>
      <c r="AE609" s="202" t="s">
        <v>1153</v>
      </c>
      <c r="AF609" s="203" t="s">
        <v>1154</v>
      </c>
      <c r="AG609" s="202"/>
      <c r="AH609" s="203" t="s">
        <v>1155</v>
      </c>
      <c r="AI609" s="202">
        <v>0</v>
      </c>
      <c r="AJ609" s="202">
        <v>0</v>
      </c>
    </row>
    <row r="610" spans="2:36">
      <c r="B610" s="203">
        <v>2180</v>
      </c>
      <c r="C610" s="207">
        <v>115331</v>
      </c>
      <c r="D610" s="203" t="s">
        <v>97</v>
      </c>
      <c r="E610" s="202" t="s">
        <v>2230</v>
      </c>
      <c r="F610" s="203">
        <v>10</v>
      </c>
      <c r="G610" s="202"/>
      <c r="H610" s="202"/>
      <c r="I610" s="202"/>
      <c r="J610" s="202">
        <v>0</v>
      </c>
      <c r="K610" s="202" t="s">
        <v>2010</v>
      </c>
      <c r="L610" s="202"/>
      <c r="M610" s="202" t="s">
        <v>1462</v>
      </c>
      <c r="N610" s="206">
        <v>41830</v>
      </c>
      <c r="O610" s="206">
        <v>41830</v>
      </c>
      <c r="P610" s="202" t="s">
        <v>2229</v>
      </c>
      <c r="Q610" s="203">
        <v>1200</v>
      </c>
      <c r="R610" s="203">
        <v>14050</v>
      </c>
      <c r="S610" s="204">
        <v>5973.12</v>
      </c>
      <c r="T610" s="203">
        <v>14056</v>
      </c>
      <c r="U610" s="204">
        <v>3940.6</v>
      </c>
      <c r="V610" s="204">
        <f t="shared" si="21"/>
        <v>2032.52</v>
      </c>
      <c r="W610" s="205">
        <v>207.4</v>
      </c>
      <c r="X610" s="203">
        <v>54260</v>
      </c>
      <c r="Y610" s="204">
        <v>41.48</v>
      </c>
      <c r="Z610" s="202" t="s">
        <v>97</v>
      </c>
      <c r="AA610" s="202"/>
      <c r="AB610" s="202">
        <v>37208763</v>
      </c>
      <c r="AC610" s="202"/>
      <c r="AD610" s="202" t="s">
        <v>1152</v>
      </c>
      <c r="AE610" s="202" t="s">
        <v>1153</v>
      </c>
      <c r="AF610" s="203" t="s">
        <v>1154</v>
      </c>
      <c r="AG610" s="202"/>
      <c r="AH610" s="203" t="s">
        <v>1155</v>
      </c>
      <c r="AI610" s="202">
        <v>0</v>
      </c>
      <c r="AJ610" s="202">
        <v>0</v>
      </c>
    </row>
    <row r="611" spans="2:36">
      <c r="B611" s="203">
        <v>2180</v>
      </c>
      <c r="C611" s="207">
        <v>115278</v>
      </c>
      <c r="D611" s="203" t="s">
        <v>97</v>
      </c>
      <c r="E611" s="202" t="s">
        <v>2228</v>
      </c>
      <c r="F611" s="203">
        <v>0</v>
      </c>
      <c r="G611" s="202"/>
      <c r="H611" s="202" t="s">
        <v>2227</v>
      </c>
      <c r="I611" s="202"/>
      <c r="J611" s="202">
        <v>2015</v>
      </c>
      <c r="K611" s="202" t="s">
        <v>1822</v>
      </c>
      <c r="L611" s="202" t="s">
        <v>2216</v>
      </c>
      <c r="M611" s="202" t="s">
        <v>1404</v>
      </c>
      <c r="N611" s="206">
        <v>41873</v>
      </c>
      <c r="O611" s="206">
        <v>41873</v>
      </c>
      <c r="P611" s="202" t="s">
        <v>2226</v>
      </c>
      <c r="Q611" s="203">
        <v>1000</v>
      </c>
      <c r="R611" s="203">
        <v>14040</v>
      </c>
      <c r="S611" s="204">
        <v>317973.28000000003</v>
      </c>
      <c r="T611" s="203">
        <v>14046</v>
      </c>
      <c r="U611" s="204">
        <v>246429.31</v>
      </c>
      <c r="V611" s="204">
        <f t="shared" si="21"/>
        <v>71543.97000000003</v>
      </c>
      <c r="W611" s="205">
        <v>13248.89</v>
      </c>
      <c r="X611" s="203">
        <v>51260</v>
      </c>
      <c r="Y611" s="204">
        <v>2649.78</v>
      </c>
      <c r="Z611" s="202" t="s">
        <v>97</v>
      </c>
      <c r="AA611" s="202"/>
      <c r="AB611" s="202"/>
      <c r="AC611" s="202">
        <v>3638</v>
      </c>
      <c r="AD611" s="202" t="s">
        <v>1152</v>
      </c>
      <c r="AE611" s="202" t="s">
        <v>1153</v>
      </c>
      <c r="AF611" s="203" t="s">
        <v>1154</v>
      </c>
      <c r="AG611" s="202"/>
      <c r="AH611" s="203" t="s">
        <v>1155</v>
      </c>
      <c r="AI611" s="202">
        <v>0</v>
      </c>
      <c r="AJ611" s="202">
        <v>0</v>
      </c>
    </row>
    <row r="612" spans="2:36">
      <c r="B612" s="203">
        <v>2180</v>
      </c>
      <c r="C612" s="207">
        <v>115199</v>
      </c>
      <c r="D612" s="203" t="s">
        <v>97</v>
      </c>
      <c r="E612" s="202" t="s">
        <v>2225</v>
      </c>
      <c r="F612" s="203">
        <v>549</v>
      </c>
      <c r="G612" s="202"/>
      <c r="H612" s="202"/>
      <c r="I612" s="202"/>
      <c r="J612" s="202">
        <v>0</v>
      </c>
      <c r="K612" s="202" t="s">
        <v>2165</v>
      </c>
      <c r="L612" s="202"/>
      <c r="M612" s="202"/>
      <c r="N612" s="206">
        <v>41821</v>
      </c>
      <c r="O612" s="206">
        <v>41821</v>
      </c>
      <c r="P612" s="202" t="s">
        <v>2164</v>
      </c>
      <c r="Q612" s="203">
        <v>700</v>
      </c>
      <c r="R612" s="203">
        <v>14050</v>
      </c>
      <c r="S612" s="204">
        <v>30193.63</v>
      </c>
      <c r="T612" s="203">
        <v>14056</v>
      </c>
      <c r="U612" s="204">
        <v>30193.63</v>
      </c>
      <c r="V612" s="204">
        <f t="shared" si="21"/>
        <v>0</v>
      </c>
      <c r="W612" s="205">
        <v>0</v>
      </c>
      <c r="X612" s="203">
        <v>54260</v>
      </c>
      <c r="Y612" s="204">
        <v>0</v>
      </c>
      <c r="Z612" s="202" t="s">
        <v>97</v>
      </c>
      <c r="AA612" s="202"/>
      <c r="AB612" s="202" t="s">
        <v>2224</v>
      </c>
      <c r="AC612" s="202"/>
      <c r="AD612" s="202" t="s">
        <v>1152</v>
      </c>
      <c r="AE612" s="202" t="s">
        <v>1153</v>
      </c>
      <c r="AF612" s="203" t="s">
        <v>1154</v>
      </c>
      <c r="AG612" s="202"/>
      <c r="AH612" s="203" t="s">
        <v>1155</v>
      </c>
      <c r="AI612" s="202">
        <v>0</v>
      </c>
      <c r="AJ612" s="202">
        <v>0</v>
      </c>
    </row>
    <row r="613" spans="2:36">
      <c r="B613" s="203">
        <v>2180</v>
      </c>
      <c r="C613" s="207">
        <v>115198</v>
      </c>
      <c r="D613" s="203" t="s">
        <v>97</v>
      </c>
      <c r="E613" s="202" t="s">
        <v>1262</v>
      </c>
      <c r="F613" s="203">
        <v>549</v>
      </c>
      <c r="G613" s="202"/>
      <c r="H613" s="202"/>
      <c r="I613" s="202"/>
      <c r="J613" s="202">
        <v>0</v>
      </c>
      <c r="K613" s="202" t="s">
        <v>2165</v>
      </c>
      <c r="L613" s="202"/>
      <c r="M613" s="202"/>
      <c r="N613" s="206">
        <v>41821</v>
      </c>
      <c r="O613" s="206">
        <v>41821</v>
      </c>
      <c r="P613" s="202" t="s">
        <v>2164</v>
      </c>
      <c r="Q613" s="203">
        <v>700</v>
      </c>
      <c r="R613" s="203">
        <v>14050</v>
      </c>
      <c r="S613" s="204">
        <v>30193.63</v>
      </c>
      <c r="T613" s="203">
        <v>14056</v>
      </c>
      <c r="U613" s="204">
        <v>30193.63</v>
      </c>
      <c r="V613" s="204">
        <f t="shared" si="21"/>
        <v>0</v>
      </c>
      <c r="W613" s="205">
        <v>0</v>
      </c>
      <c r="X613" s="203">
        <v>54260</v>
      </c>
      <c r="Y613" s="204">
        <v>0</v>
      </c>
      <c r="Z613" s="202" t="s">
        <v>97</v>
      </c>
      <c r="AA613" s="202"/>
      <c r="AB613" s="202" t="s">
        <v>2223</v>
      </c>
      <c r="AC613" s="202"/>
      <c r="AD613" s="202" t="s">
        <v>1152</v>
      </c>
      <c r="AE613" s="202" t="s">
        <v>1153</v>
      </c>
      <c r="AF613" s="203" t="s">
        <v>1154</v>
      </c>
      <c r="AG613" s="202"/>
      <c r="AH613" s="203" t="s">
        <v>1155</v>
      </c>
      <c r="AI613" s="202">
        <v>0</v>
      </c>
      <c r="AJ613" s="202">
        <v>0</v>
      </c>
    </row>
    <row r="614" spans="2:36">
      <c r="B614" s="203">
        <v>2180</v>
      </c>
      <c r="C614" s="207">
        <v>115101</v>
      </c>
      <c r="D614" s="203" t="s">
        <v>97</v>
      </c>
      <c r="E614" s="202" t="s">
        <v>2222</v>
      </c>
      <c r="F614" s="203">
        <v>486</v>
      </c>
      <c r="G614" s="202"/>
      <c r="H614" s="202"/>
      <c r="I614" s="202"/>
      <c r="J614" s="202">
        <v>0</v>
      </c>
      <c r="K614" s="202" t="s">
        <v>1658</v>
      </c>
      <c r="L614" s="202"/>
      <c r="M614" s="202"/>
      <c r="N614" s="206">
        <v>41848</v>
      </c>
      <c r="O614" s="206">
        <v>41848</v>
      </c>
      <c r="P614" s="202" t="s">
        <v>2188</v>
      </c>
      <c r="Q614" s="203">
        <v>700</v>
      </c>
      <c r="R614" s="203">
        <v>14050</v>
      </c>
      <c r="S614" s="204">
        <v>27813.17</v>
      </c>
      <c r="T614" s="203">
        <v>14056</v>
      </c>
      <c r="U614" s="204">
        <v>27813.17</v>
      </c>
      <c r="V614" s="204">
        <f t="shared" si="21"/>
        <v>0</v>
      </c>
      <c r="W614" s="205">
        <v>0</v>
      </c>
      <c r="X614" s="203">
        <v>54260</v>
      </c>
      <c r="Y614" s="204">
        <v>0</v>
      </c>
      <c r="Z614" s="202" t="s">
        <v>97</v>
      </c>
      <c r="AA614" s="202"/>
      <c r="AB614" s="202" t="s">
        <v>2221</v>
      </c>
      <c r="AC614" s="202"/>
      <c r="AD614" s="202" t="s">
        <v>1152</v>
      </c>
      <c r="AE614" s="202" t="s">
        <v>1153</v>
      </c>
      <c r="AF614" s="203" t="s">
        <v>1154</v>
      </c>
      <c r="AG614" s="202"/>
      <c r="AH614" s="203" t="s">
        <v>1155</v>
      </c>
      <c r="AI614" s="202">
        <v>0</v>
      </c>
      <c r="AJ614" s="202">
        <v>0</v>
      </c>
    </row>
    <row r="615" spans="2:36">
      <c r="B615" s="203">
        <v>2180</v>
      </c>
      <c r="C615" s="207">
        <v>115100</v>
      </c>
      <c r="D615" s="203" t="s">
        <v>97</v>
      </c>
      <c r="E615" s="202" t="s">
        <v>2220</v>
      </c>
      <c r="F615" s="203">
        <v>20</v>
      </c>
      <c r="G615" s="202"/>
      <c r="H615" s="202"/>
      <c r="I615" s="202"/>
      <c r="J615" s="202">
        <v>0</v>
      </c>
      <c r="K615" s="202" t="s">
        <v>1658</v>
      </c>
      <c r="L615" s="202"/>
      <c r="M615" s="202" t="s">
        <v>1582</v>
      </c>
      <c r="N615" s="206">
        <v>41838</v>
      </c>
      <c r="O615" s="206">
        <v>41838</v>
      </c>
      <c r="P615" s="202" t="s">
        <v>2212</v>
      </c>
      <c r="Q615" s="203">
        <v>700</v>
      </c>
      <c r="R615" s="203">
        <v>14050</v>
      </c>
      <c r="S615" s="204">
        <v>16042.56</v>
      </c>
      <c r="T615" s="203">
        <v>14056</v>
      </c>
      <c r="U615" s="204">
        <v>16042.56</v>
      </c>
      <c r="V615" s="204">
        <f t="shared" si="21"/>
        <v>0</v>
      </c>
      <c r="W615" s="205">
        <v>0</v>
      </c>
      <c r="X615" s="203">
        <v>54260</v>
      </c>
      <c r="Y615" s="204">
        <v>0</v>
      </c>
      <c r="Z615" s="202" t="s">
        <v>97</v>
      </c>
      <c r="AA615" s="202"/>
      <c r="AB615" s="202" t="s">
        <v>2219</v>
      </c>
      <c r="AC615" s="202"/>
      <c r="AD615" s="202" t="s">
        <v>1152</v>
      </c>
      <c r="AE615" s="202" t="s">
        <v>1153</v>
      </c>
      <c r="AF615" s="203" t="s">
        <v>1154</v>
      </c>
      <c r="AG615" s="202"/>
      <c r="AH615" s="203" t="s">
        <v>1155</v>
      </c>
      <c r="AI615" s="202">
        <v>0</v>
      </c>
      <c r="AJ615" s="202">
        <v>0</v>
      </c>
    </row>
    <row r="616" spans="2:36">
      <c r="B616" s="203">
        <v>2180</v>
      </c>
      <c r="C616" s="207">
        <v>115086</v>
      </c>
      <c r="D616" s="203" t="s">
        <v>97</v>
      </c>
      <c r="E616" s="202" t="s">
        <v>2218</v>
      </c>
      <c r="F616" s="203"/>
      <c r="G616" s="202"/>
      <c r="H616" s="202" t="s">
        <v>2217</v>
      </c>
      <c r="I616" s="202"/>
      <c r="J616" s="202">
        <v>2014</v>
      </c>
      <c r="K616" s="202" t="s">
        <v>2207</v>
      </c>
      <c r="L616" s="202" t="s">
        <v>2216</v>
      </c>
      <c r="M616" s="202" t="s">
        <v>2112</v>
      </c>
      <c r="N616" s="206">
        <v>41848</v>
      </c>
      <c r="O616" s="206">
        <v>41848</v>
      </c>
      <c r="P616" s="202" t="s">
        <v>2215</v>
      </c>
      <c r="Q616" s="203">
        <v>600</v>
      </c>
      <c r="R616" s="203">
        <v>14040</v>
      </c>
      <c r="S616" s="204">
        <v>133477.48000000001</v>
      </c>
      <c r="T616" s="203">
        <v>14046</v>
      </c>
      <c r="U616" s="204">
        <v>133477.48000000001</v>
      </c>
      <c r="V616" s="204">
        <f t="shared" si="21"/>
        <v>0</v>
      </c>
      <c r="W616" s="205">
        <v>0</v>
      </c>
      <c r="X616" s="203">
        <v>51260</v>
      </c>
      <c r="Y616" s="204">
        <v>0</v>
      </c>
      <c r="Z616" s="202" t="s">
        <v>97</v>
      </c>
      <c r="AA616" s="202"/>
      <c r="AB616" s="202" t="s">
        <v>2214</v>
      </c>
      <c r="AC616" s="202">
        <v>3309</v>
      </c>
      <c r="AD616" s="202" t="s">
        <v>1152</v>
      </c>
      <c r="AE616" s="202" t="s">
        <v>1153</v>
      </c>
      <c r="AF616" s="203" t="s">
        <v>1154</v>
      </c>
      <c r="AG616" s="202"/>
      <c r="AH616" s="203" t="s">
        <v>1155</v>
      </c>
      <c r="AI616" s="202">
        <v>0</v>
      </c>
      <c r="AJ616" s="202">
        <v>0</v>
      </c>
    </row>
    <row r="617" spans="2:36">
      <c r="B617" s="203">
        <v>2180</v>
      </c>
      <c r="C617" s="207">
        <v>115032</v>
      </c>
      <c r="D617" s="203" t="s">
        <v>97</v>
      </c>
      <c r="E617" s="202" t="s">
        <v>2213</v>
      </c>
      <c r="F617" s="203">
        <v>16</v>
      </c>
      <c r="G617" s="202"/>
      <c r="H617" s="202"/>
      <c r="I617" s="202"/>
      <c r="J617" s="202">
        <v>0</v>
      </c>
      <c r="K617" s="202" t="s">
        <v>1658</v>
      </c>
      <c r="L617" s="202"/>
      <c r="M617" s="202" t="s">
        <v>1582</v>
      </c>
      <c r="N617" s="206">
        <v>41851</v>
      </c>
      <c r="O617" s="206">
        <v>41851</v>
      </c>
      <c r="P617" s="202" t="s">
        <v>2212</v>
      </c>
      <c r="Q617" s="203">
        <v>700</v>
      </c>
      <c r="R617" s="203">
        <v>14050</v>
      </c>
      <c r="S617" s="204">
        <v>12952.64</v>
      </c>
      <c r="T617" s="203">
        <v>14056</v>
      </c>
      <c r="U617" s="204">
        <v>12952.64</v>
      </c>
      <c r="V617" s="204">
        <f t="shared" si="21"/>
        <v>0</v>
      </c>
      <c r="W617" s="205">
        <v>0</v>
      </c>
      <c r="X617" s="203">
        <v>54260</v>
      </c>
      <c r="Y617" s="204">
        <v>0</v>
      </c>
      <c r="Z617" s="202" t="s">
        <v>97</v>
      </c>
      <c r="AA617" s="202"/>
      <c r="AB617" s="202" t="s">
        <v>2211</v>
      </c>
      <c r="AC617" s="202"/>
      <c r="AD617" s="202" t="s">
        <v>1152</v>
      </c>
      <c r="AE617" s="202" t="s">
        <v>1153</v>
      </c>
      <c r="AF617" s="203" t="s">
        <v>1154</v>
      </c>
      <c r="AG617" s="202"/>
      <c r="AH617" s="203" t="s">
        <v>1155</v>
      </c>
      <c r="AI617" s="202">
        <v>0</v>
      </c>
      <c r="AJ617" s="202">
        <v>0</v>
      </c>
    </row>
    <row r="618" spans="2:36">
      <c r="B618" s="203">
        <v>2180</v>
      </c>
      <c r="C618" s="207">
        <v>114986</v>
      </c>
      <c r="D618" s="203" t="s">
        <v>97</v>
      </c>
      <c r="E618" s="202" t="s">
        <v>494</v>
      </c>
      <c r="F618" s="203">
        <v>24</v>
      </c>
      <c r="G618" s="202"/>
      <c r="H618" s="202"/>
      <c r="I618" s="202"/>
      <c r="J618" s="202">
        <v>0</v>
      </c>
      <c r="K618" s="202" t="s">
        <v>1658</v>
      </c>
      <c r="L618" s="202"/>
      <c r="M618" s="202" t="s">
        <v>1558</v>
      </c>
      <c r="N618" s="206">
        <v>41781</v>
      </c>
      <c r="O618" s="206">
        <v>41781</v>
      </c>
      <c r="P618" s="202" t="s">
        <v>2185</v>
      </c>
      <c r="Q618" s="203">
        <v>700</v>
      </c>
      <c r="R618" s="203">
        <v>14050</v>
      </c>
      <c r="S618" s="204">
        <v>16602.88</v>
      </c>
      <c r="T618" s="203">
        <v>14056</v>
      </c>
      <c r="U618" s="204">
        <v>16602.88</v>
      </c>
      <c r="V618" s="204">
        <f t="shared" si="21"/>
        <v>0</v>
      </c>
      <c r="W618" s="205">
        <v>0</v>
      </c>
      <c r="X618" s="203">
        <v>54260</v>
      </c>
      <c r="Y618" s="204">
        <v>0</v>
      </c>
      <c r="Z618" s="202" t="s">
        <v>97</v>
      </c>
      <c r="AA618" s="202"/>
      <c r="AB618" s="202" t="s">
        <v>2210</v>
      </c>
      <c r="AC618" s="202"/>
      <c r="AD618" s="202" t="s">
        <v>1152</v>
      </c>
      <c r="AE618" s="202" t="s">
        <v>1153</v>
      </c>
      <c r="AF618" s="203" t="s">
        <v>1154</v>
      </c>
      <c r="AG618" s="202"/>
      <c r="AH618" s="203" t="s">
        <v>1155</v>
      </c>
      <c r="AI618" s="202">
        <v>0</v>
      </c>
      <c r="AJ618" s="202">
        <v>0</v>
      </c>
    </row>
    <row r="619" spans="2:36">
      <c r="B619" s="203">
        <v>2180</v>
      </c>
      <c r="C619" s="207">
        <v>114984</v>
      </c>
      <c r="D619" s="203" t="s">
        <v>97</v>
      </c>
      <c r="E619" s="202" t="s">
        <v>2209</v>
      </c>
      <c r="F619" s="203"/>
      <c r="G619" s="202"/>
      <c r="H619" s="202" t="s">
        <v>2208</v>
      </c>
      <c r="I619" s="202"/>
      <c r="J619" s="202">
        <v>2015</v>
      </c>
      <c r="K619" s="202" t="s">
        <v>2207</v>
      </c>
      <c r="L619" s="202" t="s">
        <v>1830</v>
      </c>
      <c r="M619" s="202" t="s">
        <v>1503</v>
      </c>
      <c r="N619" s="206">
        <v>41852</v>
      </c>
      <c r="O619" s="206">
        <v>41852</v>
      </c>
      <c r="P619" s="202" t="s">
        <v>2206</v>
      </c>
      <c r="Q619" s="203">
        <v>1000</v>
      </c>
      <c r="R619" s="203">
        <v>14040</v>
      </c>
      <c r="S619" s="204">
        <v>59098.89</v>
      </c>
      <c r="T619" s="203">
        <v>14046</v>
      </c>
      <c r="U619" s="204">
        <v>46293.99</v>
      </c>
      <c r="V619" s="204">
        <f t="shared" si="21"/>
        <v>12804.900000000001</v>
      </c>
      <c r="W619" s="205">
        <v>2462.4499999999998</v>
      </c>
      <c r="X619" s="203">
        <v>51260</v>
      </c>
      <c r="Y619" s="204">
        <v>492.49</v>
      </c>
      <c r="Z619" s="202" t="s">
        <v>97</v>
      </c>
      <c r="AA619" s="202"/>
      <c r="AB619" s="202" t="s">
        <v>2205</v>
      </c>
      <c r="AC619" s="202">
        <v>9560</v>
      </c>
      <c r="AD619" s="202" t="s">
        <v>1152</v>
      </c>
      <c r="AE619" s="202" t="s">
        <v>1153</v>
      </c>
      <c r="AF619" s="203" t="s">
        <v>1154</v>
      </c>
      <c r="AG619" s="202"/>
      <c r="AH619" s="203" t="s">
        <v>1155</v>
      </c>
      <c r="AI619" s="202">
        <v>0</v>
      </c>
      <c r="AJ619" s="202">
        <v>0</v>
      </c>
    </row>
    <row r="620" spans="2:36">
      <c r="B620" s="203">
        <v>2180</v>
      </c>
      <c r="C620" s="207">
        <v>114876</v>
      </c>
      <c r="D620" s="203" t="s">
        <v>97</v>
      </c>
      <c r="E620" s="202" t="s">
        <v>2204</v>
      </c>
      <c r="F620" s="203">
        <v>0</v>
      </c>
      <c r="G620" s="202"/>
      <c r="H620" s="202" t="s">
        <v>2203</v>
      </c>
      <c r="I620" s="202"/>
      <c r="J620" s="202">
        <v>2011</v>
      </c>
      <c r="K620" s="202" t="s">
        <v>1720</v>
      </c>
      <c r="L620" s="202" t="s">
        <v>1720</v>
      </c>
      <c r="M620" s="202" t="s">
        <v>1412</v>
      </c>
      <c r="N620" s="206">
        <v>40893</v>
      </c>
      <c r="O620" s="206">
        <v>40893</v>
      </c>
      <c r="P620" s="202" t="s">
        <v>2202</v>
      </c>
      <c r="Q620" s="203">
        <v>900</v>
      </c>
      <c r="R620" s="203">
        <v>14030</v>
      </c>
      <c r="S620" s="204">
        <v>31190.89</v>
      </c>
      <c r="T620" s="203">
        <v>14036</v>
      </c>
      <c r="U620" s="204">
        <v>31190.89</v>
      </c>
      <c r="V620" s="204">
        <f t="shared" si="21"/>
        <v>0</v>
      </c>
      <c r="W620" s="205">
        <v>0</v>
      </c>
      <c r="X620" s="203">
        <v>51260</v>
      </c>
      <c r="Y620" s="204">
        <v>0</v>
      </c>
      <c r="Z620" s="202" t="s">
        <v>97</v>
      </c>
      <c r="AA620" s="202"/>
      <c r="AB620" s="202">
        <v>185068</v>
      </c>
      <c r="AC620" s="202">
        <v>7004</v>
      </c>
      <c r="AD620" s="202" t="s">
        <v>1152</v>
      </c>
      <c r="AE620" s="202" t="s">
        <v>1153</v>
      </c>
      <c r="AF620" s="203" t="s">
        <v>1154</v>
      </c>
      <c r="AG620" s="208">
        <v>41851</v>
      </c>
      <c r="AH620" s="203" t="s">
        <v>1155</v>
      </c>
      <c r="AI620" s="202">
        <v>0</v>
      </c>
      <c r="AJ620" s="202">
        <v>8952.9599999999991</v>
      </c>
    </row>
    <row r="621" spans="2:36">
      <c r="B621" s="203">
        <v>2180</v>
      </c>
      <c r="C621" s="207">
        <v>114545</v>
      </c>
      <c r="D621" s="203" t="s">
        <v>97</v>
      </c>
      <c r="E621" s="202" t="s">
        <v>2201</v>
      </c>
      <c r="F621" s="203">
        <v>0</v>
      </c>
      <c r="G621" s="202"/>
      <c r="H621" s="202" t="s">
        <v>2200</v>
      </c>
      <c r="I621" s="202"/>
      <c r="J621" s="202">
        <v>2013</v>
      </c>
      <c r="K621" s="202" t="s">
        <v>2199</v>
      </c>
      <c r="L621" s="202" t="s">
        <v>2198</v>
      </c>
      <c r="M621" s="202" t="s">
        <v>1999</v>
      </c>
      <c r="N621" s="206">
        <v>41821</v>
      </c>
      <c r="O621" s="206">
        <v>41821</v>
      </c>
      <c r="P621" s="202" t="s">
        <v>2197</v>
      </c>
      <c r="Q621" s="203">
        <v>800</v>
      </c>
      <c r="R621" s="203">
        <v>14040</v>
      </c>
      <c r="S621" s="204">
        <v>285481.71999999997</v>
      </c>
      <c r="T621" s="203">
        <v>14046</v>
      </c>
      <c r="U621" s="204">
        <v>282507.99</v>
      </c>
      <c r="V621" s="204">
        <f t="shared" si="21"/>
        <v>2973.7299999999814</v>
      </c>
      <c r="W621" s="205">
        <v>14868.84</v>
      </c>
      <c r="X621" s="203">
        <v>51260</v>
      </c>
      <c r="Y621" s="204">
        <v>2973.77</v>
      </c>
      <c r="Z621" s="202" t="s">
        <v>97</v>
      </c>
      <c r="AA621" s="202"/>
      <c r="AB621" s="202"/>
      <c r="AC621" s="202">
        <v>2042</v>
      </c>
      <c r="AD621" s="202" t="s">
        <v>1152</v>
      </c>
      <c r="AE621" s="202" t="s">
        <v>1153</v>
      </c>
      <c r="AF621" s="203" t="s">
        <v>1154</v>
      </c>
      <c r="AG621" s="202"/>
      <c r="AH621" s="203" t="s">
        <v>1155</v>
      </c>
      <c r="AI621" s="202">
        <v>0</v>
      </c>
      <c r="AJ621" s="202">
        <v>0</v>
      </c>
    </row>
    <row r="622" spans="2:36">
      <c r="B622" s="203">
        <v>2180</v>
      </c>
      <c r="C622" s="207">
        <v>114405</v>
      </c>
      <c r="D622" s="203" t="s">
        <v>97</v>
      </c>
      <c r="E622" s="202" t="s">
        <v>2195</v>
      </c>
      <c r="F622" s="203">
        <v>486</v>
      </c>
      <c r="G622" s="202"/>
      <c r="H622" s="202"/>
      <c r="I622" s="202"/>
      <c r="J622" s="202">
        <v>0</v>
      </c>
      <c r="K622" s="202" t="s">
        <v>1658</v>
      </c>
      <c r="L622" s="202"/>
      <c r="M622" s="202"/>
      <c r="N622" s="206">
        <v>41827</v>
      </c>
      <c r="O622" s="206">
        <v>41827</v>
      </c>
      <c r="P622" s="202" t="s">
        <v>2161</v>
      </c>
      <c r="Q622" s="203">
        <v>700</v>
      </c>
      <c r="R622" s="203">
        <v>14050</v>
      </c>
      <c r="S622" s="204">
        <v>28368.38</v>
      </c>
      <c r="T622" s="203">
        <v>14056</v>
      </c>
      <c r="U622" s="204">
        <v>28368.38</v>
      </c>
      <c r="V622" s="204">
        <f t="shared" si="21"/>
        <v>0</v>
      </c>
      <c r="W622" s="205">
        <v>0</v>
      </c>
      <c r="X622" s="203">
        <v>54260</v>
      </c>
      <c r="Y622" s="204">
        <v>0</v>
      </c>
      <c r="Z622" s="202" t="s">
        <v>97</v>
      </c>
      <c r="AA622" s="202"/>
      <c r="AB622" s="202" t="s">
        <v>2196</v>
      </c>
      <c r="AC622" s="202"/>
      <c r="AD622" s="202" t="s">
        <v>1152</v>
      </c>
      <c r="AE622" s="202" t="s">
        <v>1153</v>
      </c>
      <c r="AF622" s="203" t="s">
        <v>1154</v>
      </c>
      <c r="AG622" s="202"/>
      <c r="AH622" s="203" t="s">
        <v>1155</v>
      </c>
      <c r="AI622" s="202">
        <v>0</v>
      </c>
      <c r="AJ622" s="202">
        <v>0</v>
      </c>
    </row>
    <row r="623" spans="2:36">
      <c r="B623" s="203">
        <v>2180</v>
      </c>
      <c r="C623" s="207">
        <v>114404</v>
      </c>
      <c r="D623" s="203" t="s">
        <v>97</v>
      </c>
      <c r="E623" s="202" t="s">
        <v>2195</v>
      </c>
      <c r="F623" s="203">
        <v>486</v>
      </c>
      <c r="G623" s="202"/>
      <c r="H623" s="202"/>
      <c r="I623" s="202"/>
      <c r="J623" s="202">
        <v>0</v>
      </c>
      <c r="K623" s="202" t="s">
        <v>1658</v>
      </c>
      <c r="L623" s="202"/>
      <c r="M623" s="202"/>
      <c r="N623" s="206">
        <v>41834</v>
      </c>
      <c r="O623" s="206">
        <v>41834</v>
      </c>
      <c r="P623" s="202" t="s">
        <v>2161</v>
      </c>
      <c r="Q623" s="203">
        <v>700</v>
      </c>
      <c r="R623" s="203">
        <v>14050</v>
      </c>
      <c r="S623" s="204">
        <v>28368.38</v>
      </c>
      <c r="T623" s="203">
        <v>14056</v>
      </c>
      <c r="U623" s="204">
        <v>28368.38</v>
      </c>
      <c r="V623" s="204">
        <f t="shared" si="21"/>
        <v>0</v>
      </c>
      <c r="W623" s="205">
        <v>0</v>
      </c>
      <c r="X623" s="203">
        <v>54260</v>
      </c>
      <c r="Y623" s="204">
        <v>0</v>
      </c>
      <c r="Z623" s="202" t="s">
        <v>97</v>
      </c>
      <c r="AA623" s="202"/>
      <c r="AB623" s="202" t="s">
        <v>2194</v>
      </c>
      <c r="AC623" s="202"/>
      <c r="AD623" s="202" t="s">
        <v>1152</v>
      </c>
      <c r="AE623" s="202" t="s">
        <v>1153</v>
      </c>
      <c r="AF623" s="203" t="s">
        <v>1154</v>
      </c>
      <c r="AG623" s="202"/>
      <c r="AH623" s="203" t="s">
        <v>1155</v>
      </c>
      <c r="AI623" s="202">
        <v>0</v>
      </c>
      <c r="AJ623" s="202">
        <v>0</v>
      </c>
    </row>
    <row r="624" spans="2:36">
      <c r="B624" s="203">
        <v>2180</v>
      </c>
      <c r="C624" s="207">
        <v>114403</v>
      </c>
      <c r="D624" s="203" t="s">
        <v>97</v>
      </c>
      <c r="E624" s="202" t="s">
        <v>2193</v>
      </c>
      <c r="F624" s="203">
        <v>102</v>
      </c>
      <c r="G624" s="202"/>
      <c r="H624" s="202"/>
      <c r="I624" s="202"/>
      <c r="J624" s="202">
        <v>0</v>
      </c>
      <c r="K624" s="202" t="s">
        <v>1658</v>
      </c>
      <c r="L624" s="202"/>
      <c r="M624" s="202"/>
      <c r="N624" s="206">
        <v>41832</v>
      </c>
      <c r="O624" s="206">
        <v>41832</v>
      </c>
      <c r="P624" s="202" t="s">
        <v>2158</v>
      </c>
      <c r="Q624" s="203">
        <v>700</v>
      </c>
      <c r="R624" s="203">
        <v>14050</v>
      </c>
      <c r="S624" s="204">
        <v>4903.92</v>
      </c>
      <c r="T624" s="203">
        <v>14056</v>
      </c>
      <c r="U624" s="204">
        <v>4903.92</v>
      </c>
      <c r="V624" s="204">
        <f t="shared" si="21"/>
        <v>0</v>
      </c>
      <c r="W624" s="205">
        <v>0</v>
      </c>
      <c r="X624" s="203">
        <v>54260</v>
      </c>
      <c r="Y624" s="204">
        <v>0</v>
      </c>
      <c r="Z624" s="202" t="s">
        <v>97</v>
      </c>
      <c r="AA624" s="202"/>
      <c r="AB624" s="202" t="s">
        <v>2192</v>
      </c>
      <c r="AC624" s="202"/>
      <c r="AD624" s="202" t="s">
        <v>1152</v>
      </c>
      <c r="AE624" s="202" t="s">
        <v>1153</v>
      </c>
      <c r="AF624" s="203" t="s">
        <v>1154</v>
      </c>
      <c r="AG624" s="202"/>
      <c r="AH624" s="203" t="s">
        <v>1155</v>
      </c>
      <c r="AI624" s="202">
        <v>0</v>
      </c>
      <c r="AJ624" s="202">
        <v>0</v>
      </c>
    </row>
    <row r="625" spans="2:36">
      <c r="B625" s="203">
        <v>2180</v>
      </c>
      <c r="C625" s="207">
        <v>114402</v>
      </c>
      <c r="D625" s="203" t="s">
        <v>97</v>
      </c>
      <c r="E625" s="202" t="s">
        <v>2191</v>
      </c>
      <c r="F625" s="203">
        <v>546</v>
      </c>
      <c r="G625" s="202"/>
      <c r="H625" s="202"/>
      <c r="I625" s="202"/>
      <c r="J625" s="202">
        <v>0</v>
      </c>
      <c r="K625" s="202" t="s">
        <v>1658</v>
      </c>
      <c r="L625" s="202"/>
      <c r="M625" s="202"/>
      <c r="N625" s="206">
        <v>41827</v>
      </c>
      <c r="O625" s="206">
        <v>41827</v>
      </c>
      <c r="P625" s="202" t="s">
        <v>2158</v>
      </c>
      <c r="Q625" s="203">
        <v>700</v>
      </c>
      <c r="R625" s="203">
        <v>14050</v>
      </c>
      <c r="S625" s="204">
        <v>26252.83</v>
      </c>
      <c r="T625" s="203">
        <v>14056</v>
      </c>
      <c r="U625" s="204">
        <v>26252.83</v>
      </c>
      <c r="V625" s="204">
        <f t="shared" si="21"/>
        <v>0</v>
      </c>
      <c r="W625" s="205">
        <v>0</v>
      </c>
      <c r="X625" s="203">
        <v>54260</v>
      </c>
      <c r="Y625" s="204">
        <v>0</v>
      </c>
      <c r="Z625" s="202" t="s">
        <v>97</v>
      </c>
      <c r="AA625" s="202"/>
      <c r="AB625" s="202" t="s">
        <v>2190</v>
      </c>
      <c r="AC625" s="202"/>
      <c r="AD625" s="202" t="s">
        <v>1152</v>
      </c>
      <c r="AE625" s="202" t="s">
        <v>1153</v>
      </c>
      <c r="AF625" s="203" t="s">
        <v>1154</v>
      </c>
      <c r="AG625" s="202"/>
      <c r="AH625" s="203" t="s">
        <v>1155</v>
      </c>
      <c r="AI625" s="202">
        <v>0</v>
      </c>
      <c r="AJ625" s="202">
        <v>0</v>
      </c>
    </row>
    <row r="626" spans="2:36">
      <c r="B626" s="203">
        <v>2180</v>
      </c>
      <c r="C626" s="207">
        <v>114401</v>
      </c>
      <c r="D626" s="203" t="s">
        <v>97</v>
      </c>
      <c r="E626" s="202" t="s">
        <v>2189</v>
      </c>
      <c r="F626" s="203">
        <v>486</v>
      </c>
      <c r="G626" s="202"/>
      <c r="H626" s="202"/>
      <c r="I626" s="202"/>
      <c r="J626" s="202">
        <v>0</v>
      </c>
      <c r="K626" s="202" t="s">
        <v>1658</v>
      </c>
      <c r="L626" s="202"/>
      <c r="M626" s="202"/>
      <c r="N626" s="206">
        <v>41720</v>
      </c>
      <c r="O626" s="206">
        <v>41720</v>
      </c>
      <c r="P626" s="202" t="s">
        <v>2188</v>
      </c>
      <c r="Q626" s="203">
        <v>700</v>
      </c>
      <c r="R626" s="203">
        <v>14050</v>
      </c>
      <c r="S626" s="204">
        <v>26672.26</v>
      </c>
      <c r="T626" s="203">
        <v>14056</v>
      </c>
      <c r="U626" s="204">
        <v>26672.26</v>
      </c>
      <c r="V626" s="204">
        <f t="shared" si="21"/>
        <v>0</v>
      </c>
      <c r="W626" s="205">
        <v>0</v>
      </c>
      <c r="X626" s="203">
        <v>54260</v>
      </c>
      <c r="Y626" s="204">
        <v>0</v>
      </c>
      <c r="Z626" s="202" t="s">
        <v>97</v>
      </c>
      <c r="AA626" s="202"/>
      <c r="AB626" s="202" t="s">
        <v>2187</v>
      </c>
      <c r="AC626" s="202"/>
      <c r="AD626" s="202" t="s">
        <v>1152</v>
      </c>
      <c r="AE626" s="202" t="s">
        <v>1153</v>
      </c>
      <c r="AF626" s="203" t="s">
        <v>1154</v>
      </c>
      <c r="AG626" s="202"/>
      <c r="AH626" s="203" t="s">
        <v>1155</v>
      </c>
      <c r="AI626" s="202">
        <v>0</v>
      </c>
      <c r="AJ626" s="202">
        <v>0</v>
      </c>
    </row>
    <row r="627" spans="2:36">
      <c r="B627" s="203">
        <v>2180</v>
      </c>
      <c r="C627" s="207">
        <v>114101</v>
      </c>
      <c r="D627" s="203" t="s">
        <v>97</v>
      </c>
      <c r="E627" s="202" t="s">
        <v>2186</v>
      </c>
      <c r="F627" s="203">
        <v>12</v>
      </c>
      <c r="G627" s="202"/>
      <c r="H627" s="202"/>
      <c r="I627" s="202"/>
      <c r="J627" s="202">
        <v>0</v>
      </c>
      <c r="K627" s="202" t="s">
        <v>1658</v>
      </c>
      <c r="L627" s="202"/>
      <c r="M627" s="202" t="s">
        <v>1558</v>
      </c>
      <c r="N627" s="206">
        <v>41780</v>
      </c>
      <c r="O627" s="206">
        <v>41780</v>
      </c>
      <c r="P627" s="202" t="s">
        <v>2185</v>
      </c>
      <c r="Q627" s="203">
        <v>700</v>
      </c>
      <c r="R627" s="203">
        <v>14050</v>
      </c>
      <c r="S627" s="204">
        <v>8573.44</v>
      </c>
      <c r="T627" s="203">
        <v>14056</v>
      </c>
      <c r="U627" s="204">
        <v>8573.44</v>
      </c>
      <c r="V627" s="204">
        <f t="shared" si="21"/>
        <v>0</v>
      </c>
      <c r="W627" s="205">
        <v>0</v>
      </c>
      <c r="X627" s="203">
        <v>54260</v>
      </c>
      <c r="Y627" s="204">
        <v>0</v>
      </c>
      <c r="Z627" s="202" t="s">
        <v>97</v>
      </c>
      <c r="AA627" s="202"/>
      <c r="AB627" s="202" t="s">
        <v>2184</v>
      </c>
      <c r="AC627" s="202"/>
      <c r="AD627" s="202" t="s">
        <v>1152</v>
      </c>
      <c r="AE627" s="202" t="s">
        <v>1153</v>
      </c>
      <c r="AF627" s="203" t="s">
        <v>1154</v>
      </c>
      <c r="AG627" s="202"/>
      <c r="AH627" s="203" t="s">
        <v>1155</v>
      </c>
      <c r="AI627" s="202">
        <v>0</v>
      </c>
      <c r="AJ627" s="202">
        <v>0</v>
      </c>
    </row>
    <row r="628" spans="2:36">
      <c r="B628" s="203">
        <v>2180</v>
      </c>
      <c r="C628" s="207">
        <v>114100</v>
      </c>
      <c r="D628" s="203" t="s">
        <v>97</v>
      </c>
      <c r="E628" s="202" t="s">
        <v>2173</v>
      </c>
      <c r="F628" s="203">
        <v>648</v>
      </c>
      <c r="G628" s="202"/>
      <c r="H628" s="202"/>
      <c r="I628" s="202"/>
      <c r="J628" s="202">
        <v>0</v>
      </c>
      <c r="K628" s="202" t="s">
        <v>1658</v>
      </c>
      <c r="L628" s="202"/>
      <c r="M628" s="202"/>
      <c r="N628" s="206">
        <v>41810</v>
      </c>
      <c r="O628" s="206">
        <v>41810</v>
      </c>
      <c r="P628" s="202" t="s">
        <v>2158</v>
      </c>
      <c r="Q628" s="203">
        <v>700</v>
      </c>
      <c r="R628" s="203">
        <v>14050</v>
      </c>
      <c r="S628" s="204">
        <v>31156.75</v>
      </c>
      <c r="T628" s="203">
        <v>14056</v>
      </c>
      <c r="U628" s="204">
        <v>31156.75</v>
      </c>
      <c r="V628" s="204">
        <f t="shared" si="21"/>
        <v>0</v>
      </c>
      <c r="W628" s="205">
        <v>0</v>
      </c>
      <c r="X628" s="203">
        <v>54260</v>
      </c>
      <c r="Y628" s="204">
        <v>0</v>
      </c>
      <c r="Z628" s="202" t="s">
        <v>97</v>
      </c>
      <c r="AA628" s="202"/>
      <c r="AB628" s="202" t="s">
        <v>2183</v>
      </c>
      <c r="AC628" s="202"/>
      <c r="AD628" s="202" t="s">
        <v>1152</v>
      </c>
      <c r="AE628" s="202" t="s">
        <v>1153</v>
      </c>
      <c r="AF628" s="203" t="s">
        <v>1154</v>
      </c>
      <c r="AG628" s="202"/>
      <c r="AH628" s="203" t="s">
        <v>1155</v>
      </c>
      <c r="AI628" s="202">
        <v>0</v>
      </c>
      <c r="AJ628" s="202">
        <v>0</v>
      </c>
    </row>
    <row r="629" spans="2:36">
      <c r="B629" s="203">
        <v>2180</v>
      </c>
      <c r="C629" s="207">
        <v>113896</v>
      </c>
      <c r="D629" s="203" t="s">
        <v>97</v>
      </c>
      <c r="E629" s="202" t="s">
        <v>2182</v>
      </c>
      <c r="F629" s="203"/>
      <c r="G629" s="202"/>
      <c r="H629" s="202"/>
      <c r="I629" s="202"/>
      <c r="J629" s="202">
        <v>0</v>
      </c>
      <c r="K629" s="202"/>
      <c r="L629" s="202"/>
      <c r="M629" s="202"/>
      <c r="N629" s="206">
        <v>41759</v>
      </c>
      <c r="O629" s="206">
        <v>41759</v>
      </c>
      <c r="P629" s="202" t="s">
        <v>2176</v>
      </c>
      <c r="Q629" s="203">
        <v>500</v>
      </c>
      <c r="R629" s="203">
        <v>14070</v>
      </c>
      <c r="S629" s="204">
        <v>1936.34</v>
      </c>
      <c r="T629" s="203">
        <v>14076</v>
      </c>
      <c r="U629" s="204">
        <v>1936.34</v>
      </c>
      <c r="V629" s="204">
        <f t="shared" si="21"/>
        <v>0</v>
      </c>
      <c r="W629" s="205">
        <v>0</v>
      </c>
      <c r="X629" s="203">
        <v>51260</v>
      </c>
      <c r="Y629" s="204">
        <v>0</v>
      </c>
      <c r="Z629" s="202" t="s">
        <v>97</v>
      </c>
      <c r="AA629" s="202"/>
      <c r="AB629" s="202">
        <v>95633</v>
      </c>
      <c r="AC629" s="202"/>
      <c r="AD629" s="202" t="s">
        <v>1152</v>
      </c>
      <c r="AE629" s="202" t="s">
        <v>1153</v>
      </c>
      <c r="AF629" s="203" t="s">
        <v>1154</v>
      </c>
      <c r="AG629" s="202"/>
      <c r="AH629" s="203" t="s">
        <v>1155</v>
      </c>
      <c r="AI629" s="202">
        <v>0</v>
      </c>
      <c r="AJ629" s="202">
        <v>0</v>
      </c>
    </row>
    <row r="630" spans="2:36">
      <c r="B630" s="203">
        <v>2180</v>
      </c>
      <c r="C630" s="207">
        <v>113633</v>
      </c>
      <c r="D630" s="203" t="s">
        <v>97</v>
      </c>
      <c r="E630" s="202" t="s">
        <v>2181</v>
      </c>
      <c r="F630" s="203">
        <v>36</v>
      </c>
      <c r="G630" s="202"/>
      <c r="H630" s="202"/>
      <c r="I630" s="202"/>
      <c r="J630" s="202">
        <v>0</v>
      </c>
      <c r="K630" s="202" t="s">
        <v>1658</v>
      </c>
      <c r="L630" s="202"/>
      <c r="M630" s="202" t="s">
        <v>1421</v>
      </c>
      <c r="N630" s="206">
        <v>41761</v>
      </c>
      <c r="O630" s="206">
        <v>41761</v>
      </c>
      <c r="P630" s="202" t="s">
        <v>2174</v>
      </c>
      <c r="Q630" s="203">
        <v>1200</v>
      </c>
      <c r="R630" s="203">
        <v>14050</v>
      </c>
      <c r="S630" s="204">
        <v>18169.599999999999</v>
      </c>
      <c r="T630" s="203">
        <v>14056</v>
      </c>
      <c r="U630" s="204">
        <v>12239.22</v>
      </c>
      <c r="V630" s="204">
        <f t="shared" si="21"/>
        <v>5930.3799999999992</v>
      </c>
      <c r="W630" s="205">
        <v>630.89</v>
      </c>
      <c r="X630" s="203">
        <v>54260</v>
      </c>
      <c r="Y630" s="204">
        <v>126.18</v>
      </c>
      <c r="Z630" s="202" t="s">
        <v>97</v>
      </c>
      <c r="AA630" s="202"/>
      <c r="AB630" s="202" t="s">
        <v>2180</v>
      </c>
      <c r="AC630" s="202"/>
      <c r="AD630" s="202" t="s">
        <v>1152</v>
      </c>
      <c r="AE630" s="202" t="s">
        <v>1153</v>
      </c>
      <c r="AF630" s="203" t="s">
        <v>1154</v>
      </c>
      <c r="AG630" s="202"/>
      <c r="AH630" s="203" t="s">
        <v>1155</v>
      </c>
      <c r="AI630" s="202">
        <v>0</v>
      </c>
      <c r="AJ630" s="202">
        <v>0</v>
      </c>
    </row>
    <row r="631" spans="2:36">
      <c r="B631" s="203">
        <v>2180</v>
      </c>
      <c r="C631" s="207">
        <v>113271</v>
      </c>
      <c r="D631" s="203" t="s">
        <v>97</v>
      </c>
      <c r="E631" s="202" t="s">
        <v>969</v>
      </c>
      <c r="F631" s="203">
        <v>5</v>
      </c>
      <c r="G631" s="202"/>
      <c r="H631" s="202"/>
      <c r="I631" s="202"/>
      <c r="J631" s="202">
        <v>0</v>
      </c>
      <c r="K631" s="202" t="s">
        <v>1429</v>
      </c>
      <c r="L631" s="202"/>
      <c r="M631" s="202"/>
      <c r="N631" s="206">
        <v>41749</v>
      </c>
      <c r="O631" s="206">
        <v>41749</v>
      </c>
      <c r="P631" s="202" t="s">
        <v>2179</v>
      </c>
      <c r="Q631" s="203">
        <v>300</v>
      </c>
      <c r="R631" s="203">
        <v>14110</v>
      </c>
      <c r="S631" s="204">
        <v>1641.48</v>
      </c>
      <c r="T631" s="203">
        <v>14116</v>
      </c>
      <c r="U631" s="204">
        <v>1641.48</v>
      </c>
      <c r="V631" s="204">
        <f t="shared" si="21"/>
        <v>0</v>
      </c>
      <c r="W631" s="205">
        <v>0</v>
      </c>
      <c r="X631" s="203">
        <v>70260</v>
      </c>
      <c r="Y631" s="204">
        <v>0</v>
      </c>
      <c r="Z631" s="202" t="s">
        <v>97</v>
      </c>
      <c r="AA631" s="202"/>
      <c r="AB631" s="202" t="s">
        <v>2178</v>
      </c>
      <c r="AC631" s="202"/>
      <c r="AD631" s="202" t="s">
        <v>1152</v>
      </c>
      <c r="AE631" s="202" t="s">
        <v>1153</v>
      </c>
      <c r="AF631" s="203" t="s">
        <v>1154</v>
      </c>
      <c r="AG631" s="202"/>
      <c r="AH631" s="203" t="s">
        <v>1155</v>
      </c>
      <c r="AI631" s="202">
        <v>0</v>
      </c>
      <c r="AJ631" s="202">
        <v>0</v>
      </c>
    </row>
    <row r="632" spans="2:36">
      <c r="B632" s="203">
        <v>2180</v>
      </c>
      <c r="C632" s="207">
        <v>113248</v>
      </c>
      <c r="D632" s="203" t="s">
        <v>97</v>
      </c>
      <c r="E632" s="202" t="s">
        <v>2177</v>
      </c>
      <c r="F632" s="203"/>
      <c r="G632" s="202"/>
      <c r="H632" s="202"/>
      <c r="I632" s="202"/>
      <c r="J632" s="202">
        <v>0</v>
      </c>
      <c r="K632" s="202" t="s">
        <v>2138</v>
      </c>
      <c r="L632" s="202"/>
      <c r="M632" s="202"/>
      <c r="N632" s="206">
        <v>41759</v>
      </c>
      <c r="O632" s="206">
        <v>41759</v>
      </c>
      <c r="P632" s="202" t="s">
        <v>2176</v>
      </c>
      <c r="Q632" s="203">
        <v>500</v>
      </c>
      <c r="R632" s="203">
        <v>14070</v>
      </c>
      <c r="S632" s="204">
        <v>6778.26</v>
      </c>
      <c r="T632" s="203">
        <v>14076</v>
      </c>
      <c r="U632" s="204">
        <v>6778.26</v>
      </c>
      <c r="V632" s="204">
        <f t="shared" si="21"/>
        <v>0</v>
      </c>
      <c r="W632" s="205">
        <v>0</v>
      </c>
      <c r="X632" s="203">
        <v>51260</v>
      </c>
      <c r="Y632" s="204">
        <v>0</v>
      </c>
      <c r="Z632" s="202" t="s">
        <v>97</v>
      </c>
      <c r="AA632" s="202"/>
      <c r="AB632" s="202">
        <v>95611</v>
      </c>
      <c r="AC632" s="202"/>
      <c r="AD632" s="202" t="s">
        <v>1152</v>
      </c>
      <c r="AE632" s="202" t="s">
        <v>1153</v>
      </c>
      <c r="AF632" s="203" t="s">
        <v>1154</v>
      </c>
      <c r="AG632" s="202"/>
      <c r="AH632" s="203" t="s">
        <v>1155</v>
      </c>
      <c r="AI632" s="202">
        <v>0</v>
      </c>
      <c r="AJ632" s="202">
        <v>0</v>
      </c>
    </row>
    <row r="633" spans="2:36">
      <c r="B633" s="203">
        <v>2180</v>
      </c>
      <c r="C633" s="207">
        <v>112986</v>
      </c>
      <c r="D633" s="203" t="s">
        <v>97</v>
      </c>
      <c r="E633" s="202" t="s">
        <v>2175</v>
      </c>
      <c r="F633" s="203">
        <v>17</v>
      </c>
      <c r="G633" s="202"/>
      <c r="H633" s="202"/>
      <c r="I633" s="202"/>
      <c r="J633" s="202">
        <v>0</v>
      </c>
      <c r="K633" s="202" t="s">
        <v>2010</v>
      </c>
      <c r="L633" s="202"/>
      <c r="M633" s="202" t="s">
        <v>1421</v>
      </c>
      <c r="N633" s="206">
        <v>41688</v>
      </c>
      <c r="O633" s="206">
        <v>41688</v>
      </c>
      <c r="P633" s="202" t="s">
        <v>2174</v>
      </c>
      <c r="Q633" s="203">
        <v>1200</v>
      </c>
      <c r="R633" s="203">
        <v>14050</v>
      </c>
      <c r="S633" s="204">
        <v>8516.86</v>
      </c>
      <c r="T633" s="203">
        <v>14056</v>
      </c>
      <c r="U633" s="204">
        <v>5855.36</v>
      </c>
      <c r="V633" s="204">
        <f t="shared" si="21"/>
        <v>2661.5000000000009</v>
      </c>
      <c r="W633" s="205">
        <v>295.73</v>
      </c>
      <c r="X633" s="203">
        <v>54260</v>
      </c>
      <c r="Y633" s="204">
        <v>59.15</v>
      </c>
      <c r="Z633" s="202" t="s">
        <v>97</v>
      </c>
      <c r="AA633" s="202"/>
      <c r="AB633" s="202">
        <v>37208082</v>
      </c>
      <c r="AC633" s="202"/>
      <c r="AD633" s="202" t="s">
        <v>1152</v>
      </c>
      <c r="AE633" s="202" t="s">
        <v>1153</v>
      </c>
      <c r="AF633" s="203" t="s">
        <v>1154</v>
      </c>
      <c r="AG633" s="202"/>
      <c r="AH633" s="203" t="s">
        <v>1155</v>
      </c>
      <c r="AI633" s="202">
        <v>0</v>
      </c>
      <c r="AJ633" s="202">
        <v>0</v>
      </c>
    </row>
    <row r="634" spans="2:36">
      <c r="B634" s="203">
        <v>2180</v>
      </c>
      <c r="C634" s="207">
        <v>112985</v>
      </c>
      <c r="D634" s="203" t="s">
        <v>97</v>
      </c>
      <c r="E634" s="202" t="s">
        <v>2173</v>
      </c>
      <c r="F634" s="203">
        <v>648</v>
      </c>
      <c r="G634" s="202"/>
      <c r="H634" s="202"/>
      <c r="I634" s="202"/>
      <c r="J634" s="202">
        <v>0</v>
      </c>
      <c r="K634" s="202" t="s">
        <v>1658</v>
      </c>
      <c r="L634" s="202"/>
      <c r="M634" s="202"/>
      <c r="N634" s="206">
        <v>41677</v>
      </c>
      <c r="O634" s="206">
        <v>41677</v>
      </c>
      <c r="P634" s="202" t="s">
        <v>2158</v>
      </c>
      <c r="Q634" s="203">
        <v>700</v>
      </c>
      <c r="R634" s="203">
        <v>14050</v>
      </c>
      <c r="S634" s="204">
        <v>30302.54</v>
      </c>
      <c r="T634" s="203">
        <v>14056</v>
      </c>
      <c r="U634" s="204">
        <v>30302.54</v>
      </c>
      <c r="V634" s="204">
        <f t="shared" si="21"/>
        <v>0</v>
      </c>
      <c r="W634" s="205">
        <v>0</v>
      </c>
      <c r="X634" s="203">
        <v>54260</v>
      </c>
      <c r="Y634" s="204">
        <v>0</v>
      </c>
      <c r="Z634" s="202" t="s">
        <v>97</v>
      </c>
      <c r="AA634" s="202"/>
      <c r="AB634" s="202" t="s">
        <v>2172</v>
      </c>
      <c r="AC634" s="202"/>
      <c r="AD634" s="202" t="s">
        <v>1152</v>
      </c>
      <c r="AE634" s="202" t="s">
        <v>1153</v>
      </c>
      <c r="AF634" s="203" t="s">
        <v>1154</v>
      </c>
      <c r="AG634" s="202"/>
      <c r="AH634" s="203" t="s">
        <v>1155</v>
      </c>
      <c r="AI634" s="202">
        <v>0</v>
      </c>
      <c r="AJ634" s="202">
        <v>0</v>
      </c>
    </row>
    <row r="635" spans="2:36">
      <c r="B635" s="203">
        <v>2180</v>
      </c>
      <c r="C635" s="207">
        <v>112600</v>
      </c>
      <c r="D635" s="203" t="s">
        <v>97</v>
      </c>
      <c r="E635" s="202" t="s">
        <v>2171</v>
      </c>
      <c r="F635" s="203"/>
      <c r="G635" s="202"/>
      <c r="H635" s="202"/>
      <c r="I635" s="202"/>
      <c r="J635" s="202">
        <v>0</v>
      </c>
      <c r="K635" s="202" t="s">
        <v>1429</v>
      </c>
      <c r="L635" s="202"/>
      <c r="M635" s="202"/>
      <c r="N635" s="206">
        <v>41725</v>
      </c>
      <c r="O635" s="206">
        <v>41725</v>
      </c>
      <c r="P635" s="202" t="s">
        <v>2170</v>
      </c>
      <c r="Q635" s="203">
        <v>300</v>
      </c>
      <c r="R635" s="203">
        <v>14110</v>
      </c>
      <c r="S635" s="204">
        <v>1017.56</v>
      </c>
      <c r="T635" s="203">
        <v>14116</v>
      </c>
      <c r="U635" s="204">
        <v>1017.56</v>
      </c>
      <c r="V635" s="204">
        <f t="shared" si="21"/>
        <v>0</v>
      </c>
      <c r="W635" s="205">
        <v>0</v>
      </c>
      <c r="X635" s="203">
        <v>70260</v>
      </c>
      <c r="Y635" s="204">
        <v>0</v>
      </c>
      <c r="Z635" s="202" t="s">
        <v>97</v>
      </c>
      <c r="AA635" s="202"/>
      <c r="AB635" s="202" t="s">
        <v>2169</v>
      </c>
      <c r="AC635" s="202"/>
      <c r="AD635" s="202" t="s">
        <v>1152</v>
      </c>
      <c r="AE635" s="202" t="s">
        <v>1153</v>
      </c>
      <c r="AF635" s="203" t="s">
        <v>1154</v>
      </c>
      <c r="AG635" s="202"/>
      <c r="AH635" s="203" t="s">
        <v>1155</v>
      </c>
      <c r="AI635" s="202">
        <v>0</v>
      </c>
      <c r="AJ635" s="202">
        <v>0</v>
      </c>
    </row>
    <row r="636" spans="2:36">
      <c r="B636" s="203">
        <v>2180</v>
      </c>
      <c r="C636" s="207">
        <v>112504</v>
      </c>
      <c r="D636" s="203">
        <v>90536</v>
      </c>
      <c r="E636" s="202" t="s">
        <v>2168</v>
      </c>
      <c r="F636" s="203"/>
      <c r="G636" s="202"/>
      <c r="H636" s="202"/>
      <c r="I636" s="202"/>
      <c r="J636" s="202">
        <v>0</v>
      </c>
      <c r="K636" s="202" t="s">
        <v>2167</v>
      </c>
      <c r="L636" s="202"/>
      <c r="M636" s="202" t="s">
        <v>1158</v>
      </c>
      <c r="N636" s="206">
        <v>41695</v>
      </c>
      <c r="O636" s="206">
        <v>41695</v>
      </c>
      <c r="P636" s="202" t="s">
        <v>2166</v>
      </c>
      <c r="Q636" s="203">
        <v>300</v>
      </c>
      <c r="R636" s="203">
        <v>14040</v>
      </c>
      <c r="S636" s="204">
        <v>8067.17</v>
      </c>
      <c r="T636" s="203">
        <v>14046</v>
      </c>
      <c r="U636" s="204">
        <v>8067.17</v>
      </c>
      <c r="V636" s="204">
        <f t="shared" si="21"/>
        <v>0</v>
      </c>
      <c r="W636" s="205">
        <v>0</v>
      </c>
      <c r="X636" s="203">
        <v>51260</v>
      </c>
      <c r="Y636" s="204">
        <v>0</v>
      </c>
      <c r="Z636" s="202" t="s">
        <v>97</v>
      </c>
      <c r="AA636" s="202"/>
      <c r="AB636" s="202">
        <v>142806</v>
      </c>
      <c r="AC636" s="202"/>
      <c r="AD636" s="202" t="s">
        <v>1152</v>
      </c>
      <c r="AE636" s="202" t="s">
        <v>1153</v>
      </c>
      <c r="AF636" s="203" t="s">
        <v>1154</v>
      </c>
      <c r="AG636" s="202"/>
      <c r="AH636" s="203" t="s">
        <v>1155</v>
      </c>
      <c r="AI636" s="202">
        <v>0</v>
      </c>
      <c r="AJ636" s="202">
        <v>0</v>
      </c>
    </row>
    <row r="637" spans="2:36">
      <c r="B637" s="203">
        <v>2180</v>
      </c>
      <c r="C637" s="207">
        <v>112495</v>
      </c>
      <c r="D637" s="203" t="s">
        <v>97</v>
      </c>
      <c r="E637" s="202" t="s">
        <v>2088</v>
      </c>
      <c r="F637" s="203">
        <v>1098</v>
      </c>
      <c r="G637" s="202"/>
      <c r="H637" s="202"/>
      <c r="I637" s="202"/>
      <c r="J637" s="202">
        <v>0</v>
      </c>
      <c r="K637" s="202" t="s">
        <v>2165</v>
      </c>
      <c r="L637" s="202"/>
      <c r="M637" s="202"/>
      <c r="N637" s="206">
        <v>41741</v>
      </c>
      <c r="O637" s="206">
        <v>41741</v>
      </c>
      <c r="P637" s="202" t="s">
        <v>2164</v>
      </c>
      <c r="Q637" s="203">
        <v>700</v>
      </c>
      <c r="R637" s="203">
        <v>14050</v>
      </c>
      <c r="S637" s="204">
        <v>58237.919999999998</v>
      </c>
      <c r="T637" s="203">
        <v>14056</v>
      </c>
      <c r="U637" s="204">
        <v>58237.919999999998</v>
      </c>
      <c r="V637" s="204">
        <f t="shared" si="21"/>
        <v>0</v>
      </c>
      <c r="W637" s="205">
        <v>0</v>
      </c>
      <c r="X637" s="203">
        <v>54260</v>
      </c>
      <c r="Y637" s="204">
        <v>0</v>
      </c>
      <c r="Z637" s="202" t="s">
        <v>97</v>
      </c>
      <c r="AA637" s="202"/>
      <c r="AB637" s="202" t="s">
        <v>2163</v>
      </c>
      <c r="AC637" s="202"/>
      <c r="AD637" s="202" t="s">
        <v>1152</v>
      </c>
      <c r="AE637" s="202" t="s">
        <v>1153</v>
      </c>
      <c r="AF637" s="203" t="s">
        <v>1154</v>
      </c>
      <c r="AG637" s="202"/>
      <c r="AH637" s="203" t="s">
        <v>1155</v>
      </c>
      <c r="AI637" s="202">
        <v>0</v>
      </c>
      <c r="AJ637" s="202">
        <v>0</v>
      </c>
    </row>
    <row r="638" spans="2:36">
      <c r="B638" s="203">
        <v>2180</v>
      </c>
      <c r="C638" s="207">
        <v>112460</v>
      </c>
      <c r="D638" s="203" t="s">
        <v>97</v>
      </c>
      <c r="E638" s="202" t="s">
        <v>520</v>
      </c>
      <c r="F638" s="203">
        <v>2</v>
      </c>
      <c r="G638" s="202"/>
      <c r="H638" s="202"/>
      <c r="I638" s="202"/>
      <c r="J638" s="202">
        <v>0</v>
      </c>
      <c r="K638" s="202" t="s">
        <v>2041</v>
      </c>
      <c r="L638" s="202"/>
      <c r="M638" s="202" t="s">
        <v>1456</v>
      </c>
      <c r="N638" s="206">
        <v>41719</v>
      </c>
      <c r="O638" s="206">
        <v>41719</v>
      </c>
      <c r="P638" s="202" t="s">
        <v>2162</v>
      </c>
      <c r="Q638" s="203">
        <v>1200</v>
      </c>
      <c r="R638" s="203">
        <v>14050</v>
      </c>
      <c r="S638" s="204">
        <v>1610.24</v>
      </c>
      <c r="T638" s="203">
        <v>14056</v>
      </c>
      <c r="U638" s="204">
        <v>1095.8800000000001</v>
      </c>
      <c r="V638" s="204">
        <f t="shared" si="21"/>
        <v>514.3599999999999</v>
      </c>
      <c r="W638" s="205">
        <v>55.91</v>
      </c>
      <c r="X638" s="203">
        <v>54260</v>
      </c>
      <c r="Y638" s="204">
        <v>11.18</v>
      </c>
      <c r="Z638" s="202" t="s">
        <v>97</v>
      </c>
      <c r="AA638" s="202"/>
      <c r="AB638" s="202">
        <v>92909</v>
      </c>
      <c r="AC638" s="202"/>
      <c r="AD638" s="202" t="s">
        <v>1152</v>
      </c>
      <c r="AE638" s="202" t="s">
        <v>1153</v>
      </c>
      <c r="AF638" s="203" t="s">
        <v>1154</v>
      </c>
      <c r="AG638" s="202"/>
      <c r="AH638" s="203" t="s">
        <v>1155</v>
      </c>
      <c r="AI638" s="202">
        <v>0</v>
      </c>
      <c r="AJ638" s="202">
        <v>0</v>
      </c>
    </row>
    <row r="639" spans="2:36">
      <c r="B639" s="203">
        <v>2180</v>
      </c>
      <c r="C639" s="207">
        <v>112459</v>
      </c>
      <c r="D639" s="203" t="s">
        <v>97</v>
      </c>
      <c r="E639" s="202" t="s">
        <v>520</v>
      </c>
      <c r="F639" s="203">
        <v>11</v>
      </c>
      <c r="G639" s="202"/>
      <c r="H639" s="202"/>
      <c r="I639" s="202"/>
      <c r="J639" s="202">
        <v>0</v>
      </c>
      <c r="K639" s="202" t="s">
        <v>2041</v>
      </c>
      <c r="L639" s="202"/>
      <c r="M639" s="202" t="s">
        <v>1456</v>
      </c>
      <c r="N639" s="206">
        <v>41719</v>
      </c>
      <c r="O639" s="206">
        <v>41719</v>
      </c>
      <c r="P639" s="202" t="s">
        <v>2162</v>
      </c>
      <c r="Q639" s="203">
        <v>1200</v>
      </c>
      <c r="R639" s="203">
        <v>14050</v>
      </c>
      <c r="S639" s="204">
        <v>8856.32</v>
      </c>
      <c r="T639" s="203">
        <v>14056</v>
      </c>
      <c r="U639" s="204">
        <v>6027.24</v>
      </c>
      <c r="V639" s="204">
        <f t="shared" si="21"/>
        <v>2829.08</v>
      </c>
      <c r="W639" s="205">
        <v>307.51</v>
      </c>
      <c r="X639" s="203">
        <v>54260</v>
      </c>
      <c r="Y639" s="204">
        <v>61.5</v>
      </c>
      <c r="Z639" s="202" t="s">
        <v>97</v>
      </c>
      <c r="AA639" s="202"/>
      <c r="AB639" s="202">
        <v>92908</v>
      </c>
      <c r="AC639" s="202"/>
      <c r="AD639" s="202" t="s">
        <v>1152</v>
      </c>
      <c r="AE639" s="202" t="s">
        <v>1153</v>
      </c>
      <c r="AF639" s="203" t="s">
        <v>1154</v>
      </c>
      <c r="AG639" s="202"/>
      <c r="AH639" s="203" t="s">
        <v>1155</v>
      </c>
      <c r="AI639" s="202">
        <v>0</v>
      </c>
      <c r="AJ639" s="202">
        <v>0</v>
      </c>
    </row>
    <row r="640" spans="2:36">
      <c r="B640" s="203">
        <v>2180</v>
      </c>
      <c r="C640" s="207">
        <v>112458</v>
      </c>
      <c r="D640" s="203" t="s">
        <v>97</v>
      </c>
      <c r="E640" s="202" t="s">
        <v>520</v>
      </c>
      <c r="F640" s="203">
        <v>7</v>
      </c>
      <c r="G640" s="202"/>
      <c r="H640" s="202"/>
      <c r="I640" s="202"/>
      <c r="J640" s="202">
        <v>0</v>
      </c>
      <c r="K640" s="202" t="s">
        <v>2041</v>
      </c>
      <c r="L640" s="202"/>
      <c r="M640" s="202" t="s">
        <v>1456</v>
      </c>
      <c r="N640" s="206">
        <v>41719</v>
      </c>
      <c r="O640" s="206">
        <v>41719</v>
      </c>
      <c r="P640" s="202" t="s">
        <v>2162</v>
      </c>
      <c r="Q640" s="203">
        <v>1200</v>
      </c>
      <c r="R640" s="203">
        <v>14050</v>
      </c>
      <c r="S640" s="204">
        <v>5635.84</v>
      </c>
      <c r="T640" s="203">
        <v>14056</v>
      </c>
      <c r="U640" s="204">
        <v>3835.48</v>
      </c>
      <c r="V640" s="204">
        <f t="shared" si="21"/>
        <v>1800.3600000000001</v>
      </c>
      <c r="W640" s="205">
        <v>195.69</v>
      </c>
      <c r="X640" s="203">
        <v>54260</v>
      </c>
      <c r="Y640" s="204">
        <v>39.14</v>
      </c>
      <c r="Z640" s="202" t="s">
        <v>97</v>
      </c>
      <c r="AA640" s="202"/>
      <c r="AB640" s="202">
        <v>92903</v>
      </c>
      <c r="AC640" s="202"/>
      <c r="AD640" s="202" t="s">
        <v>1152</v>
      </c>
      <c r="AE640" s="202" t="s">
        <v>1153</v>
      </c>
      <c r="AF640" s="203" t="s">
        <v>1154</v>
      </c>
      <c r="AG640" s="202"/>
      <c r="AH640" s="203" t="s">
        <v>1155</v>
      </c>
      <c r="AI640" s="202">
        <v>0</v>
      </c>
      <c r="AJ640" s="202">
        <v>0</v>
      </c>
    </row>
    <row r="641" spans="2:36">
      <c r="B641" s="203">
        <v>2180</v>
      </c>
      <c r="C641" s="207">
        <v>111489</v>
      </c>
      <c r="D641" s="203" t="s">
        <v>97</v>
      </c>
      <c r="E641" s="202" t="s">
        <v>672</v>
      </c>
      <c r="F641" s="203">
        <v>486</v>
      </c>
      <c r="G641" s="202"/>
      <c r="H641" s="202"/>
      <c r="I641" s="202"/>
      <c r="J641" s="202">
        <v>0</v>
      </c>
      <c r="K641" s="202" t="s">
        <v>1658</v>
      </c>
      <c r="L641" s="202"/>
      <c r="M641" s="202"/>
      <c r="N641" s="206">
        <v>41710</v>
      </c>
      <c r="O641" s="206">
        <v>41710</v>
      </c>
      <c r="P641" s="202" t="s">
        <v>2161</v>
      </c>
      <c r="Q641" s="203">
        <v>700</v>
      </c>
      <c r="R641" s="203">
        <v>14050</v>
      </c>
      <c r="S641" s="204">
        <v>26672.25</v>
      </c>
      <c r="T641" s="203">
        <v>14056</v>
      </c>
      <c r="U641" s="204">
        <v>26672.25</v>
      </c>
      <c r="V641" s="204">
        <f t="shared" si="21"/>
        <v>0</v>
      </c>
      <c r="W641" s="205">
        <v>0</v>
      </c>
      <c r="X641" s="203">
        <v>54260</v>
      </c>
      <c r="Y641" s="204">
        <v>0</v>
      </c>
      <c r="Z641" s="202" t="s">
        <v>97</v>
      </c>
      <c r="AA641" s="202"/>
      <c r="AB641" s="202" t="s">
        <v>2160</v>
      </c>
      <c r="AC641" s="202"/>
      <c r="AD641" s="202" t="s">
        <v>1152</v>
      </c>
      <c r="AE641" s="202" t="s">
        <v>1153</v>
      </c>
      <c r="AF641" s="203" t="s">
        <v>1154</v>
      </c>
      <c r="AG641" s="202"/>
      <c r="AH641" s="203" t="s">
        <v>1155</v>
      </c>
      <c r="AI641" s="202">
        <v>0</v>
      </c>
      <c r="AJ641" s="202">
        <v>0</v>
      </c>
    </row>
    <row r="642" spans="2:36">
      <c r="B642" s="203">
        <v>2180</v>
      </c>
      <c r="C642" s="207">
        <v>111195</v>
      </c>
      <c r="D642" s="203" t="s">
        <v>97</v>
      </c>
      <c r="E642" s="202" t="s">
        <v>2159</v>
      </c>
      <c r="F642" s="203">
        <v>648</v>
      </c>
      <c r="G642" s="202"/>
      <c r="H642" s="202"/>
      <c r="I642" s="202"/>
      <c r="J642" s="202">
        <v>0</v>
      </c>
      <c r="K642" s="202" t="s">
        <v>1658</v>
      </c>
      <c r="L642" s="202"/>
      <c r="M642" s="202"/>
      <c r="N642" s="206">
        <v>41677</v>
      </c>
      <c r="O642" s="206">
        <v>41677</v>
      </c>
      <c r="P642" s="202" t="s">
        <v>2158</v>
      </c>
      <c r="Q642" s="203">
        <v>700</v>
      </c>
      <c r="R642" s="203">
        <v>14050</v>
      </c>
      <c r="S642" s="204">
        <v>30302.54</v>
      </c>
      <c r="T642" s="203">
        <v>14056</v>
      </c>
      <c r="U642" s="204">
        <v>30302.54</v>
      </c>
      <c r="V642" s="204">
        <f t="shared" si="21"/>
        <v>0</v>
      </c>
      <c r="W642" s="205">
        <v>0</v>
      </c>
      <c r="X642" s="203">
        <v>54260</v>
      </c>
      <c r="Y642" s="204">
        <v>0</v>
      </c>
      <c r="Z642" s="202" t="s">
        <v>97</v>
      </c>
      <c r="AA642" s="202"/>
      <c r="AB642" s="202" t="s">
        <v>2157</v>
      </c>
      <c r="AC642" s="202"/>
      <c r="AD642" s="202" t="s">
        <v>1152</v>
      </c>
      <c r="AE642" s="202" t="s">
        <v>1153</v>
      </c>
      <c r="AF642" s="203" t="s">
        <v>1154</v>
      </c>
      <c r="AG642" s="202"/>
      <c r="AH642" s="203" t="s">
        <v>1155</v>
      </c>
      <c r="AI642" s="202">
        <v>0</v>
      </c>
      <c r="AJ642" s="202">
        <v>0</v>
      </c>
    </row>
    <row r="643" spans="2:36">
      <c r="B643" s="203">
        <v>2180</v>
      </c>
      <c r="C643" s="207">
        <v>111095</v>
      </c>
      <c r="D643" s="203" t="s">
        <v>97</v>
      </c>
      <c r="E643" s="202" t="s">
        <v>2156</v>
      </c>
      <c r="F643" s="203"/>
      <c r="G643" s="202"/>
      <c r="H643" s="202"/>
      <c r="I643" s="202"/>
      <c r="J643" s="202">
        <v>0</v>
      </c>
      <c r="K643" s="202" t="s">
        <v>1429</v>
      </c>
      <c r="L643" s="202"/>
      <c r="M643" s="202"/>
      <c r="N643" s="206">
        <v>41684</v>
      </c>
      <c r="O643" s="206">
        <v>41684</v>
      </c>
      <c r="P643" s="202" t="s">
        <v>2155</v>
      </c>
      <c r="Q643" s="203">
        <v>300</v>
      </c>
      <c r="R643" s="203">
        <v>14110</v>
      </c>
      <c r="S643" s="204">
        <v>1069.8599999999999</v>
      </c>
      <c r="T643" s="203">
        <v>14116</v>
      </c>
      <c r="U643" s="204">
        <v>1069.8599999999999</v>
      </c>
      <c r="V643" s="204">
        <f t="shared" si="21"/>
        <v>0</v>
      </c>
      <c r="W643" s="205">
        <v>0</v>
      </c>
      <c r="X643" s="203">
        <v>70260</v>
      </c>
      <c r="Y643" s="204">
        <v>0</v>
      </c>
      <c r="Z643" s="202" t="s">
        <v>97</v>
      </c>
      <c r="AA643" s="202"/>
      <c r="AB643" s="202" t="s">
        <v>2154</v>
      </c>
      <c r="AC643" s="202"/>
      <c r="AD643" s="202" t="s">
        <v>1152</v>
      </c>
      <c r="AE643" s="202" t="s">
        <v>1153</v>
      </c>
      <c r="AF643" s="203" t="s">
        <v>1154</v>
      </c>
      <c r="AG643" s="202"/>
      <c r="AH643" s="203" t="s">
        <v>1155</v>
      </c>
      <c r="AI643" s="202">
        <v>0</v>
      </c>
      <c r="AJ643" s="202">
        <v>0</v>
      </c>
    </row>
    <row r="644" spans="2:36">
      <c r="B644" s="203">
        <v>2180</v>
      </c>
      <c r="C644" s="207">
        <v>111005</v>
      </c>
      <c r="D644" s="203" t="s">
        <v>97</v>
      </c>
      <c r="E644" s="202" t="s">
        <v>104</v>
      </c>
      <c r="F644" s="203"/>
      <c r="G644" s="202"/>
      <c r="H644" s="202"/>
      <c r="I644" s="202"/>
      <c r="J644" s="202">
        <v>0</v>
      </c>
      <c r="K644" s="202" t="s">
        <v>2153</v>
      </c>
      <c r="L644" s="202"/>
      <c r="M644" s="202"/>
      <c r="N644" s="206">
        <v>41670</v>
      </c>
      <c r="O644" s="206">
        <v>41670</v>
      </c>
      <c r="P644" s="202" t="s">
        <v>2152</v>
      </c>
      <c r="Q644" s="203">
        <v>500</v>
      </c>
      <c r="R644" s="203">
        <v>14070</v>
      </c>
      <c r="S644" s="204">
        <v>1223.43</v>
      </c>
      <c r="T644" s="203">
        <v>14076</v>
      </c>
      <c r="U644" s="204">
        <v>1223.43</v>
      </c>
      <c r="V644" s="204">
        <f t="shared" si="21"/>
        <v>0</v>
      </c>
      <c r="W644" s="205">
        <v>0</v>
      </c>
      <c r="X644" s="203">
        <v>51260</v>
      </c>
      <c r="Y644" s="204">
        <v>0</v>
      </c>
      <c r="Z644" s="202" t="s">
        <v>97</v>
      </c>
      <c r="AA644" s="202"/>
      <c r="AB644" s="202">
        <v>5016244</v>
      </c>
      <c r="AC644" s="202"/>
      <c r="AD644" s="202" t="s">
        <v>1152</v>
      </c>
      <c r="AE644" s="202" t="s">
        <v>1153</v>
      </c>
      <c r="AF644" s="203" t="s">
        <v>1154</v>
      </c>
      <c r="AG644" s="202"/>
      <c r="AH644" s="203" t="s">
        <v>1155</v>
      </c>
      <c r="AI644" s="202">
        <v>0</v>
      </c>
      <c r="AJ644" s="202">
        <v>0</v>
      </c>
    </row>
    <row r="645" spans="2:36">
      <c r="B645" s="203">
        <v>2180</v>
      </c>
      <c r="C645" s="207">
        <v>110353</v>
      </c>
      <c r="D645" s="203" t="s">
        <v>97</v>
      </c>
      <c r="E645" s="202" t="s">
        <v>1018</v>
      </c>
      <c r="F645" s="203"/>
      <c r="G645" s="202"/>
      <c r="H645" s="202"/>
      <c r="I645" s="202"/>
      <c r="J645" s="202">
        <v>0</v>
      </c>
      <c r="K645" s="202"/>
      <c r="L645" s="202"/>
      <c r="M645" s="202"/>
      <c r="N645" s="206">
        <v>41603</v>
      </c>
      <c r="O645" s="206">
        <v>41603</v>
      </c>
      <c r="P645" s="202" t="s">
        <v>2151</v>
      </c>
      <c r="Q645" s="203">
        <v>1000</v>
      </c>
      <c r="R645" s="203">
        <v>14090</v>
      </c>
      <c r="S645" s="204">
        <v>99307.78</v>
      </c>
      <c r="T645" s="203">
        <v>14096</v>
      </c>
      <c r="U645" s="204">
        <v>84411.64</v>
      </c>
      <c r="V645" s="204">
        <f t="shared" si="21"/>
        <v>14896.14</v>
      </c>
      <c r="W645" s="205">
        <v>4137.83</v>
      </c>
      <c r="X645" s="203">
        <v>57260</v>
      </c>
      <c r="Y645" s="204">
        <v>827.57</v>
      </c>
      <c r="Z645" s="202" t="s">
        <v>97</v>
      </c>
      <c r="AA645" s="202"/>
      <c r="AB645" s="202"/>
      <c r="AC645" s="202"/>
      <c r="AD645" s="202" t="s">
        <v>1152</v>
      </c>
      <c r="AE645" s="202" t="s">
        <v>1153</v>
      </c>
      <c r="AF645" s="203" t="s">
        <v>1154</v>
      </c>
      <c r="AG645" s="208">
        <v>41639</v>
      </c>
      <c r="AH645" s="203" t="s">
        <v>1155</v>
      </c>
      <c r="AI645" s="202">
        <v>0</v>
      </c>
      <c r="AJ645" s="202">
        <v>827.57</v>
      </c>
    </row>
    <row r="646" spans="2:36">
      <c r="B646" s="203">
        <v>2180</v>
      </c>
      <c r="C646" s="207">
        <v>110074</v>
      </c>
      <c r="D646" s="203">
        <v>109515</v>
      </c>
      <c r="E646" s="202" t="s">
        <v>2150</v>
      </c>
      <c r="F646" s="203"/>
      <c r="G646" s="202"/>
      <c r="H646" s="202"/>
      <c r="I646" s="202"/>
      <c r="J646" s="202">
        <v>0</v>
      </c>
      <c r="K646" s="202" t="s">
        <v>2149</v>
      </c>
      <c r="L646" s="202"/>
      <c r="M646" s="202" t="s">
        <v>1158</v>
      </c>
      <c r="N646" s="206">
        <v>41635</v>
      </c>
      <c r="O646" s="206">
        <v>41635</v>
      </c>
      <c r="P646" s="202" t="s">
        <v>2143</v>
      </c>
      <c r="Q646" s="203">
        <v>1000</v>
      </c>
      <c r="R646" s="203">
        <v>14040</v>
      </c>
      <c r="S646" s="204">
        <v>798</v>
      </c>
      <c r="T646" s="203">
        <v>14046</v>
      </c>
      <c r="U646" s="204">
        <v>671.65</v>
      </c>
      <c r="V646" s="204">
        <f t="shared" si="21"/>
        <v>126.35000000000002</v>
      </c>
      <c r="W646" s="205">
        <v>33.25</v>
      </c>
      <c r="X646" s="203">
        <v>51260</v>
      </c>
      <c r="Y646" s="204">
        <v>6.65</v>
      </c>
      <c r="Z646" s="202" t="s">
        <v>97</v>
      </c>
      <c r="AA646" s="202"/>
      <c r="AB646" s="210">
        <v>342812</v>
      </c>
      <c r="AC646" s="202"/>
      <c r="AD646" s="202" t="s">
        <v>1152</v>
      </c>
      <c r="AE646" s="202" t="s">
        <v>1153</v>
      </c>
      <c r="AF646" s="203" t="s">
        <v>1154</v>
      </c>
      <c r="AG646" s="202"/>
      <c r="AH646" s="203" t="s">
        <v>1155</v>
      </c>
      <c r="AI646" s="202">
        <v>0</v>
      </c>
      <c r="AJ646" s="202">
        <v>0</v>
      </c>
    </row>
    <row r="647" spans="2:36">
      <c r="B647" s="203">
        <v>2180</v>
      </c>
      <c r="C647" s="207">
        <v>110073</v>
      </c>
      <c r="D647" s="203">
        <v>109515</v>
      </c>
      <c r="E647" s="202" t="s">
        <v>2148</v>
      </c>
      <c r="F647" s="203"/>
      <c r="G647" s="202"/>
      <c r="H647" s="202"/>
      <c r="I647" s="202"/>
      <c r="J647" s="202">
        <v>0</v>
      </c>
      <c r="K647" s="202" t="s">
        <v>2147</v>
      </c>
      <c r="L647" s="202"/>
      <c r="M647" s="202" t="s">
        <v>1158</v>
      </c>
      <c r="N647" s="206">
        <v>41635</v>
      </c>
      <c r="O647" s="206">
        <v>41635</v>
      </c>
      <c r="P647" s="202" t="s">
        <v>2143</v>
      </c>
      <c r="Q647" s="203">
        <v>1000</v>
      </c>
      <c r="R647" s="203">
        <v>14040</v>
      </c>
      <c r="S647" s="204">
        <v>629.19000000000005</v>
      </c>
      <c r="T647" s="203">
        <v>14046</v>
      </c>
      <c r="U647" s="204">
        <v>529.58000000000004</v>
      </c>
      <c r="V647" s="204">
        <f t="shared" si="21"/>
        <v>99.610000000000014</v>
      </c>
      <c r="W647" s="205">
        <v>26.22</v>
      </c>
      <c r="X647" s="203">
        <v>51260</v>
      </c>
      <c r="Y647" s="204">
        <v>5.25</v>
      </c>
      <c r="Z647" s="202" t="s">
        <v>97</v>
      </c>
      <c r="AA647" s="202"/>
      <c r="AB647" s="202">
        <v>5015790</v>
      </c>
      <c r="AC647" s="202"/>
      <c r="AD647" s="202" t="s">
        <v>1152</v>
      </c>
      <c r="AE647" s="202" t="s">
        <v>1153</v>
      </c>
      <c r="AF647" s="203" t="s">
        <v>1154</v>
      </c>
      <c r="AG647" s="202"/>
      <c r="AH647" s="203" t="s">
        <v>1155</v>
      </c>
      <c r="AI647" s="202">
        <v>0</v>
      </c>
      <c r="AJ647" s="202">
        <v>0</v>
      </c>
    </row>
    <row r="648" spans="2:36">
      <c r="B648" s="203">
        <v>2180</v>
      </c>
      <c r="C648" s="207">
        <v>109651</v>
      </c>
      <c r="D648" s="203">
        <v>106627</v>
      </c>
      <c r="E648" s="202" t="s">
        <v>964</v>
      </c>
      <c r="F648" s="203"/>
      <c r="G648" s="202"/>
      <c r="H648" s="202"/>
      <c r="I648" s="202"/>
      <c r="J648" s="202">
        <v>0</v>
      </c>
      <c r="K648" s="202" t="s">
        <v>1576</v>
      </c>
      <c r="L648" s="202"/>
      <c r="M648" s="202"/>
      <c r="N648" s="206">
        <v>41577</v>
      </c>
      <c r="O648" s="206">
        <v>41577</v>
      </c>
      <c r="P648" s="202" t="s">
        <v>2097</v>
      </c>
      <c r="Q648" s="203">
        <v>300</v>
      </c>
      <c r="R648" s="203">
        <v>14110</v>
      </c>
      <c r="S648" s="204">
        <v>35788.339999999997</v>
      </c>
      <c r="T648" s="203">
        <v>14116</v>
      </c>
      <c r="U648" s="204">
        <v>35788.339999999997</v>
      </c>
      <c r="V648" s="204">
        <f t="shared" si="21"/>
        <v>0</v>
      </c>
      <c r="W648" s="205">
        <v>0</v>
      </c>
      <c r="X648" s="203">
        <v>70260</v>
      </c>
      <c r="Y648" s="204">
        <v>0</v>
      </c>
      <c r="Z648" s="202" t="s">
        <v>97</v>
      </c>
      <c r="AA648" s="202"/>
      <c r="AB648" s="202">
        <v>95106</v>
      </c>
      <c r="AC648" s="202"/>
      <c r="AD648" s="202" t="s">
        <v>1152</v>
      </c>
      <c r="AE648" s="202" t="s">
        <v>1153</v>
      </c>
      <c r="AF648" s="203" t="s">
        <v>1154</v>
      </c>
      <c r="AG648" s="202"/>
      <c r="AH648" s="203" t="s">
        <v>1155</v>
      </c>
      <c r="AI648" s="202">
        <v>0</v>
      </c>
      <c r="AJ648" s="202">
        <v>0</v>
      </c>
    </row>
    <row r="649" spans="2:36">
      <c r="B649" s="203">
        <v>2180</v>
      </c>
      <c r="C649" s="207">
        <v>109515</v>
      </c>
      <c r="D649" s="203" t="s">
        <v>97</v>
      </c>
      <c r="E649" s="202" t="s">
        <v>2146</v>
      </c>
      <c r="F649" s="203"/>
      <c r="G649" s="202"/>
      <c r="H649" s="202" t="s">
        <v>2145</v>
      </c>
      <c r="I649" s="202"/>
      <c r="J649" s="202">
        <v>2014</v>
      </c>
      <c r="K649" s="202" t="s">
        <v>2133</v>
      </c>
      <c r="L649" s="202" t="s">
        <v>2144</v>
      </c>
      <c r="M649" s="202" t="s">
        <v>1999</v>
      </c>
      <c r="N649" s="206">
        <v>41635</v>
      </c>
      <c r="O649" s="206">
        <v>41635</v>
      </c>
      <c r="P649" s="202" t="s">
        <v>2143</v>
      </c>
      <c r="Q649" s="203">
        <v>1000</v>
      </c>
      <c r="R649" s="203">
        <v>14040</v>
      </c>
      <c r="S649" s="204">
        <v>295986.36</v>
      </c>
      <c r="T649" s="203">
        <v>14046</v>
      </c>
      <c r="U649" s="204">
        <v>249121.81</v>
      </c>
      <c r="V649" s="204">
        <f t="shared" si="21"/>
        <v>46864.549999999988</v>
      </c>
      <c r="W649" s="205">
        <v>12332.77</v>
      </c>
      <c r="X649" s="203">
        <v>51260</v>
      </c>
      <c r="Y649" s="204">
        <v>2466.56</v>
      </c>
      <c r="Z649" s="202" t="s">
        <v>97</v>
      </c>
      <c r="AA649" s="202"/>
      <c r="AB649" s="202"/>
      <c r="AC649" s="202">
        <v>2041</v>
      </c>
      <c r="AD649" s="202" t="s">
        <v>1152</v>
      </c>
      <c r="AE649" s="202" t="s">
        <v>1153</v>
      </c>
      <c r="AF649" s="203" t="s">
        <v>1154</v>
      </c>
      <c r="AG649" s="202"/>
      <c r="AH649" s="203" t="s">
        <v>1155</v>
      </c>
      <c r="AI649" s="202">
        <v>0</v>
      </c>
      <c r="AJ649" s="202">
        <v>0</v>
      </c>
    </row>
    <row r="650" spans="2:36">
      <c r="B650" s="203">
        <v>2180</v>
      </c>
      <c r="C650" s="207">
        <v>108970</v>
      </c>
      <c r="D650" s="203" t="s">
        <v>97</v>
      </c>
      <c r="E650" s="202" t="s">
        <v>2142</v>
      </c>
      <c r="F650" s="203"/>
      <c r="G650" s="202"/>
      <c r="H650" s="202"/>
      <c r="I650" s="202"/>
      <c r="J650" s="202">
        <v>0</v>
      </c>
      <c r="K650" s="202" t="s">
        <v>1429</v>
      </c>
      <c r="L650" s="202"/>
      <c r="M650" s="202"/>
      <c r="N650" s="206">
        <v>41603</v>
      </c>
      <c r="O650" s="206">
        <v>41603</v>
      </c>
      <c r="P650" s="202" t="s">
        <v>2141</v>
      </c>
      <c r="Q650" s="203">
        <v>300</v>
      </c>
      <c r="R650" s="203">
        <v>14110</v>
      </c>
      <c r="S650" s="204">
        <v>1504.24</v>
      </c>
      <c r="T650" s="203">
        <v>14116</v>
      </c>
      <c r="U650" s="204">
        <v>1504.24</v>
      </c>
      <c r="V650" s="204">
        <f t="shared" si="21"/>
        <v>0</v>
      </c>
      <c r="W650" s="205">
        <v>0</v>
      </c>
      <c r="X650" s="203">
        <v>70260</v>
      </c>
      <c r="Y650" s="204">
        <v>0</v>
      </c>
      <c r="Z650" s="202" t="s">
        <v>97</v>
      </c>
      <c r="AA650" s="202"/>
      <c r="AB650" s="202" t="s">
        <v>2140</v>
      </c>
      <c r="AC650" s="202"/>
      <c r="AD650" s="202" t="s">
        <v>1152</v>
      </c>
      <c r="AE650" s="202" t="s">
        <v>1153</v>
      </c>
      <c r="AF650" s="203" t="s">
        <v>1154</v>
      </c>
      <c r="AG650" s="202"/>
      <c r="AH650" s="203" t="s">
        <v>1155</v>
      </c>
      <c r="AI650" s="202">
        <v>0</v>
      </c>
      <c r="AJ650" s="202">
        <v>0</v>
      </c>
    </row>
    <row r="651" spans="2:36">
      <c r="B651" s="203">
        <v>2180</v>
      </c>
      <c r="C651" s="207">
        <v>108969</v>
      </c>
      <c r="D651" s="203">
        <v>106627</v>
      </c>
      <c r="E651" s="202" t="s">
        <v>2139</v>
      </c>
      <c r="F651" s="203"/>
      <c r="G651" s="202"/>
      <c r="H651" s="202"/>
      <c r="I651" s="202"/>
      <c r="J651" s="202">
        <v>0</v>
      </c>
      <c r="K651" s="202" t="s">
        <v>2138</v>
      </c>
      <c r="L651" s="202"/>
      <c r="M651" s="202"/>
      <c r="N651" s="206">
        <v>41577</v>
      </c>
      <c r="O651" s="206">
        <v>41577</v>
      </c>
      <c r="P651" s="202" t="s">
        <v>2097</v>
      </c>
      <c r="Q651" s="203">
        <v>300</v>
      </c>
      <c r="R651" s="203">
        <v>14110</v>
      </c>
      <c r="S651" s="204">
        <v>503.75</v>
      </c>
      <c r="T651" s="203">
        <v>14116</v>
      </c>
      <c r="U651" s="204">
        <v>503.75</v>
      </c>
      <c r="V651" s="204">
        <f t="shared" si="21"/>
        <v>0</v>
      </c>
      <c r="W651" s="205">
        <v>0</v>
      </c>
      <c r="X651" s="203">
        <v>70260</v>
      </c>
      <c r="Y651" s="204">
        <v>0</v>
      </c>
      <c r="Z651" s="202" t="s">
        <v>97</v>
      </c>
      <c r="AA651" s="202"/>
      <c r="AB651" s="202">
        <v>95287</v>
      </c>
      <c r="AC651" s="202"/>
      <c r="AD651" s="202" t="s">
        <v>1152</v>
      </c>
      <c r="AE651" s="202" t="s">
        <v>1153</v>
      </c>
      <c r="AF651" s="203" t="s">
        <v>1154</v>
      </c>
      <c r="AG651" s="202"/>
      <c r="AH651" s="203" t="s">
        <v>1155</v>
      </c>
      <c r="AI651" s="202">
        <v>0</v>
      </c>
      <c r="AJ651" s="202">
        <v>0</v>
      </c>
    </row>
    <row r="652" spans="2:36">
      <c r="B652" s="203">
        <v>2180</v>
      </c>
      <c r="C652" s="207">
        <v>108949</v>
      </c>
      <c r="D652" s="203">
        <v>108801</v>
      </c>
      <c r="E652" s="202" t="s">
        <v>2137</v>
      </c>
      <c r="F652" s="203"/>
      <c r="G652" s="202"/>
      <c r="H652" s="202"/>
      <c r="I652" s="202"/>
      <c r="J652" s="202">
        <v>0</v>
      </c>
      <c r="K652" s="202" t="s">
        <v>2136</v>
      </c>
      <c r="L652" s="202"/>
      <c r="M652" s="202" t="s">
        <v>1158</v>
      </c>
      <c r="N652" s="206">
        <v>41576</v>
      </c>
      <c r="O652" s="206">
        <v>41576</v>
      </c>
      <c r="P652" s="202" t="s">
        <v>2131</v>
      </c>
      <c r="Q652" s="203">
        <v>1000</v>
      </c>
      <c r="R652" s="203">
        <v>14040</v>
      </c>
      <c r="S652" s="204">
        <v>902.53</v>
      </c>
      <c r="T652" s="203">
        <v>14046</v>
      </c>
      <c r="U652" s="204">
        <v>774.64</v>
      </c>
      <c r="V652" s="204">
        <f t="shared" si="21"/>
        <v>127.88999999999999</v>
      </c>
      <c r="W652" s="205">
        <v>37.6</v>
      </c>
      <c r="X652" s="203">
        <v>51260</v>
      </c>
      <c r="Y652" s="204">
        <v>7.52</v>
      </c>
      <c r="Z652" s="202" t="s">
        <v>97</v>
      </c>
      <c r="AA652" s="202"/>
      <c r="AB652" s="202">
        <v>1140</v>
      </c>
      <c r="AC652" s="202"/>
      <c r="AD652" s="202" t="s">
        <v>1152</v>
      </c>
      <c r="AE652" s="202" t="s">
        <v>1153</v>
      </c>
      <c r="AF652" s="203" t="s">
        <v>1154</v>
      </c>
      <c r="AG652" s="202"/>
      <c r="AH652" s="203" t="s">
        <v>1155</v>
      </c>
      <c r="AI652" s="202">
        <v>0</v>
      </c>
      <c r="AJ652" s="202">
        <v>0</v>
      </c>
    </row>
    <row r="653" spans="2:36">
      <c r="B653" s="203">
        <v>2180</v>
      </c>
      <c r="C653" s="207">
        <v>108801</v>
      </c>
      <c r="D653" s="203" t="s">
        <v>97</v>
      </c>
      <c r="E653" s="202" t="s">
        <v>2135</v>
      </c>
      <c r="F653" s="203"/>
      <c r="G653" s="202"/>
      <c r="H653" s="202" t="s">
        <v>2134</v>
      </c>
      <c r="I653" s="202"/>
      <c r="J653" s="202">
        <v>2013</v>
      </c>
      <c r="K653" s="202" t="s">
        <v>2133</v>
      </c>
      <c r="L653" s="202" t="s">
        <v>2113</v>
      </c>
      <c r="M653" s="202" t="s">
        <v>2132</v>
      </c>
      <c r="N653" s="206">
        <v>41576</v>
      </c>
      <c r="O653" s="206">
        <v>41576</v>
      </c>
      <c r="P653" s="202" t="s">
        <v>2131</v>
      </c>
      <c r="Q653" s="203">
        <v>1000</v>
      </c>
      <c r="R653" s="203">
        <v>14040</v>
      </c>
      <c r="S653" s="204">
        <v>319248.73</v>
      </c>
      <c r="T653" s="203">
        <v>14046</v>
      </c>
      <c r="U653" s="204">
        <v>274021.8</v>
      </c>
      <c r="V653" s="204">
        <f t="shared" si="21"/>
        <v>45226.929999999993</v>
      </c>
      <c r="W653" s="205">
        <v>13302.03</v>
      </c>
      <c r="X653" s="203">
        <v>51260</v>
      </c>
      <c r="Y653" s="204">
        <v>2660.41</v>
      </c>
      <c r="Z653" s="202" t="s">
        <v>97</v>
      </c>
      <c r="AA653" s="202"/>
      <c r="AB653" s="202"/>
      <c r="AC653" s="202">
        <v>3635</v>
      </c>
      <c r="AD653" s="202" t="s">
        <v>1152</v>
      </c>
      <c r="AE653" s="202" t="s">
        <v>1153</v>
      </c>
      <c r="AF653" s="203" t="s">
        <v>1154</v>
      </c>
      <c r="AG653" s="202"/>
      <c r="AH653" s="203" t="s">
        <v>1155</v>
      </c>
      <c r="AI653" s="202">
        <v>0</v>
      </c>
      <c r="AJ653" s="202">
        <v>0</v>
      </c>
    </row>
    <row r="654" spans="2:36">
      <c r="B654" s="203">
        <v>2180</v>
      </c>
      <c r="C654" s="207">
        <v>108738</v>
      </c>
      <c r="D654" s="203" t="s">
        <v>97</v>
      </c>
      <c r="E654" s="202" t="s">
        <v>2062</v>
      </c>
      <c r="F654" s="203">
        <v>648</v>
      </c>
      <c r="G654" s="202"/>
      <c r="H654" s="202"/>
      <c r="I654" s="202"/>
      <c r="J654" s="202">
        <v>0</v>
      </c>
      <c r="K654" s="202" t="s">
        <v>1658</v>
      </c>
      <c r="L654" s="202"/>
      <c r="M654" s="202"/>
      <c r="N654" s="206">
        <v>41582</v>
      </c>
      <c r="O654" s="206">
        <v>41582</v>
      </c>
      <c r="P654" s="202" t="s">
        <v>2061</v>
      </c>
      <c r="Q654" s="203">
        <v>700</v>
      </c>
      <c r="R654" s="203">
        <v>14050</v>
      </c>
      <c r="S654" s="204">
        <v>30302.54</v>
      </c>
      <c r="T654" s="203">
        <v>14056</v>
      </c>
      <c r="U654" s="204">
        <v>30302.54</v>
      </c>
      <c r="V654" s="204">
        <f t="shared" ref="V654:V717" si="22">S654-U654</f>
        <v>0</v>
      </c>
      <c r="W654" s="205">
        <v>0</v>
      </c>
      <c r="X654" s="203">
        <v>54260</v>
      </c>
      <c r="Y654" s="204">
        <v>0</v>
      </c>
      <c r="Z654" s="202" t="s">
        <v>97</v>
      </c>
      <c r="AA654" s="202"/>
      <c r="AB654" s="202" t="s">
        <v>2130</v>
      </c>
      <c r="AC654" s="202"/>
      <c r="AD654" s="202" t="s">
        <v>1152</v>
      </c>
      <c r="AE654" s="202" t="s">
        <v>1153</v>
      </c>
      <c r="AF654" s="203" t="s">
        <v>1154</v>
      </c>
      <c r="AG654" s="202"/>
      <c r="AH654" s="203" t="s">
        <v>1155</v>
      </c>
      <c r="AI654" s="202">
        <v>0</v>
      </c>
      <c r="AJ654" s="202">
        <v>0</v>
      </c>
    </row>
    <row r="655" spans="2:36">
      <c r="B655" s="203">
        <v>2180</v>
      </c>
      <c r="C655" s="207">
        <v>108618</v>
      </c>
      <c r="D655" s="203">
        <v>106627</v>
      </c>
      <c r="E655" s="202" t="s">
        <v>964</v>
      </c>
      <c r="F655" s="203"/>
      <c r="G655" s="202"/>
      <c r="H655" s="202"/>
      <c r="I655" s="202"/>
      <c r="J655" s="202">
        <v>0</v>
      </c>
      <c r="K655" s="202" t="s">
        <v>1576</v>
      </c>
      <c r="L655" s="202"/>
      <c r="M655" s="202"/>
      <c r="N655" s="206">
        <v>41577</v>
      </c>
      <c r="O655" s="206">
        <v>41577</v>
      </c>
      <c r="P655" s="202" t="s">
        <v>2097</v>
      </c>
      <c r="Q655" s="203">
        <v>500</v>
      </c>
      <c r="R655" s="203">
        <v>14110</v>
      </c>
      <c r="S655" s="204">
        <v>7131.39</v>
      </c>
      <c r="T655" s="203">
        <v>14116</v>
      </c>
      <c r="U655" s="204">
        <v>7131.39</v>
      </c>
      <c r="V655" s="204">
        <f t="shared" si="22"/>
        <v>0</v>
      </c>
      <c r="W655" s="205">
        <v>0</v>
      </c>
      <c r="X655" s="203">
        <v>70260</v>
      </c>
      <c r="Y655" s="204">
        <v>0</v>
      </c>
      <c r="Z655" s="202" t="s">
        <v>97</v>
      </c>
      <c r="AA655" s="202"/>
      <c r="AB655" s="202">
        <v>95279</v>
      </c>
      <c r="AC655" s="202"/>
      <c r="AD655" s="202" t="s">
        <v>1152</v>
      </c>
      <c r="AE655" s="202" t="s">
        <v>1153</v>
      </c>
      <c r="AF655" s="203" t="s">
        <v>1154</v>
      </c>
      <c r="AG655" s="202"/>
      <c r="AH655" s="203" t="s">
        <v>1155</v>
      </c>
      <c r="AI655" s="202">
        <v>0</v>
      </c>
      <c r="AJ655" s="202">
        <v>0</v>
      </c>
    </row>
    <row r="656" spans="2:36">
      <c r="B656" s="203">
        <v>2180</v>
      </c>
      <c r="C656" s="207">
        <v>108617</v>
      </c>
      <c r="D656" s="203">
        <v>106627</v>
      </c>
      <c r="E656" s="202" t="s">
        <v>964</v>
      </c>
      <c r="F656" s="203"/>
      <c r="G656" s="202"/>
      <c r="H656" s="202"/>
      <c r="I656" s="202"/>
      <c r="J656" s="202">
        <v>0</v>
      </c>
      <c r="K656" s="202" t="s">
        <v>1576</v>
      </c>
      <c r="L656" s="202"/>
      <c r="M656" s="202"/>
      <c r="N656" s="206">
        <v>41577</v>
      </c>
      <c r="O656" s="206">
        <v>41577</v>
      </c>
      <c r="P656" s="202" t="s">
        <v>2097</v>
      </c>
      <c r="Q656" s="203">
        <v>500</v>
      </c>
      <c r="R656" s="203">
        <v>14110</v>
      </c>
      <c r="S656" s="204">
        <v>614.72</v>
      </c>
      <c r="T656" s="203">
        <v>14116</v>
      </c>
      <c r="U656" s="204">
        <v>614.72</v>
      </c>
      <c r="V656" s="204">
        <f t="shared" si="22"/>
        <v>0</v>
      </c>
      <c r="W656" s="205">
        <v>0</v>
      </c>
      <c r="X656" s="203">
        <v>70260</v>
      </c>
      <c r="Y656" s="204">
        <v>0</v>
      </c>
      <c r="Z656" s="202" t="s">
        <v>97</v>
      </c>
      <c r="AA656" s="202"/>
      <c r="AB656" s="202">
        <v>95264</v>
      </c>
      <c r="AC656" s="202"/>
      <c r="AD656" s="202" t="s">
        <v>1152</v>
      </c>
      <c r="AE656" s="202" t="s">
        <v>1153</v>
      </c>
      <c r="AF656" s="203" t="s">
        <v>1154</v>
      </c>
      <c r="AG656" s="202"/>
      <c r="AH656" s="203" t="s">
        <v>1155</v>
      </c>
      <c r="AI656" s="202">
        <v>0</v>
      </c>
      <c r="AJ656" s="202">
        <v>0</v>
      </c>
    </row>
    <row r="657" spans="2:36">
      <c r="B657" s="203">
        <v>2180</v>
      </c>
      <c r="C657" s="207">
        <v>107879</v>
      </c>
      <c r="D657" s="203">
        <v>106627</v>
      </c>
      <c r="E657" s="202" t="s">
        <v>2129</v>
      </c>
      <c r="F657" s="203"/>
      <c r="G657" s="202"/>
      <c r="H657" s="202"/>
      <c r="I657" s="202"/>
      <c r="J657" s="202">
        <v>0</v>
      </c>
      <c r="K657" s="202" t="s">
        <v>1576</v>
      </c>
      <c r="L657" s="202"/>
      <c r="M657" s="202"/>
      <c r="N657" s="206">
        <v>41561</v>
      </c>
      <c r="O657" s="206">
        <v>41561</v>
      </c>
      <c r="P657" s="202" t="s">
        <v>2097</v>
      </c>
      <c r="Q657" s="203">
        <v>300</v>
      </c>
      <c r="R657" s="203">
        <v>14110</v>
      </c>
      <c r="S657" s="204">
        <v>5412.81</v>
      </c>
      <c r="T657" s="203">
        <v>14116</v>
      </c>
      <c r="U657" s="204">
        <v>5412.81</v>
      </c>
      <c r="V657" s="204">
        <f t="shared" si="22"/>
        <v>0</v>
      </c>
      <c r="W657" s="205">
        <v>0</v>
      </c>
      <c r="X657" s="203">
        <v>70260</v>
      </c>
      <c r="Y657" s="204">
        <v>0</v>
      </c>
      <c r="Z657" s="202" t="s">
        <v>97</v>
      </c>
      <c r="AA657" s="202"/>
      <c r="AB657" s="202">
        <v>95227</v>
      </c>
      <c r="AC657" s="202"/>
      <c r="AD657" s="202" t="s">
        <v>1152</v>
      </c>
      <c r="AE657" s="202" t="s">
        <v>1153</v>
      </c>
      <c r="AF657" s="203" t="s">
        <v>1154</v>
      </c>
      <c r="AG657" s="202"/>
      <c r="AH657" s="203" t="s">
        <v>1155</v>
      </c>
      <c r="AI657" s="202">
        <v>0</v>
      </c>
      <c r="AJ657" s="202">
        <v>0</v>
      </c>
    </row>
    <row r="658" spans="2:36">
      <c r="B658" s="203">
        <v>2180</v>
      </c>
      <c r="C658" s="207">
        <v>107873</v>
      </c>
      <c r="D658" s="203" t="s">
        <v>97</v>
      </c>
      <c r="E658" s="202" t="s">
        <v>2128</v>
      </c>
      <c r="F658" s="203">
        <v>14</v>
      </c>
      <c r="G658" s="202"/>
      <c r="H658" s="202"/>
      <c r="I658" s="202"/>
      <c r="J658" s="202">
        <v>0</v>
      </c>
      <c r="K658" s="202" t="s">
        <v>2041</v>
      </c>
      <c r="L658" s="202"/>
      <c r="M658" s="202" t="s">
        <v>1975</v>
      </c>
      <c r="N658" s="206">
        <v>41548</v>
      </c>
      <c r="O658" s="206">
        <v>41548</v>
      </c>
      <c r="P658" s="202" t="s">
        <v>2127</v>
      </c>
      <c r="Q658" s="203">
        <v>1200</v>
      </c>
      <c r="R658" s="203">
        <v>14050</v>
      </c>
      <c r="S658" s="204">
        <v>12490.24</v>
      </c>
      <c r="T658" s="203">
        <v>14056</v>
      </c>
      <c r="U658" s="204">
        <v>9020.7000000000007</v>
      </c>
      <c r="V658" s="204">
        <f t="shared" si="22"/>
        <v>3469.5399999999991</v>
      </c>
      <c r="W658" s="205">
        <v>433.69</v>
      </c>
      <c r="X658" s="203">
        <v>54260</v>
      </c>
      <c r="Y658" s="204">
        <v>86.74</v>
      </c>
      <c r="Z658" s="202" t="s">
        <v>97</v>
      </c>
      <c r="AA658" s="202"/>
      <c r="AB658" s="202">
        <v>86929</v>
      </c>
      <c r="AC658" s="202"/>
      <c r="AD658" s="202" t="s">
        <v>1152</v>
      </c>
      <c r="AE658" s="202" t="s">
        <v>1153</v>
      </c>
      <c r="AF658" s="203" t="s">
        <v>1154</v>
      </c>
      <c r="AG658" s="202"/>
      <c r="AH658" s="203" t="s">
        <v>1155</v>
      </c>
      <c r="AI658" s="202">
        <v>0</v>
      </c>
      <c r="AJ658" s="202">
        <v>0</v>
      </c>
    </row>
    <row r="659" spans="2:36">
      <c r="B659" s="203">
        <v>2180</v>
      </c>
      <c r="C659" s="207">
        <v>107872</v>
      </c>
      <c r="D659" s="203" t="s">
        <v>97</v>
      </c>
      <c r="E659" s="202" t="s">
        <v>2128</v>
      </c>
      <c r="F659" s="203">
        <v>6</v>
      </c>
      <c r="G659" s="202"/>
      <c r="H659" s="202"/>
      <c r="I659" s="202"/>
      <c r="J659" s="202">
        <v>0</v>
      </c>
      <c r="K659" s="202" t="s">
        <v>2041</v>
      </c>
      <c r="L659" s="202"/>
      <c r="M659" s="202" t="s">
        <v>1975</v>
      </c>
      <c r="N659" s="206">
        <v>41548</v>
      </c>
      <c r="O659" s="206">
        <v>41548</v>
      </c>
      <c r="P659" s="202" t="s">
        <v>2127</v>
      </c>
      <c r="Q659" s="203">
        <v>1200</v>
      </c>
      <c r="R659" s="203">
        <v>14050</v>
      </c>
      <c r="S659" s="204">
        <v>5352.96</v>
      </c>
      <c r="T659" s="203">
        <v>14056</v>
      </c>
      <c r="U659" s="204">
        <v>3865.94</v>
      </c>
      <c r="V659" s="204">
        <f t="shared" si="22"/>
        <v>1487.02</v>
      </c>
      <c r="W659" s="205">
        <v>185.87</v>
      </c>
      <c r="X659" s="203">
        <v>54260</v>
      </c>
      <c r="Y659" s="204">
        <v>37.18</v>
      </c>
      <c r="Z659" s="202" t="s">
        <v>97</v>
      </c>
      <c r="AA659" s="202"/>
      <c r="AB659" s="202">
        <v>86990</v>
      </c>
      <c r="AC659" s="202"/>
      <c r="AD659" s="202" t="s">
        <v>1152</v>
      </c>
      <c r="AE659" s="202" t="s">
        <v>1153</v>
      </c>
      <c r="AF659" s="203" t="s">
        <v>1154</v>
      </c>
      <c r="AG659" s="202"/>
      <c r="AH659" s="203" t="s">
        <v>1155</v>
      </c>
      <c r="AI659" s="202">
        <v>0</v>
      </c>
      <c r="AJ659" s="202">
        <v>0</v>
      </c>
    </row>
    <row r="660" spans="2:36">
      <c r="B660" s="203">
        <v>2180</v>
      </c>
      <c r="C660" s="207">
        <v>107737</v>
      </c>
      <c r="D660" s="203" t="s">
        <v>97</v>
      </c>
      <c r="E660" s="202" t="s">
        <v>2126</v>
      </c>
      <c r="F660" s="203"/>
      <c r="G660" s="202"/>
      <c r="H660" s="202"/>
      <c r="I660" s="202"/>
      <c r="J660" s="202">
        <v>0</v>
      </c>
      <c r="K660" s="202" t="s">
        <v>1525</v>
      </c>
      <c r="L660" s="202"/>
      <c r="M660" s="202"/>
      <c r="N660" s="206">
        <v>41518</v>
      </c>
      <c r="O660" s="206">
        <v>41518</v>
      </c>
      <c r="P660" s="202" t="s">
        <v>2125</v>
      </c>
      <c r="Q660" s="203">
        <v>300</v>
      </c>
      <c r="R660" s="203">
        <v>14110</v>
      </c>
      <c r="S660" s="204">
        <v>1904</v>
      </c>
      <c r="T660" s="203">
        <v>14116</v>
      </c>
      <c r="U660" s="204">
        <v>1904</v>
      </c>
      <c r="V660" s="204">
        <f t="shared" si="22"/>
        <v>0</v>
      </c>
      <c r="W660" s="205">
        <v>0</v>
      </c>
      <c r="X660" s="203">
        <v>70260</v>
      </c>
      <c r="Y660" s="204">
        <v>0</v>
      </c>
      <c r="Z660" s="202" t="s">
        <v>97</v>
      </c>
      <c r="AA660" s="202"/>
      <c r="AB660" s="202" t="s">
        <v>2124</v>
      </c>
      <c r="AC660" s="202"/>
      <c r="AD660" s="202" t="s">
        <v>1152</v>
      </c>
      <c r="AE660" s="202" t="s">
        <v>1153</v>
      </c>
      <c r="AF660" s="203" t="s">
        <v>1154</v>
      </c>
      <c r="AG660" s="202"/>
      <c r="AH660" s="203" t="s">
        <v>1155</v>
      </c>
      <c r="AI660" s="202">
        <v>0</v>
      </c>
      <c r="AJ660" s="202">
        <v>0</v>
      </c>
    </row>
    <row r="661" spans="2:36">
      <c r="B661" s="203">
        <v>2180</v>
      </c>
      <c r="C661" s="207">
        <v>107573</v>
      </c>
      <c r="D661" s="203">
        <v>107324</v>
      </c>
      <c r="E661" s="202" t="s">
        <v>2123</v>
      </c>
      <c r="F661" s="203"/>
      <c r="G661" s="202"/>
      <c r="H661" s="202"/>
      <c r="I661" s="202"/>
      <c r="J661" s="202">
        <v>0</v>
      </c>
      <c r="K661" s="202" t="s">
        <v>2122</v>
      </c>
      <c r="L661" s="202"/>
      <c r="M661" s="202" t="s">
        <v>1158</v>
      </c>
      <c r="N661" s="206">
        <v>41514</v>
      </c>
      <c r="O661" s="206">
        <v>41514</v>
      </c>
      <c r="P661" s="202" t="s">
        <v>2111</v>
      </c>
      <c r="Q661" s="203">
        <v>700</v>
      </c>
      <c r="R661" s="203">
        <v>14040</v>
      </c>
      <c r="S661" s="204">
        <v>602.30999999999995</v>
      </c>
      <c r="T661" s="203">
        <v>14046</v>
      </c>
      <c r="U661" s="204">
        <v>602.30999999999995</v>
      </c>
      <c r="V661" s="204">
        <f t="shared" si="22"/>
        <v>0</v>
      </c>
      <c r="W661" s="205">
        <v>0</v>
      </c>
      <c r="X661" s="203">
        <v>51260</v>
      </c>
      <c r="Y661" s="204">
        <v>0</v>
      </c>
      <c r="Z661" s="202" t="s">
        <v>97</v>
      </c>
      <c r="AA661" s="202"/>
      <c r="AB661" s="202">
        <v>5043633</v>
      </c>
      <c r="AC661" s="202"/>
      <c r="AD661" s="202" t="s">
        <v>1152</v>
      </c>
      <c r="AE661" s="202" t="s">
        <v>1153</v>
      </c>
      <c r="AF661" s="203" t="s">
        <v>1154</v>
      </c>
      <c r="AG661" s="202"/>
      <c r="AH661" s="203" t="s">
        <v>1155</v>
      </c>
      <c r="AI661" s="202">
        <v>0</v>
      </c>
      <c r="AJ661" s="202">
        <v>0</v>
      </c>
    </row>
    <row r="662" spans="2:36">
      <c r="B662" s="203">
        <v>2180</v>
      </c>
      <c r="C662" s="207">
        <v>107427</v>
      </c>
      <c r="D662" s="203" t="s">
        <v>97</v>
      </c>
      <c r="E662" s="202" t="s">
        <v>670</v>
      </c>
      <c r="F662" s="203">
        <v>486</v>
      </c>
      <c r="G662" s="202"/>
      <c r="H662" s="202"/>
      <c r="I662" s="202"/>
      <c r="J662" s="202">
        <v>0</v>
      </c>
      <c r="K662" s="202" t="s">
        <v>1658</v>
      </c>
      <c r="L662" s="202"/>
      <c r="M662" s="202"/>
      <c r="N662" s="206">
        <v>41527</v>
      </c>
      <c r="O662" s="206">
        <v>41527</v>
      </c>
      <c r="P662" s="202" t="s">
        <v>2058</v>
      </c>
      <c r="Q662" s="203">
        <v>700</v>
      </c>
      <c r="R662" s="203">
        <v>14050</v>
      </c>
      <c r="S662" s="204">
        <v>26930.76</v>
      </c>
      <c r="T662" s="203">
        <v>14056</v>
      </c>
      <c r="U662" s="204">
        <v>26930.76</v>
      </c>
      <c r="V662" s="204">
        <f t="shared" si="22"/>
        <v>0</v>
      </c>
      <c r="W662" s="205">
        <v>0</v>
      </c>
      <c r="X662" s="203">
        <v>54260</v>
      </c>
      <c r="Y662" s="204">
        <v>0</v>
      </c>
      <c r="Z662" s="202" t="s">
        <v>97</v>
      </c>
      <c r="AA662" s="202"/>
      <c r="AB662" s="202" t="s">
        <v>2121</v>
      </c>
      <c r="AC662" s="202"/>
      <c r="AD662" s="202" t="s">
        <v>1152</v>
      </c>
      <c r="AE662" s="202" t="s">
        <v>1153</v>
      </c>
      <c r="AF662" s="203" t="s">
        <v>1154</v>
      </c>
      <c r="AG662" s="202"/>
      <c r="AH662" s="203" t="s">
        <v>1155</v>
      </c>
      <c r="AI662" s="202">
        <v>0</v>
      </c>
      <c r="AJ662" s="202">
        <v>0</v>
      </c>
    </row>
    <row r="663" spans="2:36">
      <c r="B663" s="203">
        <v>2180</v>
      </c>
      <c r="C663" s="207">
        <v>107426</v>
      </c>
      <c r="D663" s="203" t="s">
        <v>97</v>
      </c>
      <c r="E663" s="202" t="s">
        <v>2120</v>
      </c>
      <c r="F663" s="203">
        <v>540</v>
      </c>
      <c r="G663" s="202"/>
      <c r="H663" s="202"/>
      <c r="I663" s="202"/>
      <c r="J663" s="202">
        <v>0</v>
      </c>
      <c r="K663" s="202" t="s">
        <v>1658</v>
      </c>
      <c r="L663" s="202"/>
      <c r="M663" s="202"/>
      <c r="N663" s="206">
        <v>41528</v>
      </c>
      <c r="O663" s="206">
        <v>41528</v>
      </c>
      <c r="P663" s="202" t="s">
        <v>2119</v>
      </c>
      <c r="Q663" s="203">
        <v>700</v>
      </c>
      <c r="R663" s="203">
        <v>14050</v>
      </c>
      <c r="S663" s="204">
        <v>21107.85</v>
      </c>
      <c r="T663" s="203">
        <v>14056</v>
      </c>
      <c r="U663" s="204">
        <v>21107.85</v>
      </c>
      <c r="V663" s="204">
        <f t="shared" si="22"/>
        <v>0</v>
      </c>
      <c r="W663" s="205">
        <v>0</v>
      </c>
      <c r="X663" s="203">
        <v>54260</v>
      </c>
      <c r="Y663" s="204">
        <v>0</v>
      </c>
      <c r="Z663" s="202" t="s">
        <v>97</v>
      </c>
      <c r="AA663" s="202"/>
      <c r="AB663" s="202" t="s">
        <v>2118</v>
      </c>
      <c r="AC663" s="202"/>
      <c r="AD663" s="202" t="s">
        <v>1152</v>
      </c>
      <c r="AE663" s="202" t="s">
        <v>1153</v>
      </c>
      <c r="AF663" s="203" t="s">
        <v>1154</v>
      </c>
      <c r="AG663" s="202"/>
      <c r="AH663" s="203" t="s">
        <v>1155</v>
      </c>
      <c r="AI663" s="202">
        <v>0</v>
      </c>
      <c r="AJ663" s="202">
        <v>0</v>
      </c>
    </row>
    <row r="664" spans="2:36">
      <c r="B664" s="203">
        <v>2180</v>
      </c>
      <c r="C664" s="207">
        <v>107425</v>
      </c>
      <c r="D664" s="203" t="s">
        <v>97</v>
      </c>
      <c r="E664" s="202" t="s">
        <v>2095</v>
      </c>
      <c r="F664" s="203">
        <v>648</v>
      </c>
      <c r="G664" s="202"/>
      <c r="H664" s="202"/>
      <c r="I664" s="202"/>
      <c r="J664" s="202">
        <v>0</v>
      </c>
      <c r="K664" s="202" t="s">
        <v>1658</v>
      </c>
      <c r="L664" s="202"/>
      <c r="M664" s="202"/>
      <c r="N664" s="206">
        <v>41527</v>
      </c>
      <c r="O664" s="206">
        <v>41527</v>
      </c>
      <c r="P664" s="202" t="s">
        <v>2061</v>
      </c>
      <c r="Q664" s="203">
        <v>700</v>
      </c>
      <c r="R664" s="203">
        <v>14050</v>
      </c>
      <c r="S664" s="204">
        <v>30302.54</v>
      </c>
      <c r="T664" s="203">
        <v>14056</v>
      </c>
      <c r="U664" s="204">
        <v>30302.54</v>
      </c>
      <c r="V664" s="204">
        <f t="shared" si="22"/>
        <v>0</v>
      </c>
      <c r="W664" s="205">
        <v>0</v>
      </c>
      <c r="X664" s="203">
        <v>54260</v>
      </c>
      <c r="Y664" s="204">
        <v>0</v>
      </c>
      <c r="Z664" s="202" t="s">
        <v>97</v>
      </c>
      <c r="AA664" s="202"/>
      <c r="AB664" s="202" t="s">
        <v>2117</v>
      </c>
      <c r="AC664" s="202"/>
      <c r="AD664" s="202" t="s">
        <v>1152</v>
      </c>
      <c r="AE664" s="202" t="s">
        <v>1153</v>
      </c>
      <c r="AF664" s="203" t="s">
        <v>1154</v>
      </c>
      <c r="AG664" s="202"/>
      <c r="AH664" s="203" t="s">
        <v>1155</v>
      </c>
      <c r="AI664" s="202">
        <v>0</v>
      </c>
      <c r="AJ664" s="202">
        <v>0</v>
      </c>
    </row>
    <row r="665" spans="2:36">
      <c r="B665" s="203">
        <v>2180</v>
      </c>
      <c r="C665" s="207">
        <v>107324</v>
      </c>
      <c r="D665" s="203" t="s">
        <v>97</v>
      </c>
      <c r="E665" s="202" t="s">
        <v>2116</v>
      </c>
      <c r="F665" s="203"/>
      <c r="G665" s="202"/>
      <c r="H665" s="202" t="s">
        <v>2115</v>
      </c>
      <c r="I665" s="202"/>
      <c r="J665" s="202">
        <v>2013</v>
      </c>
      <c r="K665" s="202" t="s">
        <v>2114</v>
      </c>
      <c r="L665" s="202" t="s">
        <v>2113</v>
      </c>
      <c r="M665" s="202" t="s">
        <v>2112</v>
      </c>
      <c r="N665" s="206">
        <v>41514</v>
      </c>
      <c r="O665" s="206">
        <v>41514</v>
      </c>
      <c r="P665" s="202" t="s">
        <v>2111</v>
      </c>
      <c r="Q665" s="203">
        <v>600</v>
      </c>
      <c r="R665" s="203">
        <v>14040</v>
      </c>
      <c r="S665" s="204">
        <v>125924.63</v>
      </c>
      <c r="T665" s="203">
        <v>14046</v>
      </c>
      <c r="U665" s="204">
        <v>125924.63</v>
      </c>
      <c r="V665" s="204">
        <f t="shared" si="22"/>
        <v>0</v>
      </c>
      <c r="W665" s="205">
        <v>0</v>
      </c>
      <c r="X665" s="203">
        <v>51260</v>
      </c>
      <c r="Y665" s="204">
        <v>0</v>
      </c>
      <c r="Z665" s="202" t="s">
        <v>97</v>
      </c>
      <c r="AA665" s="202"/>
      <c r="AB665" s="202"/>
      <c r="AC665" s="202">
        <v>3308</v>
      </c>
      <c r="AD665" s="202" t="s">
        <v>1152</v>
      </c>
      <c r="AE665" s="202" t="s">
        <v>1153</v>
      </c>
      <c r="AF665" s="203" t="s">
        <v>1154</v>
      </c>
      <c r="AG665" s="202"/>
      <c r="AH665" s="203" t="s">
        <v>1155</v>
      </c>
      <c r="AI665" s="202">
        <v>0</v>
      </c>
      <c r="AJ665" s="202">
        <v>0</v>
      </c>
    </row>
    <row r="666" spans="2:36">
      <c r="B666" s="203">
        <v>2180</v>
      </c>
      <c r="C666" s="207">
        <v>107151</v>
      </c>
      <c r="D666" s="203" t="s">
        <v>97</v>
      </c>
      <c r="E666" s="202" t="s">
        <v>2110</v>
      </c>
      <c r="F666" s="203">
        <v>360</v>
      </c>
      <c r="G666" s="202"/>
      <c r="H666" s="202"/>
      <c r="I666" s="202"/>
      <c r="J666" s="202">
        <v>0</v>
      </c>
      <c r="K666" s="202" t="s">
        <v>1658</v>
      </c>
      <c r="L666" s="202"/>
      <c r="M666" s="202"/>
      <c r="N666" s="206">
        <v>41523</v>
      </c>
      <c r="O666" s="206">
        <v>41523</v>
      </c>
      <c r="P666" s="202" t="s">
        <v>2071</v>
      </c>
      <c r="Q666" s="203">
        <v>700</v>
      </c>
      <c r="R666" s="203">
        <v>14050</v>
      </c>
      <c r="S666" s="204">
        <v>20639.8</v>
      </c>
      <c r="T666" s="203">
        <v>14056</v>
      </c>
      <c r="U666" s="204">
        <v>20639.8</v>
      </c>
      <c r="V666" s="204">
        <f t="shared" si="22"/>
        <v>0</v>
      </c>
      <c r="W666" s="205">
        <v>0</v>
      </c>
      <c r="X666" s="203">
        <v>54260</v>
      </c>
      <c r="Y666" s="204">
        <v>0</v>
      </c>
      <c r="Z666" s="202" t="s">
        <v>97</v>
      </c>
      <c r="AA666" s="202"/>
      <c r="AB666" s="202" t="s">
        <v>2109</v>
      </c>
      <c r="AC666" s="202"/>
      <c r="AD666" s="202" t="s">
        <v>1152</v>
      </c>
      <c r="AE666" s="202" t="s">
        <v>1153</v>
      </c>
      <c r="AF666" s="203" t="s">
        <v>1154</v>
      </c>
      <c r="AG666" s="202"/>
      <c r="AH666" s="203" t="s">
        <v>1155</v>
      </c>
      <c r="AI666" s="202">
        <v>0</v>
      </c>
      <c r="AJ666" s="202">
        <v>0</v>
      </c>
    </row>
    <row r="667" spans="2:36">
      <c r="B667" s="203">
        <v>2180</v>
      </c>
      <c r="C667" s="207">
        <v>107145</v>
      </c>
      <c r="D667" s="203">
        <v>106627</v>
      </c>
      <c r="E667" s="202" t="s">
        <v>964</v>
      </c>
      <c r="F667" s="203"/>
      <c r="G667" s="202"/>
      <c r="H667" s="202"/>
      <c r="I667" s="202"/>
      <c r="J667" s="202">
        <v>0</v>
      </c>
      <c r="K667" s="202" t="s">
        <v>1576</v>
      </c>
      <c r="L667" s="202"/>
      <c r="M667" s="202"/>
      <c r="N667" s="206">
        <v>41517</v>
      </c>
      <c r="O667" s="206">
        <v>41517</v>
      </c>
      <c r="P667" s="202" t="s">
        <v>2097</v>
      </c>
      <c r="Q667" s="203">
        <v>300</v>
      </c>
      <c r="R667" s="203">
        <v>14110</v>
      </c>
      <c r="S667" s="204">
        <v>47300.63</v>
      </c>
      <c r="T667" s="203">
        <v>14116</v>
      </c>
      <c r="U667" s="204">
        <v>47300.63</v>
      </c>
      <c r="V667" s="204">
        <f t="shared" si="22"/>
        <v>0</v>
      </c>
      <c r="W667" s="205">
        <v>0</v>
      </c>
      <c r="X667" s="203">
        <v>70260</v>
      </c>
      <c r="Y667" s="204">
        <v>0</v>
      </c>
      <c r="Z667" s="202" t="s">
        <v>97</v>
      </c>
      <c r="AA667" s="202"/>
      <c r="AB667" s="202">
        <v>95107</v>
      </c>
      <c r="AC667" s="202"/>
      <c r="AD667" s="202" t="s">
        <v>1152</v>
      </c>
      <c r="AE667" s="202" t="s">
        <v>1153</v>
      </c>
      <c r="AF667" s="203" t="s">
        <v>1154</v>
      </c>
      <c r="AG667" s="202"/>
      <c r="AH667" s="203" t="s">
        <v>1155</v>
      </c>
      <c r="AI667" s="202">
        <v>0</v>
      </c>
      <c r="AJ667" s="202">
        <v>0</v>
      </c>
    </row>
    <row r="668" spans="2:36">
      <c r="B668" s="203">
        <v>2180</v>
      </c>
      <c r="C668" s="207">
        <v>107128</v>
      </c>
      <c r="D668" s="203" t="s">
        <v>97</v>
      </c>
      <c r="E668" s="202" t="s">
        <v>2106</v>
      </c>
      <c r="F668" s="203">
        <v>2</v>
      </c>
      <c r="G668" s="202"/>
      <c r="H668" s="202"/>
      <c r="I668" s="202"/>
      <c r="J668" s="202">
        <v>0</v>
      </c>
      <c r="K668" s="202" t="s">
        <v>2041</v>
      </c>
      <c r="L668" s="202"/>
      <c r="M668" s="202" t="s">
        <v>1421</v>
      </c>
      <c r="N668" s="206">
        <v>41514</v>
      </c>
      <c r="O668" s="206">
        <v>41514</v>
      </c>
      <c r="P668" s="202" t="s">
        <v>2107</v>
      </c>
      <c r="Q668" s="203">
        <v>1200</v>
      </c>
      <c r="R668" s="203">
        <v>14050</v>
      </c>
      <c r="S668" s="204">
        <v>1033.5999999999999</v>
      </c>
      <c r="T668" s="203">
        <v>14056</v>
      </c>
      <c r="U668" s="204">
        <v>753.64</v>
      </c>
      <c r="V668" s="204">
        <f t="shared" si="22"/>
        <v>279.95999999999992</v>
      </c>
      <c r="W668" s="205">
        <v>35.89</v>
      </c>
      <c r="X668" s="203">
        <v>54260</v>
      </c>
      <c r="Y668" s="204">
        <v>7.18</v>
      </c>
      <c r="Z668" s="202" t="s">
        <v>97</v>
      </c>
      <c r="AA668" s="202"/>
      <c r="AB668" s="202">
        <v>86168</v>
      </c>
      <c r="AC668" s="202"/>
      <c r="AD668" s="202" t="s">
        <v>1152</v>
      </c>
      <c r="AE668" s="202" t="s">
        <v>1153</v>
      </c>
      <c r="AF668" s="203" t="s">
        <v>1154</v>
      </c>
      <c r="AG668" s="202"/>
      <c r="AH668" s="203" t="s">
        <v>1155</v>
      </c>
      <c r="AI668" s="202">
        <v>0</v>
      </c>
      <c r="AJ668" s="202">
        <v>0</v>
      </c>
    </row>
    <row r="669" spans="2:36">
      <c r="B669" s="203">
        <v>2180</v>
      </c>
      <c r="C669" s="207">
        <v>107127</v>
      </c>
      <c r="D669" s="203" t="s">
        <v>97</v>
      </c>
      <c r="E669" s="202" t="s">
        <v>2106</v>
      </c>
      <c r="F669" s="203">
        <v>8</v>
      </c>
      <c r="G669" s="202"/>
      <c r="H669" s="202"/>
      <c r="I669" s="202"/>
      <c r="J669" s="202">
        <v>0</v>
      </c>
      <c r="K669" s="202" t="s">
        <v>2041</v>
      </c>
      <c r="L669" s="202"/>
      <c r="M669" s="202" t="s">
        <v>1421</v>
      </c>
      <c r="N669" s="206">
        <v>41514</v>
      </c>
      <c r="O669" s="206">
        <v>41514</v>
      </c>
      <c r="P669" s="202" t="s">
        <v>2107</v>
      </c>
      <c r="Q669" s="203">
        <v>1200</v>
      </c>
      <c r="R669" s="203">
        <v>14050</v>
      </c>
      <c r="S669" s="204">
        <v>4134.3999999999996</v>
      </c>
      <c r="T669" s="203">
        <v>14056</v>
      </c>
      <c r="U669" s="204">
        <v>3014.48</v>
      </c>
      <c r="V669" s="204">
        <f t="shared" si="22"/>
        <v>1119.9199999999996</v>
      </c>
      <c r="W669" s="205">
        <v>143.55000000000001</v>
      </c>
      <c r="X669" s="203">
        <v>54260</v>
      </c>
      <c r="Y669" s="204">
        <v>28.71</v>
      </c>
      <c r="Z669" s="202" t="s">
        <v>97</v>
      </c>
      <c r="AA669" s="202"/>
      <c r="AB669" s="202">
        <v>86150</v>
      </c>
      <c r="AC669" s="202"/>
      <c r="AD669" s="202" t="s">
        <v>1152</v>
      </c>
      <c r="AE669" s="202" t="s">
        <v>1153</v>
      </c>
      <c r="AF669" s="203" t="s">
        <v>1154</v>
      </c>
      <c r="AG669" s="202"/>
      <c r="AH669" s="203" t="s">
        <v>1155</v>
      </c>
      <c r="AI669" s="202">
        <v>0</v>
      </c>
      <c r="AJ669" s="202">
        <v>0</v>
      </c>
    </row>
    <row r="670" spans="2:36">
      <c r="B670" s="203">
        <v>2180</v>
      </c>
      <c r="C670" s="207">
        <v>107126</v>
      </c>
      <c r="D670" s="203" t="s">
        <v>97</v>
      </c>
      <c r="E670" s="202" t="s">
        <v>2108</v>
      </c>
      <c r="F670" s="203">
        <v>10</v>
      </c>
      <c r="G670" s="202"/>
      <c r="H670" s="202"/>
      <c r="I670" s="202"/>
      <c r="J670" s="202">
        <v>0</v>
      </c>
      <c r="K670" s="202" t="s">
        <v>2041</v>
      </c>
      <c r="L670" s="202"/>
      <c r="M670" s="202" t="s">
        <v>1462</v>
      </c>
      <c r="N670" s="206">
        <v>41514</v>
      </c>
      <c r="O670" s="206">
        <v>41514</v>
      </c>
      <c r="P670" s="202" t="s">
        <v>2107</v>
      </c>
      <c r="Q670" s="203">
        <v>1200</v>
      </c>
      <c r="R670" s="203">
        <v>14050</v>
      </c>
      <c r="S670" s="204">
        <v>4896</v>
      </c>
      <c r="T670" s="203">
        <v>14056</v>
      </c>
      <c r="U670" s="204">
        <v>3570</v>
      </c>
      <c r="V670" s="204">
        <f t="shared" si="22"/>
        <v>1326</v>
      </c>
      <c r="W670" s="205">
        <v>170</v>
      </c>
      <c r="X670" s="203">
        <v>54260</v>
      </c>
      <c r="Y670" s="204">
        <v>34</v>
      </c>
      <c r="Z670" s="202" t="s">
        <v>97</v>
      </c>
      <c r="AA670" s="202"/>
      <c r="AB670" s="202">
        <v>86148</v>
      </c>
      <c r="AC670" s="202"/>
      <c r="AD670" s="202" t="s">
        <v>1152</v>
      </c>
      <c r="AE670" s="202" t="s">
        <v>1153</v>
      </c>
      <c r="AF670" s="203" t="s">
        <v>1154</v>
      </c>
      <c r="AG670" s="202"/>
      <c r="AH670" s="203" t="s">
        <v>1155</v>
      </c>
      <c r="AI670" s="202">
        <v>0</v>
      </c>
      <c r="AJ670" s="202">
        <v>0</v>
      </c>
    </row>
    <row r="671" spans="2:36">
      <c r="B671" s="203">
        <v>2180</v>
      </c>
      <c r="C671" s="207">
        <v>106807</v>
      </c>
      <c r="D671" s="203" t="s">
        <v>97</v>
      </c>
      <c r="E671" s="202" t="s">
        <v>2106</v>
      </c>
      <c r="F671" s="203">
        <v>4</v>
      </c>
      <c r="G671" s="202"/>
      <c r="H671" s="202"/>
      <c r="I671" s="202"/>
      <c r="J671" s="202">
        <v>0</v>
      </c>
      <c r="K671" s="202" t="s">
        <v>2041</v>
      </c>
      <c r="L671" s="202"/>
      <c r="M671" s="202" t="s">
        <v>1421</v>
      </c>
      <c r="N671" s="206">
        <v>41506</v>
      </c>
      <c r="O671" s="206">
        <v>41506</v>
      </c>
      <c r="P671" s="202" t="s">
        <v>2105</v>
      </c>
      <c r="Q671" s="203">
        <v>1200</v>
      </c>
      <c r="R671" s="203">
        <v>14050</v>
      </c>
      <c r="S671" s="204">
        <v>2067.1999999999998</v>
      </c>
      <c r="T671" s="203">
        <v>14056</v>
      </c>
      <c r="U671" s="204">
        <v>1507.36</v>
      </c>
      <c r="V671" s="204">
        <f t="shared" si="22"/>
        <v>559.83999999999992</v>
      </c>
      <c r="W671" s="205">
        <v>71.78</v>
      </c>
      <c r="X671" s="203">
        <v>54260</v>
      </c>
      <c r="Y671" s="204">
        <v>14.36</v>
      </c>
      <c r="Z671" s="202" t="s">
        <v>97</v>
      </c>
      <c r="AA671" s="202"/>
      <c r="AB671" s="202">
        <v>85563</v>
      </c>
      <c r="AC671" s="202"/>
      <c r="AD671" s="202" t="s">
        <v>1152</v>
      </c>
      <c r="AE671" s="202" t="s">
        <v>1153</v>
      </c>
      <c r="AF671" s="203" t="s">
        <v>1154</v>
      </c>
      <c r="AG671" s="202"/>
      <c r="AH671" s="203" t="s">
        <v>1155</v>
      </c>
      <c r="AI671" s="202">
        <v>0</v>
      </c>
      <c r="AJ671" s="202">
        <v>0</v>
      </c>
    </row>
    <row r="672" spans="2:36">
      <c r="B672" s="203">
        <v>2180</v>
      </c>
      <c r="C672" s="207">
        <v>106806</v>
      </c>
      <c r="D672" s="203" t="s">
        <v>97</v>
      </c>
      <c r="E672" s="202" t="s">
        <v>2106</v>
      </c>
      <c r="F672" s="203">
        <v>19</v>
      </c>
      <c r="G672" s="202"/>
      <c r="H672" s="202"/>
      <c r="I672" s="202"/>
      <c r="J672" s="202">
        <v>0</v>
      </c>
      <c r="K672" s="202" t="s">
        <v>2041</v>
      </c>
      <c r="L672" s="202"/>
      <c r="M672" s="202" t="s">
        <v>1421</v>
      </c>
      <c r="N672" s="206">
        <v>41506</v>
      </c>
      <c r="O672" s="206">
        <v>41506</v>
      </c>
      <c r="P672" s="202" t="s">
        <v>2105</v>
      </c>
      <c r="Q672" s="203">
        <v>1200</v>
      </c>
      <c r="R672" s="203">
        <v>14050</v>
      </c>
      <c r="S672" s="204">
        <v>9819.2000000000007</v>
      </c>
      <c r="T672" s="203">
        <v>14056</v>
      </c>
      <c r="U672" s="204">
        <v>7159.87</v>
      </c>
      <c r="V672" s="204">
        <f t="shared" si="22"/>
        <v>2659.3300000000008</v>
      </c>
      <c r="W672" s="205">
        <v>340.95</v>
      </c>
      <c r="X672" s="203">
        <v>54260</v>
      </c>
      <c r="Y672" s="204">
        <v>68.19</v>
      </c>
      <c r="Z672" s="202" t="s">
        <v>97</v>
      </c>
      <c r="AA672" s="202"/>
      <c r="AB672" s="202">
        <v>85509</v>
      </c>
      <c r="AC672" s="202"/>
      <c r="AD672" s="202" t="s">
        <v>1152</v>
      </c>
      <c r="AE672" s="202" t="s">
        <v>1153</v>
      </c>
      <c r="AF672" s="203" t="s">
        <v>1154</v>
      </c>
      <c r="AG672" s="202"/>
      <c r="AH672" s="203" t="s">
        <v>1155</v>
      </c>
      <c r="AI672" s="202">
        <v>0</v>
      </c>
      <c r="AJ672" s="202">
        <v>0</v>
      </c>
    </row>
    <row r="673" spans="2:36">
      <c r="B673" s="203">
        <v>2180</v>
      </c>
      <c r="C673" s="207">
        <v>106805</v>
      </c>
      <c r="D673" s="203" t="s">
        <v>97</v>
      </c>
      <c r="E673" s="202" t="s">
        <v>2103</v>
      </c>
      <c r="F673" s="203">
        <v>360</v>
      </c>
      <c r="G673" s="202"/>
      <c r="H673" s="202"/>
      <c r="I673" s="202"/>
      <c r="J673" s="202">
        <v>0</v>
      </c>
      <c r="K673" s="202" t="s">
        <v>1658</v>
      </c>
      <c r="L673" s="202"/>
      <c r="M673" s="202"/>
      <c r="N673" s="206">
        <v>41499</v>
      </c>
      <c r="O673" s="206">
        <v>41499</v>
      </c>
      <c r="P673" s="202" t="s">
        <v>2071</v>
      </c>
      <c r="Q673" s="203">
        <v>700</v>
      </c>
      <c r="R673" s="203">
        <v>14050</v>
      </c>
      <c r="S673" s="204">
        <v>20639.8</v>
      </c>
      <c r="T673" s="203">
        <v>14056</v>
      </c>
      <c r="U673" s="204">
        <v>20639.8</v>
      </c>
      <c r="V673" s="204">
        <f t="shared" si="22"/>
        <v>0</v>
      </c>
      <c r="W673" s="205">
        <v>0</v>
      </c>
      <c r="X673" s="203">
        <v>54260</v>
      </c>
      <c r="Y673" s="204">
        <v>0</v>
      </c>
      <c r="Z673" s="202" t="s">
        <v>97</v>
      </c>
      <c r="AA673" s="202"/>
      <c r="AB673" s="202" t="s">
        <v>2104</v>
      </c>
      <c r="AC673" s="202"/>
      <c r="AD673" s="202" t="s">
        <v>1152</v>
      </c>
      <c r="AE673" s="202" t="s">
        <v>1153</v>
      </c>
      <c r="AF673" s="203" t="s">
        <v>1154</v>
      </c>
      <c r="AG673" s="202"/>
      <c r="AH673" s="203" t="s">
        <v>1155</v>
      </c>
      <c r="AI673" s="202">
        <v>0</v>
      </c>
      <c r="AJ673" s="202">
        <v>0</v>
      </c>
    </row>
    <row r="674" spans="2:36">
      <c r="B674" s="203">
        <v>2180</v>
      </c>
      <c r="C674" s="207">
        <v>106804</v>
      </c>
      <c r="D674" s="203" t="s">
        <v>97</v>
      </c>
      <c r="E674" s="202" t="s">
        <v>2103</v>
      </c>
      <c r="F674" s="203">
        <v>400</v>
      </c>
      <c r="G674" s="202"/>
      <c r="H674" s="202"/>
      <c r="I674" s="202"/>
      <c r="J674" s="202">
        <v>0</v>
      </c>
      <c r="K674" s="202" t="s">
        <v>1658</v>
      </c>
      <c r="L674" s="202"/>
      <c r="M674" s="202"/>
      <c r="N674" s="206">
        <v>41506</v>
      </c>
      <c r="O674" s="206">
        <v>41506</v>
      </c>
      <c r="P674" s="202" t="s">
        <v>2073</v>
      </c>
      <c r="Q674" s="203">
        <v>700</v>
      </c>
      <c r="R674" s="203">
        <v>14050</v>
      </c>
      <c r="S674" s="204">
        <v>22636.93</v>
      </c>
      <c r="T674" s="203">
        <v>14056</v>
      </c>
      <c r="U674" s="204">
        <v>22636.93</v>
      </c>
      <c r="V674" s="204">
        <f t="shared" si="22"/>
        <v>0</v>
      </c>
      <c r="W674" s="205">
        <v>0</v>
      </c>
      <c r="X674" s="203">
        <v>54260</v>
      </c>
      <c r="Y674" s="204">
        <v>0</v>
      </c>
      <c r="Z674" s="202" t="s">
        <v>97</v>
      </c>
      <c r="AA674" s="202"/>
      <c r="AB674" s="202" t="s">
        <v>2102</v>
      </c>
      <c r="AC674" s="202"/>
      <c r="AD674" s="202" t="s">
        <v>1152</v>
      </c>
      <c r="AE674" s="202" t="s">
        <v>1153</v>
      </c>
      <c r="AF674" s="203" t="s">
        <v>1154</v>
      </c>
      <c r="AG674" s="202"/>
      <c r="AH674" s="203" t="s">
        <v>1155</v>
      </c>
      <c r="AI674" s="202">
        <v>0</v>
      </c>
      <c r="AJ674" s="202">
        <v>0</v>
      </c>
    </row>
    <row r="675" spans="2:36">
      <c r="B675" s="203">
        <v>2180</v>
      </c>
      <c r="C675" s="207">
        <v>106765</v>
      </c>
      <c r="D675" s="203" t="s">
        <v>97</v>
      </c>
      <c r="E675" s="202" t="s">
        <v>2101</v>
      </c>
      <c r="F675" s="203">
        <v>0</v>
      </c>
      <c r="G675" s="202"/>
      <c r="H675" s="202" t="s">
        <v>2100</v>
      </c>
      <c r="I675" s="202"/>
      <c r="J675" s="202">
        <v>2010</v>
      </c>
      <c r="K675" s="202" t="s">
        <v>2067</v>
      </c>
      <c r="L675" s="202" t="s">
        <v>1830</v>
      </c>
      <c r="M675" s="202" t="s">
        <v>1385</v>
      </c>
      <c r="N675" s="206">
        <v>41499</v>
      </c>
      <c r="O675" s="206">
        <v>41499</v>
      </c>
      <c r="P675" s="202" t="s">
        <v>2099</v>
      </c>
      <c r="Q675" s="203">
        <v>300</v>
      </c>
      <c r="R675" s="203">
        <v>14040</v>
      </c>
      <c r="S675" s="204">
        <v>23110.11</v>
      </c>
      <c r="T675" s="203">
        <v>14046</v>
      </c>
      <c r="U675" s="204">
        <v>23110.11</v>
      </c>
      <c r="V675" s="204">
        <f t="shared" si="22"/>
        <v>0</v>
      </c>
      <c r="W675" s="205">
        <v>0</v>
      </c>
      <c r="X675" s="203">
        <v>51260</v>
      </c>
      <c r="Y675" s="204">
        <v>0</v>
      </c>
      <c r="Z675" s="202" t="s">
        <v>97</v>
      </c>
      <c r="AA675" s="202"/>
      <c r="AB675" s="202" t="s">
        <v>2098</v>
      </c>
      <c r="AC675" s="202">
        <v>6049</v>
      </c>
      <c r="AD675" s="202" t="s">
        <v>1152</v>
      </c>
      <c r="AE675" s="202" t="s">
        <v>1153</v>
      </c>
      <c r="AF675" s="203" t="s">
        <v>1154</v>
      </c>
      <c r="AG675" s="202"/>
      <c r="AH675" s="203" t="s">
        <v>1155</v>
      </c>
      <c r="AI675" s="202">
        <v>0</v>
      </c>
      <c r="AJ675" s="202">
        <v>0</v>
      </c>
    </row>
    <row r="676" spans="2:36">
      <c r="B676" s="203">
        <v>2180</v>
      </c>
      <c r="C676" s="207">
        <v>106627</v>
      </c>
      <c r="D676" s="203" t="s">
        <v>97</v>
      </c>
      <c r="E676" s="202" t="s">
        <v>964</v>
      </c>
      <c r="F676" s="203">
        <v>0</v>
      </c>
      <c r="G676" s="202"/>
      <c r="H676" s="202"/>
      <c r="I676" s="202"/>
      <c r="J676" s="202">
        <v>0</v>
      </c>
      <c r="K676" s="202"/>
      <c r="L676" s="202"/>
      <c r="M676" s="202"/>
      <c r="N676" s="206">
        <v>41517</v>
      </c>
      <c r="O676" s="206">
        <v>41517</v>
      </c>
      <c r="P676" s="202" t="s">
        <v>2097</v>
      </c>
      <c r="Q676" s="203">
        <v>300</v>
      </c>
      <c r="R676" s="203">
        <v>14110</v>
      </c>
      <c r="S676" s="204">
        <v>538492.81000000006</v>
      </c>
      <c r="T676" s="203">
        <v>14116</v>
      </c>
      <c r="U676" s="204">
        <v>538492.81000000006</v>
      </c>
      <c r="V676" s="204">
        <f t="shared" si="22"/>
        <v>0</v>
      </c>
      <c r="W676" s="205">
        <v>0</v>
      </c>
      <c r="X676" s="203">
        <v>70260</v>
      </c>
      <c r="Y676" s="204">
        <v>0</v>
      </c>
      <c r="Z676" s="202" t="s">
        <v>97</v>
      </c>
      <c r="AA676" s="202"/>
      <c r="AB676" s="202"/>
      <c r="AC676" s="202"/>
      <c r="AD676" s="202" t="s">
        <v>1152</v>
      </c>
      <c r="AE676" s="202" t="s">
        <v>1153</v>
      </c>
      <c r="AF676" s="203" t="s">
        <v>1154</v>
      </c>
      <c r="AG676" s="202"/>
      <c r="AH676" s="203" t="s">
        <v>1155</v>
      </c>
      <c r="AI676" s="202">
        <v>0</v>
      </c>
      <c r="AJ676" s="202">
        <v>0</v>
      </c>
    </row>
    <row r="677" spans="2:36">
      <c r="B677" s="203">
        <v>2180</v>
      </c>
      <c r="C677" s="207">
        <v>106304</v>
      </c>
      <c r="D677" s="203" t="s">
        <v>97</v>
      </c>
      <c r="E677" s="202" t="s">
        <v>670</v>
      </c>
      <c r="F677" s="203">
        <v>486</v>
      </c>
      <c r="G677" s="202"/>
      <c r="H677" s="202"/>
      <c r="I677" s="202"/>
      <c r="J677" s="202">
        <v>0</v>
      </c>
      <c r="K677" s="202" t="s">
        <v>1658</v>
      </c>
      <c r="L677" s="202"/>
      <c r="M677" s="202"/>
      <c r="N677" s="206">
        <v>41482</v>
      </c>
      <c r="O677" s="206">
        <v>41482</v>
      </c>
      <c r="P677" s="202" t="s">
        <v>2058</v>
      </c>
      <c r="Q677" s="203">
        <v>700</v>
      </c>
      <c r="R677" s="203">
        <v>14050</v>
      </c>
      <c r="S677" s="204">
        <v>26930.76</v>
      </c>
      <c r="T677" s="203">
        <v>14056</v>
      </c>
      <c r="U677" s="204">
        <v>26930.76</v>
      </c>
      <c r="V677" s="204">
        <f t="shared" si="22"/>
        <v>0</v>
      </c>
      <c r="W677" s="205">
        <v>0</v>
      </c>
      <c r="X677" s="203">
        <v>54260</v>
      </c>
      <c r="Y677" s="204">
        <v>0</v>
      </c>
      <c r="Z677" s="202" t="s">
        <v>97</v>
      </c>
      <c r="AA677" s="202"/>
      <c r="AB677" s="202" t="s">
        <v>2096</v>
      </c>
      <c r="AC677" s="202"/>
      <c r="AD677" s="202" t="s">
        <v>1152</v>
      </c>
      <c r="AE677" s="202" t="s">
        <v>1153</v>
      </c>
      <c r="AF677" s="203" t="s">
        <v>1154</v>
      </c>
      <c r="AG677" s="202"/>
      <c r="AH677" s="203" t="s">
        <v>1155</v>
      </c>
      <c r="AI677" s="202">
        <v>0</v>
      </c>
      <c r="AJ677" s="202">
        <v>0</v>
      </c>
    </row>
    <row r="678" spans="2:36">
      <c r="B678" s="203">
        <v>2180</v>
      </c>
      <c r="C678" s="207">
        <v>106181</v>
      </c>
      <c r="D678" s="203" t="s">
        <v>97</v>
      </c>
      <c r="E678" s="202" t="s">
        <v>2095</v>
      </c>
      <c r="F678" s="203">
        <v>648</v>
      </c>
      <c r="G678" s="202"/>
      <c r="H678" s="202"/>
      <c r="I678" s="202"/>
      <c r="J678" s="202">
        <v>0</v>
      </c>
      <c r="K678" s="202" t="s">
        <v>1658</v>
      </c>
      <c r="L678" s="202"/>
      <c r="M678" s="202"/>
      <c r="N678" s="206">
        <v>41482</v>
      </c>
      <c r="O678" s="206">
        <v>41482</v>
      </c>
      <c r="P678" s="202" t="s">
        <v>2061</v>
      </c>
      <c r="Q678" s="203">
        <v>700</v>
      </c>
      <c r="R678" s="203">
        <v>14050</v>
      </c>
      <c r="S678" s="204">
        <v>30302.54</v>
      </c>
      <c r="T678" s="203">
        <v>14056</v>
      </c>
      <c r="U678" s="204">
        <v>30302.54</v>
      </c>
      <c r="V678" s="204">
        <f t="shared" si="22"/>
        <v>0</v>
      </c>
      <c r="W678" s="205">
        <v>0</v>
      </c>
      <c r="X678" s="203">
        <v>54260</v>
      </c>
      <c r="Y678" s="204">
        <v>0</v>
      </c>
      <c r="Z678" s="202" t="s">
        <v>97</v>
      </c>
      <c r="AA678" s="202"/>
      <c r="AB678" s="202" t="s">
        <v>2094</v>
      </c>
      <c r="AC678" s="202"/>
      <c r="AD678" s="202" t="s">
        <v>1152</v>
      </c>
      <c r="AE678" s="202" t="s">
        <v>1153</v>
      </c>
      <c r="AF678" s="203" t="s">
        <v>1154</v>
      </c>
      <c r="AG678" s="202"/>
      <c r="AH678" s="203" t="s">
        <v>1155</v>
      </c>
      <c r="AI678" s="202">
        <v>0</v>
      </c>
      <c r="AJ678" s="202">
        <v>0</v>
      </c>
    </row>
    <row r="679" spans="2:36">
      <c r="B679" s="203">
        <v>2180</v>
      </c>
      <c r="C679" s="207">
        <v>105945</v>
      </c>
      <c r="D679" s="203" t="s">
        <v>97</v>
      </c>
      <c r="E679" s="202" t="s">
        <v>2093</v>
      </c>
      <c r="F679" s="203">
        <v>0</v>
      </c>
      <c r="G679" s="202"/>
      <c r="H679" s="202" t="s">
        <v>2092</v>
      </c>
      <c r="I679" s="202"/>
      <c r="J679" s="202">
        <v>2014</v>
      </c>
      <c r="K679" s="202" t="s">
        <v>2091</v>
      </c>
      <c r="L679" s="202" t="s">
        <v>1830</v>
      </c>
      <c r="M679" s="202" t="s">
        <v>1503</v>
      </c>
      <c r="N679" s="206">
        <v>41485</v>
      </c>
      <c r="O679" s="206">
        <v>41485</v>
      </c>
      <c r="P679" s="202" t="s">
        <v>2090</v>
      </c>
      <c r="Q679" s="203">
        <v>1000</v>
      </c>
      <c r="R679" s="203">
        <v>14040</v>
      </c>
      <c r="S679" s="204">
        <v>53720.41</v>
      </c>
      <c r="T679" s="203">
        <v>14046</v>
      </c>
      <c r="U679" s="204">
        <v>47453.02</v>
      </c>
      <c r="V679" s="204">
        <f t="shared" si="22"/>
        <v>6267.3900000000067</v>
      </c>
      <c r="W679" s="205">
        <v>2238.35</v>
      </c>
      <c r="X679" s="203">
        <v>51260</v>
      </c>
      <c r="Y679" s="204">
        <v>447.67</v>
      </c>
      <c r="Z679" s="202" t="s">
        <v>97</v>
      </c>
      <c r="AA679" s="202"/>
      <c r="AB679" s="202" t="s">
        <v>2089</v>
      </c>
      <c r="AC679" s="202">
        <v>9570</v>
      </c>
      <c r="AD679" s="202" t="s">
        <v>1152</v>
      </c>
      <c r="AE679" s="202" t="s">
        <v>1153</v>
      </c>
      <c r="AF679" s="203" t="s">
        <v>1154</v>
      </c>
      <c r="AG679" s="202"/>
      <c r="AH679" s="203" t="s">
        <v>1155</v>
      </c>
      <c r="AI679" s="202">
        <v>0</v>
      </c>
      <c r="AJ679" s="202">
        <v>0</v>
      </c>
    </row>
    <row r="680" spans="2:36">
      <c r="B680" s="203">
        <v>2180</v>
      </c>
      <c r="C680" s="207">
        <v>105519</v>
      </c>
      <c r="D680" s="203" t="s">
        <v>97</v>
      </c>
      <c r="E680" s="202" t="s">
        <v>2088</v>
      </c>
      <c r="F680" s="203">
        <v>486</v>
      </c>
      <c r="G680" s="202"/>
      <c r="H680" s="202"/>
      <c r="I680" s="202"/>
      <c r="J680" s="202">
        <v>0</v>
      </c>
      <c r="K680" s="202" t="s">
        <v>1658</v>
      </c>
      <c r="L680" s="202"/>
      <c r="M680" s="202"/>
      <c r="N680" s="206">
        <v>41452</v>
      </c>
      <c r="O680" s="206">
        <v>41452</v>
      </c>
      <c r="P680" s="202" t="s">
        <v>2073</v>
      </c>
      <c r="Q680" s="203">
        <v>700</v>
      </c>
      <c r="R680" s="203">
        <v>14050</v>
      </c>
      <c r="S680" s="204">
        <v>26402</v>
      </c>
      <c r="T680" s="203">
        <v>14056</v>
      </c>
      <c r="U680" s="204">
        <v>26402</v>
      </c>
      <c r="V680" s="204">
        <f t="shared" si="22"/>
        <v>0</v>
      </c>
      <c r="W680" s="205">
        <v>0</v>
      </c>
      <c r="X680" s="203">
        <v>54260</v>
      </c>
      <c r="Y680" s="204">
        <v>0</v>
      </c>
      <c r="Z680" s="202" t="s">
        <v>97</v>
      </c>
      <c r="AA680" s="202"/>
      <c r="AB680" s="202" t="s">
        <v>2087</v>
      </c>
      <c r="AC680" s="202"/>
      <c r="AD680" s="202" t="s">
        <v>1152</v>
      </c>
      <c r="AE680" s="202" t="s">
        <v>1153</v>
      </c>
      <c r="AF680" s="203" t="s">
        <v>1154</v>
      </c>
      <c r="AG680" s="202"/>
      <c r="AH680" s="203" t="s">
        <v>1155</v>
      </c>
      <c r="AI680" s="202">
        <v>0</v>
      </c>
      <c r="AJ680" s="202">
        <v>0</v>
      </c>
    </row>
    <row r="681" spans="2:36">
      <c r="B681" s="203">
        <v>2180</v>
      </c>
      <c r="C681" s="207">
        <v>105141</v>
      </c>
      <c r="D681" s="203" t="s">
        <v>97</v>
      </c>
      <c r="E681" s="202" t="s">
        <v>963</v>
      </c>
      <c r="F681" s="203">
        <v>0</v>
      </c>
      <c r="G681" s="202"/>
      <c r="H681" s="202"/>
      <c r="I681" s="202"/>
      <c r="J681" s="202">
        <v>0</v>
      </c>
      <c r="K681" s="202" t="s">
        <v>1429</v>
      </c>
      <c r="L681" s="202"/>
      <c r="M681" s="202"/>
      <c r="N681" s="206">
        <v>41442</v>
      </c>
      <c r="O681" s="206">
        <v>41442</v>
      </c>
      <c r="P681" s="202" t="s">
        <v>2086</v>
      </c>
      <c r="Q681" s="203">
        <v>300</v>
      </c>
      <c r="R681" s="203">
        <v>14110</v>
      </c>
      <c r="S681" s="204">
        <v>1688.87</v>
      </c>
      <c r="T681" s="203">
        <v>14116</v>
      </c>
      <c r="U681" s="204">
        <v>1688.87</v>
      </c>
      <c r="V681" s="204">
        <f t="shared" si="22"/>
        <v>0</v>
      </c>
      <c r="W681" s="205">
        <v>0</v>
      </c>
      <c r="X681" s="203">
        <v>70260</v>
      </c>
      <c r="Y681" s="204">
        <v>0</v>
      </c>
      <c r="Z681" s="202" t="s">
        <v>97</v>
      </c>
      <c r="AA681" s="202"/>
      <c r="AB681" s="202" t="s">
        <v>2085</v>
      </c>
      <c r="AC681" s="202"/>
      <c r="AD681" s="202" t="s">
        <v>1152</v>
      </c>
      <c r="AE681" s="202" t="s">
        <v>1153</v>
      </c>
      <c r="AF681" s="203" t="s">
        <v>1154</v>
      </c>
      <c r="AG681" s="202"/>
      <c r="AH681" s="203" t="s">
        <v>1155</v>
      </c>
      <c r="AI681" s="202">
        <v>0</v>
      </c>
      <c r="AJ681" s="202">
        <v>0</v>
      </c>
    </row>
    <row r="682" spans="2:36">
      <c r="B682" s="203">
        <v>2180</v>
      </c>
      <c r="C682" s="207">
        <v>105076</v>
      </c>
      <c r="D682" s="203" t="s">
        <v>97</v>
      </c>
      <c r="E682" s="202" t="s">
        <v>2084</v>
      </c>
      <c r="F682" s="203">
        <v>7</v>
      </c>
      <c r="G682" s="202"/>
      <c r="H682" s="202"/>
      <c r="I682" s="202"/>
      <c r="J682" s="202">
        <v>0</v>
      </c>
      <c r="K682" s="202" t="s">
        <v>2041</v>
      </c>
      <c r="L682" s="202"/>
      <c r="M682" s="202" t="s">
        <v>1456</v>
      </c>
      <c r="N682" s="206">
        <v>41449</v>
      </c>
      <c r="O682" s="206">
        <v>41449</v>
      </c>
      <c r="P682" s="202" t="s">
        <v>2083</v>
      </c>
      <c r="Q682" s="203">
        <v>1200</v>
      </c>
      <c r="R682" s="203">
        <v>14050</v>
      </c>
      <c r="S682" s="204">
        <v>6598.72</v>
      </c>
      <c r="T682" s="203">
        <v>14056</v>
      </c>
      <c r="U682" s="204">
        <v>4903.1899999999996</v>
      </c>
      <c r="V682" s="204">
        <f t="shared" si="22"/>
        <v>1695.5300000000007</v>
      </c>
      <c r="W682" s="205">
        <v>229.12</v>
      </c>
      <c r="X682" s="203">
        <v>54260</v>
      </c>
      <c r="Y682" s="204">
        <v>45.82</v>
      </c>
      <c r="Z682" s="202" t="s">
        <v>97</v>
      </c>
      <c r="AA682" s="202"/>
      <c r="AB682" s="202">
        <v>83336</v>
      </c>
      <c r="AC682" s="202"/>
      <c r="AD682" s="202" t="s">
        <v>1152</v>
      </c>
      <c r="AE682" s="202" t="s">
        <v>1153</v>
      </c>
      <c r="AF682" s="203" t="s">
        <v>1154</v>
      </c>
      <c r="AG682" s="202"/>
      <c r="AH682" s="203" t="s">
        <v>1155</v>
      </c>
      <c r="AI682" s="202">
        <v>0</v>
      </c>
      <c r="AJ682" s="202">
        <v>0</v>
      </c>
    </row>
    <row r="683" spans="2:36">
      <c r="B683" s="203">
        <v>2180</v>
      </c>
      <c r="C683" s="207">
        <v>105075</v>
      </c>
      <c r="D683" s="203" t="s">
        <v>97</v>
      </c>
      <c r="E683" s="202" t="s">
        <v>2084</v>
      </c>
      <c r="F683" s="203">
        <v>11</v>
      </c>
      <c r="G683" s="202"/>
      <c r="H683" s="202"/>
      <c r="I683" s="202"/>
      <c r="J683" s="202">
        <v>0</v>
      </c>
      <c r="K683" s="202" t="s">
        <v>2041</v>
      </c>
      <c r="L683" s="202"/>
      <c r="M683" s="202" t="s">
        <v>1456</v>
      </c>
      <c r="N683" s="206">
        <v>41449</v>
      </c>
      <c r="O683" s="206">
        <v>41449</v>
      </c>
      <c r="P683" s="202" t="s">
        <v>2083</v>
      </c>
      <c r="Q683" s="203">
        <v>1200</v>
      </c>
      <c r="R683" s="203">
        <v>14050</v>
      </c>
      <c r="S683" s="204">
        <v>8317.76</v>
      </c>
      <c r="T683" s="203">
        <v>14056</v>
      </c>
      <c r="U683" s="204">
        <v>6180.58</v>
      </c>
      <c r="V683" s="204">
        <f t="shared" si="22"/>
        <v>2137.1800000000003</v>
      </c>
      <c r="W683" s="205">
        <v>288.81</v>
      </c>
      <c r="X683" s="203">
        <v>54260</v>
      </c>
      <c r="Y683" s="204">
        <v>57.76</v>
      </c>
      <c r="Z683" s="202" t="s">
        <v>97</v>
      </c>
      <c r="AA683" s="202"/>
      <c r="AB683" s="202">
        <v>83335</v>
      </c>
      <c r="AC683" s="202"/>
      <c r="AD683" s="202" t="s">
        <v>1152</v>
      </c>
      <c r="AE683" s="202" t="s">
        <v>1153</v>
      </c>
      <c r="AF683" s="203" t="s">
        <v>1154</v>
      </c>
      <c r="AG683" s="202"/>
      <c r="AH683" s="203" t="s">
        <v>1155</v>
      </c>
      <c r="AI683" s="202">
        <v>0</v>
      </c>
      <c r="AJ683" s="202">
        <v>0</v>
      </c>
    </row>
    <row r="684" spans="2:36">
      <c r="B684" s="203">
        <v>2180</v>
      </c>
      <c r="C684" s="207">
        <v>105074</v>
      </c>
      <c r="D684" s="203" t="s">
        <v>97</v>
      </c>
      <c r="E684" s="202" t="s">
        <v>2084</v>
      </c>
      <c r="F684" s="203">
        <v>11</v>
      </c>
      <c r="G684" s="202"/>
      <c r="H684" s="202"/>
      <c r="I684" s="202"/>
      <c r="J684" s="202">
        <v>0</v>
      </c>
      <c r="K684" s="202" t="s">
        <v>2041</v>
      </c>
      <c r="L684" s="202"/>
      <c r="M684" s="202" t="s">
        <v>1456</v>
      </c>
      <c r="N684" s="206">
        <v>41449</v>
      </c>
      <c r="O684" s="206">
        <v>41449</v>
      </c>
      <c r="P684" s="202" t="s">
        <v>2083</v>
      </c>
      <c r="Q684" s="203">
        <v>1200</v>
      </c>
      <c r="R684" s="203">
        <v>14050</v>
      </c>
      <c r="S684" s="204">
        <v>8317.76</v>
      </c>
      <c r="T684" s="203">
        <v>14056</v>
      </c>
      <c r="U684" s="204">
        <v>6180.58</v>
      </c>
      <c r="V684" s="204">
        <f t="shared" si="22"/>
        <v>2137.1800000000003</v>
      </c>
      <c r="W684" s="205">
        <v>288.81</v>
      </c>
      <c r="X684" s="203">
        <v>54260</v>
      </c>
      <c r="Y684" s="204">
        <v>57.76</v>
      </c>
      <c r="Z684" s="202" t="s">
        <v>97</v>
      </c>
      <c r="AA684" s="202"/>
      <c r="AB684" s="202">
        <v>83334</v>
      </c>
      <c r="AC684" s="202"/>
      <c r="AD684" s="202" t="s">
        <v>1152</v>
      </c>
      <c r="AE684" s="202" t="s">
        <v>1153</v>
      </c>
      <c r="AF684" s="203" t="s">
        <v>1154</v>
      </c>
      <c r="AG684" s="202"/>
      <c r="AH684" s="203" t="s">
        <v>1155</v>
      </c>
      <c r="AI684" s="202">
        <v>0</v>
      </c>
      <c r="AJ684" s="202">
        <v>0</v>
      </c>
    </row>
    <row r="685" spans="2:36">
      <c r="B685" s="203">
        <v>2180</v>
      </c>
      <c r="C685" s="207">
        <v>105073</v>
      </c>
      <c r="D685" s="203" t="s">
        <v>97</v>
      </c>
      <c r="E685" s="202" t="s">
        <v>2084</v>
      </c>
      <c r="F685" s="203">
        <v>11</v>
      </c>
      <c r="G685" s="202"/>
      <c r="H685" s="202"/>
      <c r="I685" s="202"/>
      <c r="J685" s="202">
        <v>0</v>
      </c>
      <c r="K685" s="202" t="s">
        <v>2041</v>
      </c>
      <c r="L685" s="202"/>
      <c r="M685" s="202" t="s">
        <v>1456</v>
      </c>
      <c r="N685" s="206">
        <v>41449</v>
      </c>
      <c r="O685" s="206">
        <v>41449</v>
      </c>
      <c r="P685" s="202" t="s">
        <v>2083</v>
      </c>
      <c r="Q685" s="203">
        <v>1200</v>
      </c>
      <c r="R685" s="203">
        <v>14050</v>
      </c>
      <c r="S685" s="204">
        <v>8317.76</v>
      </c>
      <c r="T685" s="203">
        <v>14056</v>
      </c>
      <c r="U685" s="204">
        <v>6180.58</v>
      </c>
      <c r="V685" s="204">
        <f t="shared" si="22"/>
        <v>2137.1800000000003</v>
      </c>
      <c r="W685" s="205">
        <v>288.81</v>
      </c>
      <c r="X685" s="203">
        <v>54260</v>
      </c>
      <c r="Y685" s="204">
        <v>57.76</v>
      </c>
      <c r="Z685" s="202" t="s">
        <v>97</v>
      </c>
      <c r="AA685" s="202"/>
      <c r="AB685" s="202">
        <v>83292</v>
      </c>
      <c r="AC685" s="202"/>
      <c r="AD685" s="202" t="s">
        <v>1152</v>
      </c>
      <c r="AE685" s="202" t="s">
        <v>1153</v>
      </c>
      <c r="AF685" s="203" t="s">
        <v>1154</v>
      </c>
      <c r="AG685" s="202"/>
      <c r="AH685" s="203" t="s">
        <v>1155</v>
      </c>
      <c r="AI685" s="202">
        <v>0</v>
      </c>
      <c r="AJ685" s="202">
        <v>0</v>
      </c>
    </row>
    <row r="686" spans="2:36">
      <c r="B686" s="203">
        <v>2180</v>
      </c>
      <c r="C686" s="207">
        <v>104869</v>
      </c>
      <c r="D686" s="203" t="s">
        <v>97</v>
      </c>
      <c r="E686" s="202" t="s">
        <v>2082</v>
      </c>
      <c r="F686" s="203">
        <v>624</v>
      </c>
      <c r="G686" s="202"/>
      <c r="H686" s="202"/>
      <c r="I686" s="202"/>
      <c r="J686" s="202">
        <v>0</v>
      </c>
      <c r="K686" s="202" t="s">
        <v>2081</v>
      </c>
      <c r="L686" s="202"/>
      <c r="M686" s="202"/>
      <c r="N686" s="206">
        <v>41428</v>
      </c>
      <c r="O686" s="206">
        <v>41428</v>
      </c>
      <c r="P686" s="202" t="s">
        <v>2073</v>
      </c>
      <c r="Q686" s="203">
        <v>700</v>
      </c>
      <c r="R686" s="203">
        <v>14050</v>
      </c>
      <c r="S686" s="204">
        <v>33271.040000000001</v>
      </c>
      <c r="T686" s="203">
        <v>14056</v>
      </c>
      <c r="U686" s="204">
        <v>33271.040000000001</v>
      </c>
      <c r="V686" s="204">
        <f t="shared" si="22"/>
        <v>0</v>
      </c>
      <c r="W686" s="205">
        <v>0</v>
      </c>
      <c r="X686" s="203">
        <v>54260</v>
      </c>
      <c r="Y686" s="204">
        <v>0</v>
      </c>
      <c r="Z686" s="202" t="s">
        <v>97</v>
      </c>
      <c r="AA686" s="202"/>
      <c r="AB686" s="202" t="s">
        <v>2080</v>
      </c>
      <c r="AC686" s="202"/>
      <c r="AD686" s="202" t="s">
        <v>1152</v>
      </c>
      <c r="AE686" s="202" t="s">
        <v>1153</v>
      </c>
      <c r="AF686" s="203" t="s">
        <v>1154</v>
      </c>
      <c r="AG686" s="202"/>
      <c r="AH686" s="203" t="s">
        <v>1155</v>
      </c>
      <c r="AI686" s="202">
        <v>0</v>
      </c>
      <c r="AJ686" s="202">
        <v>0</v>
      </c>
    </row>
    <row r="687" spans="2:36">
      <c r="B687" s="203">
        <v>2180</v>
      </c>
      <c r="C687" s="207">
        <v>104086</v>
      </c>
      <c r="D687" s="203" t="s">
        <v>97</v>
      </c>
      <c r="E687" s="202" t="s">
        <v>2078</v>
      </c>
      <c r="F687" s="203">
        <v>648</v>
      </c>
      <c r="G687" s="202"/>
      <c r="H687" s="202"/>
      <c r="I687" s="202"/>
      <c r="J687" s="202">
        <v>0</v>
      </c>
      <c r="K687" s="202" t="s">
        <v>1658</v>
      </c>
      <c r="L687" s="202"/>
      <c r="M687" s="202"/>
      <c r="N687" s="206">
        <v>41275</v>
      </c>
      <c r="O687" s="206">
        <v>41275</v>
      </c>
      <c r="P687" s="202" t="s">
        <v>2077</v>
      </c>
      <c r="Q687" s="203">
        <v>700</v>
      </c>
      <c r="R687" s="203">
        <v>14050</v>
      </c>
      <c r="S687" s="204">
        <v>29689.23</v>
      </c>
      <c r="T687" s="203">
        <v>14056</v>
      </c>
      <c r="U687" s="204">
        <v>29689.23</v>
      </c>
      <c r="V687" s="204">
        <f t="shared" si="22"/>
        <v>0</v>
      </c>
      <c r="W687" s="205">
        <v>0</v>
      </c>
      <c r="X687" s="203">
        <v>54260</v>
      </c>
      <c r="Y687" s="204">
        <v>0</v>
      </c>
      <c r="Z687" s="202" t="s">
        <v>97</v>
      </c>
      <c r="AA687" s="202"/>
      <c r="AB687" s="202" t="s">
        <v>2079</v>
      </c>
      <c r="AC687" s="202"/>
      <c r="AD687" s="202" t="s">
        <v>1152</v>
      </c>
      <c r="AE687" s="202" t="s">
        <v>1153</v>
      </c>
      <c r="AF687" s="203" t="s">
        <v>1154</v>
      </c>
      <c r="AG687" s="202"/>
      <c r="AH687" s="203" t="s">
        <v>1155</v>
      </c>
      <c r="AI687" s="202">
        <v>0</v>
      </c>
      <c r="AJ687" s="202">
        <v>0</v>
      </c>
    </row>
    <row r="688" spans="2:36">
      <c r="B688" s="203">
        <v>2180</v>
      </c>
      <c r="C688" s="207">
        <v>104085</v>
      </c>
      <c r="D688" s="203" t="s">
        <v>97</v>
      </c>
      <c r="E688" s="202" t="s">
        <v>2078</v>
      </c>
      <c r="F688" s="203">
        <v>648</v>
      </c>
      <c r="G688" s="202"/>
      <c r="H688" s="202"/>
      <c r="I688" s="202"/>
      <c r="J688" s="202">
        <v>0</v>
      </c>
      <c r="K688" s="202" t="s">
        <v>1658</v>
      </c>
      <c r="L688" s="202"/>
      <c r="M688" s="202"/>
      <c r="N688" s="206">
        <v>41275</v>
      </c>
      <c r="O688" s="206">
        <v>41275</v>
      </c>
      <c r="P688" s="202" t="s">
        <v>2077</v>
      </c>
      <c r="Q688" s="203">
        <v>700</v>
      </c>
      <c r="R688" s="203">
        <v>14050</v>
      </c>
      <c r="S688" s="204">
        <v>29689.23</v>
      </c>
      <c r="T688" s="203">
        <v>14056</v>
      </c>
      <c r="U688" s="204">
        <v>29689.23</v>
      </c>
      <c r="V688" s="204">
        <f t="shared" si="22"/>
        <v>0</v>
      </c>
      <c r="W688" s="205">
        <v>0</v>
      </c>
      <c r="X688" s="203">
        <v>54260</v>
      </c>
      <c r="Y688" s="204">
        <v>0</v>
      </c>
      <c r="Z688" s="202" t="s">
        <v>97</v>
      </c>
      <c r="AA688" s="202"/>
      <c r="AB688" s="202" t="s">
        <v>2076</v>
      </c>
      <c r="AC688" s="202"/>
      <c r="AD688" s="202" t="s">
        <v>1152</v>
      </c>
      <c r="AE688" s="202" t="s">
        <v>1153</v>
      </c>
      <c r="AF688" s="203" t="s">
        <v>1154</v>
      </c>
      <c r="AG688" s="202"/>
      <c r="AH688" s="203" t="s">
        <v>1155</v>
      </c>
      <c r="AI688" s="202">
        <v>0</v>
      </c>
      <c r="AJ688" s="202">
        <v>0</v>
      </c>
    </row>
    <row r="689" spans="2:36">
      <c r="B689" s="203">
        <v>2180</v>
      </c>
      <c r="C689" s="207">
        <v>103617</v>
      </c>
      <c r="D689" s="203" t="s">
        <v>97</v>
      </c>
      <c r="E689" s="202" t="s">
        <v>962</v>
      </c>
      <c r="F689" s="203">
        <v>0</v>
      </c>
      <c r="G689" s="202"/>
      <c r="H689" s="202"/>
      <c r="I689" s="202"/>
      <c r="J689" s="202">
        <v>0</v>
      </c>
      <c r="K689" s="202" t="s">
        <v>1429</v>
      </c>
      <c r="L689" s="202"/>
      <c r="M689" s="202"/>
      <c r="N689" s="206">
        <v>41379</v>
      </c>
      <c r="O689" s="206">
        <v>41379</v>
      </c>
      <c r="P689" s="202" t="s">
        <v>2075</v>
      </c>
      <c r="Q689" s="203">
        <v>300</v>
      </c>
      <c r="R689" s="203">
        <v>14110</v>
      </c>
      <c r="S689" s="204">
        <v>1019.36</v>
      </c>
      <c r="T689" s="203">
        <v>14116</v>
      </c>
      <c r="U689" s="204">
        <v>1019.36</v>
      </c>
      <c r="V689" s="204">
        <f t="shared" si="22"/>
        <v>0</v>
      </c>
      <c r="W689" s="205">
        <v>0</v>
      </c>
      <c r="X689" s="203">
        <v>70260</v>
      </c>
      <c r="Y689" s="204">
        <v>0</v>
      </c>
      <c r="Z689" s="202" t="s">
        <v>97</v>
      </c>
      <c r="AA689" s="202"/>
      <c r="AB689" s="202" t="s">
        <v>2074</v>
      </c>
      <c r="AC689" s="202"/>
      <c r="AD689" s="202" t="s">
        <v>1152</v>
      </c>
      <c r="AE689" s="202" t="s">
        <v>1153</v>
      </c>
      <c r="AF689" s="203" t="s">
        <v>1154</v>
      </c>
      <c r="AG689" s="202"/>
      <c r="AH689" s="203" t="s">
        <v>1155</v>
      </c>
      <c r="AI689" s="202">
        <v>0</v>
      </c>
      <c r="AJ689" s="202">
        <v>0</v>
      </c>
    </row>
    <row r="690" spans="2:36">
      <c r="B690" s="203">
        <v>2180</v>
      </c>
      <c r="C690" s="207">
        <v>103582</v>
      </c>
      <c r="D690" s="203" t="s">
        <v>97</v>
      </c>
      <c r="E690" s="202" t="s">
        <v>2062</v>
      </c>
      <c r="F690" s="203">
        <v>648</v>
      </c>
      <c r="G690" s="202"/>
      <c r="H690" s="202"/>
      <c r="I690" s="202"/>
      <c r="J690" s="202">
        <v>0</v>
      </c>
      <c r="K690" s="202" t="s">
        <v>1658</v>
      </c>
      <c r="L690" s="202"/>
      <c r="M690" s="202"/>
      <c r="N690" s="206">
        <v>41275</v>
      </c>
      <c r="O690" s="206">
        <v>41275</v>
      </c>
      <c r="P690" s="202" t="s">
        <v>2073</v>
      </c>
      <c r="Q690" s="203">
        <v>700</v>
      </c>
      <c r="R690" s="203">
        <v>14050</v>
      </c>
      <c r="S690" s="204">
        <v>29526.41</v>
      </c>
      <c r="T690" s="203">
        <v>14056</v>
      </c>
      <c r="U690" s="204">
        <v>29526.41</v>
      </c>
      <c r="V690" s="204">
        <f t="shared" si="22"/>
        <v>0</v>
      </c>
      <c r="W690" s="205">
        <v>0</v>
      </c>
      <c r="X690" s="203">
        <v>54260</v>
      </c>
      <c r="Y690" s="204">
        <v>0</v>
      </c>
      <c r="Z690" s="202" t="s">
        <v>97</v>
      </c>
      <c r="AA690" s="202"/>
      <c r="AB690" s="202" t="s">
        <v>2072</v>
      </c>
      <c r="AC690" s="202"/>
      <c r="AD690" s="202" t="s">
        <v>1152</v>
      </c>
      <c r="AE690" s="202" t="s">
        <v>1153</v>
      </c>
      <c r="AF690" s="203" t="s">
        <v>1154</v>
      </c>
      <c r="AG690" s="202"/>
      <c r="AH690" s="203" t="s">
        <v>1155</v>
      </c>
      <c r="AI690" s="202">
        <v>0</v>
      </c>
      <c r="AJ690" s="202">
        <v>0</v>
      </c>
    </row>
    <row r="691" spans="2:36">
      <c r="B691" s="203">
        <v>2180</v>
      </c>
      <c r="C691" s="207">
        <v>103581</v>
      </c>
      <c r="D691" s="203" t="s">
        <v>97</v>
      </c>
      <c r="E691" s="202" t="s">
        <v>2062</v>
      </c>
      <c r="F691" s="203">
        <v>648</v>
      </c>
      <c r="G691" s="202"/>
      <c r="H691" s="202"/>
      <c r="I691" s="202"/>
      <c r="J691" s="202">
        <v>0</v>
      </c>
      <c r="K691" s="202" t="s">
        <v>1658</v>
      </c>
      <c r="L691" s="202"/>
      <c r="M691" s="202"/>
      <c r="N691" s="206">
        <v>41275</v>
      </c>
      <c r="O691" s="206">
        <v>41275</v>
      </c>
      <c r="P691" s="202" t="s">
        <v>2071</v>
      </c>
      <c r="Q691" s="203">
        <v>700</v>
      </c>
      <c r="R691" s="203">
        <v>14050</v>
      </c>
      <c r="S691" s="204">
        <v>29526.41</v>
      </c>
      <c r="T691" s="203">
        <v>14056</v>
      </c>
      <c r="U691" s="204">
        <v>29526.41</v>
      </c>
      <c r="V691" s="204">
        <f t="shared" si="22"/>
        <v>0</v>
      </c>
      <c r="W691" s="205">
        <v>0</v>
      </c>
      <c r="X691" s="203">
        <v>54260</v>
      </c>
      <c r="Y691" s="204">
        <v>0</v>
      </c>
      <c r="Z691" s="202" t="s">
        <v>97</v>
      </c>
      <c r="AA691" s="202"/>
      <c r="AB691" s="202" t="s">
        <v>2070</v>
      </c>
      <c r="AC691" s="202"/>
      <c r="AD691" s="202" t="s">
        <v>1152</v>
      </c>
      <c r="AE691" s="202" t="s">
        <v>1153</v>
      </c>
      <c r="AF691" s="203" t="s">
        <v>1154</v>
      </c>
      <c r="AG691" s="202"/>
      <c r="AH691" s="203" t="s">
        <v>1155</v>
      </c>
      <c r="AI691" s="202">
        <v>0</v>
      </c>
      <c r="AJ691" s="202">
        <v>0</v>
      </c>
    </row>
    <row r="692" spans="2:36">
      <c r="B692" s="203">
        <v>2180</v>
      </c>
      <c r="C692" s="207">
        <v>103307</v>
      </c>
      <c r="D692" s="203" t="s">
        <v>97</v>
      </c>
      <c r="E692" s="202" t="s">
        <v>2069</v>
      </c>
      <c r="F692" s="203">
        <v>11</v>
      </c>
      <c r="G692" s="202"/>
      <c r="H692" s="202"/>
      <c r="I692" s="202"/>
      <c r="J692" s="202">
        <v>0</v>
      </c>
      <c r="K692" s="202"/>
      <c r="L692" s="202"/>
      <c r="M692" s="202" t="s">
        <v>1701</v>
      </c>
      <c r="N692" s="206">
        <v>39755</v>
      </c>
      <c r="O692" s="206">
        <v>39755</v>
      </c>
      <c r="P692" s="202"/>
      <c r="Q692" s="203">
        <v>1200</v>
      </c>
      <c r="R692" s="203">
        <v>14050</v>
      </c>
      <c r="S692" s="204">
        <v>2034.57</v>
      </c>
      <c r="T692" s="203">
        <v>14056</v>
      </c>
      <c r="U692" s="204">
        <v>2034.57</v>
      </c>
      <c r="V692" s="204">
        <f t="shared" si="22"/>
        <v>0</v>
      </c>
      <c r="W692" s="205">
        <v>0</v>
      </c>
      <c r="X692" s="203">
        <v>54260</v>
      </c>
      <c r="Y692" s="204">
        <v>0</v>
      </c>
      <c r="Z692" s="202" t="s">
        <v>1153</v>
      </c>
      <c r="AA692" s="202" t="s">
        <v>1383</v>
      </c>
      <c r="AB692" s="202"/>
      <c r="AC692" s="202"/>
      <c r="AD692" s="202" t="s">
        <v>1152</v>
      </c>
      <c r="AE692" s="202" t="s">
        <v>1153</v>
      </c>
      <c r="AF692" s="203" t="s">
        <v>1154</v>
      </c>
      <c r="AG692" s="208">
        <v>39933</v>
      </c>
      <c r="AH692" s="203" t="s">
        <v>1155</v>
      </c>
      <c r="AI692" s="202">
        <v>6</v>
      </c>
      <c r="AJ692" s="202">
        <v>84.54</v>
      </c>
    </row>
    <row r="693" spans="2:36">
      <c r="B693" s="203">
        <v>2180</v>
      </c>
      <c r="C693" s="207">
        <v>103263</v>
      </c>
      <c r="D693" s="203" t="s">
        <v>97</v>
      </c>
      <c r="E693" s="202" t="s">
        <v>937</v>
      </c>
      <c r="F693" s="203">
        <v>0</v>
      </c>
      <c r="G693" s="202"/>
      <c r="H693" s="202" t="s">
        <v>2068</v>
      </c>
      <c r="I693" s="202"/>
      <c r="J693" s="202">
        <v>2008</v>
      </c>
      <c r="K693" s="202" t="s">
        <v>2067</v>
      </c>
      <c r="L693" s="202" t="s">
        <v>2066</v>
      </c>
      <c r="M693" s="202" t="s">
        <v>1385</v>
      </c>
      <c r="N693" s="206">
        <v>41365</v>
      </c>
      <c r="O693" s="206">
        <v>41365</v>
      </c>
      <c r="P693" s="202" t="s">
        <v>2065</v>
      </c>
      <c r="Q693" s="203">
        <v>300</v>
      </c>
      <c r="R693" s="203">
        <v>14040</v>
      </c>
      <c r="S693" s="204">
        <v>25233.41</v>
      </c>
      <c r="T693" s="203">
        <v>14046</v>
      </c>
      <c r="U693" s="204">
        <v>25233.41</v>
      </c>
      <c r="V693" s="204">
        <f t="shared" si="22"/>
        <v>0</v>
      </c>
      <c r="W693" s="205">
        <v>0</v>
      </c>
      <c r="X693" s="203">
        <v>51260</v>
      </c>
      <c r="Y693" s="204">
        <v>0</v>
      </c>
      <c r="Z693" s="202" t="s">
        <v>97</v>
      </c>
      <c r="AA693" s="202"/>
      <c r="AB693" s="202" t="s">
        <v>2064</v>
      </c>
      <c r="AC693" s="202">
        <v>6048</v>
      </c>
      <c r="AD693" s="202" t="s">
        <v>1152</v>
      </c>
      <c r="AE693" s="202" t="s">
        <v>1153</v>
      </c>
      <c r="AF693" s="203" t="s">
        <v>1154</v>
      </c>
      <c r="AG693" s="202"/>
      <c r="AH693" s="203" t="s">
        <v>1155</v>
      </c>
      <c r="AI693" s="202">
        <v>0</v>
      </c>
      <c r="AJ693" s="202">
        <v>0</v>
      </c>
    </row>
    <row r="694" spans="2:36">
      <c r="B694" s="203">
        <v>2180</v>
      </c>
      <c r="C694" s="207">
        <v>102967</v>
      </c>
      <c r="D694" s="203" t="s">
        <v>97</v>
      </c>
      <c r="E694" s="202" t="s">
        <v>2062</v>
      </c>
      <c r="F694" s="203">
        <v>1</v>
      </c>
      <c r="G694" s="202"/>
      <c r="H694" s="202"/>
      <c r="I694" s="202"/>
      <c r="J694" s="202">
        <v>0</v>
      </c>
      <c r="K694" s="202" t="s">
        <v>1658</v>
      </c>
      <c r="L694" s="202"/>
      <c r="M694" s="202"/>
      <c r="N694" s="206">
        <v>41360</v>
      </c>
      <c r="O694" s="206">
        <v>41360</v>
      </c>
      <c r="P694" s="202" t="s">
        <v>2061</v>
      </c>
      <c r="Q694" s="203">
        <v>700</v>
      </c>
      <c r="R694" s="203">
        <v>14050</v>
      </c>
      <c r="S694" s="204">
        <v>64</v>
      </c>
      <c r="T694" s="203">
        <v>14056</v>
      </c>
      <c r="U694" s="204">
        <v>64</v>
      </c>
      <c r="V694" s="204">
        <f t="shared" si="22"/>
        <v>0</v>
      </c>
      <c r="W694" s="205">
        <v>0</v>
      </c>
      <c r="X694" s="203">
        <v>54260</v>
      </c>
      <c r="Y694" s="204">
        <v>0</v>
      </c>
      <c r="Z694" s="202" t="s">
        <v>97</v>
      </c>
      <c r="AA694" s="202"/>
      <c r="AB694" s="202" t="s">
        <v>2063</v>
      </c>
      <c r="AC694" s="202"/>
      <c r="AD694" s="202" t="s">
        <v>1152</v>
      </c>
      <c r="AE694" s="202" t="s">
        <v>1153</v>
      </c>
      <c r="AF694" s="203" t="s">
        <v>1154</v>
      </c>
      <c r="AG694" s="202"/>
      <c r="AH694" s="203" t="s">
        <v>1155</v>
      </c>
      <c r="AI694" s="202">
        <v>0</v>
      </c>
      <c r="AJ694" s="202">
        <v>0</v>
      </c>
    </row>
    <row r="695" spans="2:36">
      <c r="B695" s="203">
        <v>2180</v>
      </c>
      <c r="C695" s="207">
        <v>102966</v>
      </c>
      <c r="D695" s="203" t="s">
        <v>97</v>
      </c>
      <c r="E695" s="202" t="s">
        <v>2062</v>
      </c>
      <c r="F695" s="203">
        <v>647</v>
      </c>
      <c r="G695" s="202"/>
      <c r="H695" s="202"/>
      <c r="I695" s="202"/>
      <c r="J695" s="202">
        <v>0</v>
      </c>
      <c r="K695" s="202" t="s">
        <v>1658</v>
      </c>
      <c r="L695" s="202"/>
      <c r="M695" s="202"/>
      <c r="N695" s="206">
        <v>41360</v>
      </c>
      <c r="O695" s="206">
        <v>41360</v>
      </c>
      <c r="P695" s="202" t="s">
        <v>2061</v>
      </c>
      <c r="Q695" s="203">
        <v>700</v>
      </c>
      <c r="R695" s="203">
        <v>14050</v>
      </c>
      <c r="S695" s="204">
        <v>29477.119999999999</v>
      </c>
      <c r="T695" s="203">
        <v>14056</v>
      </c>
      <c r="U695" s="204">
        <v>29477.119999999999</v>
      </c>
      <c r="V695" s="204">
        <f t="shared" si="22"/>
        <v>0</v>
      </c>
      <c r="W695" s="205">
        <v>0</v>
      </c>
      <c r="X695" s="203">
        <v>54260</v>
      </c>
      <c r="Y695" s="204">
        <v>0</v>
      </c>
      <c r="Z695" s="202" t="s">
        <v>97</v>
      </c>
      <c r="AA695" s="202"/>
      <c r="AB695" s="202" t="s">
        <v>2063</v>
      </c>
      <c r="AC695" s="202"/>
      <c r="AD695" s="202" t="s">
        <v>1152</v>
      </c>
      <c r="AE695" s="202" t="s">
        <v>1153</v>
      </c>
      <c r="AF695" s="203" t="s">
        <v>1154</v>
      </c>
      <c r="AG695" s="202"/>
      <c r="AH695" s="203" t="s">
        <v>1155</v>
      </c>
      <c r="AI695" s="202">
        <v>0</v>
      </c>
      <c r="AJ695" s="202">
        <v>0</v>
      </c>
    </row>
    <row r="696" spans="2:36">
      <c r="B696" s="203">
        <v>2180</v>
      </c>
      <c r="C696" s="207">
        <v>102965</v>
      </c>
      <c r="D696" s="203" t="s">
        <v>97</v>
      </c>
      <c r="E696" s="202" t="s">
        <v>2062</v>
      </c>
      <c r="F696" s="203">
        <v>648</v>
      </c>
      <c r="G696" s="202"/>
      <c r="H696" s="202"/>
      <c r="I696" s="202"/>
      <c r="J696" s="202">
        <v>0</v>
      </c>
      <c r="K696" s="202" t="s">
        <v>1658</v>
      </c>
      <c r="L696" s="202"/>
      <c r="M696" s="202"/>
      <c r="N696" s="206">
        <v>41360</v>
      </c>
      <c r="O696" s="206">
        <v>41360</v>
      </c>
      <c r="P696" s="202" t="s">
        <v>2061</v>
      </c>
      <c r="Q696" s="203">
        <v>700</v>
      </c>
      <c r="R696" s="203">
        <v>14050</v>
      </c>
      <c r="S696" s="204">
        <v>29541.119999999999</v>
      </c>
      <c r="T696" s="203">
        <v>14056</v>
      </c>
      <c r="U696" s="204">
        <v>29541.119999999999</v>
      </c>
      <c r="V696" s="204">
        <f t="shared" si="22"/>
        <v>0</v>
      </c>
      <c r="W696" s="205">
        <v>0</v>
      </c>
      <c r="X696" s="203">
        <v>54260</v>
      </c>
      <c r="Y696" s="204">
        <v>0</v>
      </c>
      <c r="Z696" s="202" t="s">
        <v>97</v>
      </c>
      <c r="AA696" s="202"/>
      <c r="AB696" s="202" t="s">
        <v>2060</v>
      </c>
      <c r="AC696" s="202"/>
      <c r="AD696" s="202" t="s">
        <v>1152</v>
      </c>
      <c r="AE696" s="202" t="s">
        <v>1153</v>
      </c>
      <c r="AF696" s="203" t="s">
        <v>1154</v>
      </c>
      <c r="AG696" s="202"/>
      <c r="AH696" s="203" t="s">
        <v>1155</v>
      </c>
      <c r="AI696" s="202">
        <v>0</v>
      </c>
      <c r="AJ696" s="202">
        <v>0</v>
      </c>
    </row>
    <row r="697" spans="2:36">
      <c r="B697" s="203">
        <v>2180</v>
      </c>
      <c r="C697" s="207">
        <v>102681</v>
      </c>
      <c r="D697" s="203" t="s">
        <v>97</v>
      </c>
      <c r="E697" s="202" t="s">
        <v>672</v>
      </c>
      <c r="F697" s="203">
        <v>486</v>
      </c>
      <c r="G697" s="202"/>
      <c r="H697" s="202"/>
      <c r="I697" s="202"/>
      <c r="J697" s="202">
        <v>0</v>
      </c>
      <c r="K697" s="202" t="s">
        <v>1658</v>
      </c>
      <c r="L697" s="202"/>
      <c r="M697" s="202"/>
      <c r="N697" s="206">
        <v>41336</v>
      </c>
      <c r="O697" s="206">
        <v>41336</v>
      </c>
      <c r="P697" s="202" t="s">
        <v>2058</v>
      </c>
      <c r="Q697" s="203">
        <v>700</v>
      </c>
      <c r="R697" s="203">
        <v>14050</v>
      </c>
      <c r="S697" s="204">
        <v>26158.76</v>
      </c>
      <c r="T697" s="203">
        <v>14056</v>
      </c>
      <c r="U697" s="204">
        <v>26158.76</v>
      </c>
      <c r="V697" s="204">
        <f t="shared" si="22"/>
        <v>0</v>
      </c>
      <c r="W697" s="205">
        <v>0</v>
      </c>
      <c r="X697" s="203">
        <v>54260</v>
      </c>
      <c r="Y697" s="204">
        <v>0</v>
      </c>
      <c r="Z697" s="202" t="s">
        <v>97</v>
      </c>
      <c r="AA697" s="202"/>
      <c r="AB697" s="202" t="s">
        <v>2059</v>
      </c>
      <c r="AC697" s="202"/>
      <c r="AD697" s="202" t="s">
        <v>1152</v>
      </c>
      <c r="AE697" s="202" t="s">
        <v>1153</v>
      </c>
      <c r="AF697" s="203" t="s">
        <v>1154</v>
      </c>
      <c r="AG697" s="202"/>
      <c r="AH697" s="203" t="s">
        <v>1155</v>
      </c>
      <c r="AI697" s="202">
        <v>0</v>
      </c>
      <c r="AJ697" s="202">
        <v>0</v>
      </c>
    </row>
    <row r="698" spans="2:36">
      <c r="B698" s="203">
        <v>2180</v>
      </c>
      <c r="C698" s="207">
        <v>102680</v>
      </c>
      <c r="D698" s="203" t="s">
        <v>97</v>
      </c>
      <c r="E698" s="202" t="s">
        <v>672</v>
      </c>
      <c r="F698" s="203">
        <v>486</v>
      </c>
      <c r="G698" s="202"/>
      <c r="H698" s="202"/>
      <c r="I698" s="202"/>
      <c r="J698" s="202">
        <v>0</v>
      </c>
      <c r="K698" s="202" t="s">
        <v>1658</v>
      </c>
      <c r="L698" s="202"/>
      <c r="M698" s="202"/>
      <c r="N698" s="206">
        <v>41336</v>
      </c>
      <c r="O698" s="206">
        <v>41336</v>
      </c>
      <c r="P698" s="202" t="s">
        <v>2058</v>
      </c>
      <c r="Q698" s="203">
        <v>700</v>
      </c>
      <c r="R698" s="203">
        <v>14050</v>
      </c>
      <c r="S698" s="204">
        <v>26158.76</v>
      </c>
      <c r="T698" s="203">
        <v>14056</v>
      </c>
      <c r="U698" s="204">
        <v>26158.76</v>
      </c>
      <c r="V698" s="204">
        <f t="shared" si="22"/>
        <v>0</v>
      </c>
      <c r="W698" s="205">
        <v>0</v>
      </c>
      <c r="X698" s="203">
        <v>54260</v>
      </c>
      <c r="Y698" s="204">
        <v>0</v>
      </c>
      <c r="Z698" s="202" t="s">
        <v>97</v>
      </c>
      <c r="AA698" s="202"/>
      <c r="AB698" s="202" t="s">
        <v>2057</v>
      </c>
      <c r="AC698" s="202"/>
      <c r="AD698" s="202" t="s">
        <v>1152</v>
      </c>
      <c r="AE698" s="202" t="s">
        <v>1153</v>
      </c>
      <c r="AF698" s="203" t="s">
        <v>1154</v>
      </c>
      <c r="AG698" s="202"/>
      <c r="AH698" s="203" t="s">
        <v>1155</v>
      </c>
      <c r="AI698" s="202">
        <v>0</v>
      </c>
      <c r="AJ698" s="202">
        <v>0</v>
      </c>
    </row>
    <row r="699" spans="2:36">
      <c r="B699" s="203">
        <v>2180</v>
      </c>
      <c r="C699" s="207">
        <v>101995</v>
      </c>
      <c r="D699" s="203" t="s">
        <v>97</v>
      </c>
      <c r="E699" s="202" t="s">
        <v>2013</v>
      </c>
      <c r="F699" s="203">
        <v>0</v>
      </c>
      <c r="G699" s="202"/>
      <c r="H699" s="202"/>
      <c r="I699" s="202"/>
      <c r="J699" s="202">
        <v>0</v>
      </c>
      <c r="K699" s="202" t="s">
        <v>2056</v>
      </c>
      <c r="L699" s="202"/>
      <c r="M699" s="202"/>
      <c r="N699" s="206">
        <v>41275</v>
      </c>
      <c r="O699" s="206">
        <v>41275</v>
      </c>
      <c r="P699" s="202" t="s">
        <v>1979</v>
      </c>
      <c r="Q699" s="203">
        <v>300</v>
      </c>
      <c r="R699" s="203">
        <v>14110</v>
      </c>
      <c r="S699" s="204">
        <v>1066</v>
      </c>
      <c r="T699" s="203">
        <v>14116</v>
      </c>
      <c r="U699" s="204">
        <v>1066</v>
      </c>
      <c r="V699" s="204">
        <f t="shared" si="22"/>
        <v>0</v>
      </c>
      <c r="W699" s="205">
        <v>0</v>
      </c>
      <c r="X699" s="203">
        <v>70260</v>
      </c>
      <c r="Y699" s="204">
        <v>0</v>
      </c>
      <c r="Z699" s="202" t="s">
        <v>97</v>
      </c>
      <c r="AA699" s="202"/>
      <c r="AB699" s="202">
        <v>38504</v>
      </c>
      <c r="AC699" s="202"/>
      <c r="AD699" s="202" t="s">
        <v>1152</v>
      </c>
      <c r="AE699" s="202" t="s">
        <v>1153</v>
      </c>
      <c r="AF699" s="203" t="s">
        <v>1154</v>
      </c>
      <c r="AG699" s="202"/>
      <c r="AH699" s="203" t="s">
        <v>1155</v>
      </c>
      <c r="AI699" s="202">
        <v>0</v>
      </c>
      <c r="AJ699" s="202">
        <v>0</v>
      </c>
    </row>
    <row r="700" spans="2:36">
      <c r="B700" s="203">
        <v>2180</v>
      </c>
      <c r="C700" s="207">
        <v>100113</v>
      </c>
      <c r="D700" s="203" t="s">
        <v>97</v>
      </c>
      <c r="E700" s="202" t="s">
        <v>2055</v>
      </c>
      <c r="F700" s="203">
        <v>0</v>
      </c>
      <c r="G700" s="202"/>
      <c r="H700" s="202"/>
      <c r="I700" s="202"/>
      <c r="J700" s="202">
        <v>0</v>
      </c>
      <c r="K700" s="202" t="s">
        <v>2054</v>
      </c>
      <c r="L700" s="202"/>
      <c r="M700" s="202"/>
      <c r="N700" s="206">
        <v>41274</v>
      </c>
      <c r="O700" s="206">
        <v>41274</v>
      </c>
      <c r="P700" s="202" t="s">
        <v>2053</v>
      </c>
      <c r="Q700" s="203">
        <v>500</v>
      </c>
      <c r="R700" s="203">
        <v>14070</v>
      </c>
      <c r="S700" s="204">
        <v>16556.099999999999</v>
      </c>
      <c r="T700" s="203">
        <v>14076</v>
      </c>
      <c r="U700" s="204">
        <v>16556.099999999999</v>
      </c>
      <c r="V700" s="204">
        <f t="shared" si="22"/>
        <v>0</v>
      </c>
      <c r="W700" s="205">
        <v>0</v>
      </c>
      <c r="X700" s="203">
        <v>51260</v>
      </c>
      <c r="Y700" s="204">
        <v>0</v>
      </c>
      <c r="Z700" s="202" t="s">
        <v>97</v>
      </c>
      <c r="AA700" s="202"/>
      <c r="AB700" s="202">
        <v>124009</v>
      </c>
      <c r="AC700" s="202"/>
      <c r="AD700" s="202" t="s">
        <v>1152</v>
      </c>
      <c r="AE700" s="202" t="s">
        <v>1153</v>
      </c>
      <c r="AF700" s="203" t="s">
        <v>1154</v>
      </c>
      <c r="AG700" s="202"/>
      <c r="AH700" s="203" t="s">
        <v>1155</v>
      </c>
      <c r="AI700" s="202">
        <v>0</v>
      </c>
      <c r="AJ700" s="202">
        <v>0</v>
      </c>
    </row>
    <row r="701" spans="2:36">
      <c r="B701" s="203">
        <v>2180</v>
      </c>
      <c r="C701" s="207">
        <v>99962</v>
      </c>
      <c r="D701" s="203" t="s">
        <v>97</v>
      </c>
      <c r="E701" s="202" t="s">
        <v>2052</v>
      </c>
      <c r="F701" s="203">
        <v>3</v>
      </c>
      <c r="G701" s="202"/>
      <c r="H701" s="202"/>
      <c r="I701" s="202"/>
      <c r="J701" s="202">
        <v>0</v>
      </c>
      <c r="K701" s="202" t="s">
        <v>2041</v>
      </c>
      <c r="L701" s="202"/>
      <c r="M701" s="202" t="s">
        <v>1417</v>
      </c>
      <c r="N701" s="206">
        <v>41228</v>
      </c>
      <c r="O701" s="206">
        <v>41228</v>
      </c>
      <c r="P701" s="202" t="s">
        <v>2051</v>
      </c>
      <c r="Q701" s="203">
        <v>1200</v>
      </c>
      <c r="R701" s="203">
        <v>14050</v>
      </c>
      <c r="S701" s="204">
        <v>19371.84</v>
      </c>
      <c r="T701" s="203">
        <v>14056</v>
      </c>
      <c r="U701" s="204">
        <v>15470.56</v>
      </c>
      <c r="V701" s="204">
        <f t="shared" si="22"/>
        <v>3901.2800000000007</v>
      </c>
      <c r="W701" s="205">
        <v>672.63</v>
      </c>
      <c r="X701" s="203">
        <v>54260</v>
      </c>
      <c r="Y701" s="204">
        <v>134.52000000000001</v>
      </c>
      <c r="Z701" s="202" t="s">
        <v>97</v>
      </c>
      <c r="AA701" s="202"/>
      <c r="AB701" s="202">
        <v>77551</v>
      </c>
      <c r="AC701" s="202"/>
      <c r="AD701" s="202" t="s">
        <v>1152</v>
      </c>
      <c r="AE701" s="202" t="s">
        <v>1153</v>
      </c>
      <c r="AF701" s="203" t="s">
        <v>1154</v>
      </c>
      <c r="AG701" s="202"/>
      <c r="AH701" s="203" t="s">
        <v>1155</v>
      </c>
      <c r="AI701" s="202">
        <v>0</v>
      </c>
      <c r="AJ701" s="202">
        <v>0</v>
      </c>
    </row>
    <row r="702" spans="2:36">
      <c r="B702" s="203">
        <v>2180</v>
      </c>
      <c r="C702" s="207">
        <v>99961</v>
      </c>
      <c r="D702" s="203" t="s">
        <v>97</v>
      </c>
      <c r="E702" s="202" t="s">
        <v>2052</v>
      </c>
      <c r="F702" s="203">
        <v>3</v>
      </c>
      <c r="G702" s="202"/>
      <c r="H702" s="202"/>
      <c r="I702" s="202"/>
      <c r="J702" s="202">
        <v>0</v>
      </c>
      <c r="K702" s="202" t="s">
        <v>2041</v>
      </c>
      <c r="L702" s="202"/>
      <c r="M702" s="202" t="s">
        <v>1417</v>
      </c>
      <c r="N702" s="206">
        <v>41228</v>
      </c>
      <c r="O702" s="206">
        <v>41228</v>
      </c>
      <c r="P702" s="202" t="s">
        <v>2051</v>
      </c>
      <c r="Q702" s="203">
        <v>1200</v>
      </c>
      <c r="R702" s="203">
        <v>14050</v>
      </c>
      <c r="S702" s="204">
        <v>19371.84</v>
      </c>
      <c r="T702" s="203">
        <v>14056</v>
      </c>
      <c r="U702" s="204">
        <v>15470.56</v>
      </c>
      <c r="V702" s="204">
        <f t="shared" si="22"/>
        <v>3901.2800000000007</v>
      </c>
      <c r="W702" s="205">
        <v>672.63</v>
      </c>
      <c r="X702" s="203">
        <v>54260</v>
      </c>
      <c r="Y702" s="204">
        <v>134.52000000000001</v>
      </c>
      <c r="Z702" s="202" t="s">
        <v>97</v>
      </c>
      <c r="AA702" s="202"/>
      <c r="AB702" s="202">
        <v>77549</v>
      </c>
      <c r="AC702" s="202"/>
      <c r="AD702" s="202" t="s">
        <v>1152</v>
      </c>
      <c r="AE702" s="202" t="s">
        <v>1153</v>
      </c>
      <c r="AF702" s="203" t="s">
        <v>1154</v>
      </c>
      <c r="AG702" s="202"/>
      <c r="AH702" s="203" t="s">
        <v>1155</v>
      </c>
      <c r="AI702" s="202">
        <v>0</v>
      </c>
      <c r="AJ702" s="202">
        <v>0</v>
      </c>
    </row>
    <row r="703" spans="2:36">
      <c r="B703" s="203">
        <v>2180</v>
      </c>
      <c r="C703" s="207">
        <v>99960</v>
      </c>
      <c r="D703" s="203" t="s">
        <v>97</v>
      </c>
      <c r="E703" s="202" t="s">
        <v>2052</v>
      </c>
      <c r="F703" s="203">
        <v>3</v>
      </c>
      <c r="G703" s="202"/>
      <c r="H703" s="202"/>
      <c r="I703" s="202"/>
      <c r="J703" s="202">
        <v>0</v>
      </c>
      <c r="K703" s="202" t="s">
        <v>2041</v>
      </c>
      <c r="L703" s="202"/>
      <c r="M703" s="202" t="s">
        <v>1417</v>
      </c>
      <c r="N703" s="206">
        <v>41228</v>
      </c>
      <c r="O703" s="206">
        <v>41228</v>
      </c>
      <c r="P703" s="202" t="s">
        <v>2051</v>
      </c>
      <c r="Q703" s="203">
        <v>1200</v>
      </c>
      <c r="R703" s="203">
        <v>14050</v>
      </c>
      <c r="S703" s="204">
        <v>19371.84</v>
      </c>
      <c r="T703" s="203">
        <v>14056</v>
      </c>
      <c r="U703" s="204">
        <v>15470.56</v>
      </c>
      <c r="V703" s="204">
        <f t="shared" si="22"/>
        <v>3901.2800000000007</v>
      </c>
      <c r="W703" s="205">
        <v>672.63</v>
      </c>
      <c r="X703" s="203">
        <v>54260</v>
      </c>
      <c r="Y703" s="204">
        <v>134.52000000000001</v>
      </c>
      <c r="Z703" s="202" t="s">
        <v>97</v>
      </c>
      <c r="AA703" s="202"/>
      <c r="AB703" s="202">
        <v>77548</v>
      </c>
      <c r="AC703" s="202"/>
      <c r="AD703" s="202" t="s">
        <v>1152</v>
      </c>
      <c r="AE703" s="202" t="s">
        <v>1153</v>
      </c>
      <c r="AF703" s="203" t="s">
        <v>1154</v>
      </c>
      <c r="AG703" s="202"/>
      <c r="AH703" s="203" t="s">
        <v>1155</v>
      </c>
      <c r="AI703" s="202">
        <v>0</v>
      </c>
      <c r="AJ703" s="202">
        <v>0</v>
      </c>
    </row>
    <row r="704" spans="2:36">
      <c r="B704" s="203">
        <v>2180</v>
      </c>
      <c r="C704" s="207">
        <v>99959</v>
      </c>
      <c r="D704" s="203" t="s">
        <v>97</v>
      </c>
      <c r="E704" s="202" t="s">
        <v>2052</v>
      </c>
      <c r="F704" s="203">
        <v>2</v>
      </c>
      <c r="G704" s="202"/>
      <c r="H704" s="202"/>
      <c r="I704" s="202"/>
      <c r="J704" s="202">
        <v>0</v>
      </c>
      <c r="K704" s="202" t="s">
        <v>2041</v>
      </c>
      <c r="L704" s="202"/>
      <c r="M704" s="202" t="s">
        <v>1417</v>
      </c>
      <c r="N704" s="206">
        <v>41228</v>
      </c>
      <c r="O704" s="206">
        <v>41228</v>
      </c>
      <c r="P704" s="202" t="s">
        <v>2051</v>
      </c>
      <c r="Q704" s="203">
        <v>1200</v>
      </c>
      <c r="R704" s="203">
        <v>14050</v>
      </c>
      <c r="S704" s="204">
        <v>12914.56</v>
      </c>
      <c r="T704" s="203">
        <v>14056</v>
      </c>
      <c r="U704" s="204">
        <v>10313.68</v>
      </c>
      <c r="V704" s="204">
        <f t="shared" si="22"/>
        <v>2600.8799999999992</v>
      </c>
      <c r="W704" s="205">
        <v>448.42</v>
      </c>
      <c r="X704" s="203">
        <v>54260</v>
      </c>
      <c r="Y704" s="204">
        <v>89.68</v>
      </c>
      <c r="Z704" s="202" t="s">
        <v>97</v>
      </c>
      <c r="AA704" s="202"/>
      <c r="AB704" s="202">
        <v>77487</v>
      </c>
      <c r="AC704" s="202"/>
      <c r="AD704" s="202" t="s">
        <v>1152</v>
      </c>
      <c r="AE704" s="202" t="s">
        <v>1153</v>
      </c>
      <c r="AF704" s="203" t="s">
        <v>1154</v>
      </c>
      <c r="AG704" s="202"/>
      <c r="AH704" s="203" t="s">
        <v>1155</v>
      </c>
      <c r="AI704" s="202">
        <v>0</v>
      </c>
      <c r="AJ704" s="202">
        <v>0</v>
      </c>
    </row>
    <row r="705" spans="2:36">
      <c r="B705" s="203">
        <v>2180</v>
      </c>
      <c r="C705" s="207">
        <v>99010</v>
      </c>
      <c r="D705" s="203" t="s">
        <v>97</v>
      </c>
      <c r="E705" s="202" t="s">
        <v>2052</v>
      </c>
      <c r="F705" s="203">
        <v>3</v>
      </c>
      <c r="G705" s="202"/>
      <c r="H705" s="202"/>
      <c r="I705" s="202"/>
      <c r="J705" s="202">
        <v>0</v>
      </c>
      <c r="K705" s="202" t="s">
        <v>2041</v>
      </c>
      <c r="L705" s="202"/>
      <c r="M705" s="202" t="s">
        <v>1417</v>
      </c>
      <c r="N705" s="206">
        <v>41260</v>
      </c>
      <c r="O705" s="206">
        <v>41260</v>
      </c>
      <c r="P705" s="202" t="s">
        <v>2051</v>
      </c>
      <c r="Q705" s="203">
        <v>1200</v>
      </c>
      <c r="R705" s="203">
        <v>14050</v>
      </c>
      <c r="S705" s="204">
        <v>19371.84</v>
      </c>
      <c r="T705" s="203">
        <v>14056</v>
      </c>
      <c r="U705" s="204">
        <v>15201.51</v>
      </c>
      <c r="V705" s="204">
        <f t="shared" si="22"/>
        <v>4170.33</v>
      </c>
      <c r="W705" s="205">
        <v>672.63</v>
      </c>
      <c r="X705" s="203">
        <v>54260</v>
      </c>
      <c r="Y705" s="204">
        <v>134.52000000000001</v>
      </c>
      <c r="Z705" s="202" t="s">
        <v>97</v>
      </c>
      <c r="AA705" s="202"/>
      <c r="AB705" s="202">
        <v>77550</v>
      </c>
      <c r="AC705" s="202"/>
      <c r="AD705" s="202" t="s">
        <v>1152</v>
      </c>
      <c r="AE705" s="202" t="s">
        <v>1153</v>
      </c>
      <c r="AF705" s="203" t="s">
        <v>1154</v>
      </c>
      <c r="AG705" s="202"/>
      <c r="AH705" s="203" t="s">
        <v>1155</v>
      </c>
      <c r="AI705" s="202">
        <v>0</v>
      </c>
      <c r="AJ705" s="202">
        <v>0</v>
      </c>
    </row>
    <row r="706" spans="2:36">
      <c r="B706" s="203">
        <v>2180</v>
      </c>
      <c r="C706" s="207">
        <v>98468</v>
      </c>
      <c r="D706" s="203">
        <v>96423</v>
      </c>
      <c r="E706" s="202" t="s">
        <v>2050</v>
      </c>
      <c r="F706" s="203">
        <v>0</v>
      </c>
      <c r="G706" s="202"/>
      <c r="H706" s="202" t="s">
        <v>2024</v>
      </c>
      <c r="I706" s="202"/>
      <c r="J706" s="202">
        <v>2013</v>
      </c>
      <c r="K706" s="202" t="s">
        <v>1733</v>
      </c>
      <c r="L706" s="202" t="s">
        <v>1732</v>
      </c>
      <c r="M706" s="202" t="s">
        <v>1404</v>
      </c>
      <c r="N706" s="206">
        <v>41173</v>
      </c>
      <c r="O706" s="206">
        <v>41173</v>
      </c>
      <c r="P706" s="202" t="s">
        <v>2023</v>
      </c>
      <c r="Q706" s="203">
        <v>1000</v>
      </c>
      <c r="R706" s="203">
        <v>14040</v>
      </c>
      <c r="S706" s="204">
        <v>592.97</v>
      </c>
      <c r="T706" s="203">
        <v>14046</v>
      </c>
      <c r="U706" s="204">
        <v>573.16999999999996</v>
      </c>
      <c r="V706" s="204">
        <f t="shared" si="22"/>
        <v>19.800000000000068</v>
      </c>
      <c r="W706" s="205">
        <v>24.72</v>
      </c>
      <c r="X706" s="203">
        <v>51260</v>
      </c>
      <c r="Y706" s="204">
        <v>4.95</v>
      </c>
      <c r="Z706" s="202" t="s">
        <v>97</v>
      </c>
      <c r="AA706" s="202"/>
      <c r="AB706" s="202">
        <v>5008814</v>
      </c>
      <c r="AC706" s="202"/>
      <c r="AD706" s="202" t="s">
        <v>1152</v>
      </c>
      <c r="AE706" s="202" t="s">
        <v>1153</v>
      </c>
      <c r="AF706" s="203" t="s">
        <v>1154</v>
      </c>
      <c r="AG706" s="202"/>
      <c r="AH706" s="203" t="s">
        <v>1155</v>
      </c>
      <c r="AI706" s="202">
        <v>0</v>
      </c>
      <c r="AJ706" s="202">
        <v>0</v>
      </c>
    </row>
    <row r="707" spans="2:36">
      <c r="B707" s="203">
        <v>2180</v>
      </c>
      <c r="C707" s="207">
        <v>98423</v>
      </c>
      <c r="D707" s="203" t="s">
        <v>97</v>
      </c>
      <c r="E707" s="202" t="s">
        <v>2049</v>
      </c>
      <c r="F707" s="203">
        <v>0</v>
      </c>
      <c r="G707" s="202"/>
      <c r="H707" s="202"/>
      <c r="I707" s="202"/>
      <c r="J707" s="202">
        <v>0</v>
      </c>
      <c r="K707" s="202" t="s">
        <v>1514</v>
      </c>
      <c r="L707" s="202"/>
      <c r="M707" s="202"/>
      <c r="N707" s="206">
        <v>41243</v>
      </c>
      <c r="O707" s="206">
        <v>41243</v>
      </c>
      <c r="P707" s="202" t="s">
        <v>2048</v>
      </c>
      <c r="Q707" s="203">
        <v>500</v>
      </c>
      <c r="R707" s="203">
        <v>14070</v>
      </c>
      <c r="S707" s="204">
        <v>11321.73</v>
      </c>
      <c r="T707" s="203">
        <v>14076</v>
      </c>
      <c r="U707" s="204">
        <v>11321.73</v>
      </c>
      <c r="V707" s="204">
        <f t="shared" si="22"/>
        <v>0</v>
      </c>
      <c r="W707" s="205">
        <v>0</v>
      </c>
      <c r="X707" s="203">
        <v>51260</v>
      </c>
      <c r="Y707" s="204">
        <v>0</v>
      </c>
      <c r="Z707" s="202" t="s">
        <v>97</v>
      </c>
      <c r="AA707" s="202"/>
      <c r="AB707" s="202" t="s">
        <v>2047</v>
      </c>
      <c r="AC707" s="202"/>
      <c r="AD707" s="202" t="s">
        <v>1152</v>
      </c>
      <c r="AE707" s="202" t="s">
        <v>1153</v>
      </c>
      <c r="AF707" s="203" t="s">
        <v>1154</v>
      </c>
      <c r="AG707" s="202"/>
      <c r="AH707" s="203" t="s">
        <v>1155</v>
      </c>
      <c r="AI707" s="202">
        <v>0</v>
      </c>
      <c r="AJ707" s="202">
        <v>0</v>
      </c>
    </row>
    <row r="708" spans="2:36">
      <c r="B708" s="203">
        <v>2180</v>
      </c>
      <c r="C708" s="207">
        <v>98392</v>
      </c>
      <c r="D708" s="203" t="s">
        <v>97</v>
      </c>
      <c r="E708" s="202" t="s">
        <v>2046</v>
      </c>
      <c r="F708" s="203">
        <v>20</v>
      </c>
      <c r="G708" s="202"/>
      <c r="H708" s="202"/>
      <c r="I708" s="202"/>
      <c r="J708" s="202">
        <v>0</v>
      </c>
      <c r="K708" s="202" t="s">
        <v>1658</v>
      </c>
      <c r="L708" s="202"/>
      <c r="M708" s="202" t="s">
        <v>1582</v>
      </c>
      <c r="N708" s="206">
        <v>41206</v>
      </c>
      <c r="O708" s="206">
        <v>41206</v>
      </c>
      <c r="P708" s="202" t="s">
        <v>2039</v>
      </c>
      <c r="Q708" s="203">
        <v>700</v>
      </c>
      <c r="R708" s="203">
        <v>14050</v>
      </c>
      <c r="S708" s="204">
        <v>15097.2</v>
      </c>
      <c r="T708" s="203">
        <v>14056</v>
      </c>
      <c r="U708" s="204">
        <v>15097.2</v>
      </c>
      <c r="V708" s="204">
        <f t="shared" si="22"/>
        <v>0</v>
      </c>
      <c r="W708" s="205">
        <v>0</v>
      </c>
      <c r="X708" s="203">
        <v>54260</v>
      </c>
      <c r="Y708" s="204">
        <v>0</v>
      </c>
      <c r="Z708" s="202" t="s">
        <v>97</v>
      </c>
      <c r="AA708" s="202"/>
      <c r="AB708" s="202" t="s">
        <v>2045</v>
      </c>
      <c r="AC708" s="202"/>
      <c r="AD708" s="202" t="s">
        <v>1152</v>
      </c>
      <c r="AE708" s="202" t="s">
        <v>1153</v>
      </c>
      <c r="AF708" s="203" t="s">
        <v>1154</v>
      </c>
      <c r="AG708" s="202"/>
      <c r="AH708" s="203" t="s">
        <v>1155</v>
      </c>
      <c r="AI708" s="202">
        <v>0</v>
      </c>
      <c r="AJ708" s="202">
        <v>0</v>
      </c>
    </row>
    <row r="709" spans="2:36">
      <c r="B709" s="203">
        <v>2180</v>
      </c>
      <c r="C709" s="207">
        <v>98391</v>
      </c>
      <c r="D709" s="203" t="s">
        <v>97</v>
      </c>
      <c r="E709" s="202" t="s">
        <v>2044</v>
      </c>
      <c r="F709" s="203">
        <v>4</v>
      </c>
      <c r="G709" s="202"/>
      <c r="H709" s="202"/>
      <c r="I709" s="202"/>
      <c r="J709" s="202">
        <v>0</v>
      </c>
      <c r="K709" s="202" t="s">
        <v>1658</v>
      </c>
      <c r="L709" s="202"/>
      <c r="M709" s="202" t="s">
        <v>1582</v>
      </c>
      <c r="N709" s="206">
        <v>41206</v>
      </c>
      <c r="O709" s="206">
        <v>41206</v>
      </c>
      <c r="P709" s="202" t="s">
        <v>2039</v>
      </c>
      <c r="Q709" s="203">
        <v>700</v>
      </c>
      <c r="R709" s="203">
        <v>14050</v>
      </c>
      <c r="S709" s="204">
        <v>2910.04</v>
      </c>
      <c r="T709" s="203">
        <v>14056</v>
      </c>
      <c r="U709" s="204">
        <v>2910.04</v>
      </c>
      <c r="V709" s="204">
        <f t="shared" si="22"/>
        <v>0</v>
      </c>
      <c r="W709" s="205">
        <v>0</v>
      </c>
      <c r="X709" s="203">
        <v>54260</v>
      </c>
      <c r="Y709" s="204">
        <v>0</v>
      </c>
      <c r="Z709" s="202" t="s">
        <v>97</v>
      </c>
      <c r="AA709" s="202"/>
      <c r="AB709" s="202" t="s">
        <v>2043</v>
      </c>
      <c r="AC709" s="202"/>
      <c r="AD709" s="202" t="s">
        <v>1152</v>
      </c>
      <c r="AE709" s="202" t="s">
        <v>1153</v>
      </c>
      <c r="AF709" s="203" t="s">
        <v>1154</v>
      </c>
      <c r="AG709" s="202"/>
      <c r="AH709" s="203" t="s">
        <v>1155</v>
      </c>
      <c r="AI709" s="202">
        <v>0</v>
      </c>
      <c r="AJ709" s="202">
        <v>0</v>
      </c>
    </row>
    <row r="710" spans="2:36">
      <c r="B710" s="203">
        <v>2180</v>
      </c>
      <c r="C710" s="207">
        <v>97736</v>
      </c>
      <c r="D710" s="203" t="s">
        <v>97</v>
      </c>
      <c r="E710" s="202" t="s">
        <v>580</v>
      </c>
      <c r="F710" s="203">
        <v>3</v>
      </c>
      <c r="G710" s="202"/>
      <c r="H710" s="202"/>
      <c r="I710" s="202"/>
      <c r="J710" s="202">
        <v>0</v>
      </c>
      <c r="K710" s="202" t="s">
        <v>2041</v>
      </c>
      <c r="L710" s="202"/>
      <c r="M710" s="202" t="s">
        <v>1454</v>
      </c>
      <c r="N710" s="206">
        <v>41206</v>
      </c>
      <c r="O710" s="206">
        <v>41206</v>
      </c>
      <c r="P710" s="202" t="s">
        <v>2040</v>
      </c>
      <c r="Q710" s="203">
        <v>1200</v>
      </c>
      <c r="R710" s="203">
        <v>14050</v>
      </c>
      <c r="S710" s="204">
        <v>17804.849999999999</v>
      </c>
      <c r="T710" s="203">
        <v>14056</v>
      </c>
      <c r="U710" s="204">
        <v>14219.18</v>
      </c>
      <c r="V710" s="204">
        <f t="shared" si="22"/>
        <v>3585.6699999999983</v>
      </c>
      <c r="W710" s="205">
        <v>618.23</v>
      </c>
      <c r="X710" s="203">
        <v>54260</v>
      </c>
      <c r="Y710" s="204">
        <v>123.65</v>
      </c>
      <c r="Z710" s="202" t="s">
        <v>97</v>
      </c>
      <c r="AA710" s="202"/>
      <c r="AB710" s="202">
        <v>76130</v>
      </c>
      <c r="AC710" s="202"/>
      <c r="AD710" s="202" t="s">
        <v>1152</v>
      </c>
      <c r="AE710" s="202" t="s">
        <v>1153</v>
      </c>
      <c r="AF710" s="203" t="s">
        <v>1154</v>
      </c>
      <c r="AG710" s="202"/>
      <c r="AH710" s="203" t="s">
        <v>1155</v>
      </c>
      <c r="AI710" s="202">
        <v>0</v>
      </c>
      <c r="AJ710" s="202">
        <v>0</v>
      </c>
    </row>
    <row r="711" spans="2:36">
      <c r="B711" s="203">
        <v>2180</v>
      </c>
      <c r="C711" s="207">
        <v>97735</v>
      </c>
      <c r="D711" s="203" t="s">
        <v>97</v>
      </c>
      <c r="E711" s="202" t="s">
        <v>580</v>
      </c>
      <c r="F711" s="203">
        <v>3</v>
      </c>
      <c r="G711" s="202"/>
      <c r="H711" s="202"/>
      <c r="I711" s="202"/>
      <c r="J711" s="202">
        <v>0</v>
      </c>
      <c r="K711" s="202" t="s">
        <v>2041</v>
      </c>
      <c r="L711" s="202"/>
      <c r="M711" s="202" t="s">
        <v>1454</v>
      </c>
      <c r="N711" s="206">
        <v>41206</v>
      </c>
      <c r="O711" s="206">
        <v>41206</v>
      </c>
      <c r="P711" s="202" t="s">
        <v>2040</v>
      </c>
      <c r="Q711" s="203">
        <v>1200</v>
      </c>
      <c r="R711" s="203">
        <v>14050</v>
      </c>
      <c r="S711" s="204">
        <v>17804.849999999999</v>
      </c>
      <c r="T711" s="203">
        <v>14056</v>
      </c>
      <c r="U711" s="204">
        <v>14219.18</v>
      </c>
      <c r="V711" s="204">
        <f t="shared" si="22"/>
        <v>3585.6699999999983</v>
      </c>
      <c r="W711" s="205">
        <v>618.23</v>
      </c>
      <c r="X711" s="203">
        <v>54260</v>
      </c>
      <c r="Y711" s="204">
        <v>123.65</v>
      </c>
      <c r="Z711" s="202" t="s">
        <v>97</v>
      </c>
      <c r="AA711" s="202"/>
      <c r="AB711" s="202">
        <v>76129</v>
      </c>
      <c r="AC711" s="202"/>
      <c r="AD711" s="202" t="s">
        <v>1152</v>
      </c>
      <c r="AE711" s="202" t="s">
        <v>1153</v>
      </c>
      <c r="AF711" s="203" t="s">
        <v>1154</v>
      </c>
      <c r="AG711" s="202"/>
      <c r="AH711" s="203" t="s">
        <v>1155</v>
      </c>
      <c r="AI711" s="202">
        <v>0</v>
      </c>
      <c r="AJ711" s="202">
        <v>0</v>
      </c>
    </row>
    <row r="712" spans="2:36">
      <c r="B712" s="203">
        <v>2180</v>
      </c>
      <c r="C712" s="207">
        <v>97734</v>
      </c>
      <c r="D712" s="203" t="s">
        <v>97</v>
      </c>
      <c r="E712" s="202" t="s">
        <v>2042</v>
      </c>
      <c r="F712" s="203">
        <v>1</v>
      </c>
      <c r="G712" s="202"/>
      <c r="H712" s="202"/>
      <c r="I712" s="202"/>
      <c r="J712" s="202">
        <v>0</v>
      </c>
      <c r="K712" s="202" t="s">
        <v>2041</v>
      </c>
      <c r="L712" s="202"/>
      <c r="M712" s="202" t="s">
        <v>1454</v>
      </c>
      <c r="N712" s="206">
        <v>41206</v>
      </c>
      <c r="O712" s="206">
        <v>41206</v>
      </c>
      <c r="P712" s="202" t="s">
        <v>2040</v>
      </c>
      <c r="Q712" s="203">
        <v>1200</v>
      </c>
      <c r="R712" s="203">
        <v>14050</v>
      </c>
      <c r="S712" s="204">
        <v>5934.95</v>
      </c>
      <c r="T712" s="203">
        <v>14056</v>
      </c>
      <c r="U712" s="204">
        <v>4739.7299999999996</v>
      </c>
      <c r="V712" s="204">
        <f t="shared" si="22"/>
        <v>1195.2200000000003</v>
      </c>
      <c r="W712" s="205">
        <v>206.08</v>
      </c>
      <c r="X712" s="203">
        <v>54260</v>
      </c>
      <c r="Y712" s="204">
        <v>41.22</v>
      </c>
      <c r="Z712" s="202" t="s">
        <v>97</v>
      </c>
      <c r="AA712" s="202"/>
      <c r="AB712" s="202">
        <v>76128</v>
      </c>
      <c r="AC712" s="202"/>
      <c r="AD712" s="202" t="s">
        <v>1152</v>
      </c>
      <c r="AE712" s="202" t="s">
        <v>1153</v>
      </c>
      <c r="AF712" s="203" t="s">
        <v>1154</v>
      </c>
      <c r="AG712" s="202"/>
      <c r="AH712" s="203" t="s">
        <v>1155</v>
      </c>
      <c r="AI712" s="202">
        <v>0</v>
      </c>
      <c r="AJ712" s="202">
        <v>0</v>
      </c>
    </row>
    <row r="713" spans="2:36">
      <c r="B713" s="203">
        <v>2180</v>
      </c>
      <c r="C713" s="207">
        <v>97733</v>
      </c>
      <c r="D713" s="203" t="s">
        <v>97</v>
      </c>
      <c r="E713" s="202" t="s">
        <v>581</v>
      </c>
      <c r="F713" s="203">
        <v>3</v>
      </c>
      <c r="G713" s="202"/>
      <c r="H713" s="202"/>
      <c r="I713" s="202"/>
      <c r="J713" s="202">
        <v>0</v>
      </c>
      <c r="K713" s="202" t="s">
        <v>2041</v>
      </c>
      <c r="L713" s="202"/>
      <c r="M713" s="202" t="s">
        <v>1454</v>
      </c>
      <c r="N713" s="206">
        <v>41206</v>
      </c>
      <c r="O713" s="206">
        <v>41206</v>
      </c>
      <c r="P713" s="202" t="s">
        <v>2040</v>
      </c>
      <c r="Q713" s="203">
        <v>1200</v>
      </c>
      <c r="R713" s="203">
        <v>14050</v>
      </c>
      <c r="S713" s="204">
        <v>17804.849999999999</v>
      </c>
      <c r="T713" s="203">
        <v>14056</v>
      </c>
      <c r="U713" s="204">
        <v>14219.18</v>
      </c>
      <c r="V713" s="204">
        <f t="shared" si="22"/>
        <v>3585.6699999999983</v>
      </c>
      <c r="W713" s="205">
        <v>618.23</v>
      </c>
      <c r="X713" s="203">
        <v>54260</v>
      </c>
      <c r="Y713" s="204">
        <v>123.65</v>
      </c>
      <c r="Z713" s="202" t="s">
        <v>97</v>
      </c>
      <c r="AA713" s="202"/>
      <c r="AB713" s="202">
        <v>76127</v>
      </c>
      <c r="AC713" s="202"/>
      <c r="AD713" s="202" t="s">
        <v>1152</v>
      </c>
      <c r="AE713" s="202" t="s">
        <v>1153</v>
      </c>
      <c r="AF713" s="203" t="s">
        <v>1154</v>
      </c>
      <c r="AG713" s="202"/>
      <c r="AH713" s="203" t="s">
        <v>1155</v>
      </c>
      <c r="AI713" s="202">
        <v>0</v>
      </c>
      <c r="AJ713" s="202">
        <v>0</v>
      </c>
    </row>
    <row r="714" spans="2:36">
      <c r="B714" s="203">
        <v>2180</v>
      </c>
      <c r="C714" s="207">
        <v>97732</v>
      </c>
      <c r="D714" s="203" t="s">
        <v>97</v>
      </c>
      <c r="E714" s="202" t="s">
        <v>581</v>
      </c>
      <c r="F714" s="203">
        <v>3</v>
      </c>
      <c r="G714" s="202"/>
      <c r="H714" s="202"/>
      <c r="I714" s="202"/>
      <c r="J714" s="202">
        <v>0</v>
      </c>
      <c r="K714" s="202" t="s">
        <v>2041</v>
      </c>
      <c r="L714" s="202"/>
      <c r="M714" s="202" t="s">
        <v>1454</v>
      </c>
      <c r="N714" s="206">
        <v>41206</v>
      </c>
      <c r="O714" s="206">
        <v>41206</v>
      </c>
      <c r="P714" s="202" t="s">
        <v>2040</v>
      </c>
      <c r="Q714" s="203">
        <v>1200</v>
      </c>
      <c r="R714" s="203">
        <v>14050</v>
      </c>
      <c r="S714" s="204">
        <v>17804.849999999999</v>
      </c>
      <c r="T714" s="203">
        <v>14056</v>
      </c>
      <c r="U714" s="204">
        <v>14219.18</v>
      </c>
      <c r="V714" s="204">
        <f t="shared" si="22"/>
        <v>3585.6699999999983</v>
      </c>
      <c r="W714" s="205">
        <v>618.23</v>
      </c>
      <c r="X714" s="203">
        <v>54260</v>
      </c>
      <c r="Y714" s="204">
        <v>123.65</v>
      </c>
      <c r="Z714" s="202" t="s">
        <v>97</v>
      </c>
      <c r="AA714" s="202"/>
      <c r="AB714" s="202">
        <v>76126</v>
      </c>
      <c r="AC714" s="202"/>
      <c r="AD714" s="202" t="s">
        <v>1152</v>
      </c>
      <c r="AE714" s="202" t="s">
        <v>1153</v>
      </c>
      <c r="AF714" s="203" t="s">
        <v>1154</v>
      </c>
      <c r="AG714" s="202"/>
      <c r="AH714" s="203" t="s">
        <v>1155</v>
      </c>
      <c r="AI714" s="202">
        <v>0</v>
      </c>
      <c r="AJ714" s="202">
        <v>0</v>
      </c>
    </row>
    <row r="715" spans="2:36">
      <c r="B715" s="203">
        <v>2180</v>
      </c>
      <c r="C715" s="207">
        <v>97731</v>
      </c>
      <c r="D715" s="203" t="s">
        <v>97</v>
      </c>
      <c r="E715" s="202" t="s">
        <v>581</v>
      </c>
      <c r="F715" s="203">
        <v>3</v>
      </c>
      <c r="G715" s="202"/>
      <c r="H715" s="202"/>
      <c r="I715" s="202"/>
      <c r="J715" s="202">
        <v>0</v>
      </c>
      <c r="K715" s="202" t="s">
        <v>2041</v>
      </c>
      <c r="L715" s="202"/>
      <c r="M715" s="202" t="s">
        <v>1454</v>
      </c>
      <c r="N715" s="206">
        <v>41206</v>
      </c>
      <c r="O715" s="206">
        <v>41206</v>
      </c>
      <c r="P715" s="202" t="s">
        <v>2040</v>
      </c>
      <c r="Q715" s="203">
        <v>1200</v>
      </c>
      <c r="R715" s="203">
        <v>14050</v>
      </c>
      <c r="S715" s="204">
        <v>17804.849999999999</v>
      </c>
      <c r="T715" s="203">
        <v>14056</v>
      </c>
      <c r="U715" s="204">
        <v>14219.18</v>
      </c>
      <c r="V715" s="204">
        <f t="shared" si="22"/>
        <v>3585.6699999999983</v>
      </c>
      <c r="W715" s="205">
        <v>618.23</v>
      </c>
      <c r="X715" s="203">
        <v>54260</v>
      </c>
      <c r="Y715" s="204">
        <v>123.65</v>
      </c>
      <c r="Z715" s="202" t="s">
        <v>97</v>
      </c>
      <c r="AA715" s="202"/>
      <c r="AB715" s="202">
        <v>76120</v>
      </c>
      <c r="AC715" s="202"/>
      <c r="AD715" s="202" t="s">
        <v>1152</v>
      </c>
      <c r="AE715" s="202" t="s">
        <v>1153</v>
      </c>
      <c r="AF715" s="203" t="s">
        <v>1154</v>
      </c>
      <c r="AG715" s="202"/>
      <c r="AH715" s="203" t="s">
        <v>1155</v>
      </c>
      <c r="AI715" s="202">
        <v>0</v>
      </c>
      <c r="AJ715" s="202">
        <v>0</v>
      </c>
    </row>
    <row r="716" spans="2:36">
      <c r="B716" s="203">
        <v>2180</v>
      </c>
      <c r="C716" s="207">
        <v>97729</v>
      </c>
      <c r="D716" s="203" t="s">
        <v>97</v>
      </c>
      <c r="E716" s="202" t="s">
        <v>505</v>
      </c>
      <c r="F716" s="203">
        <v>10</v>
      </c>
      <c r="G716" s="202"/>
      <c r="H716" s="202"/>
      <c r="I716" s="202"/>
      <c r="J716" s="202">
        <v>0</v>
      </c>
      <c r="K716" s="202" t="s">
        <v>1658</v>
      </c>
      <c r="L716" s="202"/>
      <c r="M716" s="202" t="s">
        <v>1582</v>
      </c>
      <c r="N716" s="206">
        <v>41200</v>
      </c>
      <c r="O716" s="206">
        <v>41200</v>
      </c>
      <c r="P716" s="202" t="s">
        <v>2039</v>
      </c>
      <c r="Q716" s="203">
        <v>700</v>
      </c>
      <c r="R716" s="203">
        <v>14050</v>
      </c>
      <c r="S716" s="204">
        <v>7822.1</v>
      </c>
      <c r="T716" s="203">
        <v>14056</v>
      </c>
      <c r="U716" s="204">
        <v>7822.1</v>
      </c>
      <c r="V716" s="204">
        <f t="shared" si="22"/>
        <v>0</v>
      </c>
      <c r="W716" s="205">
        <v>0</v>
      </c>
      <c r="X716" s="203">
        <v>54260</v>
      </c>
      <c r="Y716" s="204">
        <v>0</v>
      </c>
      <c r="Z716" s="202" t="s">
        <v>97</v>
      </c>
      <c r="AA716" s="202"/>
      <c r="AB716" s="202" t="s">
        <v>2038</v>
      </c>
      <c r="AC716" s="202"/>
      <c r="AD716" s="202" t="s">
        <v>1152</v>
      </c>
      <c r="AE716" s="202" t="s">
        <v>1153</v>
      </c>
      <c r="AF716" s="203" t="s">
        <v>1154</v>
      </c>
      <c r="AG716" s="202"/>
      <c r="AH716" s="203" t="s">
        <v>1155</v>
      </c>
      <c r="AI716" s="202">
        <v>0</v>
      </c>
      <c r="AJ716" s="202">
        <v>0</v>
      </c>
    </row>
    <row r="717" spans="2:36">
      <c r="B717" s="203">
        <v>2180</v>
      </c>
      <c r="C717" s="207">
        <v>97728</v>
      </c>
      <c r="D717" s="203" t="s">
        <v>97</v>
      </c>
      <c r="E717" s="202" t="s">
        <v>494</v>
      </c>
      <c r="F717" s="203">
        <v>23</v>
      </c>
      <c r="G717" s="202"/>
      <c r="H717" s="202"/>
      <c r="I717" s="202"/>
      <c r="J717" s="202">
        <v>0</v>
      </c>
      <c r="K717" s="202" t="s">
        <v>1658</v>
      </c>
      <c r="L717" s="202"/>
      <c r="M717" s="202" t="s">
        <v>1558</v>
      </c>
      <c r="N717" s="206">
        <v>41200</v>
      </c>
      <c r="O717" s="206">
        <v>41200</v>
      </c>
      <c r="P717" s="202" t="s">
        <v>2036</v>
      </c>
      <c r="Q717" s="203">
        <v>700</v>
      </c>
      <c r="R717" s="203">
        <v>14050</v>
      </c>
      <c r="S717" s="204">
        <v>14593.96</v>
      </c>
      <c r="T717" s="203">
        <v>14056</v>
      </c>
      <c r="U717" s="204">
        <v>14593.96</v>
      </c>
      <c r="V717" s="204">
        <f t="shared" si="22"/>
        <v>0</v>
      </c>
      <c r="W717" s="205">
        <v>0</v>
      </c>
      <c r="X717" s="203">
        <v>54260</v>
      </c>
      <c r="Y717" s="204">
        <v>0</v>
      </c>
      <c r="Z717" s="202" t="s">
        <v>97</v>
      </c>
      <c r="AA717" s="202"/>
      <c r="AB717" s="202" t="s">
        <v>2037</v>
      </c>
      <c r="AC717" s="202"/>
      <c r="AD717" s="202" t="s">
        <v>1152</v>
      </c>
      <c r="AE717" s="202" t="s">
        <v>1153</v>
      </c>
      <c r="AF717" s="203" t="s">
        <v>1154</v>
      </c>
      <c r="AG717" s="202"/>
      <c r="AH717" s="203" t="s">
        <v>1155</v>
      </c>
      <c r="AI717" s="202">
        <v>0</v>
      </c>
      <c r="AJ717" s="202">
        <v>0</v>
      </c>
    </row>
    <row r="718" spans="2:36">
      <c r="B718" s="203">
        <v>2180</v>
      </c>
      <c r="C718" s="207">
        <v>97727</v>
      </c>
      <c r="D718" s="203" t="s">
        <v>97</v>
      </c>
      <c r="E718" s="202" t="s">
        <v>494</v>
      </c>
      <c r="F718" s="203">
        <v>13</v>
      </c>
      <c r="G718" s="202"/>
      <c r="H718" s="202"/>
      <c r="I718" s="202"/>
      <c r="J718" s="202">
        <v>0</v>
      </c>
      <c r="K718" s="202" t="s">
        <v>1658</v>
      </c>
      <c r="L718" s="202"/>
      <c r="M718" s="202" t="s">
        <v>1558</v>
      </c>
      <c r="N718" s="206">
        <v>41200</v>
      </c>
      <c r="O718" s="206">
        <v>41200</v>
      </c>
      <c r="P718" s="202" t="s">
        <v>2036</v>
      </c>
      <c r="Q718" s="203">
        <v>700</v>
      </c>
      <c r="R718" s="203">
        <v>14050</v>
      </c>
      <c r="S718" s="204">
        <v>8795.76</v>
      </c>
      <c r="T718" s="203">
        <v>14056</v>
      </c>
      <c r="U718" s="204">
        <v>8795.76</v>
      </c>
      <c r="V718" s="204">
        <f t="shared" ref="V718:V781" si="23">S718-U718</f>
        <v>0</v>
      </c>
      <c r="W718" s="205">
        <v>0</v>
      </c>
      <c r="X718" s="203">
        <v>54260</v>
      </c>
      <c r="Y718" s="204">
        <v>0</v>
      </c>
      <c r="Z718" s="202" t="s">
        <v>97</v>
      </c>
      <c r="AA718" s="202"/>
      <c r="AB718" s="202" t="s">
        <v>2035</v>
      </c>
      <c r="AC718" s="202"/>
      <c r="AD718" s="202" t="s">
        <v>1152</v>
      </c>
      <c r="AE718" s="202" t="s">
        <v>1153</v>
      </c>
      <c r="AF718" s="203" t="s">
        <v>1154</v>
      </c>
      <c r="AG718" s="202"/>
      <c r="AH718" s="203" t="s">
        <v>1155</v>
      </c>
      <c r="AI718" s="202">
        <v>0</v>
      </c>
      <c r="AJ718" s="202">
        <v>0</v>
      </c>
    </row>
    <row r="719" spans="2:36">
      <c r="B719" s="203">
        <v>2180</v>
      </c>
      <c r="C719" s="207">
        <v>97635</v>
      </c>
      <c r="D719" s="203">
        <v>66265</v>
      </c>
      <c r="E719" s="202" t="s">
        <v>94</v>
      </c>
      <c r="F719" s="203">
        <v>0</v>
      </c>
      <c r="G719" s="202"/>
      <c r="H719" s="202"/>
      <c r="I719" s="202"/>
      <c r="J719" s="202">
        <v>2001</v>
      </c>
      <c r="K719" s="202"/>
      <c r="L719" s="202"/>
      <c r="M719" s="202" t="s">
        <v>1447</v>
      </c>
      <c r="N719" s="206">
        <v>40025</v>
      </c>
      <c r="O719" s="206">
        <v>40025</v>
      </c>
      <c r="P719" s="202" t="s">
        <v>2034</v>
      </c>
      <c r="Q719" s="203">
        <v>300</v>
      </c>
      <c r="R719" s="203">
        <v>14040</v>
      </c>
      <c r="S719" s="204">
        <v>6184.03</v>
      </c>
      <c r="T719" s="203">
        <v>14046</v>
      </c>
      <c r="U719" s="204">
        <v>6184.03</v>
      </c>
      <c r="V719" s="204">
        <f t="shared" si="23"/>
        <v>0</v>
      </c>
      <c r="W719" s="205">
        <v>0</v>
      </c>
      <c r="X719" s="203">
        <v>51260</v>
      </c>
      <c r="Y719" s="204">
        <v>0</v>
      </c>
      <c r="Z719" s="202" t="s">
        <v>97</v>
      </c>
      <c r="AA719" s="202"/>
      <c r="AB719" s="202" t="s">
        <v>2033</v>
      </c>
      <c r="AC719" s="202"/>
      <c r="AD719" s="202" t="s">
        <v>1152</v>
      </c>
      <c r="AE719" s="202" t="s">
        <v>1153</v>
      </c>
      <c r="AF719" s="203" t="s">
        <v>1154</v>
      </c>
      <c r="AG719" s="208">
        <v>41213</v>
      </c>
      <c r="AH719" s="203" t="s">
        <v>1155</v>
      </c>
      <c r="AI719" s="202">
        <v>0</v>
      </c>
      <c r="AJ719" s="202">
        <v>6184.03</v>
      </c>
    </row>
    <row r="720" spans="2:36">
      <c r="B720" s="203">
        <v>2180</v>
      </c>
      <c r="C720" s="207">
        <v>97423</v>
      </c>
      <c r="D720" s="203">
        <v>96423</v>
      </c>
      <c r="E720" s="202" t="s">
        <v>2032</v>
      </c>
      <c r="F720" s="203">
        <v>0</v>
      </c>
      <c r="G720" s="202"/>
      <c r="H720" s="202" t="s">
        <v>2024</v>
      </c>
      <c r="I720" s="202"/>
      <c r="J720" s="202">
        <v>2013</v>
      </c>
      <c r="K720" s="202" t="s">
        <v>1733</v>
      </c>
      <c r="L720" s="202" t="s">
        <v>1732</v>
      </c>
      <c r="M720" s="202" t="s">
        <v>1404</v>
      </c>
      <c r="N720" s="206">
        <v>41173</v>
      </c>
      <c r="O720" s="206">
        <v>41173</v>
      </c>
      <c r="P720" s="202" t="s">
        <v>2023</v>
      </c>
      <c r="Q720" s="203">
        <v>1000</v>
      </c>
      <c r="R720" s="203">
        <v>14040</v>
      </c>
      <c r="S720" s="204">
        <v>-62.5</v>
      </c>
      <c r="T720" s="203">
        <v>14046</v>
      </c>
      <c r="U720" s="204">
        <v>-60.42</v>
      </c>
      <c r="V720" s="204">
        <f t="shared" si="23"/>
        <v>-2.0799999999999983</v>
      </c>
      <c r="W720" s="205">
        <v>-2.61</v>
      </c>
      <c r="X720" s="203">
        <v>51260</v>
      </c>
      <c r="Y720" s="204">
        <v>-0.53</v>
      </c>
      <c r="Z720" s="202" t="s">
        <v>97</v>
      </c>
      <c r="AA720" s="202"/>
      <c r="AB720" s="202" t="s">
        <v>2031</v>
      </c>
      <c r="AC720" s="202"/>
      <c r="AD720" s="202" t="s">
        <v>1152</v>
      </c>
      <c r="AE720" s="202" t="s">
        <v>1153</v>
      </c>
      <c r="AF720" s="203" t="s">
        <v>1154</v>
      </c>
      <c r="AG720" s="202"/>
      <c r="AH720" s="203" t="s">
        <v>1155</v>
      </c>
      <c r="AI720" s="202">
        <v>0</v>
      </c>
      <c r="AJ720" s="202">
        <v>0</v>
      </c>
    </row>
    <row r="721" spans="2:36">
      <c r="B721" s="203">
        <v>2180</v>
      </c>
      <c r="C721" s="207">
        <v>97422</v>
      </c>
      <c r="D721" s="203">
        <v>96422</v>
      </c>
      <c r="E721" s="202" t="s">
        <v>2030</v>
      </c>
      <c r="F721" s="203">
        <v>0</v>
      </c>
      <c r="G721" s="202"/>
      <c r="H721" s="202" t="s">
        <v>2021</v>
      </c>
      <c r="I721" s="202"/>
      <c r="J721" s="202">
        <v>2013</v>
      </c>
      <c r="K721" s="202" t="s">
        <v>1733</v>
      </c>
      <c r="L721" s="202" t="s">
        <v>1042</v>
      </c>
      <c r="M721" s="202" t="s">
        <v>1404</v>
      </c>
      <c r="N721" s="206">
        <v>41173</v>
      </c>
      <c r="O721" s="206">
        <v>41173</v>
      </c>
      <c r="P721" s="202" t="s">
        <v>2020</v>
      </c>
      <c r="Q721" s="203">
        <v>1000</v>
      </c>
      <c r="R721" s="203">
        <v>14040</v>
      </c>
      <c r="S721" s="204">
        <v>-62.5</v>
      </c>
      <c r="T721" s="203">
        <v>14046</v>
      </c>
      <c r="U721" s="204">
        <v>-60.42</v>
      </c>
      <c r="V721" s="204">
        <f t="shared" si="23"/>
        <v>-2.0799999999999983</v>
      </c>
      <c r="W721" s="205">
        <v>-2.61</v>
      </c>
      <c r="X721" s="203">
        <v>51260</v>
      </c>
      <c r="Y721" s="204">
        <v>-0.53</v>
      </c>
      <c r="Z721" s="202" t="s">
        <v>97</v>
      </c>
      <c r="AA721" s="202"/>
      <c r="AB721" s="202" t="s">
        <v>2029</v>
      </c>
      <c r="AC721" s="202"/>
      <c r="AD721" s="202" t="s">
        <v>1152</v>
      </c>
      <c r="AE721" s="202" t="s">
        <v>1153</v>
      </c>
      <c r="AF721" s="203" t="s">
        <v>1154</v>
      </c>
      <c r="AG721" s="202"/>
      <c r="AH721" s="203" t="s">
        <v>1155</v>
      </c>
      <c r="AI721" s="202">
        <v>0</v>
      </c>
      <c r="AJ721" s="202">
        <v>0</v>
      </c>
    </row>
    <row r="722" spans="2:36">
      <c r="B722" s="203">
        <v>2180</v>
      </c>
      <c r="C722" s="207">
        <v>97272</v>
      </c>
      <c r="D722" s="203" t="s">
        <v>97</v>
      </c>
      <c r="E722" s="202" t="s">
        <v>2026</v>
      </c>
      <c r="F722" s="203">
        <v>648</v>
      </c>
      <c r="G722" s="202"/>
      <c r="H722" s="202"/>
      <c r="I722" s="202"/>
      <c r="J722" s="202">
        <v>0</v>
      </c>
      <c r="K722" s="202" t="s">
        <v>2028</v>
      </c>
      <c r="L722" s="202"/>
      <c r="M722" s="202"/>
      <c r="N722" s="206">
        <v>41084</v>
      </c>
      <c r="O722" s="206">
        <v>41084</v>
      </c>
      <c r="P722" s="202" t="s">
        <v>1985</v>
      </c>
      <c r="Q722" s="203">
        <v>700</v>
      </c>
      <c r="R722" s="203">
        <v>14050</v>
      </c>
      <c r="S722" s="204">
        <v>29795.56</v>
      </c>
      <c r="T722" s="203">
        <v>14056</v>
      </c>
      <c r="U722" s="204">
        <v>29795.56</v>
      </c>
      <c r="V722" s="204">
        <f t="shared" si="23"/>
        <v>0</v>
      </c>
      <c r="W722" s="205">
        <v>0</v>
      </c>
      <c r="X722" s="203">
        <v>54260</v>
      </c>
      <c r="Y722" s="204">
        <v>0</v>
      </c>
      <c r="Z722" s="202" t="s">
        <v>97</v>
      </c>
      <c r="AA722" s="202"/>
      <c r="AB722" s="202" t="s">
        <v>2027</v>
      </c>
      <c r="AC722" s="202"/>
      <c r="AD722" s="202" t="s">
        <v>1152</v>
      </c>
      <c r="AE722" s="202" t="s">
        <v>1153</v>
      </c>
      <c r="AF722" s="203" t="s">
        <v>1154</v>
      </c>
      <c r="AG722" s="202"/>
      <c r="AH722" s="203" t="s">
        <v>1155</v>
      </c>
      <c r="AI722" s="202">
        <v>0</v>
      </c>
      <c r="AJ722" s="202">
        <v>0</v>
      </c>
    </row>
    <row r="723" spans="2:36">
      <c r="B723" s="203">
        <v>2180</v>
      </c>
      <c r="C723" s="207">
        <v>97271</v>
      </c>
      <c r="D723" s="203" t="s">
        <v>97</v>
      </c>
      <c r="E723" s="202" t="s">
        <v>2026</v>
      </c>
      <c r="F723" s="203">
        <v>648</v>
      </c>
      <c r="G723" s="202"/>
      <c r="H723" s="202"/>
      <c r="I723" s="202"/>
      <c r="J723" s="202">
        <v>0</v>
      </c>
      <c r="K723" s="202" t="s">
        <v>1658</v>
      </c>
      <c r="L723" s="202"/>
      <c r="M723" s="202"/>
      <c r="N723" s="206">
        <v>41084</v>
      </c>
      <c r="O723" s="206">
        <v>41084</v>
      </c>
      <c r="P723" s="202" t="s">
        <v>1985</v>
      </c>
      <c r="Q723" s="203">
        <v>700</v>
      </c>
      <c r="R723" s="203">
        <v>14050</v>
      </c>
      <c r="S723" s="204">
        <v>29795.56</v>
      </c>
      <c r="T723" s="203">
        <v>14056</v>
      </c>
      <c r="U723" s="204">
        <v>29795.56</v>
      </c>
      <c r="V723" s="204">
        <f t="shared" si="23"/>
        <v>0</v>
      </c>
      <c r="W723" s="205">
        <v>0</v>
      </c>
      <c r="X723" s="203">
        <v>54260</v>
      </c>
      <c r="Y723" s="204">
        <v>0</v>
      </c>
      <c r="Z723" s="202" t="s">
        <v>97</v>
      </c>
      <c r="AA723" s="202"/>
      <c r="AB723" s="202" t="s">
        <v>2025</v>
      </c>
      <c r="AC723" s="202"/>
      <c r="AD723" s="202" t="s">
        <v>1152</v>
      </c>
      <c r="AE723" s="202" t="s">
        <v>1153</v>
      </c>
      <c r="AF723" s="203" t="s">
        <v>1154</v>
      </c>
      <c r="AG723" s="202"/>
      <c r="AH723" s="203" t="s">
        <v>1155</v>
      </c>
      <c r="AI723" s="202">
        <v>0</v>
      </c>
      <c r="AJ723" s="202">
        <v>0</v>
      </c>
    </row>
    <row r="724" spans="2:36">
      <c r="B724" s="203">
        <v>2180</v>
      </c>
      <c r="C724" s="207">
        <v>96423</v>
      </c>
      <c r="D724" s="203" t="s">
        <v>97</v>
      </c>
      <c r="E724" s="202" t="s">
        <v>2022</v>
      </c>
      <c r="F724" s="203">
        <v>0</v>
      </c>
      <c r="G724" s="202"/>
      <c r="H724" s="202" t="s">
        <v>2024</v>
      </c>
      <c r="I724" s="202"/>
      <c r="J724" s="202">
        <v>2013</v>
      </c>
      <c r="K724" s="202" t="s">
        <v>1733</v>
      </c>
      <c r="L724" s="202" t="s">
        <v>1732</v>
      </c>
      <c r="M724" s="202" t="s">
        <v>1404</v>
      </c>
      <c r="N724" s="206">
        <v>41173</v>
      </c>
      <c r="O724" s="206">
        <v>41173</v>
      </c>
      <c r="P724" s="202" t="s">
        <v>2023</v>
      </c>
      <c r="Q724" s="203">
        <v>1000</v>
      </c>
      <c r="R724" s="203">
        <v>14040</v>
      </c>
      <c r="S724" s="204">
        <v>314011.90000000002</v>
      </c>
      <c r="T724" s="203">
        <v>14046</v>
      </c>
      <c r="U724" s="204">
        <v>303544.84000000003</v>
      </c>
      <c r="V724" s="204">
        <f t="shared" si="23"/>
        <v>10467.059999999998</v>
      </c>
      <c r="W724" s="205">
        <v>13083.83</v>
      </c>
      <c r="X724" s="203">
        <v>51260</v>
      </c>
      <c r="Y724" s="204">
        <v>2616.77</v>
      </c>
      <c r="Z724" s="202" t="s">
        <v>97</v>
      </c>
      <c r="AA724" s="202"/>
      <c r="AB724" s="202">
        <v>4101940</v>
      </c>
      <c r="AC724" s="202">
        <v>3634</v>
      </c>
      <c r="AD724" s="202" t="s">
        <v>1152</v>
      </c>
      <c r="AE724" s="202" t="s">
        <v>1153</v>
      </c>
      <c r="AF724" s="203" t="s">
        <v>1154</v>
      </c>
      <c r="AG724" s="202"/>
      <c r="AH724" s="203" t="s">
        <v>1155</v>
      </c>
      <c r="AI724" s="202">
        <v>0</v>
      </c>
      <c r="AJ724" s="202">
        <v>0</v>
      </c>
    </row>
    <row r="725" spans="2:36">
      <c r="B725" s="203">
        <v>2180</v>
      </c>
      <c r="C725" s="207">
        <v>96422</v>
      </c>
      <c r="D725" s="203" t="s">
        <v>97</v>
      </c>
      <c r="E725" s="202" t="s">
        <v>2022</v>
      </c>
      <c r="F725" s="203">
        <v>0</v>
      </c>
      <c r="G725" s="202"/>
      <c r="H725" s="202" t="s">
        <v>2021</v>
      </c>
      <c r="I725" s="202"/>
      <c r="J725" s="202">
        <v>2013</v>
      </c>
      <c r="K725" s="202" t="s">
        <v>1733</v>
      </c>
      <c r="L725" s="202" t="s">
        <v>1732</v>
      </c>
      <c r="M725" s="202" t="s">
        <v>1404</v>
      </c>
      <c r="N725" s="206">
        <v>41173</v>
      </c>
      <c r="O725" s="206">
        <v>41173</v>
      </c>
      <c r="P725" s="202" t="s">
        <v>2020</v>
      </c>
      <c r="Q725" s="203">
        <v>1000</v>
      </c>
      <c r="R725" s="203">
        <v>14040</v>
      </c>
      <c r="S725" s="204">
        <v>314011.90000000002</v>
      </c>
      <c r="T725" s="203">
        <v>14046</v>
      </c>
      <c r="U725" s="204">
        <v>303544.84000000003</v>
      </c>
      <c r="V725" s="204">
        <f t="shared" si="23"/>
        <v>10467.059999999998</v>
      </c>
      <c r="W725" s="205">
        <v>13083.83</v>
      </c>
      <c r="X725" s="203">
        <v>51260</v>
      </c>
      <c r="Y725" s="204">
        <v>2616.77</v>
      </c>
      <c r="Z725" s="202" t="s">
        <v>97</v>
      </c>
      <c r="AA725" s="202"/>
      <c r="AB725" s="202">
        <v>4101941</v>
      </c>
      <c r="AC725" s="202">
        <v>3633</v>
      </c>
      <c r="AD725" s="202" t="s">
        <v>1152</v>
      </c>
      <c r="AE725" s="202" t="s">
        <v>1153</v>
      </c>
      <c r="AF725" s="203" t="s">
        <v>1154</v>
      </c>
      <c r="AG725" s="202"/>
      <c r="AH725" s="203" t="s">
        <v>1155</v>
      </c>
      <c r="AI725" s="202">
        <v>0</v>
      </c>
      <c r="AJ725" s="202">
        <v>0</v>
      </c>
    </row>
    <row r="726" spans="2:36">
      <c r="B726" s="203">
        <v>2180</v>
      </c>
      <c r="C726" s="207">
        <v>96396</v>
      </c>
      <c r="D726" s="203" t="s">
        <v>97</v>
      </c>
      <c r="E726" s="202" t="s">
        <v>520</v>
      </c>
      <c r="F726" s="203">
        <v>18</v>
      </c>
      <c r="G726" s="202"/>
      <c r="H726" s="202"/>
      <c r="I726" s="202"/>
      <c r="J726" s="202">
        <v>0</v>
      </c>
      <c r="K726" s="202" t="s">
        <v>2010</v>
      </c>
      <c r="L726" s="202"/>
      <c r="M726" s="202" t="s">
        <v>1456</v>
      </c>
      <c r="N726" s="206">
        <v>41103</v>
      </c>
      <c r="O726" s="206">
        <v>41103</v>
      </c>
      <c r="P726" s="202" t="s">
        <v>2009</v>
      </c>
      <c r="Q726" s="203">
        <v>1200</v>
      </c>
      <c r="R726" s="203">
        <v>14050</v>
      </c>
      <c r="S726" s="204">
        <v>18055.38</v>
      </c>
      <c r="T726" s="203">
        <v>14056</v>
      </c>
      <c r="U726" s="204">
        <v>14920.82</v>
      </c>
      <c r="V726" s="204">
        <f t="shared" si="23"/>
        <v>3134.5600000000013</v>
      </c>
      <c r="W726" s="205">
        <v>626.92999999999995</v>
      </c>
      <c r="X726" s="203">
        <v>54260</v>
      </c>
      <c r="Y726" s="204">
        <v>125.39</v>
      </c>
      <c r="Z726" s="202" t="s">
        <v>97</v>
      </c>
      <c r="AA726" s="202"/>
      <c r="AB726" s="202">
        <v>37204958</v>
      </c>
      <c r="AC726" s="202"/>
      <c r="AD726" s="202" t="s">
        <v>1152</v>
      </c>
      <c r="AE726" s="202" t="s">
        <v>1153</v>
      </c>
      <c r="AF726" s="203" t="s">
        <v>1154</v>
      </c>
      <c r="AG726" s="202"/>
      <c r="AH726" s="203" t="s">
        <v>1155</v>
      </c>
      <c r="AI726" s="202">
        <v>0</v>
      </c>
      <c r="AJ726" s="202">
        <v>0</v>
      </c>
    </row>
    <row r="727" spans="2:36">
      <c r="B727" s="203">
        <v>2180</v>
      </c>
      <c r="C727" s="207">
        <v>96395</v>
      </c>
      <c r="D727" s="203" t="s">
        <v>97</v>
      </c>
      <c r="E727" s="202" t="s">
        <v>520</v>
      </c>
      <c r="F727" s="203">
        <v>8</v>
      </c>
      <c r="G727" s="202"/>
      <c r="H727" s="202"/>
      <c r="I727" s="202"/>
      <c r="J727" s="202">
        <v>0</v>
      </c>
      <c r="K727" s="202" t="s">
        <v>2010</v>
      </c>
      <c r="L727" s="202"/>
      <c r="M727" s="202" t="s">
        <v>1456</v>
      </c>
      <c r="N727" s="206">
        <v>41106</v>
      </c>
      <c r="O727" s="206">
        <v>41106</v>
      </c>
      <c r="P727" s="202" t="s">
        <v>2009</v>
      </c>
      <c r="Q727" s="203">
        <v>1200</v>
      </c>
      <c r="R727" s="203">
        <v>14050</v>
      </c>
      <c r="S727" s="204">
        <v>8067.16</v>
      </c>
      <c r="T727" s="203">
        <v>14056</v>
      </c>
      <c r="U727" s="204">
        <v>6610.56</v>
      </c>
      <c r="V727" s="204">
        <f t="shared" si="23"/>
        <v>1456.5999999999995</v>
      </c>
      <c r="W727" s="205">
        <v>280.11</v>
      </c>
      <c r="X727" s="203">
        <v>54260</v>
      </c>
      <c r="Y727" s="204">
        <v>56.02</v>
      </c>
      <c r="Z727" s="202" t="s">
        <v>97</v>
      </c>
      <c r="AA727" s="202"/>
      <c r="AB727" s="202">
        <v>37204976</v>
      </c>
      <c r="AC727" s="202"/>
      <c r="AD727" s="202" t="s">
        <v>1152</v>
      </c>
      <c r="AE727" s="202" t="s">
        <v>1153</v>
      </c>
      <c r="AF727" s="203" t="s">
        <v>1154</v>
      </c>
      <c r="AG727" s="202"/>
      <c r="AH727" s="203" t="s">
        <v>1155</v>
      </c>
      <c r="AI727" s="202">
        <v>0</v>
      </c>
      <c r="AJ727" s="202">
        <v>0</v>
      </c>
    </row>
    <row r="728" spans="2:36">
      <c r="B728" s="203">
        <v>2180</v>
      </c>
      <c r="C728" s="207">
        <v>96314</v>
      </c>
      <c r="D728" s="203" t="s">
        <v>97</v>
      </c>
      <c r="E728" s="202" t="s">
        <v>2018</v>
      </c>
      <c r="F728" s="203">
        <v>486</v>
      </c>
      <c r="G728" s="202"/>
      <c r="H728" s="202"/>
      <c r="I728" s="202"/>
      <c r="J728" s="202">
        <v>0</v>
      </c>
      <c r="K728" s="202" t="s">
        <v>1658</v>
      </c>
      <c r="L728" s="202"/>
      <c r="M728" s="202"/>
      <c r="N728" s="206">
        <v>41142</v>
      </c>
      <c r="O728" s="206">
        <v>41142</v>
      </c>
      <c r="P728" s="202" t="s">
        <v>1989</v>
      </c>
      <c r="Q728" s="203">
        <v>700</v>
      </c>
      <c r="R728" s="203">
        <v>14050</v>
      </c>
      <c r="S728" s="204">
        <v>26015.29</v>
      </c>
      <c r="T728" s="203">
        <v>14056</v>
      </c>
      <c r="U728" s="204">
        <v>26015.29</v>
      </c>
      <c r="V728" s="204">
        <f t="shared" si="23"/>
        <v>0</v>
      </c>
      <c r="W728" s="205">
        <v>0</v>
      </c>
      <c r="X728" s="203">
        <v>54260</v>
      </c>
      <c r="Y728" s="204">
        <v>0</v>
      </c>
      <c r="Z728" s="202" t="s">
        <v>97</v>
      </c>
      <c r="AA728" s="202"/>
      <c r="AB728" s="202" t="s">
        <v>2019</v>
      </c>
      <c r="AC728" s="202"/>
      <c r="AD728" s="202" t="s">
        <v>1152</v>
      </c>
      <c r="AE728" s="202" t="s">
        <v>1153</v>
      </c>
      <c r="AF728" s="203" t="s">
        <v>1154</v>
      </c>
      <c r="AG728" s="202"/>
      <c r="AH728" s="203" t="s">
        <v>1155</v>
      </c>
      <c r="AI728" s="202">
        <v>0</v>
      </c>
      <c r="AJ728" s="202">
        <v>0</v>
      </c>
    </row>
    <row r="729" spans="2:36">
      <c r="B729" s="203">
        <v>2180</v>
      </c>
      <c r="C729" s="207">
        <v>96313</v>
      </c>
      <c r="D729" s="203" t="s">
        <v>97</v>
      </c>
      <c r="E729" s="202" t="s">
        <v>2018</v>
      </c>
      <c r="F729" s="203">
        <v>486</v>
      </c>
      <c r="G729" s="202"/>
      <c r="H729" s="202"/>
      <c r="I729" s="202"/>
      <c r="J729" s="202">
        <v>0</v>
      </c>
      <c r="K729" s="202" t="s">
        <v>1658</v>
      </c>
      <c r="L729" s="202"/>
      <c r="M729" s="202"/>
      <c r="N729" s="206">
        <v>41142</v>
      </c>
      <c r="O729" s="206">
        <v>41142</v>
      </c>
      <c r="P729" s="202" t="s">
        <v>1989</v>
      </c>
      <c r="Q729" s="203">
        <v>700</v>
      </c>
      <c r="R729" s="203">
        <v>14050</v>
      </c>
      <c r="S729" s="204">
        <v>26015.29</v>
      </c>
      <c r="T729" s="203">
        <v>14056</v>
      </c>
      <c r="U729" s="204">
        <v>26015.29</v>
      </c>
      <c r="V729" s="204">
        <f t="shared" si="23"/>
        <v>0</v>
      </c>
      <c r="W729" s="205">
        <v>0</v>
      </c>
      <c r="X729" s="203">
        <v>54260</v>
      </c>
      <c r="Y729" s="204">
        <v>0</v>
      </c>
      <c r="Z729" s="202" t="s">
        <v>97</v>
      </c>
      <c r="AA729" s="202"/>
      <c r="AB729" s="202" t="s">
        <v>2017</v>
      </c>
      <c r="AC729" s="202"/>
      <c r="AD729" s="202" t="s">
        <v>1152</v>
      </c>
      <c r="AE729" s="202" t="s">
        <v>1153</v>
      </c>
      <c r="AF729" s="203" t="s">
        <v>1154</v>
      </c>
      <c r="AG729" s="202"/>
      <c r="AH729" s="203" t="s">
        <v>1155</v>
      </c>
      <c r="AI729" s="202">
        <v>0</v>
      </c>
      <c r="AJ729" s="202">
        <v>0</v>
      </c>
    </row>
    <row r="730" spans="2:36">
      <c r="B730" s="203">
        <v>2180</v>
      </c>
      <c r="C730" s="207">
        <v>95921</v>
      </c>
      <c r="D730" s="203" t="s">
        <v>97</v>
      </c>
      <c r="E730" s="202" t="s">
        <v>2016</v>
      </c>
      <c r="F730" s="203">
        <v>27</v>
      </c>
      <c r="G730" s="202"/>
      <c r="H730" s="202"/>
      <c r="I730" s="202"/>
      <c r="J730" s="202">
        <v>0</v>
      </c>
      <c r="K730" s="202" t="s">
        <v>2010</v>
      </c>
      <c r="L730" s="202"/>
      <c r="M730" s="202" t="s">
        <v>1421</v>
      </c>
      <c r="N730" s="206">
        <v>41128</v>
      </c>
      <c r="O730" s="206">
        <v>41128</v>
      </c>
      <c r="P730" s="202" t="s">
        <v>2014</v>
      </c>
      <c r="Q730" s="203">
        <v>1200</v>
      </c>
      <c r="R730" s="203">
        <v>14050</v>
      </c>
      <c r="S730" s="204">
        <v>13614.14</v>
      </c>
      <c r="T730" s="203">
        <v>14056</v>
      </c>
      <c r="U730" s="204">
        <v>11156.01</v>
      </c>
      <c r="V730" s="204">
        <f t="shared" si="23"/>
        <v>2458.1299999999992</v>
      </c>
      <c r="W730" s="205">
        <v>472.71</v>
      </c>
      <c r="X730" s="203">
        <v>54260</v>
      </c>
      <c r="Y730" s="204">
        <v>94.54</v>
      </c>
      <c r="Z730" s="202" t="s">
        <v>97</v>
      </c>
      <c r="AA730" s="202"/>
      <c r="AB730" s="202">
        <v>37205096</v>
      </c>
      <c r="AC730" s="202"/>
      <c r="AD730" s="202" t="s">
        <v>1152</v>
      </c>
      <c r="AE730" s="202" t="s">
        <v>1153</v>
      </c>
      <c r="AF730" s="203" t="s">
        <v>1154</v>
      </c>
      <c r="AG730" s="202"/>
      <c r="AH730" s="203" t="s">
        <v>1155</v>
      </c>
      <c r="AI730" s="202">
        <v>0</v>
      </c>
      <c r="AJ730" s="202">
        <v>0</v>
      </c>
    </row>
    <row r="731" spans="2:36">
      <c r="B731" s="203">
        <v>2180</v>
      </c>
      <c r="C731" s="207">
        <v>95704</v>
      </c>
      <c r="D731" s="203" t="s">
        <v>97</v>
      </c>
      <c r="E731" s="202" t="s">
        <v>2015</v>
      </c>
      <c r="F731" s="203">
        <v>15</v>
      </c>
      <c r="G731" s="202"/>
      <c r="H731" s="202"/>
      <c r="I731" s="202"/>
      <c r="J731" s="202">
        <v>0</v>
      </c>
      <c r="K731" s="202" t="s">
        <v>2010</v>
      </c>
      <c r="L731" s="202"/>
      <c r="M731" s="202" t="s">
        <v>1421</v>
      </c>
      <c r="N731" s="206">
        <v>41128</v>
      </c>
      <c r="O731" s="206">
        <v>41128</v>
      </c>
      <c r="P731" s="202" t="s">
        <v>2014</v>
      </c>
      <c r="Q731" s="203">
        <v>1200</v>
      </c>
      <c r="R731" s="203">
        <v>14050</v>
      </c>
      <c r="S731" s="204">
        <v>7641.6</v>
      </c>
      <c r="T731" s="203">
        <v>14056</v>
      </c>
      <c r="U731" s="204">
        <v>6261.86</v>
      </c>
      <c r="V731" s="204">
        <f t="shared" si="23"/>
        <v>1379.7400000000007</v>
      </c>
      <c r="W731" s="205">
        <v>265.33</v>
      </c>
      <c r="X731" s="203">
        <v>54260</v>
      </c>
      <c r="Y731" s="204">
        <v>53.06</v>
      </c>
      <c r="Z731" s="202" t="s">
        <v>97</v>
      </c>
      <c r="AA731" s="202"/>
      <c r="AB731" s="202">
        <v>37205080</v>
      </c>
      <c r="AC731" s="202"/>
      <c r="AD731" s="202" t="s">
        <v>1152</v>
      </c>
      <c r="AE731" s="202" t="s">
        <v>1153</v>
      </c>
      <c r="AF731" s="203" t="s">
        <v>1154</v>
      </c>
      <c r="AG731" s="202"/>
      <c r="AH731" s="203" t="s">
        <v>1155</v>
      </c>
      <c r="AI731" s="202">
        <v>0</v>
      </c>
      <c r="AJ731" s="202">
        <v>0</v>
      </c>
    </row>
    <row r="732" spans="2:36">
      <c r="B732" s="203">
        <v>2180</v>
      </c>
      <c r="C732" s="207">
        <v>95598</v>
      </c>
      <c r="D732" s="203" t="s">
        <v>97</v>
      </c>
      <c r="E732" s="202" t="s">
        <v>2013</v>
      </c>
      <c r="F732" s="203">
        <v>0</v>
      </c>
      <c r="G732" s="202"/>
      <c r="H732" s="202"/>
      <c r="I732" s="202"/>
      <c r="J732" s="202">
        <v>0</v>
      </c>
      <c r="K732" s="202" t="s">
        <v>2012</v>
      </c>
      <c r="L732" s="202"/>
      <c r="M732" s="202"/>
      <c r="N732" s="206">
        <v>41123</v>
      </c>
      <c r="O732" s="206">
        <v>41123</v>
      </c>
      <c r="P732" s="202" t="s">
        <v>2011</v>
      </c>
      <c r="Q732" s="203">
        <v>500</v>
      </c>
      <c r="R732" s="203">
        <v>14110</v>
      </c>
      <c r="S732" s="204">
        <v>1078.0999999999999</v>
      </c>
      <c r="T732" s="203">
        <v>14116</v>
      </c>
      <c r="U732" s="204">
        <v>1078.0999999999999</v>
      </c>
      <c r="V732" s="204">
        <f t="shared" si="23"/>
        <v>0</v>
      </c>
      <c r="W732" s="205">
        <v>0</v>
      </c>
      <c r="X732" s="203">
        <v>70260</v>
      </c>
      <c r="Y732" s="204">
        <v>0</v>
      </c>
      <c r="Z732" s="202" t="s">
        <v>97</v>
      </c>
      <c r="AA732" s="202"/>
      <c r="AB732" s="202"/>
      <c r="AC732" s="202"/>
      <c r="AD732" s="202" t="s">
        <v>1152</v>
      </c>
      <c r="AE732" s="202" t="s">
        <v>1153</v>
      </c>
      <c r="AF732" s="203" t="s">
        <v>1154</v>
      </c>
      <c r="AG732" s="202"/>
      <c r="AH732" s="203" t="s">
        <v>1155</v>
      </c>
      <c r="AI732" s="202">
        <v>0</v>
      </c>
      <c r="AJ732" s="202">
        <v>0</v>
      </c>
    </row>
    <row r="733" spans="2:36">
      <c r="B733" s="203">
        <v>2180</v>
      </c>
      <c r="C733" s="207">
        <v>95356</v>
      </c>
      <c r="D733" s="203" t="s">
        <v>97</v>
      </c>
      <c r="E733" s="202" t="s">
        <v>521</v>
      </c>
      <c r="F733" s="203">
        <v>9</v>
      </c>
      <c r="G733" s="202"/>
      <c r="H733" s="202"/>
      <c r="I733" s="202"/>
      <c r="J733" s="202">
        <v>0</v>
      </c>
      <c r="K733" s="202" t="s">
        <v>2010</v>
      </c>
      <c r="L733" s="202"/>
      <c r="M733" s="202"/>
      <c r="N733" s="206">
        <v>41103</v>
      </c>
      <c r="O733" s="206">
        <v>41103</v>
      </c>
      <c r="P733" s="202" t="s">
        <v>2009</v>
      </c>
      <c r="Q733" s="203">
        <v>1200</v>
      </c>
      <c r="R733" s="203">
        <v>14050</v>
      </c>
      <c r="S733" s="204">
        <v>9027.69</v>
      </c>
      <c r="T733" s="203">
        <v>14056</v>
      </c>
      <c r="U733" s="204">
        <v>7460.4</v>
      </c>
      <c r="V733" s="204">
        <f t="shared" si="23"/>
        <v>1567.2900000000009</v>
      </c>
      <c r="W733" s="205">
        <v>313.45999999999998</v>
      </c>
      <c r="X733" s="203">
        <v>54260</v>
      </c>
      <c r="Y733" s="204">
        <v>62.69</v>
      </c>
      <c r="Z733" s="202" t="s">
        <v>97</v>
      </c>
      <c r="AA733" s="202"/>
      <c r="AB733" s="202">
        <v>37204947</v>
      </c>
      <c r="AC733" s="202"/>
      <c r="AD733" s="202" t="s">
        <v>1152</v>
      </c>
      <c r="AE733" s="202" t="s">
        <v>1153</v>
      </c>
      <c r="AF733" s="203" t="s">
        <v>1154</v>
      </c>
      <c r="AG733" s="202"/>
      <c r="AH733" s="203" t="s">
        <v>1155</v>
      </c>
      <c r="AI733" s="202">
        <v>0</v>
      </c>
      <c r="AJ733" s="202">
        <v>0</v>
      </c>
    </row>
    <row r="734" spans="2:36">
      <c r="B734" s="203">
        <v>2180</v>
      </c>
      <c r="C734" s="207">
        <v>95320</v>
      </c>
      <c r="D734" s="203">
        <v>94430</v>
      </c>
      <c r="E734" s="202" t="s">
        <v>2008</v>
      </c>
      <c r="F734" s="203">
        <v>0</v>
      </c>
      <c r="G734" s="202"/>
      <c r="H734" s="202" t="s">
        <v>2004</v>
      </c>
      <c r="I734" s="202"/>
      <c r="J734" s="202">
        <v>2011</v>
      </c>
      <c r="K734" s="202" t="s">
        <v>2003</v>
      </c>
      <c r="L734" s="202" t="s">
        <v>1395</v>
      </c>
      <c r="M734" s="202" t="s">
        <v>1447</v>
      </c>
      <c r="N734" s="206">
        <v>41014</v>
      </c>
      <c r="O734" s="206">
        <v>41014</v>
      </c>
      <c r="P734" s="202" t="s">
        <v>1998</v>
      </c>
      <c r="Q734" s="203">
        <v>900</v>
      </c>
      <c r="R734" s="203">
        <v>14040</v>
      </c>
      <c r="S734" s="204">
        <v>-47.17</v>
      </c>
      <c r="T734" s="203">
        <v>14046</v>
      </c>
      <c r="U734" s="204">
        <v>-47.17</v>
      </c>
      <c r="V734" s="204">
        <f t="shared" si="23"/>
        <v>0</v>
      </c>
      <c r="W734" s="205">
        <v>0</v>
      </c>
      <c r="X734" s="203">
        <v>51260</v>
      </c>
      <c r="Y734" s="204">
        <v>0</v>
      </c>
      <c r="Z734" s="202" t="s">
        <v>97</v>
      </c>
      <c r="AA734" s="202"/>
      <c r="AB734" s="202" t="s">
        <v>2007</v>
      </c>
      <c r="AC734" s="202"/>
      <c r="AD734" s="202" t="s">
        <v>1152</v>
      </c>
      <c r="AE734" s="202" t="s">
        <v>1153</v>
      </c>
      <c r="AF734" s="203" t="s">
        <v>1154</v>
      </c>
      <c r="AG734" s="202"/>
      <c r="AH734" s="203" t="s">
        <v>1155</v>
      </c>
      <c r="AI734" s="202">
        <v>0</v>
      </c>
      <c r="AJ734" s="202">
        <v>0</v>
      </c>
    </row>
    <row r="735" spans="2:36">
      <c r="B735" s="203">
        <v>2180</v>
      </c>
      <c r="C735" s="207">
        <v>95093</v>
      </c>
      <c r="D735" s="203" t="s">
        <v>97</v>
      </c>
      <c r="E735" s="202" t="s">
        <v>916</v>
      </c>
      <c r="F735" s="203">
        <v>0</v>
      </c>
      <c r="G735" s="202"/>
      <c r="H735" s="202"/>
      <c r="I735" s="202"/>
      <c r="J735" s="202">
        <v>0</v>
      </c>
      <c r="K735" s="202" t="s">
        <v>1429</v>
      </c>
      <c r="L735" s="202"/>
      <c r="M735" s="202"/>
      <c r="N735" s="206">
        <v>41024</v>
      </c>
      <c r="O735" s="206">
        <v>41024</v>
      </c>
      <c r="P735" s="202" t="s">
        <v>1979</v>
      </c>
      <c r="Q735" s="203">
        <v>300</v>
      </c>
      <c r="R735" s="203">
        <v>14110</v>
      </c>
      <c r="S735" s="204">
        <v>522.95000000000005</v>
      </c>
      <c r="T735" s="203">
        <v>14116</v>
      </c>
      <c r="U735" s="204">
        <v>522.95000000000005</v>
      </c>
      <c r="V735" s="204">
        <f t="shared" si="23"/>
        <v>0</v>
      </c>
      <c r="W735" s="205">
        <v>0</v>
      </c>
      <c r="X735" s="203">
        <v>70260</v>
      </c>
      <c r="Y735" s="204">
        <v>0</v>
      </c>
      <c r="Z735" s="202" t="s">
        <v>97</v>
      </c>
      <c r="AA735" s="202"/>
      <c r="AB735" s="202" t="s">
        <v>2006</v>
      </c>
      <c r="AC735" s="202"/>
      <c r="AD735" s="202" t="s">
        <v>1152</v>
      </c>
      <c r="AE735" s="202" t="s">
        <v>1153</v>
      </c>
      <c r="AF735" s="203" t="s">
        <v>1154</v>
      </c>
      <c r="AG735" s="208">
        <v>41090</v>
      </c>
      <c r="AH735" s="203" t="s">
        <v>1155</v>
      </c>
      <c r="AI735" s="202">
        <v>0</v>
      </c>
      <c r="AJ735" s="202">
        <v>29.05</v>
      </c>
    </row>
    <row r="736" spans="2:36">
      <c r="B736" s="203">
        <v>2180</v>
      </c>
      <c r="C736" s="207">
        <v>95092</v>
      </c>
      <c r="D736" s="203" t="s">
        <v>97</v>
      </c>
      <c r="E736" s="202" t="s">
        <v>916</v>
      </c>
      <c r="F736" s="203">
        <v>0</v>
      </c>
      <c r="G736" s="202"/>
      <c r="H736" s="202"/>
      <c r="I736" s="202"/>
      <c r="J736" s="202">
        <v>0</v>
      </c>
      <c r="K736" s="202" t="s">
        <v>1429</v>
      </c>
      <c r="L736" s="202"/>
      <c r="M736" s="202"/>
      <c r="N736" s="206">
        <v>41024</v>
      </c>
      <c r="O736" s="206">
        <v>41024</v>
      </c>
      <c r="P736" s="202" t="s">
        <v>1979</v>
      </c>
      <c r="Q736" s="203">
        <v>300</v>
      </c>
      <c r="R736" s="203">
        <v>14110</v>
      </c>
      <c r="S736" s="204">
        <v>1045.9000000000001</v>
      </c>
      <c r="T736" s="203">
        <v>14116</v>
      </c>
      <c r="U736" s="204">
        <v>1045.9000000000001</v>
      </c>
      <c r="V736" s="204">
        <f t="shared" si="23"/>
        <v>0</v>
      </c>
      <c r="W736" s="205">
        <v>0</v>
      </c>
      <c r="X736" s="203">
        <v>70260</v>
      </c>
      <c r="Y736" s="204">
        <v>0</v>
      </c>
      <c r="Z736" s="202" t="s">
        <v>97</v>
      </c>
      <c r="AA736" s="202"/>
      <c r="AB736" s="202" t="s">
        <v>2006</v>
      </c>
      <c r="AC736" s="202"/>
      <c r="AD736" s="202" t="s">
        <v>1152</v>
      </c>
      <c r="AE736" s="202" t="s">
        <v>1153</v>
      </c>
      <c r="AF736" s="203" t="s">
        <v>1154</v>
      </c>
      <c r="AG736" s="208">
        <v>41090</v>
      </c>
      <c r="AH736" s="203" t="s">
        <v>1155</v>
      </c>
      <c r="AI736" s="202">
        <v>0</v>
      </c>
      <c r="AJ736" s="202">
        <v>58.11</v>
      </c>
    </row>
    <row r="737" spans="2:36">
      <c r="B737" s="203">
        <v>2180</v>
      </c>
      <c r="C737" s="207">
        <v>94768</v>
      </c>
      <c r="D737" s="203">
        <v>94430</v>
      </c>
      <c r="E737" s="202" t="s">
        <v>2005</v>
      </c>
      <c r="F737" s="203">
        <v>0</v>
      </c>
      <c r="G737" s="202"/>
      <c r="H737" s="202" t="s">
        <v>2004</v>
      </c>
      <c r="I737" s="202"/>
      <c r="J737" s="202">
        <v>2011</v>
      </c>
      <c r="K737" s="202" t="s">
        <v>2003</v>
      </c>
      <c r="L737" s="202" t="s">
        <v>1395</v>
      </c>
      <c r="M737" s="202" t="s">
        <v>1999</v>
      </c>
      <c r="N737" s="206">
        <v>41014</v>
      </c>
      <c r="O737" s="206">
        <v>41014</v>
      </c>
      <c r="P737" s="202" t="s">
        <v>1998</v>
      </c>
      <c r="Q737" s="203">
        <v>900</v>
      </c>
      <c r="R737" s="203">
        <v>14040</v>
      </c>
      <c r="S737" s="204">
        <v>24205.87</v>
      </c>
      <c r="T737" s="203">
        <v>14046</v>
      </c>
      <c r="U737" s="204">
        <v>24205.87</v>
      </c>
      <c r="V737" s="204">
        <f t="shared" si="23"/>
        <v>0</v>
      </c>
      <c r="W737" s="205">
        <v>0</v>
      </c>
      <c r="X737" s="203">
        <v>51260</v>
      </c>
      <c r="Y737" s="204">
        <v>0</v>
      </c>
      <c r="Z737" s="202" t="s">
        <v>97</v>
      </c>
      <c r="AA737" s="202"/>
      <c r="AB737" s="210">
        <v>2771767</v>
      </c>
      <c r="AC737" s="202"/>
      <c r="AD737" s="202" t="s">
        <v>1152</v>
      </c>
      <c r="AE737" s="202" t="s">
        <v>1153</v>
      </c>
      <c r="AF737" s="203" t="s">
        <v>1154</v>
      </c>
      <c r="AG737" s="202"/>
      <c r="AH737" s="203" t="s">
        <v>1155</v>
      </c>
      <c r="AI737" s="202">
        <v>0</v>
      </c>
      <c r="AJ737" s="202">
        <v>0</v>
      </c>
    </row>
    <row r="738" spans="2:36">
      <c r="B738" s="203">
        <v>2180</v>
      </c>
      <c r="C738" s="207">
        <v>94430</v>
      </c>
      <c r="D738" s="203" t="s">
        <v>97</v>
      </c>
      <c r="E738" s="202" t="s">
        <v>2002</v>
      </c>
      <c r="F738" s="203">
        <v>0</v>
      </c>
      <c r="G738" s="202"/>
      <c r="H738" s="202" t="s">
        <v>2001</v>
      </c>
      <c r="I738" s="202"/>
      <c r="J738" s="202">
        <v>2011</v>
      </c>
      <c r="K738" s="202" t="s">
        <v>2000</v>
      </c>
      <c r="L738" s="202" t="s">
        <v>1395</v>
      </c>
      <c r="M738" s="202" t="s">
        <v>1999</v>
      </c>
      <c r="N738" s="206">
        <v>41014</v>
      </c>
      <c r="O738" s="206">
        <v>41014</v>
      </c>
      <c r="P738" s="202" t="s">
        <v>1998</v>
      </c>
      <c r="Q738" s="203">
        <v>900</v>
      </c>
      <c r="R738" s="203">
        <v>14040</v>
      </c>
      <c r="S738" s="204">
        <v>244600</v>
      </c>
      <c r="T738" s="203">
        <v>14046</v>
      </c>
      <c r="U738" s="204">
        <v>244600</v>
      </c>
      <c r="V738" s="204">
        <f t="shared" si="23"/>
        <v>0</v>
      </c>
      <c r="W738" s="205">
        <v>0</v>
      </c>
      <c r="X738" s="203">
        <v>51260</v>
      </c>
      <c r="Y738" s="204">
        <v>0</v>
      </c>
      <c r="Z738" s="202" t="s">
        <v>97</v>
      </c>
      <c r="AA738" s="202"/>
      <c r="AB738" s="202" t="s">
        <v>1997</v>
      </c>
      <c r="AC738" s="202">
        <v>2039</v>
      </c>
      <c r="AD738" s="202" t="s">
        <v>1152</v>
      </c>
      <c r="AE738" s="202" t="s">
        <v>1153</v>
      </c>
      <c r="AF738" s="203" t="s">
        <v>1154</v>
      </c>
      <c r="AG738" s="202"/>
      <c r="AH738" s="203" t="s">
        <v>1155</v>
      </c>
      <c r="AI738" s="202">
        <v>0</v>
      </c>
      <c r="AJ738" s="202">
        <v>0</v>
      </c>
    </row>
    <row r="739" spans="2:36">
      <c r="B739" s="203">
        <v>2180</v>
      </c>
      <c r="C739" s="207">
        <v>94335</v>
      </c>
      <c r="D739" s="203" t="s">
        <v>97</v>
      </c>
      <c r="E739" s="202" t="s">
        <v>1875</v>
      </c>
      <c r="F739" s="203">
        <v>486</v>
      </c>
      <c r="G739" s="202"/>
      <c r="H739" s="202" t="s">
        <v>1996</v>
      </c>
      <c r="I739" s="202"/>
      <c r="J739" s="202">
        <v>0</v>
      </c>
      <c r="K739" s="202" t="s">
        <v>1658</v>
      </c>
      <c r="L739" s="202"/>
      <c r="M739" s="202"/>
      <c r="N739" s="206">
        <v>41073</v>
      </c>
      <c r="O739" s="206">
        <v>41073</v>
      </c>
      <c r="P739" s="202" t="s">
        <v>1995</v>
      </c>
      <c r="Q739" s="203">
        <v>700</v>
      </c>
      <c r="R739" s="203">
        <v>14050</v>
      </c>
      <c r="S739" s="204">
        <v>25058.26</v>
      </c>
      <c r="T739" s="203">
        <v>14056</v>
      </c>
      <c r="U739" s="204">
        <v>25058.26</v>
      </c>
      <c r="V739" s="204">
        <f t="shared" si="23"/>
        <v>0</v>
      </c>
      <c r="W739" s="205">
        <v>0</v>
      </c>
      <c r="X739" s="203">
        <v>54260</v>
      </c>
      <c r="Y739" s="204">
        <v>0</v>
      </c>
      <c r="Z739" s="202" t="s">
        <v>97</v>
      </c>
      <c r="AA739" s="202"/>
      <c r="AB739" s="202" t="s">
        <v>1994</v>
      </c>
      <c r="AC739" s="202"/>
      <c r="AD739" s="202" t="s">
        <v>1152</v>
      </c>
      <c r="AE739" s="202" t="s">
        <v>1153</v>
      </c>
      <c r="AF739" s="203" t="s">
        <v>1154</v>
      </c>
      <c r="AG739" s="202"/>
      <c r="AH739" s="203" t="s">
        <v>1155</v>
      </c>
      <c r="AI739" s="202">
        <v>0</v>
      </c>
      <c r="AJ739" s="202">
        <v>0</v>
      </c>
    </row>
    <row r="740" spans="2:36">
      <c r="B740" s="203">
        <v>2180</v>
      </c>
      <c r="C740" s="207">
        <v>93827</v>
      </c>
      <c r="D740" s="203" t="s">
        <v>97</v>
      </c>
      <c r="E740" s="202" t="s">
        <v>1991</v>
      </c>
      <c r="F740" s="203">
        <v>486</v>
      </c>
      <c r="G740" s="202"/>
      <c r="H740" s="202" t="s">
        <v>1993</v>
      </c>
      <c r="I740" s="202"/>
      <c r="J740" s="202">
        <v>0</v>
      </c>
      <c r="K740" s="202" t="s">
        <v>1658</v>
      </c>
      <c r="L740" s="202"/>
      <c r="M740" s="202"/>
      <c r="N740" s="206">
        <v>41050</v>
      </c>
      <c r="O740" s="206">
        <v>41050</v>
      </c>
      <c r="P740" s="202" t="s">
        <v>1989</v>
      </c>
      <c r="Q740" s="203">
        <v>700</v>
      </c>
      <c r="R740" s="203">
        <v>14050</v>
      </c>
      <c r="S740" s="204">
        <v>25589.94</v>
      </c>
      <c r="T740" s="203">
        <v>14056</v>
      </c>
      <c r="U740" s="204">
        <v>25589.94</v>
      </c>
      <c r="V740" s="204">
        <f t="shared" si="23"/>
        <v>0</v>
      </c>
      <c r="W740" s="205">
        <v>0</v>
      </c>
      <c r="X740" s="203">
        <v>54260</v>
      </c>
      <c r="Y740" s="204">
        <v>0</v>
      </c>
      <c r="Z740" s="202" t="s">
        <v>97</v>
      </c>
      <c r="AA740" s="202"/>
      <c r="AB740" s="202" t="s">
        <v>1992</v>
      </c>
      <c r="AC740" s="202"/>
      <c r="AD740" s="202" t="s">
        <v>1152</v>
      </c>
      <c r="AE740" s="202" t="s">
        <v>1153</v>
      </c>
      <c r="AF740" s="203" t="s">
        <v>1154</v>
      </c>
      <c r="AG740" s="202"/>
      <c r="AH740" s="203" t="s">
        <v>1155</v>
      </c>
      <c r="AI740" s="202">
        <v>0</v>
      </c>
      <c r="AJ740" s="202">
        <v>0</v>
      </c>
    </row>
    <row r="741" spans="2:36">
      <c r="B741" s="203">
        <v>2180</v>
      </c>
      <c r="C741" s="207">
        <v>93826</v>
      </c>
      <c r="D741" s="203" t="s">
        <v>97</v>
      </c>
      <c r="E741" s="202" t="s">
        <v>1991</v>
      </c>
      <c r="F741" s="203">
        <v>486</v>
      </c>
      <c r="G741" s="202"/>
      <c r="H741" s="202" t="s">
        <v>1990</v>
      </c>
      <c r="I741" s="202"/>
      <c r="J741" s="202">
        <v>0</v>
      </c>
      <c r="K741" s="202" t="s">
        <v>1658</v>
      </c>
      <c r="L741" s="202"/>
      <c r="M741" s="202"/>
      <c r="N741" s="206">
        <v>41050</v>
      </c>
      <c r="O741" s="206">
        <v>41050</v>
      </c>
      <c r="P741" s="202" t="s">
        <v>1989</v>
      </c>
      <c r="Q741" s="203">
        <v>700</v>
      </c>
      <c r="R741" s="203">
        <v>14050</v>
      </c>
      <c r="S741" s="204">
        <v>25589.94</v>
      </c>
      <c r="T741" s="203">
        <v>14056</v>
      </c>
      <c r="U741" s="204">
        <v>25589.94</v>
      </c>
      <c r="V741" s="204">
        <f t="shared" si="23"/>
        <v>0</v>
      </c>
      <c r="W741" s="205">
        <v>0</v>
      </c>
      <c r="X741" s="203">
        <v>54260</v>
      </c>
      <c r="Y741" s="204">
        <v>0</v>
      </c>
      <c r="Z741" s="202" t="s">
        <v>97</v>
      </c>
      <c r="AA741" s="202"/>
      <c r="AB741" s="202" t="s">
        <v>1988</v>
      </c>
      <c r="AC741" s="202"/>
      <c r="AD741" s="202" t="s">
        <v>1152</v>
      </c>
      <c r="AE741" s="202" t="s">
        <v>1153</v>
      </c>
      <c r="AF741" s="203" t="s">
        <v>1154</v>
      </c>
      <c r="AG741" s="202"/>
      <c r="AH741" s="203" t="s">
        <v>1155</v>
      </c>
      <c r="AI741" s="202">
        <v>0</v>
      </c>
      <c r="AJ741" s="202">
        <v>0</v>
      </c>
    </row>
    <row r="742" spans="2:36">
      <c r="B742" s="203">
        <v>2180</v>
      </c>
      <c r="C742" s="207">
        <v>93825</v>
      </c>
      <c r="D742" s="203" t="s">
        <v>97</v>
      </c>
      <c r="E742" s="202" t="s">
        <v>1987</v>
      </c>
      <c r="F742" s="203">
        <v>648</v>
      </c>
      <c r="G742" s="202"/>
      <c r="H742" s="202" t="s">
        <v>1986</v>
      </c>
      <c r="I742" s="202"/>
      <c r="J742" s="202">
        <v>0</v>
      </c>
      <c r="K742" s="202" t="s">
        <v>1658</v>
      </c>
      <c r="L742" s="202"/>
      <c r="M742" s="202"/>
      <c r="N742" s="206">
        <v>41038</v>
      </c>
      <c r="O742" s="206">
        <v>41038</v>
      </c>
      <c r="P742" s="202" t="s">
        <v>1985</v>
      </c>
      <c r="Q742" s="203">
        <v>700</v>
      </c>
      <c r="R742" s="203">
        <v>14050</v>
      </c>
      <c r="S742" s="204">
        <v>28682.58</v>
      </c>
      <c r="T742" s="203">
        <v>14056</v>
      </c>
      <c r="U742" s="204">
        <v>28682.58</v>
      </c>
      <c r="V742" s="204">
        <f t="shared" si="23"/>
        <v>0</v>
      </c>
      <c r="W742" s="205">
        <v>0</v>
      </c>
      <c r="X742" s="203">
        <v>54260</v>
      </c>
      <c r="Y742" s="204">
        <v>0</v>
      </c>
      <c r="Z742" s="202" t="s">
        <v>97</v>
      </c>
      <c r="AA742" s="202"/>
      <c r="AB742" s="202" t="s">
        <v>1984</v>
      </c>
      <c r="AC742" s="202"/>
      <c r="AD742" s="202" t="s">
        <v>1152</v>
      </c>
      <c r="AE742" s="202" t="s">
        <v>1153</v>
      </c>
      <c r="AF742" s="203" t="s">
        <v>1154</v>
      </c>
      <c r="AG742" s="202"/>
      <c r="AH742" s="203" t="s">
        <v>1155</v>
      </c>
      <c r="AI742" s="202">
        <v>0</v>
      </c>
      <c r="AJ742" s="202">
        <v>0</v>
      </c>
    </row>
    <row r="743" spans="2:36">
      <c r="B743" s="203">
        <v>2180</v>
      </c>
      <c r="C743" s="207">
        <v>93455</v>
      </c>
      <c r="D743" s="203" t="s">
        <v>97</v>
      </c>
      <c r="E743" s="202" t="s">
        <v>1983</v>
      </c>
      <c r="F743" s="203">
        <v>0</v>
      </c>
      <c r="G743" s="202"/>
      <c r="H743" s="202"/>
      <c r="I743" s="202"/>
      <c r="J743" s="202">
        <v>0</v>
      </c>
      <c r="K743" s="202" t="s">
        <v>1429</v>
      </c>
      <c r="L743" s="202"/>
      <c r="M743" s="202"/>
      <c r="N743" s="206">
        <v>41001</v>
      </c>
      <c r="O743" s="206">
        <v>41001</v>
      </c>
      <c r="P743" s="202" t="s">
        <v>1982</v>
      </c>
      <c r="Q743" s="203">
        <v>300</v>
      </c>
      <c r="R743" s="203">
        <v>14110</v>
      </c>
      <c r="S743" s="204">
        <v>743.32</v>
      </c>
      <c r="T743" s="203">
        <v>14116</v>
      </c>
      <c r="U743" s="204">
        <v>743.32</v>
      </c>
      <c r="V743" s="204">
        <f t="shared" si="23"/>
        <v>0</v>
      </c>
      <c r="W743" s="205">
        <v>0</v>
      </c>
      <c r="X743" s="203">
        <v>70260</v>
      </c>
      <c r="Y743" s="204">
        <v>0</v>
      </c>
      <c r="Z743" s="202" t="s">
        <v>97</v>
      </c>
      <c r="AA743" s="202"/>
      <c r="AB743" s="202" t="s">
        <v>1981</v>
      </c>
      <c r="AC743" s="202"/>
      <c r="AD743" s="202" t="s">
        <v>1152</v>
      </c>
      <c r="AE743" s="202" t="s">
        <v>1153</v>
      </c>
      <c r="AF743" s="203" t="s">
        <v>1154</v>
      </c>
      <c r="AG743" s="202"/>
      <c r="AH743" s="203" t="s">
        <v>1155</v>
      </c>
      <c r="AI743" s="202">
        <v>0</v>
      </c>
      <c r="AJ743" s="202">
        <v>0</v>
      </c>
    </row>
    <row r="744" spans="2:36">
      <c r="B744" s="203">
        <v>2180</v>
      </c>
      <c r="C744" s="207">
        <v>91123</v>
      </c>
      <c r="D744" s="203" t="s">
        <v>97</v>
      </c>
      <c r="E744" s="202" t="s">
        <v>1980</v>
      </c>
      <c r="F744" s="203">
        <v>0</v>
      </c>
      <c r="G744" s="202"/>
      <c r="H744" s="202"/>
      <c r="I744" s="202"/>
      <c r="J744" s="202">
        <v>0</v>
      </c>
      <c r="K744" s="202" t="s">
        <v>1429</v>
      </c>
      <c r="L744" s="202"/>
      <c r="M744" s="202"/>
      <c r="N744" s="206">
        <v>40954</v>
      </c>
      <c r="O744" s="206">
        <v>40954</v>
      </c>
      <c r="P744" s="202" t="s">
        <v>1979</v>
      </c>
      <c r="Q744" s="203">
        <v>300</v>
      </c>
      <c r="R744" s="203">
        <v>14110</v>
      </c>
      <c r="S744" s="204">
        <v>804.21</v>
      </c>
      <c r="T744" s="203">
        <v>14116</v>
      </c>
      <c r="U744" s="204">
        <v>804.21</v>
      </c>
      <c r="V744" s="204">
        <f t="shared" si="23"/>
        <v>0</v>
      </c>
      <c r="W744" s="205">
        <v>0</v>
      </c>
      <c r="X744" s="203">
        <v>70260</v>
      </c>
      <c r="Y744" s="204">
        <v>0</v>
      </c>
      <c r="Z744" s="202" t="s">
        <v>97</v>
      </c>
      <c r="AA744" s="202"/>
      <c r="AB744" s="202" t="s">
        <v>1978</v>
      </c>
      <c r="AC744" s="202"/>
      <c r="AD744" s="202" t="s">
        <v>1152</v>
      </c>
      <c r="AE744" s="202" t="s">
        <v>1153</v>
      </c>
      <c r="AF744" s="203" t="s">
        <v>1154</v>
      </c>
      <c r="AG744" s="202"/>
      <c r="AH744" s="203" t="s">
        <v>1155</v>
      </c>
      <c r="AI744" s="202">
        <v>0</v>
      </c>
      <c r="AJ744" s="202">
        <v>0</v>
      </c>
    </row>
    <row r="745" spans="2:36">
      <c r="B745" s="203">
        <v>2180</v>
      </c>
      <c r="C745" s="207">
        <v>90674</v>
      </c>
      <c r="D745" s="203" t="s">
        <v>97</v>
      </c>
      <c r="E745" s="202" t="s">
        <v>1977</v>
      </c>
      <c r="F745" s="203">
        <v>0</v>
      </c>
      <c r="G745" s="202"/>
      <c r="H745" s="202"/>
      <c r="I745" s="202"/>
      <c r="J745" s="202">
        <v>0</v>
      </c>
      <c r="K745" s="202"/>
      <c r="L745" s="202"/>
      <c r="M745" s="202"/>
      <c r="N745" s="206">
        <v>39755</v>
      </c>
      <c r="O745" s="206">
        <v>39755</v>
      </c>
      <c r="P745" s="202"/>
      <c r="Q745" s="203">
        <v>300</v>
      </c>
      <c r="R745" s="203">
        <v>15250</v>
      </c>
      <c r="S745" s="204">
        <v>0.01</v>
      </c>
      <c r="T745" s="203">
        <v>15256</v>
      </c>
      <c r="U745" s="204">
        <v>0.01</v>
      </c>
      <c r="V745" s="204">
        <f t="shared" si="23"/>
        <v>0</v>
      </c>
      <c r="W745" s="205">
        <v>0</v>
      </c>
      <c r="X745" s="203">
        <v>70269</v>
      </c>
      <c r="Y745" s="204">
        <v>0</v>
      </c>
      <c r="Z745" s="202" t="s">
        <v>1153</v>
      </c>
      <c r="AA745" s="202" t="s">
        <v>1383</v>
      </c>
      <c r="AB745" s="202"/>
      <c r="AC745" s="202"/>
      <c r="AD745" s="202" t="s">
        <v>1152</v>
      </c>
      <c r="AE745" s="202" t="s">
        <v>1153</v>
      </c>
      <c r="AF745" s="203" t="s">
        <v>1154</v>
      </c>
      <c r="AG745" s="208">
        <v>40939</v>
      </c>
      <c r="AH745" s="203" t="s">
        <v>1155</v>
      </c>
      <c r="AI745" s="202">
        <v>0</v>
      </c>
      <c r="AJ745" s="202">
        <v>0</v>
      </c>
    </row>
    <row r="746" spans="2:36">
      <c r="B746" s="203">
        <v>2180</v>
      </c>
      <c r="C746" s="207">
        <v>90673</v>
      </c>
      <c r="D746" s="203" t="s">
        <v>97</v>
      </c>
      <c r="E746" s="202" t="s">
        <v>1463</v>
      </c>
      <c r="F746" s="203">
        <v>263</v>
      </c>
      <c r="G746" s="202"/>
      <c r="H746" s="202"/>
      <c r="I746" s="202"/>
      <c r="J746" s="202">
        <v>0</v>
      </c>
      <c r="K746" s="202"/>
      <c r="L746" s="202"/>
      <c r="M746" s="202" t="s">
        <v>1462</v>
      </c>
      <c r="N746" s="206">
        <v>40544</v>
      </c>
      <c r="O746" s="206">
        <v>40544</v>
      </c>
      <c r="P746" s="202"/>
      <c r="Q746" s="203">
        <v>300</v>
      </c>
      <c r="R746" s="203">
        <v>14050</v>
      </c>
      <c r="S746" s="204">
        <v>0.01</v>
      </c>
      <c r="T746" s="203">
        <v>14056</v>
      </c>
      <c r="U746" s="204">
        <v>0.01</v>
      </c>
      <c r="V746" s="204">
        <f t="shared" si="23"/>
        <v>0</v>
      </c>
      <c r="W746" s="205">
        <v>0</v>
      </c>
      <c r="X746" s="203">
        <v>54260</v>
      </c>
      <c r="Y746" s="204">
        <v>0</v>
      </c>
      <c r="Z746" s="202" t="s">
        <v>97</v>
      </c>
      <c r="AA746" s="202"/>
      <c r="AB746" s="202"/>
      <c r="AC746" s="202"/>
      <c r="AD746" s="202" t="s">
        <v>1152</v>
      </c>
      <c r="AE746" s="202" t="s">
        <v>1153</v>
      </c>
      <c r="AF746" s="203" t="s">
        <v>1154</v>
      </c>
      <c r="AG746" s="208">
        <v>40939</v>
      </c>
      <c r="AH746" s="203" t="s">
        <v>1155</v>
      </c>
      <c r="AI746" s="202">
        <v>0</v>
      </c>
      <c r="AJ746" s="202">
        <v>0</v>
      </c>
    </row>
    <row r="747" spans="2:36">
      <c r="B747" s="203">
        <v>2180</v>
      </c>
      <c r="C747" s="207">
        <v>90672</v>
      </c>
      <c r="D747" s="203" t="s">
        <v>97</v>
      </c>
      <c r="E747" s="202" t="s">
        <v>1702</v>
      </c>
      <c r="F747" s="203">
        <v>144</v>
      </c>
      <c r="G747" s="202"/>
      <c r="H747" s="202"/>
      <c r="I747" s="202"/>
      <c r="J747" s="202">
        <v>0</v>
      </c>
      <c r="K747" s="202"/>
      <c r="L747" s="202"/>
      <c r="M747" s="202" t="s">
        <v>1701</v>
      </c>
      <c r="N747" s="206">
        <v>40544</v>
      </c>
      <c r="O747" s="206">
        <v>40544</v>
      </c>
      <c r="P747" s="202"/>
      <c r="Q747" s="203">
        <v>300</v>
      </c>
      <c r="R747" s="203">
        <v>14050</v>
      </c>
      <c r="S747" s="204">
        <v>0.01</v>
      </c>
      <c r="T747" s="203">
        <v>14056</v>
      </c>
      <c r="U747" s="204">
        <v>0.01</v>
      </c>
      <c r="V747" s="204">
        <f t="shared" si="23"/>
        <v>0</v>
      </c>
      <c r="W747" s="205">
        <v>0</v>
      </c>
      <c r="X747" s="203">
        <v>54260</v>
      </c>
      <c r="Y747" s="204">
        <v>0</v>
      </c>
      <c r="Z747" s="202" t="s">
        <v>97</v>
      </c>
      <c r="AA747" s="202"/>
      <c r="AB747" s="202"/>
      <c r="AC747" s="202"/>
      <c r="AD747" s="202" t="s">
        <v>1152</v>
      </c>
      <c r="AE747" s="202" t="s">
        <v>1153</v>
      </c>
      <c r="AF747" s="203" t="s">
        <v>1154</v>
      </c>
      <c r="AG747" s="208">
        <v>40939</v>
      </c>
      <c r="AH747" s="203" t="s">
        <v>1155</v>
      </c>
      <c r="AI747" s="202">
        <v>0</v>
      </c>
      <c r="AJ747" s="202">
        <v>0</v>
      </c>
    </row>
    <row r="748" spans="2:36">
      <c r="B748" s="203">
        <v>2180</v>
      </c>
      <c r="C748" s="207">
        <v>90671</v>
      </c>
      <c r="D748" s="203" t="s">
        <v>97</v>
      </c>
      <c r="E748" s="202" t="s">
        <v>1976</v>
      </c>
      <c r="F748" s="203">
        <v>333</v>
      </c>
      <c r="G748" s="202"/>
      <c r="H748" s="202"/>
      <c r="I748" s="202"/>
      <c r="J748" s="202">
        <v>0</v>
      </c>
      <c r="K748" s="202"/>
      <c r="L748" s="202"/>
      <c r="M748" s="202" t="s">
        <v>1975</v>
      </c>
      <c r="N748" s="206">
        <v>40544</v>
      </c>
      <c r="O748" s="206">
        <v>40544</v>
      </c>
      <c r="P748" s="202"/>
      <c r="Q748" s="203">
        <v>300</v>
      </c>
      <c r="R748" s="203">
        <v>14050</v>
      </c>
      <c r="S748" s="204">
        <v>0.01</v>
      </c>
      <c r="T748" s="203">
        <v>14056</v>
      </c>
      <c r="U748" s="204">
        <v>0.01</v>
      </c>
      <c r="V748" s="204">
        <f t="shared" si="23"/>
        <v>0</v>
      </c>
      <c r="W748" s="205">
        <v>0</v>
      </c>
      <c r="X748" s="203">
        <v>54260</v>
      </c>
      <c r="Y748" s="204">
        <v>0</v>
      </c>
      <c r="Z748" s="202" t="s">
        <v>97</v>
      </c>
      <c r="AA748" s="202"/>
      <c r="AB748" s="202"/>
      <c r="AC748" s="202"/>
      <c r="AD748" s="202" t="s">
        <v>1152</v>
      </c>
      <c r="AE748" s="202" t="s">
        <v>1153</v>
      </c>
      <c r="AF748" s="203" t="s">
        <v>1154</v>
      </c>
      <c r="AG748" s="208">
        <v>40939</v>
      </c>
      <c r="AH748" s="203" t="s">
        <v>1155</v>
      </c>
      <c r="AI748" s="202">
        <v>0</v>
      </c>
      <c r="AJ748" s="202">
        <v>0</v>
      </c>
    </row>
    <row r="749" spans="2:36">
      <c r="B749" s="203">
        <v>2180</v>
      </c>
      <c r="C749" s="207">
        <v>90670</v>
      </c>
      <c r="D749" s="203" t="s">
        <v>97</v>
      </c>
      <c r="E749" s="202" t="s">
        <v>1974</v>
      </c>
      <c r="F749" s="203">
        <v>347</v>
      </c>
      <c r="G749" s="202"/>
      <c r="H749" s="202"/>
      <c r="I749" s="202"/>
      <c r="J749" s="202">
        <v>0</v>
      </c>
      <c r="K749" s="202"/>
      <c r="L749" s="202"/>
      <c r="M749" s="202" t="s">
        <v>1973</v>
      </c>
      <c r="N749" s="206">
        <v>40544</v>
      </c>
      <c r="O749" s="206">
        <v>40544</v>
      </c>
      <c r="P749" s="202"/>
      <c r="Q749" s="203">
        <v>300</v>
      </c>
      <c r="R749" s="203">
        <v>14050</v>
      </c>
      <c r="S749" s="204">
        <v>0.01</v>
      </c>
      <c r="T749" s="203">
        <v>14056</v>
      </c>
      <c r="U749" s="204">
        <v>0.01</v>
      </c>
      <c r="V749" s="204">
        <f t="shared" si="23"/>
        <v>0</v>
      </c>
      <c r="W749" s="205">
        <v>0</v>
      </c>
      <c r="X749" s="203">
        <v>54260</v>
      </c>
      <c r="Y749" s="204">
        <v>0</v>
      </c>
      <c r="Z749" s="202" t="s">
        <v>97</v>
      </c>
      <c r="AA749" s="202"/>
      <c r="AB749" s="202"/>
      <c r="AC749" s="202"/>
      <c r="AD749" s="202" t="s">
        <v>1152</v>
      </c>
      <c r="AE749" s="202" t="s">
        <v>1153</v>
      </c>
      <c r="AF749" s="203" t="s">
        <v>1154</v>
      </c>
      <c r="AG749" s="208">
        <v>40939</v>
      </c>
      <c r="AH749" s="203" t="s">
        <v>1155</v>
      </c>
      <c r="AI749" s="202">
        <v>0</v>
      </c>
      <c r="AJ749" s="202">
        <v>0</v>
      </c>
    </row>
    <row r="750" spans="2:36">
      <c r="B750" s="203">
        <v>2180</v>
      </c>
      <c r="C750" s="207">
        <v>90667</v>
      </c>
      <c r="D750" s="203" t="s">
        <v>97</v>
      </c>
      <c r="E750" s="202" t="s">
        <v>1457</v>
      </c>
      <c r="F750" s="203">
        <v>234</v>
      </c>
      <c r="G750" s="202"/>
      <c r="H750" s="202"/>
      <c r="I750" s="202"/>
      <c r="J750" s="202">
        <v>0</v>
      </c>
      <c r="K750" s="202"/>
      <c r="L750" s="202"/>
      <c r="M750" s="202" t="s">
        <v>1456</v>
      </c>
      <c r="N750" s="206">
        <v>40544</v>
      </c>
      <c r="O750" s="206">
        <v>40544</v>
      </c>
      <c r="P750" s="202"/>
      <c r="Q750" s="203">
        <v>300</v>
      </c>
      <c r="R750" s="203">
        <v>14050</v>
      </c>
      <c r="S750" s="204">
        <v>0.01</v>
      </c>
      <c r="T750" s="203">
        <v>14056</v>
      </c>
      <c r="U750" s="204">
        <v>0.01</v>
      </c>
      <c r="V750" s="204">
        <f t="shared" si="23"/>
        <v>0</v>
      </c>
      <c r="W750" s="205">
        <v>0</v>
      </c>
      <c r="X750" s="203">
        <v>54260</v>
      </c>
      <c r="Y750" s="204">
        <v>0</v>
      </c>
      <c r="Z750" s="202" t="s">
        <v>97</v>
      </c>
      <c r="AA750" s="202"/>
      <c r="AB750" s="202"/>
      <c r="AC750" s="202"/>
      <c r="AD750" s="202" t="s">
        <v>1152</v>
      </c>
      <c r="AE750" s="202" t="s">
        <v>1153</v>
      </c>
      <c r="AF750" s="203" t="s">
        <v>1154</v>
      </c>
      <c r="AG750" s="208">
        <v>40939</v>
      </c>
      <c r="AH750" s="203" t="s">
        <v>1155</v>
      </c>
      <c r="AI750" s="202">
        <v>0</v>
      </c>
      <c r="AJ750" s="202">
        <v>0</v>
      </c>
    </row>
    <row r="751" spans="2:36">
      <c r="B751" s="203">
        <v>2180</v>
      </c>
      <c r="C751" s="207">
        <v>90666</v>
      </c>
      <c r="D751" s="203" t="s">
        <v>97</v>
      </c>
      <c r="E751" s="202" t="s">
        <v>1972</v>
      </c>
      <c r="F751" s="203">
        <v>881</v>
      </c>
      <c r="G751" s="202"/>
      <c r="H751" s="202"/>
      <c r="I751" s="202"/>
      <c r="J751" s="202">
        <v>0</v>
      </c>
      <c r="K751" s="202"/>
      <c r="L751" s="202"/>
      <c r="M751" s="202" t="s">
        <v>1573</v>
      </c>
      <c r="N751" s="206">
        <v>40544</v>
      </c>
      <c r="O751" s="206">
        <v>40544</v>
      </c>
      <c r="P751" s="202"/>
      <c r="Q751" s="203">
        <v>300</v>
      </c>
      <c r="R751" s="203">
        <v>14050</v>
      </c>
      <c r="S751" s="204">
        <v>0.01</v>
      </c>
      <c r="T751" s="203">
        <v>14056</v>
      </c>
      <c r="U751" s="204">
        <v>0.01</v>
      </c>
      <c r="V751" s="204">
        <f t="shared" si="23"/>
        <v>0</v>
      </c>
      <c r="W751" s="205">
        <v>0</v>
      </c>
      <c r="X751" s="203">
        <v>54260</v>
      </c>
      <c r="Y751" s="204">
        <v>0</v>
      </c>
      <c r="Z751" s="202" t="s">
        <v>97</v>
      </c>
      <c r="AA751" s="202"/>
      <c r="AB751" s="202"/>
      <c r="AC751" s="202"/>
      <c r="AD751" s="202" t="s">
        <v>1152</v>
      </c>
      <c r="AE751" s="202" t="s">
        <v>1153</v>
      </c>
      <c r="AF751" s="203" t="s">
        <v>1154</v>
      </c>
      <c r="AG751" s="208">
        <v>40939</v>
      </c>
      <c r="AH751" s="203" t="s">
        <v>1155</v>
      </c>
      <c r="AI751" s="202">
        <v>0</v>
      </c>
      <c r="AJ751" s="202">
        <v>0</v>
      </c>
    </row>
    <row r="752" spans="2:36">
      <c r="B752" s="203">
        <v>2180</v>
      </c>
      <c r="C752" s="207">
        <v>90665</v>
      </c>
      <c r="D752" s="203" t="s">
        <v>97</v>
      </c>
      <c r="E752" s="202" t="s">
        <v>1971</v>
      </c>
      <c r="F752" s="203">
        <v>3</v>
      </c>
      <c r="G752" s="202"/>
      <c r="H752" s="202"/>
      <c r="I752" s="202"/>
      <c r="J752" s="202">
        <v>0</v>
      </c>
      <c r="K752" s="202"/>
      <c r="L752" s="202"/>
      <c r="M752" s="202" t="s">
        <v>1970</v>
      </c>
      <c r="N752" s="206">
        <v>40544</v>
      </c>
      <c r="O752" s="206">
        <v>40544</v>
      </c>
      <c r="P752" s="202"/>
      <c r="Q752" s="203">
        <v>300</v>
      </c>
      <c r="R752" s="203">
        <v>14050</v>
      </c>
      <c r="S752" s="204">
        <v>0.01</v>
      </c>
      <c r="T752" s="203">
        <v>14056</v>
      </c>
      <c r="U752" s="204">
        <v>0.01</v>
      </c>
      <c r="V752" s="204">
        <f t="shared" si="23"/>
        <v>0</v>
      </c>
      <c r="W752" s="205">
        <v>0</v>
      </c>
      <c r="X752" s="203">
        <v>54260</v>
      </c>
      <c r="Y752" s="204">
        <v>0</v>
      </c>
      <c r="Z752" s="202" t="s">
        <v>97</v>
      </c>
      <c r="AA752" s="202"/>
      <c r="AB752" s="202"/>
      <c r="AC752" s="202"/>
      <c r="AD752" s="202" t="s">
        <v>1152</v>
      </c>
      <c r="AE752" s="202" t="s">
        <v>1153</v>
      </c>
      <c r="AF752" s="203" t="s">
        <v>1154</v>
      </c>
      <c r="AG752" s="208">
        <v>40939</v>
      </c>
      <c r="AH752" s="203" t="s">
        <v>1155</v>
      </c>
      <c r="AI752" s="202">
        <v>0</v>
      </c>
      <c r="AJ752" s="202">
        <v>0</v>
      </c>
    </row>
    <row r="753" spans="2:36">
      <c r="B753" s="203">
        <v>2180</v>
      </c>
      <c r="C753" s="207">
        <v>90662</v>
      </c>
      <c r="D753" s="203" t="s">
        <v>97</v>
      </c>
      <c r="E753" s="202" t="s">
        <v>1465</v>
      </c>
      <c r="F753" s="203">
        <v>182</v>
      </c>
      <c r="G753" s="202"/>
      <c r="H753" s="202"/>
      <c r="I753" s="202"/>
      <c r="J753" s="202">
        <v>0</v>
      </c>
      <c r="K753" s="202"/>
      <c r="L753" s="202"/>
      <c r="M753" s="202" t="s">
        <v>1464</v>
      </c>
      <c r="N753" s="206">
        <v>40544</v>
      </c>
      <c r="O753" s="206">
        <v>40544</v>
      </c>
      <c r="P753" s="202"/>
      <c r="Q753" s="203">
        <v>300</v>
      </c>
      <c r="R753" s="203">
        <v>14050</v>
      </c>
      <c r="S753" s="204">
        <v>0.01</v>
      </c>
      <c r="T753" s="203">
        <v>14056</v>
      </c>
      <c r="U753" s="204">
        <v>0.01</v>
      </c>
      <c r="V753" s="204">
        <f t="shared" si="23"/>
        <v>0</v>
      </c>
      <c r="W753" s="205">
        <v>0</v>
      </c>
      <c r="X753" s="203">
        <v>54260</v>
      </c>
      <c r="Y753" s="204">
        <v>0</v>
      </c>
      <c r="Z753" s="202" t="s">
        <v>97</v>
      </c>
      <c r="AA753" s="202"/>
      <c r="AB753" s="202"/>
      <c r="AC753" s="202"/>
      <c r="AD753" s="202" t="s">
        <v>1152</v>
      </c>
      <c r="AE753" s="202" t="s">
        <v>1153</v>
      </c>
      <c r="AF753" s="203" t="s">
        <v>1154</v>
      </c>
      <c r="AG753" s="208">
        <v>40939</v>
      </c>
      <c r="AH753" s="203" t="s">
        <v>1155</v>
      </c>
      <c r="AI753" s="202">
        <v>0</v>
      </c>
      <c r="AJ753" s="202">
        <v>0</v>
      </c>
    </row>
    <row r="754" spans="2:36">
      <c r="B754" s="203">
        <v>2180</v>
      </c>
      <c r="C754" s="207">
        <v>90660</v>
      </c>
      <c r="D754" s="203" t="s">
        <v>97</v>
      </c>
      <c r="E754" s="202" t="s">
        <v>1969</v>
      </c>
      <c r="F754" s="203">
        <v>0</v>
      </c>
      <c r="G754" s="202"/>
      <c r="H754" s="202">
        <v>31646</v>
      </c>
      <c r="I754" s="202"/>
      <c r="J754" s="202">
        <v>1990</v>
      </c>
      <c r="K754" s="202" t="s">
        <v>1255</v>
      </c>
      <c r="L754" s="202" t="s">
        <v>1255</v>
      </c>
      <c r="M754" s="202" t="s">
        <v>1968</v>
      </c>
      <c r="N754" s="206">
        <v>39814</v>
      </c>
      <c r="O754" s="206">
        <v>39814</v>
      </c>
      <c r="P754" s="202"/>
      <c r="Q754" s="203">
        <v>300</v>
      </c>
      <c r="R754" s="203">
        <v>14030</v>
      </c>
      <c r="S754" s="204">
        <v>0.01</v>
      </c>
      <c r="T754" s="203">
        <v>14036</v>
      </c>
      <c r="U754" s="204">
        <v>0.01</v>
      </c>
      <c r="V754" s="204">
        <f t="shared" si="23"/>
        <v>0</v>
      </c>
      <c r="W754" s="205">
        <v>0</v>
      </c>
      <c r="X754" s="203">
        <v>51260</v>
      </c>
      <c r="Y754" s="204">
        <v>0</v>
      </c>
      <c r="Z754" s="202" t="s">
        <v>97</v>
      </c>
      <c r="AA754" s="202"/>
      <c r="AB754" s="202"/>
      <c r="AC754" s="202">
        <v>7809</v>
      </c>
      <c r="AD754" s="202" t="s">
        <v>1152</v>
      </c>
      <c r="AE754" s="202" t="s">
        <v>1153</v>
      </c>
      <c r="AF754" s="203" t="s">
        <v>1154</v>
      </c>
      <c r="AG754" s="208">
        <v>40939</v>
      </c>
      <c r="AH754" s="203" t="s">
        <v>1155</v>
      </c>
      <c r="AI754" s="202">
        <v>0</v>
      </c>
      <c r="AJ754" s="202">
        <v>0</v>
      </c>
    </row>
    <row r="755" spans="2:36">
      <c r="B755" s="203">
        <v>2180</v>
      </c>
      <c r="C755" s="207">
        <v>90659</v>
      </c>
      <c r="D755" s="203" t="s">
        <v>97</v>
      </c>
      <c r="E755" s="202" t="s">
        <v>1967</v>
      </c>
      <c r="F755" s="203">
        <v>0</v>
      </c>
      <c r="G755" s="202"/>
      <c r="H755" s="202"/>
      <c r="I755" s="202"/>
      <c r="J755" s="202">
        <v>0</v>
      </c>
      <c r="K755" s="202"/>
      <c r="L755" s="202"/>
      <c r="M755" s="202"/>
      <c r="N755" s="206">
        <v>39755</v>
      </c>
      <c r="O755" s="206">
        <v>39755</v>
      </c>
      <c r="P755" s="202"/>
      <c r="Q755" s="203">
        <v>2500</v>
      </c>
      <c r="R755" s="203">
        <v>15250</v>
      </c>
      <c r="S755" s="204">
        <v>3941167.7</v>
      </c>
      <c r="T755" s="203">
        <v>15256</v>
      </c>
      <c r="U755" s="204">
        <v>2141367.81</v>
      </c>
      <c r="V755" s="204">
        <f t="shared" si="23"/>
        <v>1799799.8900000001</v>
      </c>
      <c r="W755" s="205">
        <v>65686.13</v>
      </c>
      <c r="X755" s="203">
        <v>70269</v>
      </c>
      <c r="Y755" s="204">
        <v>13137.23</v>
      </c>
      <c r="Z755" s="202" t="s">
        <v>1153</v>
      </c>
      <c r="AA755" s="202" t="s">
        <v>1383</v>
      </c>
      <c r="AB755" s="202"/>
      <c r="AC755" s="202"/>
      <c r="AD755" s="202" t="s">
        <v>1152</v>
      </c>
      <c r="AE755" s="202" t="s">
        <v>1153</v>
      </c>
      <c r="AF755" s="203" t="s">
        <v>1154</v>
      </c>
      <c r="AG755" s="208">
        <v>40939</v>
      </c>
      <c r="AH755" s="203" t="s">
        <v>1155</v>
      </c>
      <c r="AI755" s="202">
        <v>0</v>
      </c>
      <c r="AJ755" s="202">
        <v>512351.81</v>
      </c>
    </row>
    <row r="756" spans="2:36">
      <c r="B756" s="203">
        <v>2180</v>
      </c>
      <c r="C756" s="207">
        <v>90658</v>
      </c>
      <c r="D756" s="203" t="s">
        <v>97</v>
      </c>
      <c r="E756" s="202" t="s">
        <v>415</v>
      </c>
      <c r="F756" s="203">
        <v>0</v>
      </c>
      <c r="G756" s="202"/>
      <c r="H756" s="202"/>
      <c r="I756" s="202"/>
      <c r="J756" s="202">
        <v>0</v>
      </c>
      <c r="K756" s="202"/>
      <c r="L756" s="202"/>
      <c r="M756" s="202"/>
      <c r="N756" s="206">
        <v>39755</v>
      </c>
      <c r="O756" s="206">
        <v>39755</v>
      </c>
      <c r="P756" s="202"/>
      <c r="Q756" s="203">
        <v>2500</v>
      </c>
      <c r="R756" s="203">
        <v>15250</v>
      </c>
      <c r="S756" s="204">
        <v>2647605.84</v>
      </c>
      <c r="T756" s="203">
        <v>15256</v>
      </c>
      <c r="U756" s="204">
        <v>1438532.46</v>
      </c>
      <c r="V756" s="204">
        <f t="shared" si="23"/>
        <v>1209073.3799999999</v>
      </c>
      <c r="W756" s="205">
        <v>44126.76</v>
      </c>
      <c r="X756" s="203">
        <v>70269</v>
      </c>
      <c r="Y756" s="204">
        <v>8825.35</v>
      </c>
      <c r="Z756" s="202" t="s">
        <v>1153</v>
      </c>
      <c r="AA756" s="202" t="s">
        <v>1383</v>
      </c>
      <c r="AB756" s="202"/>
      <c r="AC756" s="202"/>
      <c r="AD756" s="202" t="s">
        <v>1152</v>
      </c>
      <c r="AE756" s="202" t="s">
        <v>1153</v>
      </c>
      <c r="AF756" s="203" t="s">
        <v>1154</v>
      </c>
      <c r="AG756" s="208">
        <v>40939</v>
      </c>
      <c r="AH756" s="203" t="s">
        <v>1155</v>
      </c>
      <c r="AI756" s="202">
        <v>0</v>
      </c>
      <c r="AJ756" s="202">
        <v>344188.75</v>
      </c>
    </row>
    <row r="757" spans="2:36">
      <c r="B757" s="203">
        <v>2180</v>
      </c>
      <c r="C757" s="207">
        <v>90657</v>
      </c>
      <c r="D757" s="203" t="s">
        <v>97</v>
      </c>
      <c r="E757" s="202" t="s">
        <v>1966</v>
      </c>
      <c r="F757" s="203">
        <v>0</v>
      </c>
      <c r="G757" s="202"/>
      <c r="H757" s="202"/>
      <c r="I757" s="202"/>
      <c r="J757" s="202">
        <v>0</v>
      </c>
      <c r="K757" s="202"/>
      <c r="L757" s="202"/>
      <c r="M757" s="202"/>
      <c r="N757" s="206">
        <v>39755</v>
      </c>
      <c r="O757" s="206">
        <v>39755</v>
      </c>
      <c r="P757" s="202"/>
      <c r="Q757" s="203">
        <v>2000</v>
      </c>
      <c r="R757" s="203">
        <v>15250</v>
      </c>
      <c r="S757" s="204">
        <v>269672</v>
      </c>
      <c r="T757" s="203">
        <v>15256</v>
      </c>
      <c r="U757" s="204">
        <v>183152.12</v>
      </c>
      <c r="V757" s="204">
        <f t="shared" si="23"/>
        <v>86519.88</v>
      </c>
      <c r="W757" s="205">
        <v>5618.17</v>
      </c>
      <c r="X757" s="203">
        <v>70269</v>
      </c>
      <c r="Y757" s="204">
        <v>1123.6400000000001</v>
      </c>
      <c r="Z757" s="202" t="s">
        <v>1153</v>
      </c>
      <c r="AA757" s="202" t="s">
        <v>1383</v>
      </c>
      <c r="AB757" s="202"/>
      <c r="AC757" s="202"/>
      <c r="AD757" s="202" t="s">
        <v>1152</v>
      </c>
      <c r="AE757" s="202" t="s">
        <v>1153</v>
      </c>
      <c r="AF757" s="203" t="s">
        <v>1154</v>
      </c>
      <c r="AG757" s="208">
        <v>40939</v>
      </c>
      <c r="AH757" s="203" t="s">
        <v>1155</v>
      </c>
      <c r="AI757" s="202">
        <v>0</v>
      </c>
      <c r="AJ757" s="202">
        <v>43821.67</v>
      </c>
    </row>
    <row r="758" spans="2:36">
      <c r="B758" s="203">
        <v>2180</v>
      </c>
      <c r="C758" s="207">
        <v>90656</v>
      </c>
      <c r="D758" s="203" t="s">
        <v>97</v>
      </c>
      <c r="E758" s="202" t="s">
        <v>1965</v>
      </c>
      <c r="F758" s="203">
        <v>0</v>
      </c>
      <c r="G758" s="202"/>
      <c r="H758" s="202"/>
      <c r="I758" s="202"/>
      <c r="J758" s="202">
        <v>0</v>
      </c>
      <c r="K758" s="202"/>
      <c r="L758" s="202"/>
      <c r="M758" s="202"/>
      <c r="N758" s="206">
        <v>39755</v>
      </c>
      <c r="O758" s="206">
        <v>39755</v>
      </c>
      <c r="P758" s="202"/>
      <c r="Q758" s="203">
        <v>500</v>
      </c>
      <c r="R758" s="203">
        <v>15250</v>
      </c>
      <c r="S758" s="204">
        <v>148324.34</v>
      </c>
      <c r="T758" s="203">
        <v>15256</v>
      </c>
      <c r="U758" s="204">
        <v>148324.34</v>
      </c>
      <c r="V758" s="204">
        <f t="shared" si="23"/>
        <v>0</v>
      </c>
      <c r="W758" s="205">
        <v>0</v>
      </c>
      <c r="X758" s="203">
        <v>70269</v>
      </c>
      <c r="Y758" s="204">
        <v>0</v>
      </c>
      <c r="Z758" s="202" t="s">
        <v>1153</v>
      </c>
      <c r="AA758" s="202" t="s">
        <v>1383</v>
      </c>
      <c r="AB758" s="202"/>
      <c r="AC758" s="202"/>
      <c r="AD758" s="202" t="s">
        <v>1152</v>
      </c>
      <c r="AE758" s="202" t="s">
        <v>1153</v>
      </c>
      <c r="AF758" s="203" t="s">
        <v>1154</v>
      </c>
      <c r="AG758" s="208">
        <v>40939</v>
      </c>
      <c r="AH758" s="203" t="s">
        <v>1155</v>
      </c>
      <c r="AI758" s="202">
        <v>0</v>
      </c>
      <c r="AJ758" s="202">
        <v>96410.83</v>
      </c>
    </row>
    <row r="759" spans="2:36">
      <c r="B759" s="203">
        <v>2180</v>
      </c>
      <c r="C759" s="207">
        <v>90655</v>
      </c>
      <c r="D759" s="203" t="s">
        <v>97</v>
      </c>
      <c r="E759" s="202" t="s">
        <v>1964</v>
      </c>
      <c r="F759" s="203">
        <v>0</v>
      </c>
      <c r="G759" s="202"/>
      <c r="H759" s="202"/>
      <c r="I759" s="202"/>
      <c r="J759" s="202">
        <v>0</v>
      </c>
      <c r="K759" s="202"/>
      <c r="L759" s="202"/>
      <c r="M759" s="202"/>
      <c r="N759" s="206">
        <v>39755</v>
      </c>
      <c r="O759" s="206">
        <v>39755</v>
      </c>
      <c r="P759" s="202"/>
      <c r="Q759" s="203">
        <v>4000</v>
      </c>
      <c r="R759" s="203">
        <v>15250</v>
      </c>
      <c r="S759" s="204">
        <v>11217831.52</v>
      </c>
      <c r="T759" s="203">
        <v>15256</v>
      </c>
      <c r="U759" s="204">
        <v>3809388.65</v>
      </c>
      <c r="V759" s="204">
        <f t="shared" si="23"/>
        <v>7408442.8699999992</v>
      </c>
      <c r="W759" s="205">
        <v>116852.41</v>
      </c>
      <c r="X759" s="203">
        <v>70269</v>
      </c>
      <c r="Y759" s="204">
        <v>23370.48</v>
      </c>
      <c r="Z759" s="202" t="s">
        <v>1153</v>
      </c>
      <c r="AA759" s="202" t="s">
        <v>1383</v>
      </c>
      <c r="AB759" s="202"/>
      <c r="AC759" s="202"/>
      <c r="AD759" s="202" t="s">
        <v>1152</v>
      </c>
      <c r="AE759" s="202" t="s">
        <v>1153</v>
      </c>
      <c r="AF759" s="203" t="s">
        <v>1154</v>
      </c>
      <c r="AG759" s="208">
        <v>40939</v>
      </c>
      <c r="AH759" s="203" t="s">
        <v>1155</v>
      </c>
      <c r="AI759" s="202">
        <v>0</v>
      </c>
      <c r="AJ759" s="202">
        <v>911448.82</v>
      </c>
    </row>
    <row r="760" spans="2:36">
      <c r="B760" s="203">
        <v>2180</v>
      </c>
      <c r="C760" s="207">
        <v>90654</v>
      </c>
      <c r="D760" s="203" t="s">
        <v>97</v>
      </c>
      <c r="E760" s="202" t="s">
        <v>1963</v>
      </c>
      <c r="F760" s="203">
        <v>0</v>
      </c>
      <c r="G760" s="202"/>
      <c r="H760" s="202"/>
      <c r="I760" s="202"/>
      <c r="J760" s="202">
        <v>0</v>
      </c>
      <c r="K760" s="202"/>
      <c r="L760" s="202"/>
      <c r="M760" s="202"/>
      <c r="N760" s="206">
        <v>39755</v>
      </c>
      <c r="O760" s="206">
        <v>39755</v>
      </c>
      <c r="P760" s="202"/>
      <c r="Q760" s="203">
        <v>2500</v>
      </c>
      <c r="R760" s="203">
        <v>15250</v>
      </c>
      <c r="S760" s="204">
        <v>647940.97</v>
      </c>
      <c r="T760" s="203">
        <v>15256</v>
      </c>
      <c r="U760" s="204">
        <v>352047.82</v>
      </c>
      <c r="V760" s="204">
        <f t="shared" si="23"/>
        <v>295893.14999999997</v>
      </c>
      <c r="W760" s="205">
        <v>10799.02</v>
      </c>
      <c r="X760" s="203">
        <v>70269</v>
      </c>
      <c r="Y760" s="204">
        <v>2159.81</v>
      </c>
      <c r="Z760" s="202" t="s">
        <v>1153</v>
      </c>
      <c r="AA760" s="202" t="s">
        <v>1383</v>
      </c>
      <c r="AB760" s="202"/>
      <c r="AC760" s="202"/>
      <c r="AD760" s="202" t="s">
        <v>1152</v>
      </c>
      <c r="AE760" s="202" t="s">
        <v>1153</v>
      </c>
      <c r="AF760" s="203" t="s">
        <v>1154</v>
      </c>
      <c r="AG760" s="208">
        <v>40939</v>
      </c>
      <c r="AH760" s="203" t="s">
        <v>1155</v>
      </c>
      <c r="AI760" s="202">
        <v>0</v>
      </c>
      <c r="AJ760" s="202">
        <v>84232.3</v>
      </c>
    </row>
    <row r="761" spans="2:36">
      <c r="B761" s="203">
        <v>2180</v>
      </c>
      <c r="C761" s="207">
        <v>90653</v>
      </c>
      <c r="D761" s="203" t="s">
        <v>97</v>
      </c>
      <c r="E761" s="202" t="s">
        <v>1962</v>
      </c>
      <c r="F761" s="203">
        <v>0</v>
      </c>
      <c r="G761" s="202"/>
      <c r="H761" s="202"/>
      <c r="I761" s="202"/>
      <c r="J761" s="202">
        <v>0</v>
      </c>
      <c r="K761" s="202"/>
      <c r="L761" s="202"/>
      <c r="M761" s="202"/>
      <c r="N761" s="206">
        <v>39755</v>
      </c>
      <c r="O761" s="206">
        <v>39755</v>
      </c>
      <c r="P761" s="202"/>
      <c r="Q761" s="203">
        <v>4000</v>
      </c>
      <c r="R761" s="203">
        <v>15250</v>
      </c>
      <c r="S761" s="204">
        <v>346545.29</v>
      </c>
      <c r="T761" s="203">
        <v>15256</v>
      </c>
      <c r="U761" s="204">
        <v>117680.98</v>
      </c>
      <c r="V761" s="204">
        <f t="shared" si="23"/>
        <v>228864.31</v>
      </c>
      <c r="W761" s="205">
        <v>3609.85</v>
      </c>
      <c r="X761" s="203">
        <v>70269</v>
      </c>
      <c r="Y761" s="204">
        <v>721.97</v>
      </c>
      <c r="Z761" s="202" t="s">
        <v>1153</v>
      </c>
      <c r="AA761" s="202" t="s">
        <v>1383</v>
      </c>
      <c r="AB761" s="202"/>
      <c r="AC761" s="202"/>
      <c r="AD761" s="202" t="s">
        <v>1152</v>
      </c>
      <c r="AE761" s="202" t="s">
        <v>1153</v>
      </c>
      <c r="AF761" s="203" t="s">
        <v>1154</v>
      </c>
      <c r="AG761" s="208">
        <v>40939</v>
      </c>
      <c r="AH761" s="203" t="s">
        <v>1155</v>
      </c>
      <c r="AI761" s="202">
        <v>0</v>
      </c>
      <c r="AJ761" s="202">
        <v>28156.799999999999</v>
      </c>
    </row>
    <row r="762" spans="2:36">
      <c r="B762" s="203">
        <v>2180</v>
      </c>
      <c r="C762" s="207">
        <v>90652</v>
      </c>
      <c r="D762" s="203" t="s">
        <v>97</v>
      </c>
      <c r="E762" s="202" t="s">
        <v>1961</v>
      </c>
      <c r="F762" s="203">
        <v>0</v>
      </c>
      <c r="G762" s="202"/>
      <c r="H762" s="202"/>
      <c r="I762" s="202"/>
      <c r="J762" s="202">
        <v>0</v>
      </c>
      <c r="K762" s="202"/>
      <c r="L762" s="202"/>
      <c r="M762" s="202"/>
      <c r="N762" s="206">
        <v>39755</v>
      </c>
      <c r="O762" s="206">
        <v>39755</v>
      </c>
      <c r="P762" s="202"/>
      <c r="Q762" s="203">
        <v>500</v>
      </c>
      <c r="R762" s="203">
        <v>15250</v>
      </c>
      <c r="S762" s="204">
        <v>21094.79</v>
      </c>
      <c r="T762" s="203">
        <v>15256</v>
      </c>
      <c r="U762" s="204">
        <v>21094.79</v>
      </c>
      <c r="V762" s="204">
        <f t="shared" si="23"/>
        <v>0</v>
      </c>
      <c r="W762" s="205">
        <v>0</v>
      </c>
      <c r="X762" s="203">
        <v>70269</v>
      </c>
      <c r="Y762" s="204">
        <v>0</v>
      </c>
      <c r="Z762" s="202" t="s">
        <v>1153</v>
      </c>
      <c r="AA762" s="202" t="s">
        <v>1383</v>
      </c>
      <c r="AB762" s="202"/>
      <c r="AC762" s="202"/>
      <c r="AD762" s="202" t="s">
        <v>1152</v>
      </c>
      <c r="AE762" s="202" t="s">
        <v>1153</v>
      </c>
      <c r="AF762" s="203" t="s">
        <v>1154</v>
      </c>
      <c r="AG762" s="208">
        <v>40939</v>
      </c>
      <c r="AH762" s="203" t="s">
        <v>1155</v>
      </c>
      <c r="AI762" s="202">
        <v>0</v>
      </c>
      <c r="AJ762" s="202">
        <v>13711.62</v>
      </c>
    </row>
    <row r="763" spans="2:36">
      <c r="B763" s="203">
        <v>2180</v>
      </c>
      <c r="C763" s="207">
        <v>90651</v>
      </c>
      <c r="D763" s="203" t="s">
        <v>97</v>
      </c>
      <c r="E763" s="202" t="s">
        <v>1960</v>
      </c>
      <c r="F763" s="203">
        <v>0</v>
      </c>
      <c r="G763" s="202"/>
      <c r="H763" s="202"/>
      <c r="I763" s="202"/>
      <c r="J763" s="202">
        <v>0</v>
      </c>
      <c r="K763" s="202"/>
      <c r="L763" s="202"/>
      <c r="M763" s="202"/>
      <c r="N763" s="206">
        <v>39755</v>
      </c>
      <c r="O763" s="206">
        <v>39755</v>
      </c>
      <c r="P763" s="202"/>
      <c r="Q763" s="203">
        <v>2500</v>
      </c>
      <c r="R763" s="203">
        <v>15250</v>
      </c>
      <c r="S763" s="204">
        <v>563423.52</v>
      </c>
      <c r="T763" s="203">
        <v>15256</v>
      </c>
      <c r="U763" s="204">
        <v>306126.77</v>
      </c>
      <c r="V763" s="204">
        <f t="shared" si="23"/>
        <v>257296.75</v>
      </c>
      <c r="W763" s="205">
        <v>9390.39</v>
      </c>
      <c r="X763" s="203">
        <v>70269</v>
      </c>
      <c r="Y763" s="204">
        <v>1878.08</v>
      </c>
      <c r="Z763" s="202" t="s">
        <v>1153</v>
      </c>
      <c r="AA763" s="202" t="s">
        <v>1383</v>
      </c>
      <c r="AB763" s="202"/>
      <c r="AC763" s="202"/>
      <c r="AD763" s="202" t="s">
        <v>1152</v>
      </c>
      <c r="AE763" s="202" t="s">
        <v>1153</v>
      </c>
      <c r="AF763" s="203" t="s">
        <v>1154</v>
      </c>
      <c r="AG763" s="208">
        <v>40939</v>
      </c>
      <c r="AH763" s="203" t="s">
        <v>1155</v>
      </c>
      <c r="AI763" s="202">
        <v>0</v>
      </c>
      <c r="AJ763" s="202">
        <v>73245.06</v>
      </c>
    </row>
    <row r="764" spans="2:36">
      <c r="B764" s="203">
        <v>2180</v>
      </c>
      <c r="C764" s="207">
        <v>90650</v>
      </c>
      <c r="D764" s="203" t="s">
        <v>97</v>
      </c>
      <c r="E764" s="202" t="s">
        <v>1440</v>
      </c>
      <c r="F764" s="203">
        <v>0</v>
      </c>
      <c r="G764" s="202"/>
      <c r="H764" s="202"/>
      <c r="I764" s="202"/>
      <c r="J764" s="202">
        <v>0</v>
      </c>
      <c r="K764" s="202"/>
      <c r="L764" s="202"/>
      <c r="M764" s="202"/>
      <c r="N764" s="206">
        <v>39783</v>
      </c>
      <c r="O764" s="206">
        <v>39783</v>
      </c>
      <c r="P764" s="202"/>
      <c r="Q764" s="203">
        <v>0</v>
      </c>
      <c r="R764" s="203">
        <v>15110</v>
      </c>
      <c r="S764" s="204">
        <v>-2046212.52</v>
      </c>
      <c r="T764" s="203">
        <v>15120</v>
      </c>
      <c r="U764" s="204">
        <v>0</v>
      </c>
      <c r="V764" s="204">
        <f t="shared" si="23"/>
        <v>-2046212.52</v>
      </c>
      <c r="W764" s="205">
        <v>0</v>
      </c>
      <c r="X764" s="203">
        <v>0</v>
      </c>
      <c r="Y764" s="204">
        <v>0</v>
      </c>
      <c r="Z764" s="202" t="s">
        <v>1153</v>
      </c>
      <c r="AA764" s="202" t="s">
        <v>1439</v>
      </c>
      <c r="AB764" s="202"/>
      <c r="AC764" s="202"/>
      <c r="AD764" s="202" t="s">
        <v>1152</v>
      </c>
      <c r="AE764" s="202" t="s">
        <v>1153</v>
      </c>
      <c r="AF764" s="203" t="s">
        <v>1382</v>
      </c>
      <c r="AG764" s="208">
        <v>40939</v>
      </c>
      <c r="AH764" s="203" t="s">
        <v>1155</v>
      </c>
      <c r="AI764" s="202">
        <v>0</v>
      </c>
      <c r="AJ764" s="202">
        <v>0</v>
      </c>
    </row>
    <row r="765" spans="2:36">
      <c r="B765" s="203">
        <v>2180</v>
      </c>
      <c r="C765" s="207">
        <v>90649</v>
      </c>
      <c r="D765" s="203" t="s">
        <v>97</v>
      </c>
      <c r="E765" s="202" t="s">
        <v>1415</v>
      </c>
      <c r="F765" s="203">
        <v>0</v>
      </c>
      <c r="G765" s="202"/>
      <c r="H765" s="202"/>
      <c r="I765" s="202"/>
      <c r="J765" s="202">
        <v>0</v>
      </c>
      <c r="K765" s="202"/>
      <c r="L765" s="202"/>
      <c r="M765" s="202"/>
      <c r="N765" s="206">
        <v>39755</v>
      </c>
      <c r="O765" s="206">
        <v>39755</v>
      </c>
      <c r="P765" s="202"/>
      <c r="Q765" s="203">
        <v>0</v>
      </c>
      <c r="R765" s="203">
        <v>15110</v>
      </c>
      <c r="S765" s="204">
        <v>3420667.72</v>
      </c>
      <c r="T765" s="203">
        <v>15120</v>
      </c>
      <c r="U765" s="204">
        <v>0</v>
      </c>
      <c r="V765" s="204">
        <f t="shared" si="23"/>
        <v>3420667.72</v>
      </c>
      <c r="W765" s="205">
        <v>0</v>
      </c>
      <c r="X765" s="203"/>
      <c r="Y765" s="204">
        <v>0</v>
      </c>
      <c r="Z765" s="202" t="s">
        <v>1153</v>
      </c>
      <c r="AA765" s="202" t="s">
        <v>1383</v>
      </c>
      <c r="AB765" s="202"/>
      <c r="AC765" s="202"/>
      <c r="AD765" s="202" t="s">
        <v>1152</v>
      </c>
      <c r="AE765" s="202" t="s">
        <v>1153</v>
      </c>
      <c r="AF765" s="203" t="s">
        <v>1382</v>
      </c>
      <c r="AG765" s="208">
        <v>40939</v>
      </c>
      <c r="AH765" s="203" t="s">
        <v>1155</v>
      </c>
      <c r="AI765" s="202">
        <v>0</v>
      </c>
      <c r="AJ765" s="202">
        <v>0</v>
      </c>
    </row>
    <row r="766" spans="2:36">
      <c r="B766" s="203">
        <v>2180</v>
      </c>
      <c r="C766" s="207">
        <v>90648</v>
      </c>
      <c r="D766" s="203" t="s">
        <v>97</v>
      </c>
      <c r="E766" s="202" t="s">
        <v>1959</v>
      </c>
      <c r="F766" s="203">
        <v>0</v>
      </c>
      <c r="G766" s="202"/>
      <c r="H766" s="202"/>
      <c r="I766" s="202"/>
      <c r="J766" s="202">
        <v>0</v>
      </c>
      <c r="K766" s="202" t="s">
        <v>1429</v>
      </c>
      <c r="L766" s="202"/>
      <c r="M766" s="202"/>
      <c r="N766" s="206">
        <v>40147</v>
      </c>
      <c r="O766" s="206">
        <v>40147</v>
      </c>
      <c r="P766" s="202" t="s">
        <v>1958</v>
      </c>
      <c r="Q766" s="203">
        <v>300</v>
      </c>
      <c r="R766" s="203">
        <v>14110</v>
      </c>
      <c r="S766" s="204">
        <v>674.37</v>
      </c>
      <c r="T766" s="203">
        <v>14116</v>
      </c>
      <c r="U766" s="204">
        <v>674.37</v>
      </c>
      <c r="V766" s="204">
        <f t="shared" si="23"/>
        <v>0</v>
      </c>
      <c r="W766" s="205">
        <v>0</v>
      </c>
      <c r="X766" s="203">
        <v>70260</v>
      </c>
      <c r="Y766" s="204">
        <v>0</v>
      </c>
      <c r="Z766" s="202" t="s">
        <v>97</v>
      </c>
      <c r="AA766" s="202"/>
      <c r="AB766" s="202" t="s">
        <v>1952</v>
      </c>
      <c r="AC766" s="202"/>
      <c r="AD766" s="202" t="s">
        <v>1152</v>
      </c>
      <c r="AE766" s="202" t="s">
        <v>1153</v>
      </c>
      <c r="AF766" s="203" t="s">
        <v>1154</v>
      </c>
      <c r="AG766" s="208">
        <v>40939</v>
      </c>
      <c r="AH766" s="203" t="s">
        <v>1155</v>
      </c>
      <c r="AI766" s="202">
        <v>0</v>
      </c>
      <c r="AJ766" s="202">
        <v>487.04</v>
      </c>
    </row>
    <row r="767" spans="2:36">
      <c r="B767" s="203">
        <v>2180</v>
      </c>
      <c r="C767" s="207">
        <v>90647</v>
      </c>
      <c r="D767" s="203" t="s">
        <v>97</v>
      </c>
      <c r="E767" s="202" t="s">
        <v>1957</v>
      </c>
      <c r="F767" s="203">
        <v>0</v>
      </c>
      <c r="G767" s="202"/>
      <c r="H767" s="202"/>
      <c r="I767" s="202"/>
      <c r="J767" s="202">
        <v>0</v>
      </c>
      <c r="K767" s="202" t="s">
        <v>1429</v>
      </c>
      <c r="L767" s="202"/>
      <c r="M767" s="202"/>
      <c r="N767" s="206">
        <v>40797</v>
      </c>
      <c r="O767" s="206">
        <v>40797</v>
      </c>
      <c r="P767" s="202" t="s">
        <v>1956</v>
      </c>
      <c r="Q767" s="203">
        <v>300</v>
      </c>
      <c r="R767" s="203">
        <v>14110</v>
      </c>
      <c r="S767" s="204">
        <v>986.21</v>
      </c>
      <c r="T767" s="203">
        <v>14116</v>
      </c>
      <c r="U767" s="204">
        <v>986.21</v>
      </c>
      <c r="V767" s="204">
        <f t="shared" si="23"/>
        <v>0</v>
      </c>
      <c r="W767" s="205">
        <v>0</v>
      </c>
      <c r="X767" s="203">
        <v>70260</v>
      </c>
      <c r="Y767" s="204">
        <v>0</v>
      </c>
      <c r="Z767" s="202" t="s">
        <v>97</v>
      </c>
      <c r="AA767" s="202"/>
      <c r="AB767" s="202" t="s">
        <v>1955</v>
      </c>
      <c r="AC767" s="202"/>
      <c r="AD767" s="202" t="s">
        <v>1152</v>
      </c>
      <c r="AE767" s="202" t="s">
        <v>1153</v>
      </c>
      <c r="AF767" s="203" t="s">
        <v>1154</v>
      </c>
      <c r="AG767" s="208">
        <v>40939</v>
      </c>
      <c r="AH767" s="203" t="s">
        <v>1155</v>
      </c>
      <c r="AI767" s="202">
        <v>0</v>
      </c>
      <c r="AJ767" s="202">
        <v>136.97999999999999</v>
      </c>
    </row>
    <row r="768" spans="2:36">
      <c r="B768" s="203">
        <v>2180</v>
      </c>
      <c r="C768" s="207">
        <v>90646</v>
      </c>
      <c r="D768" s="203" t="s">
        <v>97</v>
      </c>
      <c r="E768" s="202" t="s">
        <v>1954</v>
      </c>
      <c r="F768" s="203">
        <v>0</v>
      </c>
      <c r="G768" s="202"/>
      <c r="H768" s="202"/>
      <c r="I768" s="202"/>
      <c r="J768" s="202">
        <v>0</v>
      </c>
      <c r="K768" s="202" t="s">
        <v>1429</v>
      </c>
      <c r="L768" s="202"/>
      <c r="M768" s="202"/>
      <c r="N768" s="206">
        <v>40147</v>
      </c>
      <c r="O768" s="206">
        <v>40147</v>
      </c>
      <c r="P768" s="202" t="s">
        <v>1953</v>
      </c>
      <c r="Q768" s="203">
        <v>300</v>
      </c>
      <c r="R768" s="203">
        <v>14110</v>
      </c>
      <c r="S768" s="204">
        <v>1902</v>
      </c>
      <c r="T768" s="203">
        <v>14116</v>
      </c>
      <c r="U768" s="204">
        <v>1902</v>
      </c>
      <c r="V768" s="204">
        <f t="shared" si="23"/>
        <v>0</v>
      </c>
      <c r="W768" s="205">
        <v>0</v>
      </c>
      <c r="X768" s="203">
        <v>70260</v>
      </c>
      <c r="Y768" s="204">
        <v>0</v>
      </c>
      <c r="Z768" s="202" t="s">
        <v>97</v>
      </c>
      <c r="AA768" s="202"/>
      <c r="AB768" s="202" t="s">
        <v>1952</v>
      </c>
      <c r="AC768" s="202"/>
      <c r="AD768" s="202" t="s">
        <v>1152</v>
      </c>
      <c r="AE768" s="202" t="s">
        <v>1153</v>
      </c>
      <c r="AF768" s="203" t="s">
        <v>1154</v>
      </c>
      <c r="AG768" s="208">
        <v>40939</v>
      </c>
      <c r="AH768" s="203" t="s">
        <v>1155</v>
      </c>
      <c r="AI768" s="202">
        <v>0</v>
      </c>
      <c r="AJ768" s="202">
        <v>1373.66</v>
      </c>
    </row>
    <row r="769" spans="2:36">
      <c r="B769" s="203">
        <v>2180</v>
      </c>
      <c r="C769" s="207">
        <v>90645</v>
      </c>
      <c r="D769" s="203" t="s">
        <v>97</v>
      </c>
      <c r="E769" s="202" t="s">
        <v>1951</v>
      </c>
      <c r="F769" s="203">
        <v>0</v>
      </c>
      <c r="G769" s="202"/>
      <c r="H769" s="202"/>
      <c r="I769" s="202"/>
      <c r="J769" s="202">
        <v>0</v>
      </c>
      <c r="K769" s="202"/>
      <c r="L769" s="202"/>
      <c r="M769" s="202"/>
      <c r="N769" s="206">
        <v>40862</v>
      </c>
      <c r="O769" s="206">
        <v>40862</v>
      </c>
      <c r="P769" s="202" t="s">
        <v>1950</v>
      </c>
      <c r="Q769" s="203">
        <v>300</v>
      </c>
      <c r="R769" s="203">
        <v>14110</v>
      </c>
      <c r="S769" s="204">
        <v>6989.73</v>
      </c>
      <c r="T769" s="203">
        <v>14116</v>
      </c>
      <c r="U769" s="204">
        <v>6989.73</v>
      </c>
      <c r="V769" s="204">
        <f t="shared" si="23"/>
        <v>0</v>
      </c>
      <c r="W769" s="205">
        <v>0</v>
      </c>
      <c r="X769" s="203">
        <v>70260</v>
      </c>
      <c r="Y769" s="204">
        <v>0</v>
      </c>
      <c r="Z769" s="202" t="s">
        <v>97</v>
      </c>
      <c r="AA769" s="202"/>
      <c r="AB769" s="202">
        <v>93763</v>
      </c>
      <c r="AC769" s="202"/>
      <c r="AD769" s="202" t="s">
        <v>1152</v>
      </c>
      <c r="AE769" s="202" t="s">
        <v>1153</v>
      </c>
      <c r="AF769" s="203" t="s">
        <v>1154</v>
      </c>
      <c r="AG769" s="208">
        <v>40939</v>
      </c>
      <c r="AH769" s="203" t="s">
        <v>1155</v>
      </c>
      <c r="AI769" s="202">
        <v>0</v>
      </c>
      <c r="AJ769" s="202">
        <v>582.48</v>
      </c>
    </row>
    <row r="770" spans="2:36">
      <c r="B770" s="203">
        <v>2180</v>
      </c>
      <c r="C770" s="207">
        <v>90644</v>
      </c>
      <c r="D770" s="203" t="s">
        <v>97</v>
      </c>
      <c r="E770" s="202" t="s">
        <v>1512</v>
      </c>
      <c r="F770" s="203">
        <v>0</v>
      </c>
      <c r="G770" s="202"/>
      <c r="H770" s="202"/>
      <c r="I770" s="202"/>
      <c r="J770" s="202">
        <v>0</v>
      </c>
      <c r="K770" s="202" t="s">
        <v>109</v>
      </c>
      <c r="L770" s="202"/>
      <c r="M770" s="202"/>
      <c r="N770" s="206">
        <v>40016</v>
      </c>
      <c r="O770" s="206">
        <v>40016</v>
      </c>
      <c r="P770" s="202" t="s">
        <v>1948</v>
      </c>
      <c r="Q770" s="203">
        <v>500</v>
      </c>
      <c r="R770" s="203">
        <v>14070</v>
      </c>
      <c r="S770" s="204">
        <v>10913.06</v>
      </c>
      <c r="T770" s="203">
        <v>14076</v>
      </c>
      <c r="U770" s="204">
        <v>10913.06</v>
      </c>
      <c r="V770" s="204">
        <f t="shared" si="23"/>
        <v>0</v>
      </c>
      <c r="W770" s="205">
        <v>0</v>
      </c>
      <c r="X770" s="203">
        <v>51260</v>
      </c>
      <c r="Y770" s="204">
        <v>0</v>
      </c>
      <c r="Z770" s="202" t="s">
        <v>97</v>
      </c>
      <c r="AA770" s="202"/>
      <c r="AB770" s="202" t="s">
        <v>1511</v>
      </c>
      <c r="AC770" s="202"/>
      <c r="AD770" s="202" t="s">
        <v>1152</v>
      </c>
      <c r="AE770" s="202" t="s">
        <v>1153</v>
      </c>
      <c r="AF770" s="203" t="s">
        <v>1154</v>
      </c>
      <c r="AG770" s="208">
        <v>40939</v>
      </c>
      <c r="AH770" s="203" t="s">
        <v>1155</v>
      </c>
      <c r="AI770" s="202">
        <v>0</v>
      </c>
      <c r="AJ770" s="202">
        <v>5456.52</v>
      </c>
    </row>
    <row r="771" spans="2:36">
      <c r="B771" s="203">
        <v>2180</v>
      </c>
      <c r="C771" s="207">
        <v>90643</v>
      </c>
      <c r="D771" s="203" t="s">
        <v>97</v>
      </c>
      <c r="E771" s="202" t="s">
        <v>1498</v>
      </c>
      <c r="F771" s="203">
        <v>0</v>
      </c>
      <c r="G771" s="202"/>
      <c r="H771" s="202"/>
      <c r="I771" s="202"/>
      <c r="J771" s="202">
        <v>0</v>
      </c>
      <c r="K771" s="202" t="s">
        <v>109</v>
      </c>
      <c r="L771" s="202"/>
      <c r="M771" s="202"/>
      <c r="N771" s="206">
        <v>40002</v>
      </c>
      <c r="O771" s="206">
        <v>40002</v>
      </c>
      <c r="P771" s="202" t="s">
        <v>1948</v>
      </c>
      <c r="Q771" s="203">
        <v>500</v>
      </c>
      <c r="R771" s="203">
        <v>14070</v>
      </c>
      <c r="S771" s="204">
        <v>1078.6500000000001</v>
      </c>
      <c r="T771" s="203">
        <v>14076</v>
      </c>
      <c r="U771" s="204">
        <v>1078.6500000000001</v>
      </c>
      <c r="V771" s="204">
        <f t="shared" si="23"/>
        <v>0</v>
      </c>
      <c r="W771" s="205">
        <v>0</v>
      </c>
      <c r="X771" s="203">
        <v>51260</v>
      </c>
      <c r="Y771" s="204">
        <v>0</v>
      </c>
      <c r="Z771" s="202" t="s">
        <v>97</v>
      </c>
      <c r="AA771" s="202"/>
      <c r="AB771" s="202" t="s">
        <v>1497</v>
      </c>
      <c r="AC771" s="202"/>
      <c r="AD771" s="202" t="s">
        <v>1152</v>
      </c>
      <c r="AE771" s="202" t="s">
        <v>1153</v>
      </c>
      <c r="AF771" s="203" t="s">
        <v>1154</v>
      </c>
      <c r="AG771" s="208">
        <v>40939</v>
      </c>
      <c r="AH771" s="203" t="s">
        <v>1155</v>
      </c>
      <c r="AI771" s="202">
        <v>0</v>
      </c>
      <c r="AJ771" s="202">
        <v>557.30999999999995</v>
      </c>
    </row>
    <row r="772" spans="2:36">
      <c r="B772" s="203">
        <v>2180</v>
      </c>
      <c r="C772" s="207">
        <v>90642</v>
      </c>
      <c r="D772" s="203" t="s">
        <v>97</v>
      </c>
      <c r="E772" s="202" t="s">
        <v>1949</v>
      </c>
      <c r="F772" s="203">
        <v>0</v>
      </c>
      <c r="G772" s="202"/>
      <c r="H772" s="202"/>
      <c r="I772" s="202"/>
      <c r="J772" s="202">
        <v>0</v>
      </c>
      <c r="K772" s="202" t="s">
        <v>109</v>
      </c>
      <c r="L772" s="202"/>
      <c r="M772" s="202"/>
      <c r="N772" s="206">
        <v>39986</v>
      </c>
      <c r="O772" s="206">
        <v>39986</v>
      </c>
      <c r="P772" s="202" t="s">
        <v>1948</v>
      </c>
      <c r="Q772" s="203">
        <v>500</v>
      </c>
      <c r="R772" s="203">
        <v>14070</v>
      </c>
      <c r="S772" s="204">
        <v>32932.65</v>
      </c>
      <c r="T772" s="203">
        <v>14076</v>
      </c>
      <c r="U772" s="204">
        <v>32932.65</v>
      </c>
      <c r="V772" s="204">
        <f t="shared" si="23"/>
        <v>0</v>
      </c>
      <c r="W772" s="205">
        <v>0</v>
      </c>
      <c r="X772" s="203">
        <v>51260</v>
      </c>
      <c r="Y772" s="204">
        <v>0</v>
      </c>
      <c r="Z772" s="202" t="s">
        <v>97</v>
      </c>
      <c r="AA772" s="202"/>
      <c r="AB772" s="202" t="s">
        <v>1493</v>
      </c>
      <c r="AC772" s="202"/>
      <c r="AD772" s="202" t="s">
        <v>1152</v>
      </c>
      <c r="AE772" s="202" t="s">
        <v>1153</v>
      </c>
      <c r="AF772" s="203" t="s">
        <v>1154</v>
      </c>
      <c r="AG772" s="208">
        <v>40939</v>
      </c>
      <c r="AH772" s="203" t="s">
        <v>1155</v>
      </c>
      <c r="AI772" s="202">
        <v>0</v>
      </c>
      <c r="AJ772" s="202">
        <v>17015.21</v>
      </c>
    </row>
    <row r="773" spans="2:36">
      <c r="B773" s="203">
        <v>2180</v>
      </c>
      <c r="C773" s="207">
        <v>90641</v>
      </c>
      <c r="D773" s="203" t="s">
        <v>97</v>
      </c>
      <c r="E773" s="202" t="s">
        <v>1543</v>
      </c>
      <c r="F773" s="203">
        <v>357</v>
      </c>
      <c r="G773" s="202"/>
      <c r="H773" s="202"/>
      <c r="I773" s="202"/>
      <c r="J773" s="202">
        <v>0</v>
      </c>
      <c r="K773" s="202" t="s">
        <v>1540</v>
      </c>
      <c r="L773" s="202"/>
      <c r="M773" s="202"/>
      <c r="N773" s="206">
        <v>40313</v>
      </c>
      <c r="O773" s="206">
        <v>40313</v>
      </c>
      <c r="P773" s="202" t="s">
        <v>1932</v>
      </c>
      <c r="Q773" s="203">
        <v>700</v>
      </c>
      <c r="R773" s="203">
        <v>14050</v>
      </c>
      <c r="S773" s="204">
        <v>19606</v>
      </c>
      <c r="T773" s="203">
        <v>14056</v>
      </c>
      <c r="U773" s="204">
        <v>19606</v>
      </c>
      <c r="V773" s="204">
        <f t="shared" si="23"/>
        <v>0</v>
      </c>
      <c r="W773" s="205">
        <v>0</v>
      </c>
      <c r="X773" s="203">
        <v>54260</v>
      </c>
      <c r="Y773" s="204">
        <v>0</v>
      </c>
      <c r="Z773" s="202" t="s">
        <v>97</v>
      </c>
      <c r="AA773" s="202"/>
      <c r="AB773" s="202" t="s">
        <v>1542</v>
      </c>
      <c r="AC773" s="202"/>
      <c r="AD773" s="202" t="s">
        <v>1152</v>
      </c>
      <c r="AE773" s="202" t="s">
        <v>1153</v>
      </c>
      <c r="AF773" s="203" t="s">
        <v>1154</v>
      </c>
      <c r="AG773" s="208">
        <v>40939</v>
      </c>
      <c r="AH773" s="203" t="s">
        <v>1155</v>
      </c>
      <c r="AI773" s="202">
        <v>0</v>
      </c>
      <c r="AJ773" s="202">
        <v>4901.51</v>
      </c>
    </row>
    <row r="774" spans="2:36">
      <c r="B774" s="203">
        <v>2180</v>
      </c>
      <c r="C774" s="207">
        <v>90640</v>
      </c>
      <c r="D774" s="203" t="s">
        <v>97</v>
      </c>
      <c r="E774" s="202" t="s">
        <v>1921</v>
      </c>
      <c r="F774" s="203">
        <v>486</v>
      </c>
      <c r="G774" s="202"/>
      <c r="H774" s="202" t="s">
        <v>1938</v>
      </c>
      <c r="I774" s="202"/>
      <c r="J774" s="202">
        <v>0</v>
      </c>
      <c r="K774" s="202" t="s">
        <v>1540</v>
      </c>
      <c r="L774" s="202"/>
      <c r="M774" s="202"/>
      <c r="N774" s="206">
        <v>40354</v>
      </c>
      <c r="O774" s="206">
        <v>40354</v>
      </c>
      <c r="P774" s="202" t="s">
        <v>1919</v>
      </c>
      <c r="Q774" s="203">
        <v>700</v>
      </c>
      <c r="R774" s="203">
        <v>14050</v>
      </c>
      <c r="S774" s="204">
        <v>25672.799999999999</v>
      </c>
      <c r="T774" s="203">
        <v>14056</v>
      </c>
      <c r="U774" s="204">
        <v>25672.799999999999</v>
      </c>
      <c r="V774" s="204">
        <f t="shared" si="23"/>
        <v>0</v>
      </c>
      <c r="W774" s="205">
        <v>0</v>
      </c>
      <c r="X774" s="203">
        <v>54260</v>
      </c>
      <c r="Y774" s="204">
        <v>0</v>
      </c>
      <c r="Z774" s="202" t="s">
        <v>97</v>
      </c>
      <c r="AA774" s="202"/>
      <c r="AB774" s="202" t="s">
        <v>1947</v>
      </c>
      <c r="AC774" s="202"/>
      <c r="AD774" s="202" t="s">
        <v>1152</v>
      </c>
      <c r="AE774" s="202" t="s">
        <v>1153</v>
      </c>
      <c r="AF774" s="203" t="s">
        <v>1154</v>
      </c>
      <c r="AG774" s="208">
        <v>40939</v>
      </c>
      <c r="AH774" s="203" t="s">
        <v>1155</v>
      </c>
      <c r="AI774" s="202">
        <v>0</v>
      </c>
      <c r="AJ774" s="202">
        <v>5806.94</v>
      </c>
    </row>
    <row r="775" spans="2:36">
      <c r="B775" s="203">
        <v>2180</v>
      </c>
      <c r="C775" s="207">
        <v>90638</v>
      </c>
      <c r="D775" s="203" t="s">
        <v>97</v>
      </c>
      <c r="E775" s="202" t="s">
        <v>1946</v>
      </c>
      <c r="F775" s="203">
        <v>486</v>
      </c>
      <c r="G775" s="202"/>
      <c r="H775" s="202" t="s">
        <v>1945</v>
      </c>
      <c r="I775" s="202"/>
      <c r="J775" s="202">
        <v>0</v>
      </c>
      <c r="K775" s="202" t="s">
        <v>1658</v>
      </c>
      <c r="L775" s="202"/>
      <c r="M775" s="202"/>
      <c r="N775" s="206">
        <v>40667</v>
      </c>
      <c r="O775" s="206">
        <v>40667</v>
      </c>
      <c r="P775" s="202" t="s">
        <v>1883</v>
      </c>
      <c r="Q775" s="203">
        <v>700</v>
      </c>
      <c r="R775" s="203">
        <v>14050</v>
      </c>
      <c r="S775" s="204">
        <v>25210.65</v>
      </c>
      <c r="T775" s="203">
        <v>14056</v>
      </c>
      <c r="U775" s="204">
        <v>25210.65</v>
      </c>
      <c r="V775" s="204">
        <f t="shared" si="23"/>
        <v>0</v>
      </c>
      <c r="W775" s="205">
        <v>0</v>
      </c>
      <c r="X775" s="203">
        <v>54260</v>
      </c>
      <c r="Y775" s="204">
        <v>0</v>
      </c>
      <c r="Z775" s="202" t="s">
        <v>97</v>
      </c>
      <c r="AA775" s="202"/>
      <c r="AB775" s="202" t="s">
        <v>1944</v>
      </c>
      <c r="AC775" s="202"/>
      <c r="AD775" s="202" t="s">
        <v>1152</v>
      </c>
      <c r="AE775" s="202" t="s">
        <v>1153</v>
      </c>
      <c r="AF775" s="203" t="s">
        <v>1154</v>
      </c>
      <c r="AG775" s="208">
        <v>40939</v>
      </c>
      <c r="AH775" s="203" t="s">
        <v>1155</v>
      </c>
      <c r="AI775" s="202">
        <v>0</v>
      </c>
      <c r="AJ775" s="202">
        <v>2701.15</v>
      </c>
    </row>
    <row r="776" spans="2:36">
      <c r="B776" s="203">
        <v>2180</v>
      </c>
      <c r="C776" s="207">
        <v>90637</v>
      </c>
      <c r="D776" s="203" t="s">
        <v>97</v>
      </c>
      <c r="E776" s="202" t="s">
        <v>1670</v>
      </c>
      <c r="F776" s="203">
        <v>49</v>
      </c>
      <c r="G776" s="202"/>
      <c r="H776" s="202"/>
      <c r="I776" s="202"/>
      <c r="J776" s="202">
        <v>0</v>
      </c>
      <c r="K776" s="202" t="s">
        <v>1658</v>
      </c>
      <c r="L776" s="202"/>
      <c r="M776" s="202"/>
      <c r="N776" s="206">
        <v>40667</v>
      </c>
      <c r="O776" s="206">
        <v>40667</v>
      </c>
      <c r="P776" s="202" t="s">
        <v>1883</v>
      </c>
      <c r="Q776" s="203">
        <v>700</v>
      </c>
      <c r="R776" s="203">
        <v>14050</v>
      </c>
      <c r="S776" s="204">
        <v>2541.8200000000002</v>
      </c>
      <c r="T776" s="203">
        <v>14056</v>
      </c>
      <c r="U776" s="204">
        <v>2541.8200000000002</v>
      </c>
      <c r="V776" s="204">
        <f t="shared" si="23"/>
        <v>0</v>
      </c>
      <c r="W776" s="205">
        <v>0</v>
      </c>
      <c r="X776" s="203">
        <v>54260</v>
      </c>
      <c r="Y776" s="204">
        <v>0</v>
      </c>
      <c r="Z776" s="202" t="s">
        <v>97</v>
      </c>
      <c r="AA776" s="202"/>
      <c r="AB776" s="202" t="s">
        <v>1943</v>
      </c>
      <c r="AC776" s="202"/>
      <c r="AD776" s="202" t="s">
        <v>1152</v>
      </c>
      <c r="AE776" s="202" t="s">
        <v>1153</v>
      </c>
      <c r="AF776" s="203" t="s">
        <v>1154</v>
      </c>
      <c r="AG776" s="208">
        <v>40939</v>
      </c>
      <c r="AH776" s="203" t="s">
        <v>1155</v>
      </c>
      <c r="AI776" s="202">
        <v>0</v>
      </c>
      <c r="AJ776" s="202">
        <v>272.33999999999997</v>
      </c>
    </row>
    <row r="777" spans="2:36">
      <c r="B777" s="203">
        <v>2180</v>
      </c>
      <c r="C777" s="207">
        <v>90636</v>
      </c>
      <c r="D777" s="203" t="s">
        <v>97</v>
      </c>
      <c r="E777" s="202" t="s">
        <v>1670</v>
      </c>
      <c r="F777" s="203">
        <v>486</v>
      </c>
      <c r="G777" s="202"/>
      <c r="H777" s="202" t="s">
        <v>1942</v>
      </c>
      <c r="I777" s="202"/>
      <c r="J777" s="202">
        <v>0</v>
      </c>
      <c r="K777" s="202" t="s">
        <v>1658</v>
      </c>
      <c r="L777" s="202"/>
      <c r="M777" s="202"/>
      <c r="N777" s="206">
        <v>40667</v>
      </c>
      <c r="O777" s="206">
        <v>40667</v>
      </c>
      <c r="P777" s="202" t="s">
        <v>1883</v>
      </c>
      <c r="Q777" s="203">
        <v>700</v>
      </c>
      <c r="R777" s="203">
        <v>14050</v>
      </c>
      <c r="S777" s="204">
        <v>25210.65</v>
      </c>
      <c r="T777" s="203">
        <v>14056</v>
      </c>
      <c r="U777" s="204">
        <v>25210.65</v>
      </c>
      <c r="V777" s="204">
        <f t="shared" si="23"/>
        <v>0</v>
      </c>
      <c r="W777" s="205">
        <v>0</v>
      </c>
      <c r="X777" s="203">
        <v>54260</v>
      </c>
      <c r="Y777" s="204">
        <v>0</v>
      </c>
      <c r="Z777" s="202" t="s">
        <v>97</v>
      </c>
      <c r="AA777" s="202"/>
      <c r="AB777" s="202" t="s">
        <v>1941</v>
      </c>
      <c r="AC777" s="202"/>
      <c r="AD777" s="202" t="s">
        <v>1152</v>
      </c>
      <c r="AE777" s="202" t="s">
        <v>1153</v>
      </c>
      <c r="AF777" s="203" t="s">
        <v>1154</v>
      </c>
      <c r="AG777" s="208">
        <v>40939</v>
      </c>
      <c r="AH777" s="203" t="s">
        <v>1155</v>
      </c>
      <c r="AI777" s="202">
        <v>0</v>
      </c>
      <c r="AJ777" s="202">
        <v>2701.15</v>
      </c>
    </row>
    <row r="778" spans="2:36">
      <c r="B778" s="203">
        <v>2180</v>
      </c>
      <c r="C778" s="207">
        <v>90635</v>
      </c>
      <c r="D778" s="203" t="s">
        <v>97</v>
      </c>
      <c r="E778" s="202" t="s">
        <v>1666</v>
      </c>
      <c r="F778" s="203">
        <v>440</v>
      </c>
      <c r="G778" s="202"/>
      <c r="H778" s="202" t="s">
        <v>1940</v>
      </c>
      <c r="I778" s="202"/>
      <c r="J778" s="202">
        <v>0</v>
      </c>
      <c r="K778" s="202" t="s">
        <v>1658</v>
      </c>
      <c r="L778" s="202"/>
      <c r="M778" s="202"/>
      <c r="N778" s="206">
        <v>40651</v>
      </c>
      <c r="O778" s="206">
        <v>40651</v>
      </c>
      <c r="P778" s="202" t="s">
        <v>1899</v>
      </c>
      <c r="Q778" s="203">
        <v>700</v>
      </c>
      <c r="R778" s="203">
        <v>14050</v>
      </c>
      <c r="S778" s="204">
        <v>15548.14</v>
      </c>
      <c r="T778" s="203">
        <v>14056</v>
      </c>
      <c r="U778" s="204">
        <v>15548.14</v>
      </c>
      <c r="V778" s="204">
        <f t="shared" si="23"/>
        <v>0</v>
      </c>
      <c r="W778" s="205">
        <v>0</v>
      </c>
      <c r="X778" s="203">
        <v>54260</v>
      </c>
      <c r="Y778" s="204">
        <v>0</v>
      </c>
      <c r="Z778" s="202" t="s">
        <v>97</v>
      </c>
      <c r="AA778" s="202"/>
      <c r="AB778" s="202" t="s">
        <v>1939</v>
      </c>
      <c r="AC778" s="202"/>
      <c r="AD778" s="202" t="s">
        <v>1152</v>
      </c>
      <c r="AE778" s="202" t="s">
        <v>1153</v>
      </c>
      <c r="AF778" s="203" t="s">
        <v>1154</v>
      </c>
      <c r="AG778" s="208">
        <v>40939</v>
      </c>
      <c r="AH778" s="203" t="s">
        <v>1155</v>
      </c>
      <c r="AI778" s="202">
        <v>0</v>
      </c>
      <c r="AJ778" s="202">
        <v>1665.88</v>
      </c>
    </row>
    <row r="779" spans="2:36">
      <c r="B779" s="203">
        <v>2180</v>
      </c>
      <c r="C779" s="207">
        <v>90634</v>
      </c>
      <c r="D779" s="203" t="s">
        <v>97</v>
      </c>
      <c r="E779" s="202" t="s">
        <v>1921</v>
      </c>
      <c r="F779" s="203">
        <v>486</v>
      </c>
      <c r="G779" s="202"/>
      <c r="H779" s="202" t="s">
        <v>1938</v>
      </c>
      <c r="I779" s="202"/>
      <c r="J779" s="202">
        <v>0</v>
      </c>
      <c r="K779" s="202" t="s">
        <v>1540</v>
      </c>
      <c r="L779" s="202"/>
      <c r="M779" s="202"/>
      <c r="N779" s="206">
        <v>40446</v>
      </c>
      <c r="O779" s="206">
        <v>40446</v>
      </c>
      <c r="P779" s="202" t="s">
        <v>1919</v>
      </c>
      <c r="Q779" s="203">
        <v>700</v>
      </c>
      <c r="R779" s="203">
        <v>14050</v>
      </c>
      <c r="S779" s="204">
        <v>24169.51</v>
      </c>
      <c r="T779" s="203">
        <v>14056</v>
      </c>
      <c r="U779" s="204">
        <v>24169.51</v>
      </c>
      <c r="V779" s="204">
        <f t="shared" si="23"/>
        <v>0</v>
      </c>
      <c r="W779" s="205">
        <v>0</v>
      </c>
      <c r="X779" s="203">
        <v>54260</v>
      </c>
      <c r="Y779" s="204">
        <v>0</v>
      </c>
      <c r="Z779" s="202" t="s">
        <v>97</v>
      </c>
      <c r="AA779" s="202"/>
      <c r="AB779" s="202" t="s">
        <v>1937</v>
      </c>
      <c r="AC779" s="202"/>
      <c r="AD779" s="202" t="s">
        <v>1152</v>
      </c>
      <c r="AE779" s="202" t="s">
        <v>1153</v>
      </c>
      <c r="AF779" s="203" t="s">
        <v>1154</v>
      </c>
      <c r="AG779" s="208">
        <v>40939</v>
      </c>
      <c r="AH779" s="203" t="s">
        <v>1155</v>
      </c>
      <c r="AI779" s="202">
        <v>0</v>
      </c>
      <c r="AJ779" s="202">
        <v>4603.72</v>
      </c>
    </row>
    <row r="780" spans="2:36">
      <c r="B780" s="203">
        <v>2180</v>
      </c>
      <c r="C780" s="207">
        <v>90633</v>
      </c>
      <c r="D780" s="203" t="s">
        <v>97</v>
      </c>
      <c r="E780" s="202" t="s">
        <v>1461</v>
      </c>
      <c r="F780" s="203">
        <v>2</v>
      </c>
      <c r="G780" s="202"/>
      <c r="H780" s="202"/>
      <c r="I780" s="202"/>
      <c r="J780" s="202">
        <v>0</v>
      </c>
      <c r="K780" s="202"/>
      <c r="L780" s="202"/>
      <c r="M780" s="202" t="s">
        <v>1460</v>
      </c>
      <c r="N780" s="206">
        <v>39755</v>
      </c>
      <c r="O780" s="206">
        <v>39755</v>
      </c>
      <c r="P780" s="202"/>
      <c r="Q780" s="203">
        <v>700</v>
      </c>
      <c r="R780" s="203">
        <v>14050</v>
      </c>
      <c r="S780" s="204">
        <v>5000</v>
      </c>
      <c r="T780" s="203">
        <v>14056</v>
      </c>
      <c r="U780" s="204">
        <v>5000</v>
      </c>
      <c r="V780" s="204">
        <f t="shared" si="23"/>
        <v>0</v>
      </c>
      <c r="W780" s="205">
        <v>0</v>
      </c>
      <c r="X780" s="203">
        <v>54260</v>
      </c>
      <c r="Y780" s="204">
        <v>0</v>
      </c>
      <c r="Z780" s="202" t="s">
        <v>1153</v>
      </c>
      <c r="AA780" s="202" t="s">
        <v>1383</v>
      </c>
      <c r="AB780" s="202"/>
      <c r="AC780" s="202"/>
      <c r="AD780" s="202" t="s">
        <v>1152</v>
      </c>
      <c r="AE780" s="202" t="s">
        <v>1153</v>
      </c>
      <c r="AF780" s="203" t="s">
        <v>1154</v>
      </c>
      <c r="AG780" s="208">
        <v>40939</v>
      </c>
      <c r="AH780" s="203" t="s">
        <v>1155</v>
      </c>
      <c r="AI780" s="202">
        <v>0</v>
      </c>
      <c r="AJ780" s="202">
        <v>2321.4299999999998</v>
      </c>
    </row>
    <row r="781" spans="2:36">
      <c r="B781" s="203">
        <v>2180</v>
      </c>
      <c r="C781" s="207">
        <v>90632</v>
      </c>
      <c r="D781" s="203" t="s">
        <v>97</v>
      </c>
      <c r="E781" s="202" t="s">
        <v>1936</v>
      </c>
      <c r="F781" s="203">
        <v>648</v>
      </c>
      <c r="G781" s="202"/>
      <c r="H781" s="202"/>
      <c r="I781" s="202"/>
      <c r="J781" s="202">
        <v>0</v>
      </c>
      <c r="K781" s="202" t="s">
        <v>1540</v>
      </c>
      <c r="L781" s="202"/>
      <c r="M781" s="202"/>
      <c r="N781" s="206">
        <v>40434</v>
      </c>
      <c r="O781" s="206">
        <v>40434</v>
      </c>
      <c r="P781" s="202" t="s">
        <v>1935</v>
      </c>
      <c r="Q781" s="203">
        <v>700</v>
      </c>
      <c r="R781" s="203">
        <v>14050</v>
      </c>
      <c r="S781" s="204">
        <v>27714.37</v>
      </c>
      <c r="T781" s="203">
        <v>14056</v>
      </c>
      <c r="U781" s="204">
        <v>27714.37</v>
      </c>
      <c r="V781" s="204">
        <f t="shared" si="23"/>
        <v>0</v>
      </c>
      <c r="W781" s="205">
        <v>0</v>
      </c>
      <c r="X781" s="203">
        <v>54260</v>
      </c>
      <c r="Y781" s="204">
        <v>0</v>
      </c>
      <c r="Z781" s="202" t="s">
        <v>97</v>
      </c>
      <c r="AA781" s="202"/>
      <c r="AB781" s="202" t="s">
        <v>1934</v>
      </c>
      <c r="AC781" s="202"/>
      <c r="AD781" s="202" t="s">
        <v>1152</v>
      </c>
      <c r="AE781" s="202" t="s">
        <v>1153</v>
      </c>
      <c r="AF781" s="203" t="s">
        <v>1154</v>
      </c>
      <c r="AG781" s="208">
        <v>40939</v>
      </c>
      <c r="AH781" s="203" t="s">
        <v>1155</v>
      </c>
      <c r="AI781" s="202">
        <v>0</v>
      </c>
      <c r="AJ781" s="202">
        <v>5608.86</v>
      </c>
    </row>
    <row r="782" spans="2:36">
      <c r="B782" s="203">
        <v>2180</v>
      </c>
      <c r="C782" s="207">
        <v>90631</v>
      </c>
      <c r="D782" s="203" t="s">
        <v>97</v>
      </c>
      <c r="E782" s="202" t="s">
        <v>1550</v>
      </c>
      <c r="F782" s="203">
        <v>13</v>
      </c>
      <c r="G782" s="202"/>
      <c r="H782" s="202"/>
      <c r="I782" s="202"/>
      <c r="J782" s="202">
        <v>0</v>
      </c>
      <c r="K782" s="202" t="s">
        <v>1549</v>
      </c>
      <c r="L782" s="202"/>
      <c r="M782" s="202" t="s">
        <v>1421</v>
      </c>
      <c r="N782" s="206">
        <v>40332</v>
      </c>
      <c r="O782" s="206">
        <v>40332</v>
      </c>
      <c r="P782" s="202" t="s">
        <v>1933</v>
      </c>
      <c r="Q782" s="203">
        <v>1200</v>
      </c>
      <c r="R782" s="203">
        <v>14050</v>
      </c>
      <c r="S782" s="204">
        <v>6771.14</v>
      </c>
      <c r="T782" s="203">
        <v>14056</v>
      </c>
      <c r="U782" s="204">
        <v>6771.14</v>
      </c>
      <c r="V782" s="204">
        <f t="shared" ref="V782:V845" si="24">S782-U782</f>
        <v>0</v>
      </c>
      <c r="W782" s="205">
        <v>235.13</v>
      </c>
      <c r="X782" s="203">
        <v>54260</v>
      </c>
      <c r="Y782" s="204">
        <v>47.03</v>
      </c>
      <c r="Z782" s="202" t="s">
        <v>97</v>
      </c>
      <c r="AA782" s="202"/>
      <c r="AB782" s="202" t="s">
        <v>1547</v>
      </c>
      <c r="AC782" s="202"/>
      <c r="AD782" s="202" t="s">
        <v>1152</v>
      </c>
      <c r="AE782" s="202" t="s">
        <v>1153</v>
      </c>
      <c r="AF782" s="203" t="s">
        <v>1154</v>
      </c>
      <c r="AG782" s="208">
        <v>40939</v>
      </c>
      <c r="AH782" s="203" t="s">
        <v>1155</v>
      </c>
      <c r="AI782" s="202">
        <v>0</v>
      </c>
      <c r="AJ782" s="202">
        <v>940.43</v>
      </c>
    </row>
    <row r="783" spans="2:36">
      <c r="B783" s="203">
        <v>2180</v>
      </c>
      <c r="C783" s="207">
        <v>90630</v>
      </c>
      <c r="D783" s="203" t="s">
        <v>97</v>
      </c>
      <c r="E783" s="202" t="s">
        <v>520</v>
      </c>
      <c r="F783" s="203">
        <v>11</v>
      </c>
      <c r="G783" s="202"/>
      <c r="H783" s="202"/>
      <c r="I783" s="202"/>
      <c r="J783" s="202">
        <v>0</v>
      </c>
      <c r="K783" s="202" t="s">
        <v>1574</v>
      </c>
      <c r="L783" s="202"/>
      <c r="M783" s="202" t="s">
        <v>1456</v>
      </c>
      <c r="N783" s="206">
        <v>40451</v>
      </c>
      <c r="O783" s="206">
        <v>40451</v>
      </c>
      <c r="P783" s="202" t="s">
        <v>1886</v>
      </c>
      <c r="Q783" s="203">
        <v>1200</v>
      </c>
      <c r="R783" s="203">
        <v>14050</v>
      </c>
      <c r="S783" s="204">
        <v>8897.02</v>
      </c>
      <c r="T783" s="203">
        <v>14056</v>
      </c>
      <c r="U783" s="204">
        <v>8649.85</v>
      </c>
      <c r="V783" s="204">
        <f t="shared" si="24"/>
        <v>247.17000000000007</v>
      </c>
      <c r="W783" s="205">
        <v>308.97000000000003</v>
      </c>
      <c r="X783" s="203">
        <v>54260</v>
      </c>
      <c r="Y783" s="204">
        <v>61.79</v>
      </c>
      <c r="Z783" s="202" t="s">
        <v>97</v>
      </c>
      <c r="AA783" s="202"/>
      <c r="AB783" s="202">
        <v>50478</v>
      </c>
      <c r="AC783" s="202"/>
      <c r="AD783" s="202" t="s">
        <v>1152</v>
      </c>
      <c r="AE783" s="202" t="s">
        <v>1153</v>
      </c>
      <c r="AF783" s="203" t="s">
        <v>1154</v>
      </c>
      <c r="AG783" s="208">
        <v>40939</v>
      </c>
      <c r="AH783" s="203" t="s">
        <v>1155</v>
      </c>
      <c r="AI783" s="202">
        <v>0</v>
      </c>
      <c r="AJ783" s="202">
        <v>988.56</v>
      </c>
    </row>
    <row r="784" spans="2:36">
      <c r="B784" s="203">
        <v>2180</v>
      </c>
      <c r="C784" s="207">
        <v>90629</v>
      </c>
      <c r="D784" s="203" t="s">
        <v>97</v>
      </c>
      <c r="E784" s="202" t="s">
        <v>1543</v>
      </c>
      <c r="F784" s="203">
        <v>357</v>
      </c>
      <c r="G784" s="202"/>
      <c r="H784" s="202"/>
      <c r="I784" s="202"/>
      <c r="J784" s="202">
        <v>0</v>
      </c>
      <c r="K784" s="202" t="s">
        <v>1540</v>
      </c>
      <c r="L784" s="202"/>
      <c r="M784" s="202"/>
      <c r="N784" s="206">
        <v>40313</v>
      </c>
      <c r="O784" s="206">
        <v>40313</v>
      </c>
      <c r="P784" s="202" t="s">
        <v>1932</v>
      </c>
      <c r="Q784" s="203">
        <v>700</v>
      </c>
      <c r="R784" s="203">
        <v>14050</v>
      </c>
      <c r="S784" s="204">
        <v>12578.06</v>
      </c>
      <c r="T784" s="203">
        <v>14056</v>
      </c>
      <c r="U784" s="204">
        <v>12578.06</v>
      </c>
      <c r="V784" s="204">
        <f t="shared" si="24"/>
        <v>0</v>
      </c>
      <c r="W784" s="205">
        <v>0</v>
      </c>
      <c r="X784" s="203">
        <v>54260</v>
      </c>
      <c r="Y784" s="204">
        <v>0</v>
      </c>
      <c r="Z784" s="202" t="s">
        <v>97</v>
      </c>
      <c r="AA784" s="202"/>
      <c r="AB784" s="202" t="s">
        <v>1538</v>
      </c>
      <c r="AC784" s="202"/>
      <c r="AD784" s="202" t="s">
        <v>1152</v>
      </c>
      <c r="AE784" s="202" t="s">
        <v>1153</v>
      </c>
      <c r="AF784" s="203" t="s">
        <v>1154</v>
      </c>
      <c r="AG784" s="208">
        <v>40939</v>
      </c>
      <c r="AH784" s="203" t="s">
        <v>1155</v>
      </c>
      <c r="AI784" s="202">
        <v>0</v>
      </c>
      <c r="AJ784" s="202">
        <v>3144.52</v>
      </c>
    </row>
    <row r="785" spans="2:36">
      <c r="B785" s="203">
        <v>2180</v>
      </c>
      <c r="C785" s="207">
        <v>90628</v>
      </c>
      <c r="D785" s="203" t="s">
        <v>97</v>
      </c>
      <c r="E785" s="202" t="s">
        <v>1372</v>
      </c>
      <c r="F785" s="203">
        <v>486</v>
      </c>
      <c r="G785" s="202"/>
      <c r="H785" s="202"/>
      <c r="I785" s="202"/>
      <c r="J785" s="202">
        <v>0</v>
      </c>
      <c r="K785" s="202" t="s">
        <v>1540</v>
      </c>
      <c r="L785" s="202"/>
      <c r="M785" s="202"/>
      <c r="N785" s="206">
        <v>40058</v>
      </c>
      <c r="O785" s="206">
        <v>40058</v>
      </c>
      <c r="P785" s="202" t="s">
        <v>1930</v>
      </c>
      <c r="Q785" s="203">
        <v>700</v>
      </c>
      <c r="R785" s="203">
        <v>14050</v>
      </c>
      <c r="S785" s="204">
        <v>23308.959999999999</v>
      </c>
      <c r="T785" s="203">
        <v>14056</v>
      </c>
      <c r="U785" s="204">
        <v>23308.959999999999</v>
      </c>
      <c r="V785" s="204">
        <f t="shared" si="24"/>
        <v>0</v>
      </c>
      <c r="W785" s="205">
        <v>0</v>
      </c>
      <c r="X785" s="203">
        <v>54260</v>
      </c>
      <c r="Y785" s="204">
        <v>0</v>
      </c>
      <c r="Z785" s="202" t="s">
        <v>97</v>
      </c>
      <c r="AA785" s="202"/>
      <c r="AB785" s="202" t="s">
        <v>1931</v>
      </c>
      <c r="AC785" s="202"/>
      <c r="AD785" s="202" t="s">
        <v>1152</v>
      </c>
      <c r="AE785" s="202" t="s">
        <v>1153</v>
      </c>
      <c r="AF785" s="203" t="s">
        <v>1154</v>
      </c>
      <c r="AG785" s="208">
        <v>40939</v>
      </c>
      <c r="AH785" s="203" t="s">
        <v>1155</v>
      </c>
      <c r="AI785" s="202">
        <v>0</v>
      </c>
      <c r="AJ785" s="202">
        <v>8047.14</v>
      </c>
    </row>
    <row r="786" spans="2:36">
      <c r="B786" s="203">
        <v>2180</v>
      </c>
      <c r="C786" s="207">
        <v>90627</v>
      </c>
      <c r="D786" s="203" t="s">
        <v>97</v>
      </c>
      <c r="E786" s="202" t="s">
        <v>1660</v>
      </c>
      <c r="F786" s="203">
        <v>486</v>
      </c>
      <c r="G786" s="202"/>
      <c r="H786" s="202"/>
      <c r="I786" s="202"/>
      <c r="J786" s="202">
        <v>0</v>
      </c>
      <c r="K786" s="202" t="s">
        <v>1540</v>
      </c>
      <c r="L786" s="202"/>
      <c r="M786" s="202"/>
      <c r="N786" s="206">
        <v>40058</v>
      </c>
      <c r="O786" s="206">
        <v>40058</v>
      </c>
      <c r="P786" s="202" t="s">
        <v>1930</v>
      </c>
      <c r="Q786" s="203">
        <v>700</v>
      </c>
      <c r="R786" s="203">
        <v>14050</v>
      </c>
      <c r="S786" s="204">
        <v>23308.959999999999</v>
      </c>
      <c r="T786" s="203">
        <v>14056</v>
      </c>
      <c r="U786" s="204">
        <v>23308.959999999999</v>
      </c>
      <c r="V786" s="204">
        <f t="shared" si="24"/>
        <v>0</v>
      </c>
      <c r="W786" s="205">
        <v>0</v>
      </c>
      <c r="X786" s="203">
        <v>54260</v>
      </c>
      <c r="Y786" s="204">
        <v>0</v>
      </c>
      <c r="Z786" s="202" t="s">
        <v>97</v>
      </c>
      <c r="AA786" s="202"/>
      <c r="AB786" s="202" t="s">
        <v>1929</v>
      </c>
      <c r="AC786" s="202"/>
      <c r="AD786" s="202" t="s">
        <v>1152</v>
      </c>
      <c r="AE786" s="202" t="s">
        <v>1153</v>
      </c>
      <c r="AF786" s="203" t="s">
        <v>1154</v>
      </c>
      <c r="AG786" s="208">
        <v>40939</v>
      </c>
      <c r="AH786" s="203" t="s">
        <v>1155</v>
      </c>
      <c r="AI786" s="202">
        <v>0</v>
      </c>
      <c r="AJ786" s="202">
        <v>8047.14</v>
      </c>
    </row>
    <row r="787" spans="2:36">
      <c r="B787" s="203">
        <v>2180</v>
      </c>
      <c r="C787" s="207">
        <v>90626</v>
      </c>
      <c r="D787" s="203" t="s">
        <v>97</v>
      </c>
      <c r="E787" s="202" t="s">
        <v>1928</v>
      </c>
      <c r="F787" s="203">
        <v>486</v>
      </c>
      <c r="G787" s="202"/>
      <c r="H787" s="202"/>
      <c r="I787" s="202"/>
      <c r="J787" s="202">
        <v>0</v>
      </c>
      <c r="K787" s="202" t="s">
        <v>1540</v>
      </c>
      <c r="L787" s="202"/>
      <c r="M787" s="202"/>
      <c r="N787" s="206">
        <v>40126</v>
      </c>
      <c r="O787" s="206">
        <v>40126</v>
      </c>
      <c r="P787" s="202" t="s">
        <v>1925</v>
      </c>
      <c r="Q787" s="203">
        <v>700</v>
      </c>
      <c r="R787" s="203">
        <v>14050</v>
      </c>
      <c r="S787" s="204">
        <v>23622.38</v>
      </c>
      <c r="T787" s="203">
        <v>14056</v>
      </c>
      <c r="U787" s="204">
        <v>23622.38</v>
      </c>
      <c r="V787" s="204">
        <f t="shared" si="24"/>
        <v>0</v>
      </c>
      <c r="W787" s="205">
        <v>0</v>
      </c>
      <c r="X787" s="203">
        <v>54260</v>
      </c>
      <c r="Y787" s="204">
        <v>0</v>
      </c>
      <c r="Z787" s="202" t="s">
        <v>97</v>
      </c>
      <c r="AA787" s="202"/>
      <c r="AB787" s="202" t="s">
        <v>1927</v>
      </c>
      <c r="AC787" s="202"/>
      <c r="AD787" s="202" t="s">
        <v>1152</v>
      </c>
      <c r="AE787" s="202" t="s">
        <v>1153</v>
      </c>
      <c r="AF787" s="203" t="s">
        <v>1154</v>
      </c>
      <c r="AG787" s="208">
        <v>40939</v>
      </c>
      <c r="AH787" s="203" t="s">
        <v>1155</v>
      </c>
      <c r="AI787" s="202">
        <v>0</v>
      </c>
      <c r="AJ787" s="202">
        <v>7592.92</v>
      </c>
    </row>
    <row r="788" spans="2:36">
      <c r="B788" s="203">
        <v>2180</v>
      </c>
      <c r="C788" s="207">
        <v>90625</v>
      </c>
      <c r="D788" s="203" t="s">
        <v>97</v>
      </c>
      <c r="E788" s="202" t="s">
        <v>1372</v>
      </c>
      <c r="F788" s="203">
        <v>486</v>
      </c>
      <c r="G788" s="202"/>
      <c r="H788" s="202"/>
      <c r="I788" s="202"/>
      <c r="J788" s="202">
        <v>0</v>
      </c>
      <c r="K788" s="202" t="s">
        <v>1540</v>
      </c>
      <c r="L788" s="202"/>
      <c r="M788" s="202"/>
      <c r="N788" s="206">
        <v>40123</v>
      </c>
      <c r="O788" s="206">
        <v>40123</v>
      </c>
      <c r="P788" s="202" t="s">
        <v>1925</v>
      </c>
      <c r="Q788" s="203">
        <v>700</v>
      </c>
      <c r="R788" s="203">
        <v>14050</v>
      </c>
      <c r="S788" s="204">
        <v>23622.38</v>
      </c>
      <c r="T788" s="203">
        <v>14056</v>
      </c>
      <c r="U788" s="204">
        <v>23622.38</v>
      </c>
      <c r="V788" s="204">
        <f t="shared" si="24"/>
        <v>0</v>
      </c>
      <c r="W788" s="205">
        <v>0</v>
      </c>
      <c r="X788" s="203">
        <v>54260</v>
      </c>
      <c r="Y788" s="204">
        <v>0</v>
      </c>
      <c r="Z788" s="202" t="s">
        <v>97</v>
      </c>
      <c r="AA788" s="202"/>
      <c r="AB788" s="202" t="s">
        <v>1926</v>
      </c>
      <c r="AC788" s="202"/>
      <c r="AD788" s="202" t="s">
        <v>1152</v>
      </c>
      <c r="AE788" s="202" t="s">
        <v>1153</v>
      </c>
      <c r="AF788" s="203" t="s">
        <v>1154</v>
      </c>
      <c r="AG788" s="208">
        <v>40939</v>
      </c>
      <c r="AH788" s="203" t="s">
        <v>1155</v>
      </c>
      <c r="AI788" s="202">
        <v>0</v>
      </c>
      <c r="AJ788" s="202">
        <v>7592.92</v>
      </c>
    </row>
    <row r="789" spans="2:36">
      <c r="B789" s="203">
        <v>2180</v>
      </c>
      <c r="C789" s="207">
        <v>90624</v>
      </c>
      <c r="D789" s="203" t="s">
        <v>97</v>
      </c>
      <c r="E789" s="202" t="s">
        <v>1372</v>
      </c>
      <c r="F789" s="203">
        <v>486</v>
      </c>
      <c r="G789" s="202"/>
      <c r="H789" s="202"/>
      <c r="I789" s="202"/>
      <c r="J789" s="202">
        <v>0</v>
      </c>
      <c r="K789" s="202" t="s">
        <v>1540</v>
      </c>
      <c r="L789" s="202"/>
      <c r="M789" s="202"/>
      <c r="N789" s="206">
        <v>40123</v>
      </c>
      <c r="O789" s="206">
        <v>40123</v>
      </c>
      <c r="P789" s="202" t="s">
        <v>1925</v>
      </c>
      <c r="Q789" s="203">
        <v>700</v>
      </c>
      <c r="R789" s="203">
        <v>14050</v>
      </c>
      <c r="S789" s="204">
        <v>23622.38</v>
      </c>
      <c r="T789" s="203">
        <v>14056</v>
      </c>
      <c r="U789" s="204">
        <v>23622.38</v>
      </c>
      <c r="V789" s="204">
        <f t="shared" si="24"/>
        <v>0</v>
      </c>
      <c r="W789" s="205">
        <v>0</v>
      </c>
      <c r="X789" s="203">
        <v>54260</v>
      </c>
      <c r="Y789" s="204">
        <v>0</v>
      </c>
      <c r="Z789" s="202" t="s">
        <v>97</v>
      </c>
      <c r="AA789" s="202"/>
      <c r="AB789" s="202" t="s">
        <v>1924</v>
      </c>
      <c r="AC789" s="202"/>
      <c r="AD789" s="202" t="s">
        <v>1152</v>
      </c>
      <c r="AE789" s="202" t="s">
        <v>1153</v>
      </c>
      <c r="AF789" s="203" t="s">
        <v>1154</v>
      </c>
      <c r="AG789" s="208">
        <v>40939</v>
      </c>
      <c r="AH789" s="203" t="s">
        <v>1155</v>
      </c>
      <c r="AI789" s="202">
        <v>0</v>
      </c>
      <c r="AJ789" s="202">
        <v>7592.92</v>
      </c>
    </row>
    <row r="790" spans="2:36">
      <c r="B790" s="203">
        <v>2180</v>
      </c>
      <c r="C790" s="207">
        <v>90623</v>
      </c>
      <c r="D790" s="203" t="s">
        <v>97</v>
      </c>
      <c r="E790" s="202" t="s">
        <v>1660</v>
      </c>
      <c r="F790" s="203">
        <v>486</v>
      </c>
      <c r="G790" s="202"/>
      <c r="H790" s="202"/>
      <c r="I790" s="202"/>
      <c r="J790" s="202">
        <v>0</v>
      </c>
      <c r="K790" s="202" t="s">
        <v>1540</v>
      </c>
      <c r="L790" s="202"/>
      <c r="M790" s="202"/>
      <c r="N790" s="206">
        <v>40001</v>
      </c>
      <c r="O790" s="206">
        <v>40001</v>
      </c>
      <c r="P790" s="202" t="s">
        <v>1869</v>
      </c>
      <c r="Q790" s="203">
        <v>700</v>
      </c>
      <c r="R790" s="203">
        <v>14050</v>
      </c>
      <c r="S790" s="204">
        <v>23117.72</v>
      </c>
      <c r="T790" s="203">
        <v>14056</v>
      </c>
      <c r="U790" s="204">
        <v>23117.72</v>
      </c>
      <c r="V790" s="204">
        <f t="shared" si="24"/>
        <v>0</v>
      </c>
      <c r="W790" s="205">
        <v>0</v>
      </c>
      <c r="X790" s="203">
        <v>54260</v>
      </c>
      <c r="Y790" s="204">
        <v>0</v>
      </c>
      <c r="Z790" s="202" t="s">
        <v>97</v>
      </c>
      <c r="AA790" s="202"/>
      <c r="AB790" s="202" t="s">
        <v>1923</v>
      </c>
      <c r="AC790" s="202"/>
      <c r="AD790" s="202" t="s">
        <v>1152</v>
      </c>
      <c r="AE790" s="202" t="s">
        <v>1153</v>
      </c>
      <c r="AF790" s="203" t="s">
        <v>1154</v>
      </c>
      <c r="AG790" s="208">
        <v>40939</v>
      </c>
      <c r="AH790" s="203" t="s">
        <v>1155</v>
      </c>
      <c r="AI790" s="202">
        <v>0</v>
      </c>
      <c r="AJ790" s="202">
        <v>8531.39</v>
      </c>
    </row>
    <row r="791" spans="2:36">
      <c r="B791" s="203">
        <v>2180</v>
      </c>
      <c r="C791" s="207">
        <v>90622</v>
      </c>
      <c r="D791" s="203" t="s">
        <v>97</v>
      </c>
      <c r="E791" s="202" t="s">
        <v>1922</v>
      </c>
      <c r="F791" s="203">
        <v>1</v>
      </c>
      <c r="G791" s="202"/>
      <c r="H791" s="202"/>
      <c r="I791" s="202"/>
      <c r="J791" s="202">
        <v>0</v>
      </c>
      <c r="K791" s="202" t="s">
        <v>1574</v>
      </c>
      <c r="L791" s="202"/>
      <c r="M791" s="202" t="s">
        <v>1573</v>
      </c>
      <c r="N791" s="206">
        <v>40842</v>
      </c>
      <c r="O791" s="206">
        <v>40842</v>
      </c>
      <c r="P791" s="202" t="s">
        <v>1887</v>
      </c>
      <c r="Q791" s="203">
        <v>1200</v>
      </c>
      <c r="R791" s="203">
        <v>14050</v>
      </c>
      <c r="S791" s="204">
        <v>435.01</v>
      </c>
      <c r="T791" s="203">
        <v>14056</v>
      </c>
      <c r="U791" s="204">
        <v>383.55</v>
      </c>
      <c r="V791" s="204">
        <f t="shared" si="24"/>
        <v>51.45999999999998</v>
      </c>
      <c r="W791" s="205">
        <v>15.1</v>
      </c>
      <c r="X791" s="203">
        <v>54260</v>
      </c>
      <c r="Y791" s="204">
        <v>3.02</v>
      </c>
      <c r="Z791" s="202" t="s">
        <v>97</v>
      </c>
      <c r="AA791" s="202"/>
      <c r="AB791" s="202">
        <v>63210</v>
      </c>
      <c r="AC791" s="202"/>
      <c r="AD791" s="202" t="s">
        <v>1152</v>
      </c>
      <c r="AE791" s="202" t="s">
        <v>1153</v>
      </c>
      <c r="AF791" s="203" t="s">
        <v>1154</v>
      </c>
      <c r="AG791" s="208">
        <v>40939</v>
      </c>
      <c r="AH791" s="203" t="s">
        <v>1155</v>
      </c>
      <c r="AI791" s="202">
        <v>0</v>
      </c>
      <c r="AJ791" s="202">
        <v>9.06</v>
      </c>
    </row>
    <row r="792" spans="2:36">
      <c r="B792" s="203">
        <v>2180</v>
      </c>
      <c r="C792" s="207">
        <v>90621</v>
      </c>
      <c r="D792" s="203" t="s">
        <v>97</v>
      </c>
      <c r="E792" s="202" t="s">
        <v>1921</v>
      </c>
      <c r="F792" s="203">
        <v>49</v>
      </c>
      <c r="G792" s="202"/>
      <c r="H792" s="202" t="s">
        <v>1920</v>
      </c>
      <c r="I792" s="202"/>
      <c r="J792" s="202">
        <v>0</v>
      </c>
      <c r="K792" s="202" t="s">
        <v>1540</v>
      </c>
      <c r="L792" s="202"/>
      <c r="M792" s="202"/>
      <c r="N792" s="206">
        <v>40354</v>
      </c>
      <c r="O792" s="206">
        <v>40354</v>
      </c>
      <c r="P792" s="202" t="s">
        <v>1919</v>
      </c>
      <c r="Q792" s="203">
        <v>700</v>
      </c>
      <c r="R792" s="203">
        <v>14050</v>
      </c>
      <c r="S792" s="204">
        <v>2588.4</v>
      </c>
      <c r="T792" s="203">
        <v>14056</v>
      </c>
      <c r="U792" s="204">
        <v>2588.4</v>
      </c>
      <c r="V792" s="204">
        <f t="shared" si="24"/>
        <v>0</v>
      </c>
      <c r="W792" s="205">
        <v>0</v>
      </c>
      <c r="X792" s="203">
        <v>54260</v>
      </c>
      <c r="Y792" s="204">
        <v>0</v>
      </c>
      <c r="Z792" s="202" t="s">
        <v>97</v>
      </c>
      <c r="AA792" s="202"/>
      <c r="AB792" s="202" t="s">
        <v>1918</v>
      </c>
      <c r="AC792" s="202"/>
      <c r="AD792" s="202" t="s">
        <v>1152</v>
      </c>
      <c r="AE792" s="202" t="s">
        <v>1153</v>
      </c>
      <c r="AF792" s="203" t="s">
        <v>1154</v>
      </c>
      <c r="AG792" s="208">
        <v>40939</v>
      </c>
      <c r="AH792" s="203" t="s">
        <v>1155</v>
      </c>
      <c r="AI792" s="202">
        <v>0</v>
      </c>
      <c r="AJ792" s="202">
        <v>585.47</v>
      </c>
    </row>
    <row r="793" spans="2:36">
      <c r="B793" s="203">
        <v>2180</v>
      </c>
      <c r="C793" s="207">
        <v>90620</v>
      </c>
      <c r="D793" s="203" t="s">
        <v>97</v>
      </c>
      <c r="E793" s="202" t="s">
        <v>1797</v>
      </c>
      <c r="F793" s="203">
        <v>418</v>
      </c>
      <c r="G793" s="202"/>
      <c r="H793" s="202"/>
      <c r="I793" s="202"/>
      <c r="J793" s="202">
        <v>0</v>
      </c>
      <c r="K793" s="202" t="s">
        <v>1658</v>
      </c>
      <c r="L793" s="202"/>
      <c r="M793" s="202"/>
      <c r="N793" s="206">
        <v>40782</v>
      </c>
      <c r="O793" s="206">
        <v>40782</v>
      </c>
      <c r="P793" s="202" t="s">
        <v>1917</v>
      </c>
      <c r="Q793" s="203">
        <v>700</v>
      </c>
      <c r="R793" s="203">
        <v>14050</v>
      </c>
      <c r="S793" s="204">
        <v>23780.3</v>
      </c>
      <c r="T793" s="203">
        <v>14056</v>
      </c>
      <c r="U793" s="204">
        <v>23780.3</v>
      </c>
      <c r="V793" s="204">
        <f t="shared" si="24"/>
        <v>0</v>
      </c>
      <c r="W793" s="205">
        <v>0</v>
      </c>
      <c r="X793" s="203">
        <v>54260</v>
      </c>
      <c r="Y793" s="204">
        <v>0</v>
      </c>
      <c r="Z793" s="202" t="s">
        <v>97</v>
      </c>
      <c r="AA793" s="202"/>
      <c r="AB793" s="202" t="s">
        <v>1916</v>
      </c>
      <c r="AC793" s="202"/>
      <c r="AD793" s="202" t="s">
        <v>1152</v>
      </c>
      <c r="AE793" s="202" t="s">
        <v>1153</v>
      </c>
      <c r="AF793" s="203" t="s">
        <v>1154</v>
      </c>
      <c r="AG793" s="208">
        <v>40939</v>
      </c>
      <c r="AH793" s="203" t="s">
        <v>1155</v>
      </c>
      <c r="AI793" s="202">
        <v>0</v>
      </c>
      <c r="AJ793" s="202">
        <v>1415.5</v>
      </c>
    </row>
    <row r="794" spans="2:36">
      <c r="B794" s="203">
        <v>2180</v>
      </c>
      <c r="C794" s="207">
        <v>90619</v>
      </c>
      <c r="D794" s="203" t="s">
        <v>97</v>
      </c>
      <c r="E794" s="202" t="s">
        <v>1892</v>
      </c>
      <c r="F794" s="203">
        <v>3</v>
      </c>
      <c r="G794" s="202"/>
      <c r="H794" s="202"/>
      <c r="I794" s="202"/>
      <c r="J794" s="202">
        <v>0</v>
      </c>
      <c r="K794" s="202" t="s">
        <v>1574</v>
      </c>
      <c r="L794" s="202"/>
      <c r="M794" s="202" t="s">
        <v>1573</v>
      </c>
      <c r="N794" s="206">
        <v>40816</v>
      </c>
      <c r="O794" s="206">
        <v>40816</v>
      </c>
      <c r="P794" s="202" t="s">
        <v>1891</v>
      </c>
      <c r="Q794" s="203">
        <v>1200</v>
      </c>
      <c r="R794" s="203">
        <v>14050</v>
      </c>
      <c r="S794" s="204">
        <v>1442.76</v>
      </c>
      <c r="T794" s="203">
        <v>14056</v>
      </c>
      <c r="U794" s="204">
        <v>1282.46</v>
      </c>
      <c r="V794" s="204">
        <f t="shared" si="24"/>
        <v>160.29999999999995</v>
      </c>
      <c r="W794" s="205">
        <v>50.1</v>
      </c>
      <c r="X794" s="203">
        <v>54260</v>
      </c>
      <c r="Y794" s="204">
        <v>10.02</v>
      </c>
      <c r="Z794" s="202" t="s">
        <v>97</v>
      </c>
      <c r="AA794" s="202"/>
      <c r="AB794" s="202">
        <v>62455</v>
      </c>
      <c r="AC794" s="202"/>
      <c r="AD794" s="202" t="s">
        <v>1152</v>
      </c>
      <c r="AE794" s="202" t="s">
        <v>1153</v>
      </c>
      <c r="AF794" s="203" t="s">
        <v>1154</v>
      </c>
      <c r="AG794" s="208">
        <v>40939</v>
      </c>
      <c r="AH794" s="203" t="s">
        <v>1155</v>
      </c>
      <c r="AI794" s="202">
        <v>0</v>
      </c>
      <c r="AJ794" s="202">
        <v>40.08</v>
      </c>
    </row>
    <row r="795" spans="2:36">
      <c r="B795" s="203">
        <v>2180</v>
      </c>
      <c r="C795" s="207">
        <v>90618</v>
      </c>
      <c r="D795" s="203" t="s">
        <v>97</v>
      </c>
      <c r="E795" s="202" t="s">
        <v>1418</v>
      </c>
      <c r="F795" s="203">
        <v>50</v>
      </c>
      <c r="G795" s="202"/>
      <c r="H795" s="202"/>
      <c r="I795" s="202"/>
      <c r="J795" s="202">
        <v>0</v>
      </c>
      <c r="K795" s="202"/>
      <c r="L795" s="202"/>
      <c r="M795" s="202" t="s">
        <v>1417</v>
      </c>
      <c r="N795" s="206">
        <v>39755</v>
      </c>
      <c r="O795" s="206">
        <v>39755</v>
      </c>
      <c r="P795" s="202"/>
      <c r="Q795" s="203">
        <v>700</v>
      </c>
      <c r="R795" s="203">
        <v>14050</v>
      </c>
      <c r="S795" s="204">
        <v>98896.04</v>
      </c>
      <c r="T795" s="203">
        <v>14056</v>
      </c>
      <c r="U795" s="204">
        <v>98896.04</v>
      </c>
      <c r="V795" s="204">
        <f t="shared" si="24"/>
        <v>0</v>
      </c>
      <c r="W795" s="205">
        <v>0</v>
      </c>
      <c r="X795" s="203">
        <v>54260</v>
      </c>
      <c r="Y795" s="204">
        <v>0</v>
      </c>
      <c r="Z795" s="202" t="s">
        <v>1153</v>
      </c>
      <c r="AA795" s="202" t="s">
        <v>1383</v>
      </c>
      <c r="AB795" s="202"/>
      <c r="AC795" s="202"/>
      <c r="AD795" s="202" t="s">
        <v>1152</v>
      </c>
      <c r="AE795" s="202" t="s">
        <v>1153</v>
      </c>
      <c r="AF795" s="203" t="s">
        <v>1154</v>
      </c>
      <c r="AG795" s="208">
        <v>40939</v>
      </c>
      <c r="AH795" s="203" t="s">
        <v>1155</v>
      </c>
      <c r="AI795" s="202">
        <v>4</v>
      </c>
      <c r="AJ795" s="202">
        <v>45916.02</v>
      </c>
    </row>
    <row r="796" spans="2:36">
      <c r="B796" s="203">
        <v>2180</v>
      </c>
      <c r="C796" s="207">
        <v>90617</v>
      </c>
      <c r="D796" s="203" t="s">
        <v>97</v>
      </c>
      <c r="E796" s="202" t="s">
        <v>1749</v>
      </c>
      <c r="F796" s="203">
        <v>418</v>
      </c>
      <c r="G796" s="202"/>
      <c r="H796" s="202" t="s">
        <v>1915</v>
      </c>
      <c r="I796" s="202"/>
      <c r="J796" s="202">
        <v>0</v>
      </c>
      <c r="K796" s="202" t="s">
        <v>1658</v>
      </c>
      <c r="L796" s="202"/>
      <c r="M796" s="202"/>
      <c r="N796" s="206">
        <v>40796</v>
      </c>
      <c r="O796" s="206">
        <v>40796</v>
      </c>
      <c r="P796" s="202" t="s">
        <v>1914</v>
      </c>
      <c r="Q796" s="203">
        <v>700</v>
      </c>
      <c r="R796" s="203">
        <v>14050</v>
      </c>
      <c r="S796" s="204">
        <v>23780.3</v>
      </c>
      <c r="T796" s="203">
        <v>14056</v>
      </c>
      <c r="U796" s="204">
        <v>23780.3</v>
      </c>
      <c r="V796" s="204">
        <f t="shared" si="24"/>
        <v>0</v>
      </c>
      <c r="W796" s="205">
        <v>0</v>
      </c>
      <c r="X796" s="203">
        <v>54260</v>
      </c>
      <c r="Y796" s="204">
        <v>0</v>
      </c>
      <c r="Z796" s="202" t="s">
        <v>97</v>
      </c>
      <c r="AA796" s="202"/>
      <c r="AB796" s="202" t="s">
        <v>1913</v>
      </c>
      <c r="AC796" s="202"/>
      <c r="AD796" s="202" t="s">
        <v>1152</v>
      </c>
      <c r="AE796" s="202" t="s">
        <v>1153</v>
      </c>
      <c r="AF796" s="203" t="s">
        <v>1154</v>
      </c>
      <c r="AG796" s="208">
        <v>40939</v>
      </c>
      <c r="AH796" s="203" t="s">
        <v>1155</v>
      </c>
      <c r="AI796" s="202">
        <v>0</v>
      </c>
      <c r="AJ796" s="202">
        <v>1415.5</v>
      </c>
    </row>
    <row r="797" spans="2:36">
      <c r="B797" s="203">
        <v>2180</v>
      </c>
      <c r="C797" s="207">
        <v>90616</v>
      </c>
      <c r="D797" s="203" t="s">
        <v>97</v>
      </c>
      <c r="E797" s="202" t="s">
        <v>1749</v>
      </c>
      <c r="F797" s="203">
        <v>423</v>
      </c>
      <c r="G797" s="202"/>
      <c r="H797" s="202" t="s">
        <v>1912</v>
      </c>
      <c r="I797" s="202"/>
      <c r="J797" s="202">
        <v>0</v>
      </c>
      <c r="K797" s="202" t="s">
        <v>1658</v>
      </c>
      <c r="L797" s="202"/>
      <c r="M797" s="202"/>
      <c r="N797" s="206">
        <v>40810</v>
      </c>
      <c r="O797" s="206">
        <v>40810</v>
      </c>
      <c r="P797" s="202" t="s">
        <v>1911</v>
      </c>
      <c r="Q797" s="203">
        <v>700</v>
      </c>
      <c r="R797" s="203">
        <v>14050</v>
      </c>
      <c r="S797" s="204">
        <v>24527.09</v>
      </c>
      <c r="T797" s="203">
        <v>14056</v>
      </c>
      <c r="U797" s="204">
        <v>24527.09</v>
      </c>
      <c r="V797" s="204">
        <f t="shared" si="24"/>
        <v>0</v>
      </c>
      <c r="W797" s="205">
        <v>0</v>
      </c>
      <c r="X797" s="203">
        <v>54260</v>
      </c>
      <c r="Y797" s="204">
        <v>0</v>
      </c>
      <c r="Z797" s="202" t="s">
        <v>97</v>
      </c>
      <c r="AA797" s="202"/>
      <c r="AB797" s="202" t="s">
        <v>1910</v>
      </c>
      <c r="AC797" s="202"/>
      <c r="AD797" s="202" t="s">
        <v>1152</v>
      </c>
      <c r="AE797" s="202" t="s">
        <v>1153</v>
      </c>
      <c r="AF797" s="203" t="s">
        <v>1154</v>
      </c>
      <c r="AG797" s="208">
        <v>40939</v>
      </c>
      <c r="AH797" s="203" t="s">
        <v>1155</v>
      </c>
      <c r="AI797" s="202">
        <v>0</v>
      </c>
      <c r="AJ797" s="202">
        <v>1167.96</v>
      </c>
    </row>
    <row r="798" spans="2:36">
      <c r="B798" s="203">
        <v>2180</v>
      </c>
      <c r="C798" s="207">
        <v>90615</v>
      </c>
      <c r="D798" s="203" t="s">
        <v>97</v>
      </c>
      <c r="E798" s="202" t="s">
        <v>1909</v>
      </c>
      <c r="F798" s="203">
        <v>2</v>
      </c>
      <c r="G798" s="202"/>
      <c r="H798" s="202"/>
      <c r="I798" s="202"/>
      <c r="J798" s="202">
        <v>0</v>
      </c>
      <c r="K798" s="202"/>
      <c r="L798" s="202"/>
      <c r="M798" s="202" t="s">
        <v>1908</v>
      </c>
      <c r="N798" s="206">
        <v>39755</v>
      </c>
      <c r="O798" s="206">
        <v>39755</v>
      </c>
      <c r="P798" s="202"/>
      <c r="Q798" s="203">
        <v>700</v>
      </c>
      <c r="R798" s="203">
        <v>14050</v>
      </c>
      <c r="S798" s="204">
        <v>2266.67</v>
      </c>
      <c r="T798" s="203">
        <v>14056</v>
      </c>
      <c r="U798" s="204">
        <v>2266.67</v>
      </c>
      <c r="V798" s="204">
        <f t="shared" si="24"/>
        <v>0</v>
      </c>
      <c r="W798" s="205">
        <v>0</v>
      </c>
      <c r="X798" s="203">
        <v>54260</v>
      </c>
      <c r="Y798" s="204">
        <v>0</v>
      </c>
      <c r="Z798" s="202" t="s">
        <v>1153</v>
      </c>
      <c r="AA798" s="202" t="s">
        <v>1383</v>
      </c>
      <c r="AB798" s="202"/>
      <c r="AC798" s="202"/>
      <c r="AD798" s="202" t="s">
        <v>1152</v>
      </c>
      <c r="AE798" s="202" t="s">
        <v>1153</v>
      </c>
      <c r="AF798" s="203" t="s">
        <v>1154</v>
      </c>
      <c r="AG798" s="208">
        <v>40939</v>
      </c>
      <c r="AH798" s="203" t="s">
        <v>1155</v>
      </c>
      <c r="AI798" s="202">
        <v>2</v>
      </c>
      <c r="AJ798" s="202">
        <v>1052.3800000000001</v>
      </c>
    </row>
    <row r="799" spans="2:36">
      <c r="B799" s="203">
        <v>2180</v>
      </c>
      <c r="C799" s="207">
        <v>90614</v>
      </c>
      <c r="D799" s="203" t="s">
        <v>97</v>
      </c>
      <c r="E799" s="202" t="s">
        <v>1550</v>
      </c>
      <c r="F799" s="203">
        <v>45</v>
      </c>
      <c r="G799" s="202"/>
      <c r="H799" s="202"/>
      <c r="I799" s="202"/>
      <c r="J799" s="202">
        <v>0</v>
      </c>
      <c r="K799" s="202" t="s">
        <v>1574</v>
      </c>
      <c r="L799" s="202"/>
      <c r="M799" s="202" t="s">
        <v>1421</v>
      </c>
      <c r="N799" s="206">
        <v>40847</v>
      </c>
      <c r="O799" s="206">
        <v>40847</v>
      </c>
      <c r="P799" s="202" t="s">
        <v>1907</v>
      </c>
      <c r="Q799" s="203">
        <v>1200</v>
      </c>
      <c r="R799" s="203">
        <v>14050</v>
      </c>
      <c r="S799" s="204">
        <v>23953.1</v>
      </c>
      <c r="T799" s="203">
        <v>14056</v>
      </c>
      <c r="U799" s="204">
        <v>21125.279999999999</v>
      </c>
      <c r="V799" s="204">
        <f t="shared" si="24"/>
        <v>2827.8199999999997</v>
      </c>
      <c r="W799" s="205">
        <v>831.7</v>
      </c>
      <c r="X799" s="203">
        <v>54260</v>
      </c>
      <c r="Y799" s="204">
        <v>166.34</v>
      </c>
      <c r="Z799" s="202" t="s">
        <v>97</v>
      </c>
      <c r="AA799" s="202"/>
      <c r="AB799" s="202">
        <v>63400</v>
      </c>
      <c r="AC799" s="202"/>
      <c r="AD799" s="202" t="s">
        <v>1152</v>
      </c>
      <c r="AE799" s="202" t="s">
        <v>1153</v>
      </c>
      <c r="AF799" s="203" t="s">
        <v>1154</v>
      </c>
      <c r="AG799" s="208">
        <v>40939</v>
      </c>
      <c r="AH799" s="203" t="s">
        <v>1155</v>
      </c>
      <c r="AI799" s="202">
        <v>0</v>
      </c>
      <c r="AJ799" s="202">
        <v>499.02</v>
      </c>
    </row>
    <row r="800" spans="2:36">
      <c r="B800" s="203">
        <v>2180</v>
      </c>
      <c r="C800" s="207">
        <v>90613</v>
      </c>
      <c r="D800" s="203" t="s">
        <v>97</v>
      </c>
      <c r="E800" s="202" t="s">
        <v>1660</v>
      </c>
      <c r="F800" s="203">
        <v>49</v>
      </c>
      <c r="G800" s="202"/>
      <c r="H800" s="202" t="s">
        <v>1906</v>
      </c>
      <c r="I800" s="202"/>
      <c r="J800" s="202">
        <v>0</v>
      </c>
      <c r="K800" s="202" t="s">
        <v>1658</v>
      </c>
      <c r="L800" s="202"/>
      <c r="M800" s="202"/>
      <c r="N800" s="206">
        <v>40651</v>
      </c>
      <c r="O800" s="206">
        <v>40651</v>
      </c>
      <c r="P800" s="202" t="s">
        <v>1899</v>
      </c>
      <c r="Q800" s="203">
        <v>700</v>
      </c>
      <c r="R800" s="203">
        <v>14050</v>
      </c>
      <c r="S800" s="204">
        <v>2595.37</v>
      </c>
      <c r="T800" s="203">
        <v>14056</v>
      </c>
      <c r="U800" s="204">
        <v>2595.37</v>
      </c>
      <c r="V800" s="204">
        <f t="shared" si="24"/>
        <v>0</v>
      </c>
      <c r="W800" s="205">
        <v>0</v>
      </c>
      <c r="X800" s="203">
        <v>54260</v>
      </c>
      <c r="Y800" s="204">
        <v>0</v>
      </c>
      <c r="Z800" s="202" t="s">
        <v>97</v>
      </c>
      <c r="AA800" s="202"/>
      <c r="AB800" s="202" t="s">
        <v>1905</v>
      </c>
      <c r="AC800" s="202"/>
      <c r="AD800" s="202" t="s">
        <v>1152</v>
      </c>
      <c r="AE800" s="202" t="s">
        <v>1153</v>
      </c>
      <c r="AF800" s="203" t="s">
        <v>1154</v>
      </c>
      <c r="AG800" s="208">
        <v>40939</v>
      </c>
      <c r="AH800" s="203" t="s">
        <v>1155</v>
      </c>
      <c r="AI800" s="202">
        <v>0</v>
      </c>
      <c r="AJ800" s="202">
        <v>278.08</v>
      </c>
    </row>
    <row r="801" spans="2:36">
      <c r="B801" s="203">
        <v>2180</v>
      </c>
      <c r="C801" s="207">
        <v>90612</v>
      </c>
      <c r="D801" s="203" t="s">
        <v>97</v>
      </c>
      <c r="E801" s="202" t="s">
        <v>1465</v>
      </c>
      <c r="F801" s="203">
        <v>17</v>
      </c>
      <c r="G801" s="202"/>
      <c r="H801" s="202"/>
      <c r="I801" s="202"/>
      <c r="J801" s="202">
        <v>0</v>
      </c>
      <c r="K801" s="202" t="s">
        <v>1658</v>
      </c>
      <c r="L801" s="202"/>
      <c r="M801" s="202" t="s">
        <v>1464</v>
      </c>
      <c r="N801" s="206">
        <v>40702</v>
      </c>
      <c r="O801" s="206">
        <v>40702</v>
      </c>
      <c r="P801" s="202" t="s">
        <v>1894</v>
      </c>
      <c r="Q801" s="203">
        <v>700</v>
      </c>
      <c r="R801" s="203">
        <v>14050</v>
      </c>
      <c r="S801" s="204">
        <v>12054.44</v>
      </c>
      <c r="T801" s="203">
        <v>14056</v>
      </c>
      <c r="U801" s="204">
        <v>12054.44</v>
      </c>
      <c r="V801" s="204">
        <f t="shared" si="24"/>
        <v>0</v>
      </c>
      <c r="W801" s="205">
        <v>0</v>
      </c>
      <c r="X801" s="203">
        <v>54260</v>
      </c>
      <c r="Y801" s="204">
        <v>0</v>
      </c>
      <c r="Z801" s="202" t="s">
        <v>97</v>
      </c>
      <c r="AA801" s="202"/>
      <c r="AB801" s="202" t="s">
        <v>1904</v>
      </c>
      <c r="AC801" s="202"/>
      <c r="AD801" s="202" t="s">
        <v>1152</v>
      </c>
      <c r="AE801" s="202" t="s">
        <v>1153</v>
      </c>
      <c r="AF801" s="203" t="s">
        <v>1154</v>
      </c>
      <c r="AG801" s="208">
        <v>40939</v>
      </c>
      <c r="AH801" s="203" t="s">
        <v>1155</v>
      </c>
      <c r="AI801" s="202">
        <v>0</v>
      </c>
      <c r="AJ801" s="202">
        <v>1148.05</v>
      </c>
    </row>
    <row r="802" spans="2:36">
      <c r="B802" s="203">
        <v>2180</v>
      </c>
      <c r="C802" s="207">
        <v>90611</v>
      </c>
      <c r="D802" s="203" t="s">
        <v>97</v>
      </c>
      <c r="E802" s="202" t="s">
        <v>1543</v>
      </c>
      <c r="F802" s="203">
        <v>557</v>
      </c>
      <c r="G802" s="202"/>
      <c r="H802" s="202" t="s">
        <v>1903</v>
      </c>
      <c r="I802" s="202"/>
      <c r="J802" s="202">
        <v>0</v>
      </c>
      <c r="K802" s="202" t="s">
        <v>1658</v>
      </c>
      <c r="L802" s="202"/>
      <c r="M802" s="202"/>
      <c r="N802" s="206">
        <v>40693</v>
      </c>
      <c r="O802" s="206">
        <v>40693</v>
      </c>
      <c r="P802" s="202" t="s">
        <v>1902</v>
      </c>
      <c r="Q802" s="203">
        <v>700</v>
      </c>
      <c r="R802" s="203">
        <v>14050</v>
      </c>
      <c r="S802" s="204">
        <v>27249.94</v>
      </c>
      <c r="T802" s="203">
        <v>14056</v>
      </c>
      <c r="U802" s="204">
        <v>27249.94</v>
      </c>
      <c r="V802" s="204">
        <f t="shared" si="24"/>
        <v>0</v>
      </c>
      <c r="W802" s="205">
        <v>0</v>
      </c>
      <c r="X802" s="203">
        <v>54260</v>
      </c>
      <c r="Y802" s="204">
        <v>0</v>
      </c>
      <c r="Z802" s="202" t="s">
        <v>97</v>
      </c>
      <c r="AA802" s="202"/>
      <c r="AB802" s="202" t="s">
        <v>1901</v>
      </c>
      <c r="AC802" s="202"/>
      <c r="AD802" s="202" t="s">
        <v>1152</v>
      </c>
      <c r="AE802" s="202" t="s">
        <v>1153</v>
      </c>
      <c r="AF802" s="203" t="s">
        <v>1154</v>
      </c>
      <c r="AG802" s="208">
        <v>40939</v>
      </c>
      <c r="AH802" s="203" t="s">
        <v>1155</v>
      </c>
      <c r="AI802" s="202">
        <v>0</v>
      </c>
      <c r="AJ802" s="202">
        <v>2595.2199999999998</v>
      </c>
    </row>
    <row r="803" spans="2:36">
      <c r="B803" s="203">
        <v>2180</v>
      </c>
      <c r="C803" s="207">
        <v>90610</v>
      </c>
      <c r="D803" s="203" t="s">
        <v>97</v>
      </c>
      <c r="E803" s="202" t="s">
        <v>1889</v>
      </c>
      <c r="F803" s="203">
        <v>9</v>
      </c>
      <c r="G803" s="202"/>
      <c r="H803" s="202"/>
      <c r="I803" s="202"/>
      <c r="J803" s="202">
        <v>0</v>
      </c>
      <c r="K803" s="202" t="s">
        <v>1574</v>
      </c>
      <c r="L803" s="202"/>
      <c r="M803" s="202" t="s">
        <v>1456</v>
      </c>
      <c r="N803" s="206">
        <v>40816</v>
      </c>
      <c r="O803" s="206">
        <v>40816</v>
      </c>
      <c r="P803" s="202" t="s">
        <v>1888</v>
      </c>
      <c r="Q803" s="203">
        <v>1200</v>
      </c>
      <c r="R803" s="203">
        <v>14050</v>
      </c>
      <c r="S803" s="204">
        <v>7358.08</v>
      </c>
      <c r="T803" s="203">
        <v>14056</v>
      </c>
      <c r="U803" s="204">
        <v>6540.48</v>
      </c>
      <c r="V803" s="204">
        <f t="shared" si="24"/>
        <v>817.60000000000036</v>
      </c>
      <c r="W803" s="205">
        <v>255.49</v>
      </c>
      <c r="X803" s="203">
        <v>54260</v>
      </c>
      <c r="Y803" s="204">
        <v>51.1</v>
      </c>
      <c r="Z803" s="202" t="s">
        <v>97</v>
      </c>
      <c r="AA803" s="202"/>
      <c r="AB803" s="202">
        <v>62438</v>
      </c>
      <c r="AC803" s="202"/>
      <c r="AD803" s="202" t="s">
        <v>1152</v>
      </c>
      <c r="AE803" s="202" t="s">
        <v>1153</v>
      </c>
      <c r="AF803" s="203" t="s">
        <v>1154</v>
      </c>
      <c r="AG803" s="208">
        <v>40939</v>
      </c>
      <c r="AH803" s="203" t="s">
        <v>1155</v>
      </c>
      <c r="AI803" s="202">
        <v>0</v>
      </c>
      <c r="AJ803" s="202">
        <v>204.39</v>
      </c>
    </row>
    <row r="804" spans="2:36">
      <c r="B804" s="203">
        <v>2180</v>
      </c>
      <c r="C804" s="207">
        <v>90609</v>
      </c>
      <c r="D804" s="203" t="s">
        <v>97</v>
      </c>
      <c r="E804" s="202" t="s">
        <v>1660</v>
      </c>
      <c r="F804" s="203">
        <v>486</v>
      </c>
      <c r="G804" s="202"/>
      <c r="H804" s="202" t="s">
        <v>1900</v>
      </c>
      <c r="I804" s="202"/>
      <c r="J804" s="202">
        <v>0</v>
      </c>
      <c r="K804" s="202" t="s">
        <v>1658</v>
      </c>
      <c r="L804" s="202"/>
      <c r="M804" s="202"/>
      <c r="N804" s="206">
        <v>40651</v>
      </c>
      <c r="O804" s="206">
        <v>40651</v>
      </c>
      <c r="P804" s="202" t="s">
        <v>1899</v>
      </c>
      <c r="Q804" s="203">
        <v>700</v>
      </c>
      <c r="R804" s="203">
        <v>14050</v>
      </c>
      <c r="S804" s="204">
        <v>25741.84</v>
      </c>
      <c r="T804" s="203">
        <v>14056</v>
      </c>
      <c r="U804" s="204">
        <v>25741.84</v>
      </c>
      <c r="V804" s="204">
        <f t="shared" si="24"/>
        <v>0</v>
      </c>
      <c r="W804" s="205">
        <v>0</v>
      </c>
      <c r="X804" s="203">
        <v>54260</v>
      </c>
      <c r="Y804" s="204">
        <v>0</v>
      </c>
      <c r="Z804" s="202" t="s">
        <v>97</v>
      </c>
      <c r="AA804" s="202"/>
      <c r="AB804" s="202" t="s">
        <v>1898</v>
      </c>
      <c r="AC804" s="202"/>
      <c r="AD804" s="202" t="s">
        <v>1152</v>
      </c>
      <c r="AE804" s="202" t="s">
        <v>1153</v>
      </c>
      <c r="AF804" s="203" t="s">
        <v>1154</v>
      </c>
      <c r="AG804" s="208">
        <v>40939</v>
      </c>
      <c r="AH804" s="203" t="s">
        <v>1155</v>
      </c>
      <c r="AI804" s="202">
        <v>0</v>
      </c>
      <c r="AJ804" s="202">
        <v>2758.05</v>
      </c>
    </row>
    <row r="805" spans="2:36">
      <c r="B805" s="203">
        <v>2180</v>
      </c>
      <c r="C805" s="207">
        <v>90608</v>
      </c>
      <c r="D805" s="203" t="s">
        <v>97</v>
      </c>
      <c r="E805" s="202" t="s">
        <v>1465</v>
      </c>
      <c r="F805" s="203">
        <v>10</v>
      </c>
      <c r="G805" s="202"/>
      <c r="H805" s="202"/>
      <c r="I805" s="202"/>
      <c r="J805" s="202">
        <v>0</v>
      </c>
      <c r="K805" s="202" t="s">
        <v>1658</v>
      </c>
      <c r="L805" s="202"/>
      <c r="M805" s="202" t="s">
        <v>1464</v>
      </c>
      <c r="N805" s="206">
        <v>40702</v>
      </c>
      <c r="O805" s="206">
        <v>40702</v>
      </c>
      <c r="P805" s="202" t="s">
        <v>1894</v>
      </c>
      <c r="Q805" s="203">
        <v>700</v>
      </c>
      <c r="R805" s="203">
        <v>14050</v>
      </c>
      <c r="S805" s="204">
        <v>7090.84</v>
      </c>
      <c r="T805" s="203">
        <v>14056</v>
      </c>
      <c r="U805" s="204">
        <v>7090.84</v>
      </c>
      <c r="V805" s="204">
        <f t="shared" si="24"/>
        <v>0</v>
      </c>
      <c r="W805" s="205">
        <v>0</v>
      </c>
      <c r="X805" s="203">
        <v>54260</v>
      </c>
      <c r="Y805" s="204">
        <v>0</v>
      </c>
      <c r="Z805" s="202" t="s">
        <v>97</v>
      </c>
      <c r="AA805" s="202"/>
      <c r="AB805" s="202" t="s">
        <v>1897</v>
      </c>
      <c r="AC805" s="202"/>
      <c r="AD805" s="202" t="s">
        <v>1152</v>
      </c>
      <c r="AE805" s="202" t="s">
        <v>1153</v>
      </c>
      <c r="AF805" s="203" t="s">
        <v>1154</v>
      </c>
      <c r="AG805" s="208">
        <v>40939</v>
      </c>
      <c r="AH805" s="203" t="s">
        <v>1155</v>
      </c>
      <c r="AI805" s="202">
        <v>0</v>
      </c>
      <c r="AJ805" s="202">
        <v>675.32</v>
      </c>
    </row>
    <row r="806" spans="2:36">
      <c r="B806" s="203">
        <v>2180</v>
      </c>
      <c r="C806" s="207">
        <v>90607</v>
      </c>
      <c r="D806" s="203" t="s">
        <v>97</v>
      </c>
      <c r="E806" s="202" t="s">
        <v>1896</v>
      </c>
      <c r="F806" s="203">
        <v>20</v>
      </c>
      <c r="G806" s="202"/>
      <c r="H806" s="202"/>
      <c r="I806" s="202"/>
      <c r="J806" s="202">
        <v>0</v>
      </c>
      <c r="K806" s="202" t="s">
        <v>1658</v>
      </c>
      <c r="L806" s="202"/>
      <c r="M806" s="202" t="s">
        <v>1701</v>
      </c>
      <c r="N806" s="206">
        <v>40702</v>
      </c>
      <c r="O806" s="206">
        <v>40702</v>
      </c>
      <c r="P806" s="202" t="s">
        <v>1894</v>
      </c>
      <c r="Q806" s="203">
        <v>700</v>
      </c>
      <c r="R806" s="203">
        <v>14050</v>
      </c>
      <c r="S806" s="204">
        <v>12881.01</v>
      </c>
      <c r="T806" s="203">
        <v>14056</v>
      </c>
      <c r="U806" s="204">
        <v>12881.01</v>
      </c>
      <c r="V806" s="204">
        <f t="shared" si="24"/>
        <v>0</v>
      </c>
      <c r="W806" s="205">
        <v>0</v>
      </c>
      <c r="X806" s="203">
        <v>54260</v>
      </c>
      <c r="Y806" s="204">
        <v>0</v>
      </c>
      <c r="Z806" s="202" t="s">
        <v>97</v>
      </c>
      <c r="AA806" s="202"/>
      <c r="AB806" s="202" t="s">
        <v>1895</v>
      </c>
      <c r="AC806" s="202"/>
      <c r="AD806" s="202" t="s">
        <v>1152</v>
      </c>
      <c r="AE806" s="202" t="s">
        <v>1153</v>
      </c>
      <c r="AF806" s="203" t="s">
        <v>1154</v>
      </c>
      <c r="AG806" s="208">
        <v>40939</v>
      </c>
      <c r="AH806" s="203" t="s">
        <v>1155</v>
      </c>
      <c r="AI806" s="202">
        <v>0</v>
      </c>
      <c r="AJ806" s="202">
        <v>1226.77</v>
      </c>
    </row>
    <row r="807" spans="2:36">
      <c r="B807" s="203">
        <v>2180</v>
      </c>
      <c r="C807" s="207">
        <v>90606</v>
      </c>
      <c r="D807" s="203" t="s">
        <v>97</v>
      </c>
      <c r="E807" s="202" t="s">
        <v>1702</v>
      </c>
      <c r="F807" s="203">
        <v>7</v>
      </c>
      <c r="G807" s="202"/>
      <c r="H807" s="202"/>
      <c r="I807" s="202"/>
      <c r="J807" s="202">
        <v>0</v>
      </c>
      <c r="K807" s="202" t="s">
        <v>1658</v>
      </c>
      <c r="L807" s="202"/>
      <c r="M807" s="202" t="s">
        <v>1701</v>
      </c>
      <c r="N807" s="206">
        <v>40702</v>
      </c>
      <c r="O807" s="206">
        <v>40702</v>
      </c>
      <c r="P807" s="202" t="s">
        <v>1894</v>
      </c>
      <c r="Q807" s="203">
        <v>700</v>
      </c>
      <c r="R807" s="203">
        <v>14050</v>
      </c>
      <c r="S807" s="204">
        <v>4508.37</v>
      </c>
      <c r="T807" s="203">
        <v>14056</v>
      </c>
      <c r="U807" s="204">
        <v>4508.37</v>
      </c>
      <c r="V807" s="204">
        <f t="shared" si="24"/>
        <v>0</v>
      </c>
      <c r="W807" s="205">
        <v>0</v>
      </c>
      <c r="X807" s="203">
        <v>54260</v>
      </c>
      <c r="Y807" s="204">
        <v>0</v>
      </c>
      <c r="Z807" s="202" t="s">
        <v>97</v>
      </c>
      <c r="AA807" s="202"/>
      <c r="AB807" s="202" t="s">
        <v>1893</v>
      </c>
      <c r="AC807" s="202"/>
      <c r="AD807" s="202" t="s">
        <v>1152</v>
      </c>
      <c r="AE807" s="202" t="s">
        <v>1153</v>
      </c>
      <c r="AF807" s="203" t="s">
        <v>1154</v>
      </c>
      <c r="AG807" s="208">
        <v>40939</v>
      </c>
      <c r="AH807" s="203" t="s">
        <v>1155</v>
      </c>
      <c r="AI807" s="202">
        <v>0</v>
      </c>
      <c r="AJ807" s="202">
        <v>429.36</v>
      </c>
    </row>
    <row r="808" spans="2:36">
      <c r="B808" s="203">
        <v>2180</v>
      </c>
      <c r="C808" s="207">
        <v>90605</v>
      </c>
      <c r="D808" s="203" t="s">
        <v>97</v>
      </c>
      <c r="E808" s="202" t="s">
        <v>520</v>
      </c>
      <c r="F808" s="203">
        <v>11</v>
      </c>
      <c r="G808" s="202"/>
      <c r="H808" s="202"/>
      <c r="I808" s="202"/>
      <c r="J808" s="202">
        <v>0</v>
      </c>
      <c r="K808" s="202" t="s">
        <v>1574</v>
      </c>
      <c r="L808" s="202"/>
      <c r="M808" s="202" t="s">
        <v>1456</v>
      </c>
      <c r="N808" s="206">
        <v>40451</v>
      </c>
      <c r="O808" s="206">
        <v>40451</v>
      </c>
      <c r="P808" s="202" t="s">
        <v>1886</v>
      </c>
      <c r="Q808" s="203">
        <v>1200</v>
      </c>
      <c r="R808" s="203">
        <v>14050</v>
      </c>
      <c r="S808" s="204">
        <v>8897.02</v>
      </c>
      <c r="T808" s="203">
        <v>14056</v>
      </c>
      <c r="U808" s="204">
        <v>8649.85</v>
      </c>
      <c r="V808" s="204">
        <f t="shared" si="24"/>
        <v>247.17000000000007</v>
      </c>
      <c r="W808" s="205">
        <v>308.97000000000003</v>
      </c>
      <c r="X808" s="203">
        <v>54260</v>
      </c>
      <c r="Y808" s="204">
        <v>61.79</v>
      </c>
      <c r="Z808" s="202" t="s">
        <v>97</v>
      </c>
      <c r="AA808" s="202"/>
      <c r="AB808" s="202">
        <v>50466</v>
      </c>
      <c r="AC808" s="202"/>
      <c r="AD808" s="202" t="s">
        <v>1152</v>
      </c>
      <c r="AE808" s="202" t="s">
        <v>1153</v>
      </c>
      <c r="AF808" s="203" t="s">
        <v>1154</v>
      </c>
      <c r="AG808" s="208">
        <v>40939</v>
      </c>
      <c r="AH808" s="203" t="s">
        <v>1155</v>
      </c>
      <c r="AI808" s="202">
        <v>0</v>
      </c>
      <c r="AJ808" s="202">
        <v>988.56</v>
      </c>
    </row>
    <row r="809" spans="2:36">
      <c r="B809" s="203">
        <v>2180</v>
      </c>
      <c r="C809" s="207">
        <v>90604</v>
      </c>
      <c r="D809" s="203" t="s">
        <v>97</v>
      </c>
      <c r="E809" s="202" t="s">
        <v>1455</v>
      </c>
      <c r="F809" s="203">
        <v>43</v>
      </c>
      <c r="G809" s="202"/>
      <c r="H809" s="202"/>
      <c r="I809" s="202"/>
      <c r="J809" s="202">
        <v>0</v>
      </c>
      <c r="K809" s="202"/>
      <c r="L809" s="202"/>
      <c r="M809" s="202" t="s">
        <v>1454</v>
      </c>
      <c r="N809" s="206">
        <v>39755</v>
      </c>
      <c r="O809" s="206">
        <v>39755</v>
      </c>
      <c r="P809" s="202"/>
      <c r="Q809" s="203">
        <v>700</v>
      </c>
      <c r="R809" s="203">
        <v>14050</v>
      </c>
      <c r="S809" s="204">
        <v>75250.77</v>
      </c>
      <c r="T809" s="203">
        <v>14056</v>
      </c>
      <c r="U809" s="204">
        <v>75250.77</v>
      </c>
      <c r="V809" s="204">
        <f t="shared" si="24"/>
        <v>0</v>
      </c>
      <c r="W809" s="205">
        <v>0</v>
      </c>
      <c r="X809" s="203">
        <v>54260</v>
      </c>
      <c r="Y809" s="204">
        <v>0</v>
      </c>
      <c r="Z809" s="202" t="s">
        <v>1153</v>
      </c>
      <c r="AA809" s="202" t="s">
        <v>1383</v>
      </c>
      <c r="AB809" s="202"/>
      <c r="AC809" s="202"/>
      <c r="AD809" s="202" t="s">
        <v>1152</v>
      </c>
      <c r="AE809" s="202" t="s">
        <v>1153</v>
      </c>
      <c r="AF809" s="203" t="s">
        <v>1154</v>
      </c>
      <c r="AG809" s="208">
        <v>40939</v>
      </c>
      <c r="AH809" s="203" t="s">
        <v>1155</v>
      </c>
      <c r="AI809" s="202">
        <v>6</v>
      </c>
      <c r="AJ809" s="202">
        <v>34937.86</v>
      </c>
    </row>
    <row r="810" spans="2:36">
      <c r="B810" s="203">
        <v>2180</v>
      </c>
      <c r="C810" s="207">
        <v>90603</v>
      </c>
      <c r="D810" s="203" t="s">
        <v>97</v>
      </c>
      <c r="E810" s="202" t="s">
        <v>1892</v>
      </c>
      <c r="F810" s="203">
        <v>17</v>
      </c>
      <c r="G810" s="202"/>
      <c r="H810" s="202"/>
      <c r="I810" s="202"/>
      <c r="J810" s="202">
        <v>0</v>
      </c>
      <c r="K810" s="202" t="s">
        <v>1574</v>
      </c>
      <c r="L810" s="202"/>
      <c r="M810" s="202" t="s">
        <v>1573</v>
      </c>
      <c r="N810" s="206">
        <v>40816</v>
      </c>
      <c r="O810" s="206">
        <v>40816</v>
      </c>
      <c r="P810" s="202" t="s">
        <v>1891</v>
      </c>
      <c r="Q810" s="203">
        <v>1200</v>
      </c>
      <c r="R810" s="203">
        <v>14050</v>
      </c>
      <c r="S810" s="204">
        <v>8175.64</v>
      </c>
      <c r="T810" s="203">
        <v>14056</v>
      </c>
      <c r="U810" s="204">
        <v>7267.21</v>
      </c>
      <c r="V810" s="204">
        <f t="shared" si="24"/>
        <v>908.43000000000029</v>
      </c>
      <c r="W810" s="205">
        <v>283.88</v>
      </c>
      <c r="X810" s="203">
        <v>54260</v>
      </c>
      <c r="Y810" s="204">
        <v>56.78</v>
      </c>
      <c r="Z810" s="202" t="s">
        <v>97</v>
      </c>
      <c r="AA810" s="202"/>
      <c r="AB810" s="202">
        <v>62437</v>
      </c>
      <c r="AC810" s="202"/>
      <c r="AD810" s="202" t="s">
        <v>1152</v>
      </c>
      <c r="AE810" s="202" t="s">
        <v>1153</v>
      </c>
      <c r="AF810" s="203" t="s">
        <v>1154</v>
      </c>
      <c r="AG810" s="208">
        <v>40939</v>
      </c>
      <c r="AH810" s="203" t="s">
        <v>1155</v>
      </c>
      <c r="AI810" s="202">
        <v>0</v>
      </c>
      <c r="AJ810" s="202">
        <v>227.11</v>
      </c>
    </row>
    <row r="811" spans="2:36">
      <c r="B811" s="203">
        <v>2180</v>
      </c>
      <c r="C811" s="207">
        <v>90602</v>
      </c>
      <c r="D811" s="203" t="s">
        <v>97</v>
      </c>
      <c r="E811" s="202" t="s">
        <v>1660</v>
      </c>
      <c r="F811" s="203">
        <v>486</v>
      </c>
      <c r="G811" s="202"/>
      <c r="H811" s="202"/>
      <c r="I811" s="202"/>
      <c r="J811" s="202">
        <v>0</v>
      </c>
      <c r="K811" s="202" t="s">
        <v>1540</v>
      </c>
      <c r="L811" s="202"/>
      <c r="M811" s="202"/>
      <c r="N811" s="206">
        <v>39930</v>
      </c>
      <c r="O811" s="206">
        <v>39930</v>
      </c>
      <c r="P811" s="202" t="s">
        <v>1880</v>
      </c>
      <c r="Q811" s="203">
        <v>700</v>
      </c>
      <c r="R811" s="203">
        <v>14050</v>
      </c>
      <c r="S811" s="204">
        <v>25794.99</v>
      </c>
      <c r="T811" s="203">
        <v>14056</v>
      </c>
      <c r="U811" s="204">
        <v>25794.99</v>
      </c>
      <c r="V811" s="204">
        <f t="shared" si="24"/>
        <v>0</v>
      </c>
      <c r="W811" s="205">
        <v>0</v>
      </c>
      <c r="X811" s="203">
        <v>54260</v>
      </c>
      <c r="Y811" s="204">
        <v>0</v>
      </c>
      <c r="Z811" s="202" t="s">
        <v>97</v>
      </c>
      <c r="AA811" s="202"/>
      <c r="AB811" s="202" t="s">
        <v>1890</v>
      </c>
      <c r="AC811" s="202"/>
      <c r="AD811" s="202" t="s">
        <v>1152</v>
      </c>
      <c r="AE811" s="202" t="s">
        <v>1153</v>
      </c>
      <c r="AF811" s="203" t="s">
        <v>1154</v>
      </c>
      <c r="AG811" s="208">
        <v>40939</v>
      </c>
      <c r="AH811" s="203" t="s">
        <v>1155</v>
      </c>
      <c r="AI811" s="202">
        <v>0</v>
      </c>
      <c r="AJ811" s="202">
        <v>10133.75</v>
      </c>
    </row>
    <row r="812" spans="2:36">
      <c r="B812" s="203">
        <v>2180</v>
      </c>
      <c r="C812" s="207">
        <v>90601</v>
      </c>
      <c r="D812" s="203" t="s">
        <v>97</v>
      </c>
      <c r="E812" s="202" t="s">
        <v>1889</v>
      </c>
      <c r="F812" s="203">
        <v>1</v>
      </c>
      <c r="G812" s="202"/>
      <c r="H812" s="202"/>
      <c r="I812" s="202"/>
      <c r="J812" s="202">
        <v>0</v>
      </c>
      <c r="K812" s="202" t="s">
        <v>1574</v>
      </c>
      <c r="L812" s="202"/>
      <c r="M812" s="202" t="s">
        <v>1456</v>
      </c>
      <c r="N812" s="206">
        <v>40816</v>
      </c>
      <c r="O812" s="206">
        <v>40816</v>
      </c>
      <c r="P812" s="202" t="s">
        <v>1888</v>
      </c>
      <c r="Q812" s="203">
        <v>1200</v>
      </c>
      <c r="R812" s="203">
        <v>14050</v>
      </c>
      <c r="S812" s="204">
        <v>817.56</v>
      </c>
      <c r="T812" s="203">
        <v>14056</v>
      </c>
      <c r="U812" s="204">
        <v>726.72</v>
      </c>
      <c r="V812" s="204">
        <f t="shared" si="24"/>
        <v>90.839999999999918</v>
      </c>
      <c r="W812" s="205">
        <v>28.39</v>
      </c>
      <c r="X812" s="203">
        <v>54260</v>
      </c>
      <c r="Y812" s="204">
        <v>5.68</v>
      </c>
      <c r="Z812" s="202" t="s">
        <v>97</v>
      </c>
      <c r="AA812" s="202"/>
      <c r="AB812" s="202">
        <v>62456</v>
      </c>
      <c r="AC812" s="202"/>
      <c r="AD812" s="202" t="s">
        <v>1152</v>
      </c>
      <c r="AE812" s="202" t="s">
        <v>1153</v>
      </c>
      <c r="AF812" s="203" t="s">
        <v>1154</v>
      </c>
      <c r="AG812" s="208">
        <v>40939</v>
      </c>
      <c r="AH812" s="203" t="s">
        <v>1155</v>
      </c>
      <c r="AI812" s="202">
        <v>0</v>
      </c>
      <c r="AJ812" s="202">
        <v>22.71</v>
      </c>
    </row>
    <row r="813" spans="2:36">
      <c r="B813" s="203">
        <v>2180</v>
      </c>
      <c r="C813" s="207">
        <v>90600</v>
      </c>
      <c r="D813" s="203" t="s">
        <v>97</v>
      </c>
      <c r="E813" s="202" t="s">
        <v>1794</v>
      </c>
      <c r="F813" s="203">
        <v>19</v>
      </c>
      <c r="G813" s="202"/>
      <c r="H813" s="202"/>
      <c r="I813" s="202"/>
      <c r="J813" s="202">
        <v>0</v>
      </c>
      <c r="K813" s="202" t="s">
        <v>1574</v>
      </c>
      <c r="L813" s="202"/>
      <c r="M813" s="202" t="s">
        <v>1793</v>
      </c>
      <c r="N813" s="206">
        <v>40842</v>
      </c>
      <c r="O813" s="206">
        <v>40842</v>
      </c>
      <c r="P813" s="202" t="s">
        <v>1887</v>
      </c>
      <c r="Q813" s="203">
        <v>1200</v>
      </c>
      <c r="R813" s="203">
        <v>14050</v>
      </c>
      <c r="S813" s="204">
        <v>8265.27</v>
      </c>
      <c r="T813" s="203">
        <v>14056</v>
      </c>
      <c r="U813" s="204">
        <v>7289.49</v>
      </c>
      <c r="V813" s="204">
        <f t="shared" si="24"/>
        <v>975.78000000000065</v>
      </c>
      <c r="W813" s="205">
        <v>286.99</v>
      </c>
      <c r="X813" s="203">
        <v>54260</v>
      </c>
      <c r="Y813" s="204">
        <v>57.4</v>
      </c>
      <c r="Z813" s="202" t="s">
        <v>97</v>
      </c>
      <c r="AA813" s="202"/>
      <c r="AB813" s="202">
        <v>63148</v>
      </c>
      <c r="AC813" s="202"/>
      <c r="AD813" s="202" t="s">
        <v>1152</v>
      </c>
      <c r="AE813" s="202" t="s">
        <v>1153</v>
      </c>
      <c r="AF813" s="203" t="s">
        <v>1154</v>
      </c>
      <c r="AG813" s="208">
        <v>40939</v>
      </c>
      <c r="AH813" s="203" t="s">
        <v>1155</v>
      </c>
      <c r="AI813" s="202">
        <v>0</v>
      </c>
      <c r="AJ813" s="202">
        <v>172.2</v>
      </c>
    </row>
    <row r="814" spans="2:36">
      <c r="B814" s="203">
        <v>2180</v>
      </c>
      <c r="C814" s="207">
        <v>90599</v>
      </c>
      <c r="D814" s="203" t="s">
        <v>97</v>
      </c>
      <c r="E814" s="202" t="s">
        <v>520</v>
      </c>
      <c r="F814" s="203">
        <v>11</v>
      </c>
      <c r="G814" s="202"/>
      <c r="H814" s="202"/>
      <c r="I814" s="202"/>
      <c r="J814" s="202">
        <v>0</v>
      </c>
      <c r="K814" s="202" t="s">
        <v>1574</v>
      </c>
      <c r="L814" s="202"/>
      <c r="M814" s="202" t="s">
        <v>1456</v>
      </c>
      <c r="N814" s="206">
        <v>40451</v>
      </c>
      <c r="O814" s="206">
        <v>40451</v>
      </c>
      <c r="P814" s="202" t="s">
        <v>1886</v>
      </c>
      <c r="Q814" s="203">
        <v>1200</v>
      </c>
      <c r="R814" s="203">
        <v>14050</v>
      </c>
      <c r="S814" s="204">
        <v>8897.02</v>
      </c>
      <c r="T814" s="203">
        <v>14056</v>
      </c>
      <c r="U814" s="204">
        <v>8649.85</v>
      </c>
      <c r="V814" s="204">
        <f t="shared" si="24"/>
        <v>247.17000000000007</v>
      </c>
      <c r="W814" s="205">
        <v>308.97000000000003</v>
      </c>
      <c r="X814" s="203">
        <v>54260</v>
      </c>
      <c r="Y814" s="204">
        <v>61.79</v>
      </c>
      <c r="Z814" s="202" t="s">
        <v>97</v>
      </c>
      <c r="AA814" s="202"/>
      <c r="AB814" s="202">
        <v>50477</v>
      </c>
      <c r="AC814" s="202"/>
      <c r="AD814" s="202" t="s">
        <v>1152</v>
      </c>
      <c r="AE814" s="202" t="s">
        <v>1153</v>
      </c>
      <c r="AF814" s="203" t="s">
        <v>1154</v>
      </c>
      <c r="AG814" s="208">
        <v>40939</v>
      </c>
      <c r="AH814" s="203" t="s">
        <v>1155</v>
      </c>
      <c r="AI814" s="202">
        <v>0</v>
      </c>
      <c r="AJ814" s="202">
        <v>988.56</v>
      </c>
    </row>
    <row r="815" spans="2:36">
      <c r="B815" s="203">
        <v>2180</v>
      </c>
      <c r="C815" s="207">
        <v>90598</v>
      </c>
      <c r="D815" s="203" t="s">
        <v>97</v>
      </c>
      <c r="E815" s="202" t="s">
        <v>520</v>
      </c>
      <c r="F815" s="203">
        <v>3</v>
      </c>
      <c r="G815" s="202"/>
      <c r="H815" s="202"/>
      <c r="I815" s="202"/>
      <c r="J815" s="202">
        <v>0</v>
      </c>
      <c r="K815" s="202" t="s">
        <v>1574</v>
      </c>
      <c r="L815" s="202"/>
      <c r="M815" s="202" t="s">
        <v>1456</v>
      </c>
      <c r="N815" s="206">
        <v>40451</v>
      </c>
      <c r="O815" s="206">
        <v>40451</v>
      </c>
      <c r="P815" s="202" t="s">
        <v>1886</v>
      </c>
      <c r="Q815" s="203">
        <v>1200</v>
      </c>
      <c r="R815" s="203">
        <v>14050</v>
      </c>
      <c r="S815" s="204">
        <v>2426.46</v>
      </c>
      <c r="T815" s="203">
        <v>14056</v>
      </c>
      <c r="U815" s="204">
        <v>2358.96</v>
      </c>
      <c r="V815" s="204">
        <f t="shared" si="24"/>
        <v>67.5</v>
      </c>
      <c r="W815" s="205">
        <v>84.4</v>
      </c>
      <c r="X815" s="203">
        <v>54260</v>
      </c>
      <c r="Y815" s="204">
        <v>16.88</v>
      </c>
      <c r="Z815" s="202" t="s">
        <v>97</v>
      </c>
      <c r="AA815" s="202"/>
      <c r="AB815" s="202">
        <v>50479</v>
      </c>
      <c r="AC815" s="202"/>
      <c r="AD815" s="202" t="s">
        <v>1152</v>
      </c>
      <c r="AE815" s="202" t="s">
        <v>1153</v>
      </c>
      <c r="AF815" s="203" t="s">
        <v>1154</v>
      </c>
      <c r="AG815" s="208">
        <v>40939</v>
      </c>
      <c r="AH815" s="203" t="s">
        <v>1155</v>
      </c>
      <c r="AI815" s="202">
        <v>0</v>
      </c>
      <c r="AJ815" s="202">
        <v>269.58</v>
      </c>
    </row>
    <row r="816" spans="2:36">
      <c r="B816" s="203">
        <v>2180</v>
      </c>
      <c r="C816" s="207">
        <v>90597</v>
      </c>
      <c r="D816" s="203" t="s">
        <v>97</v>
      </c>
      <c r="E816" s="202" t="s">
        <v>1885</v>
      </c>
      <c r="F816" s="203">
        <v>49</v>
      </c>
      <c r="G816" s="202"/>
      <c r="H816" s="202" t="s">
        <v>1884</v>
      </c>
      <c r="I816" s="202"/>
      <c r="J816" s="202">
        <v>0</v>
      </c>
      <c r="K816" s="202" t="s">
        <v>1658</v>
      </c>
      <c r="L816" s="202"/>
      <c r="M816" s="202"/>
      <c r="N816" s="206">
        <v>40667</v>
      </c>
      <c r="O816" s="206">
        <v>40667</v>
      </c>
      <c r="P816" s="202" t="s">
        <v>1883</v>
      </c>
      <c r="Q816" s="203">
        <v>700</v>
      </c>
      <c r="R816" s="203">
        <v>14050</v>
      </c>
      <c r="S816" s="204">
        <v>2541.8200000000002</v>
      </c>
      <c r="T816" s="203">
        <v>14056</v>
      </c>
      <c r="U816" s="204">
        <v>2541.8200000000002</v>
      </c>
      <c r="V816" s="204">
        <f t="shared" si="24"/>
        <v>0</v>
      </c>
      <c r="W816" s="205">
        <v>0</v>
      </c>
      <c r="X816" s="203">
        <v>54260</v>
      </c>
      <c r="Y816" s="204">
        <v>0</v>
      </c>
      <c r="Z816" s="202" t="s">
        <v>97</v>
      </c>
      <c r="AA816" s="202"/>
      <c r="AB816" s="202" t="s">
        <v>1882</v>
      </c>
      <c r="AC816" s="202"/>
      <c r="AD816" s="202" t="s">
        <v>1152</v>
      </c>
      <c r="AE816" s="202" t="s">
        <v>1153</v>
      </c>
      <c r="AF816" s="203" t="s">
        <v>1154</v>
      </c>
      <c r="AG816" s="208">
        <v>40939</v>
      </c>
      <c r="AH816" s="203" t="s">
        <v>1155</v>
      </c>
      <c r="AI816" s="202">
        <v>0</v>
      </c>
      <c r="AJ816" s="202">
        <v>272.33999999999997</v>
      </c>
    </row>
    <row r="817" spans="2:36">
      <c r="B817" s="203">
        <v>2180</v>
      </c>
      <c r="C817" s="207">
        <v>90596</v>
      </c>
      <c r="D817" s="203" t="s">
        <v>97</v>
      </c>
      <c r="E817" s="202" t="s">
        <v>1881</v>
      </c>
      <c r="F817" s="203">
        <v>43065</v>
      </c>
      <c r="G817" s="202"/>
      <c r="H817" s="202"/>
      <c r="I817" s="202"/>
      <c r="J817" s="202">
        <v>0</v>
      </c>
      <c r="K817" s="202"/>
      <c r="L817" s="202"/>
      <c r="M817" s="202"/>
      <c r="N817" s="206">
        <v>39755</v>
      </c>
      <c r="O817" s="206">
        <v>39755</v>
      </c>
      <c r="P817" s="202"/>
      <c r="Q817" s="203">
        <v>500</v>
      </c>
      <c r="R817" s="203">
        <v>14050</v>
      </c>
      <c r="S817" s="204">
        <v>430650</v>
      </c>
      <c r="T817" s="203">
        <v>14056</v>
      </c>
      <c r="U817" s="204">
        <v>430650</v>
      </c>
      <c r="V817" s="204">
        <f t="shared" si="24"/>
        <v>0</v>
      </c>
      <c r="W817" s="205">
        <v>0</v>
      </c>
      <c r="X817" s="203">
        <v>54260</v>
      </c>
      <c r="Y817" s="204">
        <v>0</v>
      </c>
      <c r="Z817" s="202" t="s">
        <v>1153</v>
      </c>
      <c r="AA817" s="202" t="s">
        <v>1383</v>
      </c>
      <c r="AB817" s="202"/>
      <c r="AC817" s="202"/>
      <c r="AD817" s="202" t="s">
        <v>1152</v>
      </c>
      <c r="AE817" s="202" t="s">
        <v>1153</v>
      </c>
      <c r="AF817" s="203" t="s">
        <v>1154</v>
      </c>
      <c r="AG817" s="208">
        <v>40939</v>
      </c>
      <c r="AH817" s="203" t="s">
        <v>1155</v>
      </c>
      <c r="AI817" s="202">
        <v>0</v>
      </c>
      <c r="AJ817" s="202">
        <v>279922.5</v>
      </c>
    </row>
    <row r="818" spans="2:36">
      <c r="B818" s="203">
        <v>2180</v>
      </c>
      <c r="C818" s="207">
        <v>90595</v>
      </c>
      <c r="D818" s="203" t="s">
        <v>97</v>
      </c>
      <c r="E818" s="202" t="s">
        <v>1666</v>
      </c>
      <c r="F818" s="203">
        <v>500</v>
      </c>
      <c r="G818" s="202"/>
      <c r="H818" s="202"/>
      <c r="I818" s="202"/>
      <c r="J818" s="202">
        <v>0</v>
      </c>
      <c r="K818" s="202" t="s">
        <v>1540</v>
      </c>
      <c r="L818" s="202"/>
      <c r="M818" s="202"/>
      <c r="N818" s="206">
        <v>39930</v>
      </c>
      <c r="O818" s="206">
        <v>39930</v>
      </c>
      <c r="P818" s="202" t="s">
        <v>1880</v>
      </c>
      <c r="Q818" s="203">
        <v>700</v>
      </c>
      <c r="R818" s="203">
        <v>14050</v>
      </c>
      <c r="S818" s="204">
        <v>17214.75</v>
      </c>
      <c r="T818" s="203">
        <v>14056</v>
      </c>
      <c r="U818" s="204">
        <v>17214.75</v>
      </c>
      <c r="V818" s="204">
        <f t="shared" si="24"/>
        <v>0</v>
      </c>
      <c r="W818" s="205">
        <v>0</v>
      </c>
      <c r="X818" s="203">
        <v>54260</v>
      </c>
      <c r="Y818" s="204">
        <v>0</v>
      </c>
      <c r="Z818" s="202" t="s">
        <v>97</v>
      </c>
      <c r="AA818" s="202"/>
      <c r="AB818" s="202" t="s">
        <v>1879</v>
      </c>
      <c r="AC818" s="202"/>
      <c r="AD818" s="202" t="s">
        <v>1152</v>
      </c>
      <c r="AE818" s="202" t="s">
        <v>1153</v>
      </c>
      <c r="AF818" s="203" t="s">
        <v>1154</v>
      </c>
      <c r="AG818" s="208">
        <v>40939</v>
      </c>
      <c r="AH818" s="203" t="s">
        <v>1155</v>
      </c>
      <c r="AI818" s="202">
        <v>0</v>
      </c>
      <c r="AJ818" s="202">
        <v>6762.94</v>
      </c>
    </row>
    <row r="819" spans="2:36">
      <c r="B819" s="203">
        <v>2180</v>
      </c>
      <c r="C819" s="207">
        <v>90594</v>
      </c>
      <c r="D819" s="203" t="s">
        <v>97</v>
      </c>
      <c r="E819" s="202" t="s">
        <v>1878</v>
      </c>
      <c r="F819" s="203">
        <v>648</v>
      </c>
      <c r="G819" s="202"/>
      <c r="H819" s="202"/>
      <c r="I819" s="202"/>
      <c r="J819" s="202">
        <v>0</v>
      </c>
      <c r="K819" s="202" t="s">
        <v>1540</v>
      </c>
      <c r="L819" s="202"/>
      <c r="M819" s="202"/>
      <c r="N819" s="206">
        <v>39987</v>
      </c>
      <c r="O819" s="206">
        <v>39987</v>
      </c>
      <c r="P819" s="202" t="s">
        <v>1869</v>
      </c>
      <c r="Q819" s="203">
        <v>700</v>
      </c>
      <c r="R819" s="203">
        <v>14050</v>
      </c>
      <c r="S819" s="204">
        <v>26659.040000000001</v>
      </c>
      <c r="T819" s="203">
        <v>14056</v>
      </c>
      <c r="U819" s="204">
        <v>26659.040000000001</v>
      </c>
      <c r="V819" s="204">
        <f t="shared" si="24"/>
        <v>0</v>
      </c>
      <c r="W819" s="205">
        <v>0</v>
      </c>
      <c r="X819" s="203">
        <v>54260</v>
      </c>
      <c r="Y819" s="204">
        <v>0</v>
      </c>
      <c r="Z819" s="202" t="s">
        <v>97</v>
      </c>
      <c r="AA819" s="202"/>
      <c r="AB819" s="202" t="s">
        <v>1877</v>
      </c>
      <c r="AC819" s="202"/>
      <c r="AD819" s="202" t="s">
        <v>1152</v>
      </c>
      <c r="AE819" s="202" t="s">
        <v>1153</v>
      </c>
      <c r="AF819" s="203" t="s">
        <v>1154</v>
      </c>
      <c r="AG819" s="208">
        <v>40939</v>
      </c>
      <c r="AH819" s="203" t="s">
        <v>1155</v>
      </c>
      <c r="AI819" s="202">
        <v>0</v>
      </c>
      <c r="AJ819" s="202">
        <v>9838.4699999999993</v>
      </c>
    </row>
    <row r="820" spans="2:36">
      <c r="B820" s="203">
        <v>2180</v>
      </c>
      <c r="C820" s="207">
        <v>90593</v>
      </c>
      <c r="D820" s="203" t="s">
        <v>97</v>
      </c>
      <c r="E820" s="202" t="s">
        <v>1873</v>
      </c>
      <c r="F820" s="203">
        <v>486</v>
      </c>
      <c r="G820" s="202"/>
      <c r="H820" s="202"/>
      <c r="I820" s="202"/>
      <c r="J820" s="202">
        <v>0</v>
      </c>
      <c r="K820" s="202" t="s">
        <v>1540</v>
      </c>
      <c r="L820" s="202"/>
      <c r="M820" s="202"/>
      <c r="N820" s="206">
        <v>40010</v>
      </c>
      <c r="O820" s="206">
        <v>40010</v>
      </c>
      <c r="P820" s="202" t="s">
        <v>1872</v>
      </c>
      <c r="Q820" s="203">
        <v>700</v>
      </c>
      <c r="R820" s="203">
        <v>14050</v>
      </c>
      <c r="S820" s="204">
        <v>22586.55</v>
      </c>
      <c r="T820" s="203">
        <v>14056</v>
      </c>
      <c r="U820" s="204">
        <v>22586.55</v>
      </c>
      <c r="V820" s="204">
        <f t="shared" si="24"/>
        <v>0</v>
      </c>
      <c r="W820" s="205">
        <v>0</v>
      </c>
      <c r="X820" s="203">
        <v>54260</v>
      </c>
      <c r="Y820" s="204">
        <v>0</v>
      </c>
      <c r="Z820" s="202" t="s">
        <v>97</v>
      </c>
      <c r="AA820" s="202"/>
      <c r="AB820" s="202" t="s">
        <v>1876</v>
      </c>
      <c r="AC820" s="202"/>
      <c r="AD820" s="202" t="s">
        <v>1152</v>
      </c>
      <c r="AE820" s="202" t="s">
        <v>1153</v>
      </c>
      <c r="AF820" s="203" t="s">
        <v>1154</v>
      </c>
      <c r="AG820" s="208">
        <v>40939</v>
      </c>
      <c r="AH820" s="203" t="s">
        <v>1155</v>
      </c>
      <c r="AI820" s="202">
        <v>0</v>
      </c>
      <c r="AJ820" s="202">
        <v>8066.63</v>
      </c>
    </row>
    <row r="821" spans="2:36">
      <c r="B821" s="203">
        <v>2180</v>
      </c>
      <c r="C821" s="207">
        <v>90592</v>
      </c>
      <c r="D821" s="203" t="s">
        <v>97</v>
      </c>
      <c r="E821" s="202" t="s">
        <v>1875</v>
      </c>
      <c r="F821" s="203">
        <v>486</v>
      </c>
      <c r="G821" s="202"/>
      <c r="H821" s="202"/>
      <c r="I821" s="202"/>
      <c r="J821" s="202">
        <v>0</v>
      </c>
      <c r="K821" s="202" t="s">
        <v>1540</v>
      </c>
      <c r="L821" s="202"/>
      <c r="M821" s="202"/>
      <c r="N821" s="206">
        <v>40001</v>
      </c>
      <c r="O821" s="206">
        <v>40001</v>
      </c>
      <c r="P821" s="202" t="s">
        <v>1869</v>
      </c>
      <c r="Q821" s="203">
        <v>700</v>
      </c>
      <c r="R821" s="203">
        <v>14050</v>
      </c>
      <c r="S821" s="204">
        <v>22586.53</v>
      </c>
      <c r="T821" s="203">
        <v>14056</v>
      </c>
      <c r="U821" s="204">
        <v>22586.53</v>
      </c>
      <c r="V821" s="204">
        <f t="shared" si="24"/>
        <v>0</v>
      </c>
      <c r="W821" s="205">
        <v>0</v>
      </c>
      <c r="X821" s="203">
        <v>54260</v>
      </c>
      <c r="Y821" s="204">
        <v>0</v>
      </c>
      <c r="Z821" s="202" t="s">
        <v>97</v>
      </c>
      <c r="AA821" s="202"/>
      <c r="AB821" s="202" t="s">
        <v>1874</v>
      </c>
      <c r="AC821" s="202"/>
      <c r="AD821" s="202" t="s">
        <v>1152</v>
      </c>
      <c r="AE821" s="202" t="s">
        <v>1153</v>
      </c>
      <c r="AF821" s="203" t="s">
        <v>1154</v>
      </c>
      <c r="AG821" s="208">
        <v>40939</v>
      </c>
      <c r="AH821" s="203" t="s">
        <v>1155</v>
      </c>
      <c r="AI821" s="202">
        <v>0</v>
      </c>
      <c r="AJ821" s="202">
        <v>8335.51</v>
      </c>
    </row>
    <row r="822" spans="2:36">
      <c r="B822" s="203">
        <v>2180</v>
      </c>
      <c r="C822" s="207">
        <v>90591</v>
      </c>
      <c r="D822" s="203" t="s">
        <v>97</v>
      </c>
      <c r="E822" s="202" t="s">
        <v>1873</v>
      </c>
      <c r="F822" s="203">
        <v>486</v>
      </c>
      <c r="G822" s="202"/>
      <c r="H822" s="202"/>
      <c r="I822" s="202"/>
      <c r="J822" s="202">
        <v>0</v>
      </c>
      <c r="K822" s="202" t="s">
        <v>1540</v>
      </c>
      <c r="L822" s="202"/>
      <c r="M822" s="202"/>
      <c r="N822" s="206">
        <v>40010</v>
      </c>
      <c r="O822" s="206">
        <v>40010</v>
      </c>
      <c r="P822" s="202" t="s">
        <v>1872</v>
      </c>
      <c r="Q822" s="203">
        <v>700</v>
      </c>
      <c r="R822" s="203">
        <v>14050</v>
      </c>
      <c r="S822" s="204">
        <v>22586.55</v>
      </c>
      <c r="T822" s="203">
        <v>14056</v>
      </c>
      <c r="U822" s="204">
        <v>22586.55</v>
      </c>
      <c r="V822" s="204">
        <f t="shared" si="24"/>
        <v>0</v>
      </c>
      <c r="W822" s="205">
        <v>0</v>
      </c>
      <c r="X822" s="203">
        <v>54260</v>
      </c>
      <c r="Y822" s="204">
        <v>0</v>
      </c>
      <c r="Z822" s="202" t="s">
        <v>97</v>
      </c>
      <c r="AA822" s="202"/>
      <c r="AB822" s="202" t="s">
        <v>1871</v>
      </c>
      <c r="AC822" s="202"/>
      <c r="AD822" s="202" t="s">
        <v>1152</v>
      </c>
      <c r="AE822" s="202" t="s">
        <v>1153</v>
      </c>
      <c r="AF822" s="203" t="s">
        <v>1154</v>
      </c>
      <c r="AG822" s="208">
        <v>40939</v>
      </c>
      <c r="AH822" s="203" t="s">
        <v>1155</v>
      </c>
      <c r="AI822" s="202">
        <v>0</v>
      </c>
      <c r="AJ822" s="202">
        <v>8066.63</v>
      </c>
    </row>
    <row r="823" spans="2:36">
      <c r="B823" s="203">
        <v>2180</v>
      </c>
      <c r="C823" s="207">
        <v>90590</v>
      </c>
      <c r="D823" s="203" t="s">
        <v>97</v>
      </c>
      <c r="E823" s="202" t="s">
        <v>1870</v>
      </c>
      <c r="F823" s="203">
        <v>486</v>
      </c>
      <c r="G823" s="202"/>
      <c r="H823" s="202"/>
      <c r="I823" s="202"/>
      <c r="J823" s="202">
        <v>0</v>
      </c>
      <c r="K823" s="202" t="s">
        <v>1540</v>
      </c>
      <c r="L823" s="202"/>
      <c r="M823" s="202"/>
      <c r="N823" s="206">
        <v>39966</v>
      </c>
      <c r="O823" s="206">
        <v>39966</v>
      </c>
      <c r="P823" s="202" t="s">
        <v>1869</v>
      </c>
      <c r="Q823" s="203">
        <v>700</v>
      </c>
      <c r="R823" s="203">
        <v>14050</v>
      </c>
      <c r="S823" s="204">
        <v>22586.55</v>
      </c>
      <c r="T823" s="203">
        <v>14056</v>
      </c>
      <c r="U823" s="204">
        <v>22586.55</v>
      </c>
      <c r="V823" s="204">
        <f t="shared" si="24"/>
        <v>0</v>
      </c>
      <c r="W823" s="205">
        <v>0</v>
      </c>
      <c r="X823" s="203">
        <v>54260</v>
      </c>
      <c r="Y823" s="204">
        <v>0</v>
      </c>
      <c r="Z823" s="202" t="s">
        <v>97</v>
      </c>
      <c r="AA823" s="202"/>
      <c r="AB823" s="202" t="s">
        <v>1868</v>
      </c>
      <c r="AC823" s="202"/>
      <c r="AD823" s="202" t="s">
        <v>1152</v>
      </c>
      <c r="AE823" s="202" t="s">
        <v>1153</v>
      </c>
      <c r="AF823" s="203" t="s">
        <v>1154</v>
      </c>
      <c r="AG823" s="208">
        <v>40939</v>
      </c>
      <c r="AH823" s="203" t="s">
        <v>1155</v>
      </c>
      <c r="AI823" s="202">
        <v>0</v>
      </c>
      <c r="AJ823" s="202">
        <v>8604.4</v>
      </c>
    </row>
    <row r="824" spans="2:36">
      <c r="B824" s="203">
        <v>2180</v>
      </c>
      <c r="C824" s="207">
        <v>90589</v>
      </c>
      <c r="D824" s="203" t="s">
        <v>97</v>
      </c>
      <c r="E824" s="202" t="s">
        <v>1459</v>
      </c>
      <c r="F824" s="203">
        <v>45</v>
      </c>
      <c r="G824" s="202"/>
      <c r="H824" s="202"/>
      <c r="I824" s="202"/>
      <c r="J824" s="202">
        <v>0</v>
      </c>
      <c r="K824" s="202"/>
      <c r="L824" s="202"/>
      <c r="M824" s="202" t="s">
        <v>1458</v>
      </c>
      <c r="N824" s="206">
        <v>39755</v>
      </c>
      <c r="O824" s="206">
        <v>39755</v>
      </c>
      <c r="P824" s="202"/>
      <c r="Q824" s="203">
        <v>700</v>
      </c>
      <c r="R824" s="203">
        <v>14050</v>
      </c>
      <c r="S824" s="204">
        <v>58500</v>
      </c>
      <c r="T824" s="203">
        <v>14056</v>
      </c>
      <c r="U824" s="204">
        <v>58500</v>
      </c>
      <c r="V824" s="204">
        <f t="shared" si="24"/>
        <v>0</v>
      </c>
      <c r="W824" s="205">
        <v>0</v>
      </c>
      <c r="X824" s="203">
        <v>54260</v>
      </c>
      <c r="Y824" s="204">
        <v>0</v>
      </c>
      <c r="Z824" s="202" t="s">
        <v>1153</v>
      </c>
      <c r="AA824" s="202" t="s">
        <v>1383</v>
      </c>
      <c r="AB824" s="202"/>
      <c r="AC824" s="202"/>
      <c r="AD824" s="202" t="s">
        <v>1152</v>
      </c>
      <c r="AE824" s="202" t="s">
        <v>1153</v>
      </c>
      <c r="AF824" s="203" t="s">
        <v>1154</v>
      </c>
      <c r="AG824" s="208">
        <v>40939</v>
      </c>
      <c r="AH824" s="203" t="s">
        <v>1155</v>
      </c>
      <c r="AI824" s="202">
        <v>2</v>
      </c>
      <c r="AJ824" s="202">
        <v>27160.720000000001</v>
      </c>
    </row>
    <row r="825" spans="2:36">
      <c r="B825" s="203">
        <v>2180</v>
      </c>
      <c r="C825" s="207">
        <v>90588</v>
      </c>
      <c r="D825" s="203" t="s">
        <v>97</v>
      </c>
      <c r="E825" s="202" t="s">
        <v>1867</v>
      </c>
      <c r="F825" s="203">
        <v>128</v>
      </c>
      <c r="G825" s="202"/>
      <c r="H825" s="202"/>
      <c r="I825" s="202"/>
      <c r="J825" s="202">
        <v>0</v>
      </c>
      <c r="K825" s="202"/>
      <c r="L825" s="202"/>
      <c r="M825" s="202"/>
      <c r="N825" s="206">
        <v>39755</v>
      </c>
      <c r="O825" s="206">
        <v>39755</v>
      </c>
      <c r="P825" s="202"/>
      <c r="Q825" s="203">
        <v>1200</v>
      </c>
      <c r="R825" s="203">
        <v>14050</v>
      </c>
      <c r="S825" s="204">
        <v>46832.98</v>
      </c>
      <c r="T825" s="203">
        <v>14056</v>
      </c>
      <c r="U825" s="204">
        <v>46832.98</v>
      </c>
      <c r="V825" s="204">
        <f t="shared" si="24"/>
        <v>0</v>
      </c>
      <c r="W825" s="205">
        <v>0</v>
      </c>
      <c r="X825" s="203">
        <v>54260</v>
      </c>
      <c r="Y825" s="204">
        <v>0</v>
      </c>
      <c r="Z825" s="202" t="s">
        <v>1153</v>
      </c>
      <c r="AA825" s="202" t="s">
        <v>1383</v>
      </c>
      <c r="AB825" s="202"/>
      <c r="AC825" s="202"/>
      <c r="AD825" s="202" t="s">
        <v>1152</v>
      </c>
      <c r="AE825" s="202" t="s">
        <v>1153</v>
      </c>
      <c r="AF825" s="203" t="s">
        <v>1154</v>
      </c>
      <c r="AG825" s="208">
        <v>40939</v>
      </c>
      <c r="AH825" s="203" t="s">
        <v>1155</v>
      </c>
      <c r="AI825" s="202">
        <v>2</v>
      </c>
      <c r="AJ825" s="202">
        <v>12683.92</v>
      </c>
    </row>
    <row r="826" spans="2:36">
      <c r="B826" s="203">
        <v>2180</v>
      </c>
      <c r="C826" s="207">
        <v>90587</v>
      </c>
      <c r="D826" s="203" t="s">
        <v>97</v>
      </c>
      <c r="E826" s="202" t="s">
        <v>3257</v>
      </c>
      <c r="F826" s="203">
        <v>449</v>
      </c>
      <c r="G826" s="202"/>
      <c r="H826" s="202"/>
      <c r="I826" s="202"/>
      <c r="J826" s="202">
        <v>0</v>
      </c>
      <c r="K826" s="202"/>
      <c r="L826" s="202"/>
      <c r="M826" s="202"/>
      <c r="N826" s="206">
        <v>39755</v>
      </c>
      <c r="O826" s="206">
        <v>39755</v>
      </c>
      <c r="P826" s="202"/>
      <c r="Q826" s="203">
        <v>700</v>
      </c>
      <c r="R826" s="203">
        <v>14050</v>
      </c>
      <c r="S826" s="204">
        <v>39100.93</v>
      </c>
      <c r="T826" s="203">
        <v>14056</v>
      </c>
      <c r="U826" s="204">
        <v>39100.93</v>
      </c>
      <c r="V826" s="204">
        <f t="shared" si="24"/>
        <v>0</v>
      </c>
      <c r="W826" s="205">
        <v>0</v>
      </c>
      <c r="X826" s="203">
        <v>54260</v>
      </c>
      <c r="Y826" s="204">
        <v>0</v>
      </c>
      <c r="Z826" s="202" t="s">
        <v>1153</v>
      </c>
      <c r="AA826" s="202" t="s">
        <v>1383</v>
      </c>
      <c r="AB826" s="202"/>
      <c r="AC826" s="202"/>
      <c r="AD826" s="202" t="s">
        <v>1152</v>
      </c>
      <c r="AE826" s="202" t="s">
        <v>1153</v>
      </c>
      <c r="AF826" s="203" t="s">
        <v>1154</v>
      </c>
      <c r="AG826" s="208">
        <v>44681</v>
      </c>
      <c r="AH826" s="203" t="s">
        <v>1155</v>
      </c>
      <c r="AI826" s="202">
        <v>52</v>
      </c>
      <c r="AJ826" s="202">
        <v>39100.93</v>
      </c>
    </row>
    <row r="827" spans="2:36">
      <c r="B827" s="203">
        <v>2180</v>
      </c>
      <c r="C827" s="207">
        <v>90586</v>
      </c>
      <c r="D827" s="203" t="s">
        <v>97</v>
      </c>
      <c r="E827" s="202" t="s">
        <v>1420</v>
      </c>
      <c r="F827" s="203">
        <v>923</v>
      </c>
      <c r="G827" s="202"/>
      <c r="H827" s="202"/>
      <c r="I827" s="202"/>
      <c r="J827" s="202">
        <v>0</v>
      </c>
      <c r="K827" s="202"/>
      <c r="L827" s="202"/>
      <c r="M827" s="202"/>
      <c r="N827" s="206">
        <v>39755</v>
      </c>
      <c r="O827" s="206">
        <v>39755</v>
      </c>
      <c r="P827" s="202"/>
      <c r="Q827" s="203">
        <v>700</v>
      </c>
      <c r="R827" s="203">
        <v>14050</v>
      </c>
      <c r="S827" s="204">
        <v>40800</v>
      </c>
      <c r="T827" s="203">
        <v>14056</v>
      </c>
      <c r="U827" s="204">
        <v>40800</v>
      </c>
      <c r="V827" s="204">
        <f t="shared" si="24"/>
        <v>0</v>
      </c>
      <c r="W827" s="205">
        <v>0</v>
      </c>
      <c r="X827" s="203">
        <v>54260</v>
      </c>
      <c r="Y827" s="204">
        <v>0</v>
      </c>
      <c r="Z827" s="202" t="s">
        <v>1153</v>
      </c>
      <c r="AA827" s="202" t="s">
        <v>1383</v>
      </c>
      <c r="AB827" s="202"/>
      <c r="AC827" s="202"/>
      <c r="AD827" s="202" t="s">
        <v>1152</v>
      </c>
      <c r="AE827" s="202" t="s">
        <v>1153</v>
      </c>
      <c r="AF827" s="203" t="s">
        <v>1154</v>
      </c>
      <c r="AG827" s="208">
        <v>40939</v>
      </c>
      <c r="AH827" s="203" t="s">
        <v>1155</v>
      </c>
      <c r="AI827" s="202">
        <v>0</v>
      </c>
      <c r="AJ827" s="202">
        <v>18942.849999999999</v>
      </c>
    </row>
    <row r="828" spans="2:36">
      <c r="B828" s="203">
        <v>2180</v>
      </c>
      <c r="C828" s="207">
        <v>90584</v>
      </c>
      <c r="D828" s="203" t="s">
        <v>97</v>
      </c>
      <c r="E828" s="202" t="s">
        <v>1860</v>
      </c>
      <c r="F828" s="203">
        <v>0</v>
      </c>
      <c r="G828" s="202"/>
      <c r="H828" s="202" t="s">
        <v>1865</v>
      </c>
      <c r="I828" s="202"/>
      <c r="J828" s="202">
        <v>2006</v>
      </c>
      <c r="K828" s="202" t="s">
        <v>1858</v>
      </c>
      <c r="L828" s="202" t="s">
        <v>1042</v>
      </c>
      <c r="M828" s="202" t="s">
        <v>1149</v>
      </c>
      <c r="N828" s="206">
        <v>39755</v>
      </c>
      <c r="O828" s="206">
        <v>39755</v>
      </c>
      <c r="P828" s="202"/>
      <c r="Q828" s="203">
        <v>700</v>
      </c>
      <c r="R828" s="203">
        <v>14040</v>
      </c>
      <c r="S828" s="204">
        <v>43500</v>
      </c>
      <c r="T828" s="203">
        <v>14046</v>
      </c>
      <c r="U828" s="204">
        <v>43500</v>
      </c>
      <c r="V828" s="204">
        <f t="shared" si="24"/>
        <v>0</v>
      </c>
      <c r="W828" s="205">
        <v>0</v>
      </c>
      <c r="X828" s="203">
        <v>51260</v>
      </c>
      <c r="Y828" s="204">
        <v>0</v>
      </c>
      <c r="Z828" s="202" t="s">
        <v>1153</v>
      </c>
      <c r="AA828" s="202" t="s">
        <v>1383</v>
      </c>
      <c r="AB828" s="202"/>
      <c r="AC828" s="202">
        <v>5594</v>
      </c>
      <c r="AD828" s="202" t="s">
        <v>1152</v>
      </c>
      <c r="AE828" s="202" t="s">
        <v>1153</v>
      </c>
      <c r="AF828" s="203" t="s">
        <v>1154</v>
      </c>
      <c r="AG828" s="208">
        <v>40939</v>
      </c>
      <c r="AH828" s="203" t="s">
        <v>1155</v>
      </c>
      <c r="AI828" s="202">
        <v>0</v>
      </c>
      <c r="AJ828" s="202">
        <v>20196.45</v>
      </c>
    </row>
    <row r="829" spans="2:36">
      <c r="B829" s="203">
        <v>2180</v>
      </c>
      <c r="C829" s="207">
        <v>90579</v>
      </c>
      <c r="D829" s="203" t="s">
        <v>97</v>
      </c>
      <c r="E829" s="202" t="s">
        <v>1864</v>
      </c>
      <c r="F829" s="203">
        <v>0</v>
      </c>
      <c r="G829" s="202"/>
      <c r="H829" s="202" t="s">
        <v>1863</v>
      </c>
      <c r="I829" s="202"/>
      <c r="J829" s="202">
        <v>1997</v>
      </c>
      <c r="K829" s="202" t="s">
        <v>1862</v>
      </c>
      <c r="L829" s="202" t="s">
        <v>1255</v>
      </c>
      <c r="M829" s="202" t="s">
        <v>1503</v>
      </c>
      <c r="N829" s="206">
        <v>39755</v>
      </c>
      <c r="O829" s="206">
        <v>39755</v>
      </c>
      <c r="P829" s="202"/>
      <c r="Q829" s="203">
        <v>300</v>
      </c>
      <c r="R829" s="203">
        <v>14040</v>
      </c>
      <c r="S829" s="204">
        <v>2500</v>
      </c>
      <c r="T829" s="203">
        <v>14046</v>
      </c>
      <c r="U829" s="204">
        <v>2500</v>
      </c>
      <c r="V829" s="204">
        <f t="shared" si="24"/>
        <v>0</v>
      </c>
      <c r="W829" s="205">
        <v>0</v>
      </c>
      <c r="X829" s="203">
        <v>51260</v>
      </c>
      <c r="Y829" s="204">
        <v>0</v>
      </c>
      <c r="Z829" s="202" t="s">
        <v>1153</v>
      </c>
      <c r="AA829" s="202" t="s">
        <v>1383</v>
      </c>
      <c r="AB829" s="202"/>
      <c r="AC829" s="202">
        <v>9981</v>
      </c>
      <c r="AD829" s="202" t="s">
        <v>1152</v>
      </c>
      <c r="AE829" s="202" t="s">
        <v>1153</v>
      </c>
      <c r="AF829" s="203" t="s">
        <v>1154</v>
      </c>
      <c r="AG829" s="208">
        <v>40939</v>
      </c>
      <c r="AH829" s="203" t="s">
        <v>1155</v>
      </c>
      <c r="AI829" s="202">
        <v>0</v>
      </c>
      <c r="AJ829" s="202">
        <v>2500</v>
      </c>
    </row>
    <row r="830" spans="2:36">
      <c r="B830" s="203">
        <v>2180</v>
      </c>
      <c r="C830" s="207">
        <v>90564</v>
      </c>
      <c r="D830" s="203" t="s">
        <v>97</v>
      </c>
      <c r="E830" s="202" t="s">
        <v>155</v>
      </c>
      <c r="F830" s="203">
        <v>0</v>
      </c>
      <c r="G830" s="202"/>
      <c r="H830" s="202" t="s">
        <v>1861</v>
      </c>
      <c r="I830" s="202"/>
      <c r="J830" s="202">
        <v>2009</v>
      </c>
      <c r="K830" s="202" t="s">
        <v>1826</v>
      </c>
      <c r="L830" s="202" t="s">
        <v>1825</v>
      </c>
      <c r="M830" s="202" t="s">
        <v>1824</v>
      </c>
      <c r="N830" s="206">
        <v>39755</v>
      </c>
      <c r="O830" s="206">
        <v>39755</v>
      </c>
      <c r="P830" s="202"/>
      <c r="Q830" s="203">
        <v>1000</v>
      </c>
      <c r="R830" s="203">
        <v>14040</v>
      </c>
      <c r="S830" s="204">
        <v>165486.5</v>
      </c>
      <c r="T830" s="203">
        <v>14046</v>
      </c>
      <c r="U830" s="204">
        <v>165486.5</v>
      </c>
      <c r="V830" s="204">
        <f t="shared" si="24"/>
        <v>0</v>
      </c>
      <c r="W830" s="205">
        <v>0</v>
      </c>
      <c r="X830" s="203">
        <v>51260</v>
      </c>
      <c r="Y830" s="204">
        <v>0</v>
      </c>
      <c r="Z830" s="202" t="s">
        <v>1153</v>
      </c>
      <c r="AA830" s="202" t="s">
        <v>1383</v>
      </c>
      <c r="AB830" s="202"/>
      <c r="AC830" s="202">
        <v>4067</v>
      </c>
      <c r="AD830" s="202" t="s">
        <v>1152</v>
      </c>
      <c r="AE830" s="202" t="s">
        <v>1153</v>
      </c>
      <c r="AF830" s="203" t="s">
        <v>1154</v>
      </c>
      <c r="AG830" s="208">
        <v>40939</v>
      </c>
      <c r="AH830" s="203" t="s">
        <v>1155</v>
      </c>
      <c r="AI830" s="202">
        <v>0</v>
      </c>
      <c r="AJ830" s="202">
        <v>53783.11</v>
      </c>
    </row>
    <row r="831" spans="2:36">
      <c r="B831" s="203">
        <v>2180</v>
      </c>
      <c r="C831" s="207">
        <v>90563</v>
      </c>
      <c r="D831" s="203" t="s">
        <v>97</v>
      </c>
      <c r="E831" s="202" t="s">
        <v>1860</v>
      </c>
      <c r="F831" s="203">
        <v>0</v>
      </c>
      <c r="G831" s="202"/>
      <c r="H831" s="202" t="s">
        <v>1859</v>
      </c>
      <c r="I831" s="202"/>
      <c r="J831" s="202">
        <v>2006</v>
      </c>
      <c r="K831" s="202" t="s">
        <v>1858</v>
      </c>
      <c r="L831" s="202" t="s">
        <v>1042</v>
      </c>
      <c r="M831" s="202" t="s">
        <v>1149</v>
      </c>
      <c r="N831" s="206">
        <v>39755</v>
      </c>
      <c r="O831" s="206">
        <v>39755</v>
      </c>
      <c r="P831" s="202"/>
      <c r="Q831" s="203">
        <v>700</v>
      </c>
      <c r="R831" s="203">
        <v>14040</v>
      </c>
      <c r="S831" s="204">
        <v>43500</v>
      </c>
      <c r="T831" s="203">
        <v>14046</v>
      </c>
      <c r="U831" s="204">
        <v>43500</v>
      </c>
      <c r="V831" s="204">
        <f t="shared" si="24"/>
        <v>0</v>
      </c>
      <c r="W831" s="205">
        <v>0</v>
      </c>
      <c r="X831" s="203">
        <v>51260</v>
      </c>
      <c r="Y831" s="204">
        <v>0</v>
      </c>
      <c r="Z831" s="202" t="s">
        <v>1153</v>
      </c>
      <c r="AA831" s="202" t="s">
        <v>1383</v>
      </c>
      <c r="AB831" s="202"/>
      <c r="AC831" s="202">
        <v>5595</v>
      </c>
      <c r="AD831" s="202" t="s">
        <v>1152</v>
      </c>
      <c r="AE831" s="202" t="s">
        <v>1153</v>
      </c>
      <c r="AF831" s="203" t="s">
        <v>1154</v>
      </c>
      <c r="AG831" s="208">
        <v>40939</v>
      </c>
      <c r="AH831" s="203" t="s">
        <v>1155</v>
      </c>
      <c r="AI831" s="202">
        <v>0</v>
      </c>
      <c r="AJ831" s="202">
        <v>20196.45</v>
      </c>
    </row>
    <row r="832" spans="2:36">
      <c r="B832" s="203">
        <v>2180</v>
      </c>
      <c r="C832" s="207">
        <v>90558</v>
      </c>
      <c r="D832" s="203" t="s">
        <v>97</v>
      </c>
      <c r="E832" s="202" t="s">
        <v>1857</v>
      </c>
      <c r="F832" s="203">
        <v>0</v>
      </c>
      <c r="G832" s="202"/>
      <c r="H832" s="202" t="s">
        <v>1856</v>
      </c>
      <c r="I832" s="202"/>
      <c r="J832" s="202">
        <v>2012</v>
      </c>
      <c r="K832" s="202" t="s">
        <v>1855</v>
      </c>
      <c r="L832" s="202" t="s">
        <v>1732</v>
      </c>
      <c r="M832" s="202" t="s">
        <v>1404</v>
      </c>
      <c r="N832" s="206">
        <v>40862</v>
      </c>
      <c r="O832" s="206">
        <v>40862</v>
      </c>
      <c r="P832" s="202" t="s">
        <v>1854</v>
      </c>
      <c r="Q832" s="203">
        <v>1000</v>
      </c>
      <c r="R832" s="203">
        <v>14040</v>
      </c>
      <c r="S832" s="204">
        <v>117533.59</v>
      </c>
      <c r="T832" s="203">
        <v>14046</v>
      </c>
      <c r="U832" s="204">
        <v>117533.59</v>
      </c>
      <c r="V832" s="204">
        <f t="shared" si="24"/>
        <v>0</v>
      </c>
      <c r="W832" s="205">
        <v>0</v>
      </c>
      <c r="X832" s="203">
        <v>51260</v>
      </c>
      <c r="Y832" s="204">
        <v>0</v>
      </c>
      <c r="Z832" s="202" t="s">
        <v>97</v>
      </c>
      <c r="AA832" s="202"/>
      <c r="AB832" s="202" t="s">
        <v>1853</v>
      </c>
      <c r="AC832" s="202">
        <v>3305</v>
      </c>
      <c r="AD832" s="202" t="s">
        <v>1152</v>
      </c>
      <c r="AE832" s="202" t="s">
        <v>1153</v>
      </c>
      <c r="AF832" s="203" t="s">
        <v>1154</v>
      </c>
      <c r="AG832" s="208">
        <v>40939</v>
      </c>
      <c r="AH832" s="203" t="s">
        <v>1155</v>
      </c>
      <c r="AI832" s="202">
        <v>0</v>
      </c>
      <c r="AJ832" s="202">
        <v>2938.34</v>
      </c>
    </row>
    <row r="833" spans="2:36">
      <c r="B833" s="203">
        <v>2180</v>
      </c>
      <c r="C833" s="207">
        <v>90551</v>
      </c>
      <c r="D833" s="203" t="s">
        <v>97</v>
      </c>
      <c r="E833" s="202" t="s">
        <v>1398</v>
      </c>
      <c r="F833" s="203">
        <v>0</v>
      </c>
      <c r="G833" s="202"/>
      <c r="H833" s="202" t="s">
        <v>1852</v>
      </c>
      <c r="I833" s="202"/>
      <c r="J833" s="202">
        <v>2007</v>
      </c>
      <c r="K833" s="202" t="s">
        <v>1396</v>
      </c>
      <c r="L833" s="202" t="s">
        <v>1395</v>
      </c>
      <c r="M833" s="202" t="s">
        <v>1394</v>
      </c>
      <c r="N833" s="206">
        <v>39755</v>
      </c>
      <c r="O833" s="206">
        <v>39755</v>
      </c>
      <c r="P833" s="202"/>
      <c r="Q833" s="203">
        <v>800</v>
      </c>
      <c r="R833" s="203">
        <v>14040</v>
      </c>
      <c r="S833" s="204">
        <v>133500</v>
      </c>
      <c r="T833" s="203">
        <v>14046</v>
      </c>
      <c r="U833" s="204">
        <v>133500</v>
      </c>
      <c r="V833" s="204">
        <f t="shared" si="24"/>
        <v>0</v>
      </c>
      <c r="W833" s="205">
        <v>0</v>
      </c>
      <c r="X833" s="203">
        <v>51260</v>
      </c>
      <c r="Y833" s="204">
        <v>0</v>
      </c>
      <c r="Z833" s="202" t="s">
        <v>1153</v>
      </c>
      <c r="AA833" s="202" t="s">
        <v>1383</v>
      </c>
      <c r="AB833" s="202"/>
      <c r="AC833" s="202">
        <v>1048</v>
      </c>
      <c r="AD833" s="202" t="s">
        <v>1152</v>
      </c>
      <c r="AE833" s="202" t="s">
        <v>1153</v>
      </c>
      <c r="AF833" s="203" t="s">
        <v>1154</v>
      </c>
      <c r="AG833" s="208">
        <v>40939</v>
      </c>
      <c r="AH833" s="203" t="s">
        <v>1155</v>
      </c>
      <c r="AI833" s="202">
        <v>0</v>
      </c>
      <c r="AJ833" s="202">
        <v>54234.38</v>
      </c>
    </row>
    <row r="834" spans="2:36">
      <c r="B834" s="203">
        <v>2180</v>
      </c>
      <c r="C834" s="207">
        <v>90550</v>
      </c>
      <c r="D834" s="203" t="s">
        <v>97</v>
      </c>
      <c r="E834" s="202" t="s">
        <v>1846</v>
      </c>
      <c r="F834" s="203">
        <v>0</v>
      </c>
      <c r="G834" s="202"/>
      <c r="H834" s="202" t="s">
        <v>1851</v>
      </c>
      <c r="I834" s="202"/>
      <c r="J834" s="202">
        <v>2007</v>
      </c>
      <c r="K834" s="202" t="s">
        <v>1826</v>
      </c>
      <c r="L834" s="202" t="s">
        <v>1042</v>
      </c>
      <c r="M834" s="202" t="s">
        <v>1149</v>
      </c>
      <c r="N834" s="206">
        <v>39755</v>
      </c>
      <c r="O834" s="206">
        <v>39755</v>
      </c>
      <c r="P834" s="202"/>
      <c r="Q834" s="203">
        <v>800</v>
      </c>
      <c r="R834" s="203">
        <v>14040</v>
      </c>
      <c r="S834" s="204">
        <v>58500</v>
      </c>
      <c r="T834" s="203">
        <v>14046</v>
      </c>
      <c r="U834" s="204">
        <v>58500</v>
      </c>
      <c r="V834" s="204">
        <f t="shared" si="24"/>
        <v>0</v>
      </c>
      <c r="W834" s="205">
        <v>0</v>
      </c>
      <c r="X834" s="203">
        <v>51260</v>
      </c>
      <c r="Y834" s="204">
        <v>0</v>
      </c>
      <c r="Z834" s="202" t="s">
        <v>1153</v>
      </c>
      <c r="AA834" s="202" t="s">
        <v>1383</v>
      </c>
      <c r="AB834" s="202"/>
      <c r="AC834" s="202">
        <v>5617</v>
      </c>
      <c r="AD834" s="202" t="s">
        <v>1152</v>
      </c>
      <c r="AE834" s="202" t="s">
        <v>1153</v>
      </c>
      <c r="AF834" s="203" t="s">
        <v>1154</v>
      </c>
      <c r="AG834" s="208">
        <v>40939</v>
      </c>
      <c r="AH834" s="203" t="s">
        <v>1155</v>
      </c>
      <c r="AI834" s="202">
        <v>0</v>
      </c>
      <c r="AJ834" s="202">
        <v>23765.63</v>
      </c>
    </row>
    <row r="835" spans="2:36">
      <c r="B835" s="203">
        <v>2180</v>
      </c>
      <c r="C835" s="207">
        <v>90549</v>
      </c>
      <c r="D835" s="203" t="s">
        <v>97</v>
      </c>
      <c r="E835" s="202" t="s">
        <v>1408</v>
      </c>
      <c r="F835" s="203">
        <v>0</v>
      </c>
      <c r="G835" s="202"/>
      <c r="H835" s="202" t="s">
        <v>1850</v>
      </c>
      <c r="I835" s="202"/>
      <c r="J835" s="202">
        <v>2007</v>
      </c>
      <c r="K835" s="202" t="s">
        <v>1406</v>
      </c>
      <c r="L835" s="202" t="s">
        <v>1405</v>
      </c>
      <c r="M835" s="202" t="s">
        <v>1404</v>
      </c>
      <c r="N835" s="206">
        <v>39755</v>
      </c>
      <c r="O835" s="206">
        <v>39755</v>
      </c>
      <c r="P835" s="202"/>
      <c r="Q835" s="203">
        <v>800</v>
      </c>
      <c r="R835" s="203">
        <v>14040</v>
      </c>
      <c r="S835" s="204">
        <v>133500</v>
      </c>
      <c r="T835" s="203">
        <v>14046</v>
      </c>
      <c r="U835" s="204">
        <v>133500</v>
      </c>
      <c r="V835" s="204">
        <f t="shared" si="24"/>
        <v>0</v>
      </c>
      <c r="W835" s="205">
        <v>0</v>
      </c>
      <c r="X835" s="203">
        <v>51260</v>
      </c>
      <c r="Y835" s="204">
        <v>0</v>
      </c>
      <c r="Z835" s="202" t="s">
        <v>1153</v>
      </c>
      <c r="AA835" s="202" t="s">
        <v>1383</v>
      </c>
      <c r="AB835" s="202"/>
      <c r="AC835" s="202">
        <v>3618</v>
      </c>
      <c r="AD835" s="202" t="s">
        <v>1152</v>
      </c>
      <c r="AE835" s="202" t="s">
        <v>1153</v>
      </c>
      <c r="AF835" s="203" t="s">
        <v>1154</v>
      </c>
      <c r="AG835" s="208">
        <v>40939</v>
      </c>
      <c r="AH835" s="203" t="s">
        <v>1155</v>
      </c>
      <c r="AI835" s="202">
        <v>0</v>
      </c>
      <c r="AJ835" s="202">
        <v>54234.38</v>
      </c>
    </row>
    <row r="836" spans="2:36">
      <c r="B836" s="203">
        <v>2180</v>
      </c>
      <c r="C836" s="207">
        <v>90542</v>
      </c>
      <c r="D836" s="203" t="s">
        <v>97</v>
      </c>
      <c r="E836" s="202" t="s">
        <v>1849</v>
      </c>
      <c r="F836" s="203">
        <v>0</v>
      </c>
      <c r="G836" s="202"/>
      <c r="H836" s="202" t="s">
        <v>1848</v>
      </c>
      <c r="I836" s="202"/>
      <c r="J836" s="202">
        <v>2008</v>
      </c>
      <c r="K836" s="202" t="s">
        <v>1826</v>
      </c>
      <c r="L836" s="202" t="s">
        <v>1042</v>
      </c>
      <c r="M836" s="202" t="s">
        <v>1149</v>
      </c>
      <c r="N836" s="206">
        <v>39755</v>
      </c>
      <c r="O836" s="206">
        <v>39755</v>
      </c>
      <c r="P836" s="202"/>
      <c r="Q836" s="203">
        <v>900</v>
      </c>
      <c r="R836" s="203">
        <v>14040</v>
      </c>
      <c r="S836" s="204">
        <v>73500</v>
      </c>
      <c r="T836" s="203">
        <v>14046</v>
      </c>
      <c r="U836" s="204">
        <v>73500</v>
      </c>
      <c r="V836" s="204">
        <f t="shared" si="24"/>
        <v>0</v>
      </c>
      <c r="W836" s="205">
        <v>0</v>
      </c>
      <c r="X836" s="203">
        <v>51260</v>
      </c>
      <c r="Y836" s="204">
        <v>0</v>
      </c>
      <c r="Z836" s="202" t="s">
        <v>1153</v>
      </c>
      <c r="AA836" s="202" t="s">
        <v>1383</v>
      </c>
      <c r="AB836" s="202"/>
      <c r="AC836" s="202">
        <v>5621</v>
      </c>
      <c r="AD836" s="202" t="s">
        <v>1152</v>
      </c>
      <c r="AE836" s="202" t="s">
        <v>1153</v>
      </c>
      <c r="AF836" s="203" t="s">
        <v>1154</v>
      </c>
      <c r="AG836" s="208">
        <v>40939</v>
      </c>
      <c r="AH836" s="203" t="s">
        <v>1155</v>
      </c>
      <c r="AI836" s="202">
        <v>0</v>
      </c>
      <c r="AJ836" s="202">
        <v>26541.68</v>
      </c>
    </row>
    <row r="837" spans="2:36">
      <c r="B837" s="203">
        <v>2180</v>
      </c>
      <c r="C837" s="207">
        <v>90541</v>
      </c>
      <c r="D837" s="203" t="s">
        <v>97</v>
      </c>
      <c r="E837" s="202" t="s">
        <v>182</v>
      </c>
      <c r="F837" s="203">
        <v>0</v>
      </c>
      <c r="G837" s="202"/>
      <c r="H837" s="202" t="s">
        <v>1847</v>
      </c>
      <c r="I837" s="202"/>
      <c r="J837" s="202">
        <v>2009</v>
      </c>
      <c r="K837" s="202" t="s">
        <v>1406</v>
      </c>
      <c r="L837" s="202" t="s">
        <v>1405</v>
      </c>
      <c r="M837" s="202" t="s">
        <v>1404</v>
      </c>
      <c r="N837" s="206">
        <v>39755</v>
      </c>
      <c r="O837" s="206">
        <v>39755</v>
      </c>
      <c r="P837" s="202"/>
      <c r="Q837" s="203">
        <v>1000</v>
      </c>
      <c r="R837" s="203">
        <v>14040</v>
      </c>
      <c r="S837" s="204">
        <v>132128.6</v>
      </c>
      <c r="T837" s="203">
        <v>14046</v>
      </c>
      <c r="U837" s="204">
        <v>132128.6</v>
      </c>
      <c r="V837" s="204">
        <f t="shared" si="24"/>
        <v>0</v>
      </c>
      <c r="W837" s="205">
        <v>0</v>
      </c>
      <c r="X837" s="203">
        <v>51260</v>
      </c>
      <c r="Y837" s="204">
        <v>0</v>
      </c>
      <c r="Z837" s="202" t="s">
        <v>1153</v>
      </c>
      <c r="AA837" s="202" t="s">
        <v>1383</v>
      </c>
      <c r="AB837" s="202"/>
      <c r="AC837" s="202">
        <v>3626</v>
      </c>
      <c r="AD837" s="202" t="s">
        <v>1152</v>
      </c>
      <c r="AE837" s="202" t="s">
        <v>1153</v>
      </c>
      <c r="AF837" s="203" t="s">
        <v>1154</v>
      </c>
      <c r="AG837" s="208">
        <v>40939</v>
      </c>
      <c r="AH837" s="203" t="s">
        <v>1155</v>
      </c>
      <c r="AI837" s="202">
        <v>0</v>
      </c>
      <c r="AJ837" s="202">
        <v>42941.79</v>
      </c>
    </row>
    <row r="838" spans="2:36">
      <c r="B838" s="203">
        <v>2180</v>
      </c>
      <c r="C838" s="207">
        <v>90536</v>
      </c>
      <c r="D838" s="203" t="s">
        <v>97</v>
      </c>
      <c r="E838" s="202" t="s">
        <v>1846</v>
      </c>
      <c r="F838" s="203">
        <v>0</v>
      </c>
      <c r="G838" s="202"/>
      <c r="H838" s="202" t="s">
        <v>1845</v>
      </c>
      <c r="I838" s="202"/>
      <c r="J838" s="202">
        <v>2007</v>
      </c>
      <c r="K838" s="202" t="s">
        <v>1844</v>
      </c>
      <c r="L838" s="202" t="s">
        <v>1042</v>
      </c>
      <c r="M838" s="202" t="s">
        <v>1149</v>
      </c>
      <c r="N838" s="206">
        <v>39755</v>
      </c>
      <c r="O838" s="206">
        <v>39755</v>
      </c>
      <c r="P838" s="202"/>
      <c r="Q838" s="203">
        <v>800</v>
      </c>
      <c r="R838" s="203">
        <v>14040</v>
      </c>
      <c r="S838" s="204">
        <v>58500</v>
      </c>
      <c r="T838" s="203">
        <v>14046</v>
      </c>
      <c r="U838" s="204">
        <v>58500</v>
      </c>
      <c r="V838" s="204">
        <f t="shared" si="24"/>
        <v>0</v>
      </c>
      <c r="W838" s="205">
        <v>0</v>
      </c>
      <c r="X838" s="203">
        <v>51260</v>
      </c>
      <c r="Y838" s="204">
        <v>0</v>
      </c>
      <c r="Z838" s="202" t="s">
        <v>1153</v>
      </c>
      <c r="AA838" s="202" t="s">
        <v>1383</v>
      </c>
      <c r="AB838" s="202"/>
      <c r="AC838" s="202">
        <v>5614</v>
      </c>
      <c r="AD838" s="202" t="s">
        <v>1152</v>
      </c>
      <c r="AE838" s="202" t="s">
        <v>1153</v>
      </c>
      <c r="AF838" s="203" t="s">
        <v>1154</v>
      </c>
      <c r="AG838" s="208">
        <v>40939</v>
      </c>
      <c r="AH838" s="203" t="s">
        <v>1155</v>
      </c>
      <c r="AI838" s="202">
        <v>0</v>
      </c>
      <c r="AJ838" s="202">
        <v>23765.63</v>
      </c>
    </row>
    <row r="839" spans="2:36">
      <c r="B839" s="203">
        <v>2180</v>
      </c>
      <c r="C839" s="207">
        <v>90535</v>
      </c>
      <c r="D839" s="203" t="s">
        <v>97</v>
      </c>
      <c r="E839" s="202" t="s">
        <v>1828</v>
      </c>
      <c r="F839" s="203">
        <v>0</v>
      </c>
      <c r="G839" s="202"/>
      <c r="H839" s="202" t="s">
        <v>1843</v>
      </c>
      <c r="I839" s="202"/>
      <c r="J839" s="202">
        <v>2008</v>
      </c>
      <c r="K839" s="202" t="s">
        <v>1826</v>
      </c>
      <c r="L839" s="202" t="s">
        <v>1825</v>
      </c>
      <c r="M839" s="202" t="s">
        <v>1824</v>
      </c>
      <c r="N839" s="206">
        <v>39755</v>
      </c>
      <c r="O839" s="206">
        <v>39755</v>
      </c>
      <c r="P839" s="202"/>
      <c r="Q839" s="203">
        <v>900</v>
      </c>
      <c r="R839" s="203">
        <v>14040</v>
      </c>
      <c r="S839" s="204">
        <v>106500</v>
      </c>
      <c r="T839" s="203">
        <v>14046</v>
      </c>
      <c r="U839" s="204">
        <v>106500</v>
      </c>
      <c r="V839" s="204">
        <f t="shared" si="24"/>
        <v>0</v>
      </c>
      <c r="W839" s="205">
        <v>0</v>
      </c>
      <c r="X839" s="203">
        <v>51260</v>
      </c>
      <c r="Y839" s="204">
        <v>0</v>
      </c>
      <c r="Z839" s="202" t="s">
        <v>1153</v>
      </c>
      <c r="AA839" s="202" t="s">
        <v>1383</v>
      </c>
      <c r="AB839" s="202"/>
      <c r="AC839" s="202">
        <v>4063</v>
      </c>
      <c r="AD839" s="202" t="s">
        <v>1152</v>
      </c>
      <c r="AE839" s="202" t="s">
        <v>1153</v>
      </c>
      <c r="AF839" s="203" t="s">
        <v>1154</v>
      </c>
      <c r="AG839" s="208">
        <v>40939</v>
      </c>
      <c r="AH839" s="203" t="s">
        <v>1155</v>
      </c>
      <c r="AI839" s="202">
        <v>0</v>
      </c>
      <c r="AJ839" s="202">
        <v>38458.32</v>
      </c>
    </row>
    <row r="840" spans="2:36">
      <c r="B840" s="203">
        <v>2180</v>
      </c>
      <c r="C840" s="207">
        <v>90533</v>
      </c>
      <c r="D840" s="203">
        <v>90532</v>
      </c>
      <c r="E840" s="202" t="s">
        <v>1842</v>
      </c>
      <c r="F840" s="203">
        <v>0</v>
      </c>
      <c r="G840" s="202"/>
      <c r="H840" s="202" t="s">
        <v>1841</v>
      </c>
      <c r="I840" s="202"/>
      <c r="J840" s="202">
        <v>2010</v>
      </c>
      <c r="K840" s="202" t="s">
        <v>1840</v>
      </c>
      <c r="L840" s="202"/>
      <c r="M840" s="202" t="s">
        <v>1404</v>
      </c>
      <c r="N840" s="206">
        <v>40421</v>
      </c>
      <c r="O840" s="206">
        <v>40421</v>
      </c>
      <c r="P840" s="202" t="s">
        <v>1835</v>
      </c>
      <c r="Q840" s="203">
        <v>900</v>
      </c>
      <c r="R840" s="203">
        <v>14040</v>
      </c>
      <c r="S840" s="204">
        <v>463.13</v>
      </c>
      <c r="T840" s="203">
        <v>14046</v>
      </c>
      <c r="U840" s="204">
        <v>463.13</v>
      </c>
      <c r="V840" s="204">
        <f t="shared" si="24"/>
        <v>0</v>
      </c>
      <c r="W840" s="205">
        <v>0</v>
      </c>
      <c r="X840" s="203">
        <v>51260</v>
      </c>
      <c r="Y840" s="204">
        <v>0</v>
      </c>
      <c r="Z840" s="202" t="s">
        <v>97</v>
      </c>
      <c r="AA840" s="202"/>
      <c r="AB840" s="202" t="s">
        <v>1839</v>
      </c>
      <c r="AC840" s="202"/>
      <c r="AD840" s="202" t="s">
        <v>1152</v>
      </c>
      <c r="AE840" s="202" t="s">
        <v>1153</v>
      </c>
      <c r="AF840" s="203" t="s">
        <v>1154</v>
      </c>
      <c r="AG840" s="208">
        <v>40939</v>
      </c>
      <c r="AH840" s="203" t="s">
        <v>1155</v>
      </c>
      <c r="AI840" s="202">
        <v>0</v>
      </c>
      <c r="AJ840" s="202">
        <v>72.900000000000006</v>
      </c>
    </row>
    <row r="841" spans="2:36">
      <c r="B841" s="203">
        <v>2180</v>
      </c>
      <c r="C841" s="207">
        <v>90532</v>
      </c>
      <c r="D841" s="203" t="s">
        <v>97</v>
      </c>
      <c r="E841" s="202" t="s">
        <v>1838</v>
      </c>
      <c r="F841" s="203">
        <v>0</v>
      </c>
      <c r="G841" s="202"/>
      <c r="H841" s="202" t="s">
        <v>1837</v>
      </c>
      <c r="I841" s="202"/>
      <c r="J841" s="202">
        <v>2010</v>
      </c>
      <c r="K841" s="202" t="s">
        <v>1836</v>
      </c>
      <c r="L841" s="202" t="s">
        <v>1732</v>
      </c>
      <c r="M841" s="202" t="s">
        <v>1404</v>
      </c>
      <c r="N841" s="206">
        <v>40421</v>
      </c>
      <c r="O841" s="206">
        <v>40421</v>
      </c>
      <c r="P841" s="202" t="s">
        <v>1835</v>
      </c>
      <c r="Q841" s="203">
        <v>900</v>
      </c>
      <c r="R841" s="203">
        <v>14040</v>
      </c>
      <c r="S841" s="204">
        <v>279344.96999999997</v>
      </c>
      <c r="T841" s="203">
        <v>14046</v>
      </c>
      <c r="U841" s="204">
        <v>279344.96999999997</v>
      </c>
      <c r="V841" s="204">
        <f t="shared" si="24"/>
        <v>0</v>
      </c>
      <c r="W841" s="205">
        <v>0</v>
      </c>
      <c r="X841" s="203">
        <v>51260</v>
      </c>
      <c r="Y841" s="204">
        <v>0</v>
      </c>
      <c r="Z841" s="202" t="s">
        <v>97</v>
      </c>
      <c r="AA841" s="202"/>
      <c r="AB841" s="202" t="s">
        <v>1834</v>
      </c>
      <c r="AC841" s="202">
        <v>3630</v>
      </c>
      <c r="AD841" s="202" t="s">
        <v>1152</v>
      </c>
      <c r="AE841" s="202" t="s">
        <v>1153</v>
      </c>
      <c r="AF841" s="203" t="s">
        <v>1154</v>
      </c>
      <c r="AG841" s="208">
        <v>40939</v>
      </c>
      <c r="AH841" s="203" t="s">
        <v>1155</v>
      </c>
      <c r="AI841" s="202">
        <v>0</v>
      </c>
      <c r="AJ841" s="202">
        <v>43970.97</v>
      </c>
    </row>
    <row r="842" spans="2:36">
      <c r="B842" s="203">
        <v>2180</v>
      </c>
      <c r="C842" s="207">
        <v>90531</v>
      </c>
      <c r="D842" s="203" t="s">
        <v>97</v>
      </c>
      <c r="E842" s="202" t="s">
        <v>1833</v>
      </c>
      <c r="F842" s="203">
        <v>0</v>
      </c>
      <c r="G842" s="202"/>
      <c r="H842" s="202" t="s">
        <v>1832</v>
      </c>
      <c r="I842" s="202"/>
      <c r="J842" s="202">
        <v>2002</v>
      </c>
      <c r="K842" s="202" t="s">
        <v>1831</v>
      </c>
      <c r="L842" s="202" t="s">
        <v>1830</v>
      </c>
      <c r="M842" s="202" t="s">
        <v>1503</v>
      </c>
      <c r="N842" s="206">
        <v>40543</v>
      </c>
      <c r="O842" s="206">
        <v>40543</v>
      </c>
      <c r="P842" s="202" t="s">
        <v>1829</v>
      </c>
      <c r="Q842" s="203">
        <v>300</v>
      </c>
      <c r="R842" s="203">
        <v>14040</v>
      </c>
      <c r="S842" s="204">
        <v>15751.58</v>
      </c>
      <c r="T842" s="203">
        <v>14046</v>
      </c>
      <c r="U842" s="204">
        <v>15751.58</v>
      </c>
      <c r="V842" s="204">
        <f t="shared" si="24"/>
        <v>0</v>
      </c>
      <c r="W842" s="205">
        <v>0</v>
      </c>
      <c r="X842" s="203">
        <v>51260</v>
      </c>
      <c r="Y842" s="204">
        <v>0</v>
      </c>
      <c r="Z842" s="202" t="s">
        <v>97</v>
      </c>
      <c r="AA842" s="202"/>
      <c r="AB842" s="202">
        <v>943496</v>
      </c>
      <c r="AC842" s="202">
        <v>9572</v>
      </c>
      <c r="AD842" s="202" t="s">
        <v>1152</v>
      </c>
      <c r="AE842" s="202" t="s">
        <v>1153</v>
      </c>
      <c r="AF842" s="203" t="s">
        <v>1154</v>
      </c>
      <c r="AG842" s="208">
        <v>40939</v>
      </c>
      <c r="AH842" s="203" t="s">
        <v>1155</v>
      </c>
      <c r="AI842" s="202">
        <v>0</v>
      </c>
      <c r="AJ842" s="202">
        <v>5688.07</v>
      </c>
    </row>
    <row r="843" spans="2:36">
      <c r="B843" s="203">
        <v>2180</v>
      </c>
      <c r="C843" s="207">
        <v>90529</v>
      </c>
      <c r="D843" s="203" t="s">
        <v>97</v>
      </c>
      <c r="E843" s="202" t="s">
        <v>1828</v>
      </c>
      <c r="F843" s="203">
        <v>0</v>
      </c>
      <c r="G843" s="202"/>
      <c r="H843" s="202" t="s">
        <v>1827</v>
      </c>
      <c r="I843" s="202"/>
      <c r="J843" s="202">
        <v>2008</v>
      </c>
      <c r="K843" s="202" t="s">
        <v>1826</v>
      </c>
      <c r="L843" s="202" t="s">
        <v>1825</v>
      </c>
      <c r="M843" s="202" t="s">
        <v>1824</v>
      </c>
      <c r="N843" s="206">
        <v>39755</v>
      </c>
      <c r="O843" s="206">
        <v>39755</v>
      </c>
      <c r="P843" s="202"/>
      <c r="Q843" s="203">
        <v>900</v>
      </c>
      <c r="R843" s="203">
        <v>14040</v>
      </c>
      <c r="S843" s="204">
        <v>106500</v>
      </c>
      <c r="T843" s="203">
        <v>14046</v>
      </c>
      <c r="U843" s="204">
        <v>106500</v>
      </c>
      <c r="V843" s="204">
        <f t="shared" si="24"/>
        <v>0</v>
      </c>
      <c r="W843" s="205">
        <v>0</v>
      </c>
      <c r="X843" s="203">
        <v>51260</v>
      </c>
      <c r="Y843" s="204">
        <v>0</v>
      </c>
      <c r="Z843" s="202" t="s">
        <v>1153</v>
      </c>
      <c r="AA843" s="202" t="s">
        <v>1383</v>
      </c>
      <c r="AB843" s="202"/>
      <c r="AC843" s="202">
        <v>4060</v>
      </c>
      <c r="AD843" s="202" t="s">
        <v>1152</v>
      </c>
      <c r="AE843" s="202" t="s">
        <v>1153</v>
      </c>
      <c r="AF843" s="203" t="s">
        <v>1154</v>
      </c>
      <c r="AG843" s="208">
        <v>40939</v>
      </c>
      <c r="AH843" s="203" t="s">
        <v>1155</v>
      </c>
      <c r="AI843" s="202">
        <v>0</v>
      </c>
      <c r="AJ843" s="202">
        <v>38458.32</v>
      </c>
    </row>
    <row r="844" spans="2:36">
      <c r="B844" s="203">
        <v>2180</v>
      </c>
      <c r="C844" s="207">
        <v>90528</v>
      </c>
      <c r="D844" s="203" t="s">
        <v>97</v>
      </c>
      <c r="E844" s="202" t="s">
        <v>182</v>
      </c>
      <c r="F844" s="203">
        <v>0</v>
      </c>
      <c r="G844" s="202"/>
      <c r="H844" s="202" t="s">
        <v>1823</v>
      </c>
      <c r="I844" s="202"/>
      <c r="J844" s="202">
        <v>2009</v>
      </c>
      <c r="K844" s="202" t="s">
        <v>1822</v>
      </c>
      <c r="L844" s="202" t="s">
        <v>1405</v>
      </c>
      <c r="M844" s="202" t="s">
        <v>1404</v>
      </c>
      <c r="N844" s="206">
        <v>39755</v>
      </c>
      <c r="O844" s="206">
        <v>39755</v>
      </c>
      <c r="P844" s="202"/>
      <c r="Q844" s="203">
        <v>1000</v>
      </c>
      <c r="R844" s="203">
        <v>14040</v>
      </c>
      <c r="S844" s="204">
        <v>132129</v>
      </c>
      <c r="T844" s="203">
        <v>14046</v>
      </c>
      <c r="U844" s="204">
        <v>132129</v>
      </c>
      <c r="V844" s="204">
        <f t="shared" si="24"/>
        <v>0</v>
      </c>
      <c r="W844" s="205">
        <v>0</v>
      </c>
      <c r="X844" s="203">
        <v>51260</v>
      </c>
      <c r="Y844" s="204">
        <v>0</v>
      </c>
      <c r="Z844" s="202" t="s">
        <v>1153</v>
      </c>
      <c r="AA844" s="202" t="s">
        <v>1383</v>
      </c>
      <c r="AB844" s="202"/>
      <c r="AC844" s="202">
        <v>3624</v>
      </c>
      <c r="AD844" s="202" t="s">
        <v>1152</v>
      </c>
      <c r="AE844" s="202" t="s">
        <v>1153</v>
      </c>
      <c r="AF844" s="203" t="s">
        <v>1154</v>
      </c>
      <c r="AG844" s="208">
        <v>40939</v>
      </c>
      <c r="AH844" s="203" t="s">
        <v>1155</v>
      </c>
      <c r="AI844" s="202">
        <v>0</v>
      </c>
      <c r="AJ844" s="202">
        <v>42941.93</v>
      </c>
    </row>
    <row r="845" spans="2:36">
      <c r="B845" s="203">
        <v>2180</v>
      </c>
      <c r="C845" s="207">
        <v>90526</v>
      </c>
      <c r="D845" s="203" t="s">
        <v>97</v>
      </c>
      <c r="E845" s="202" t="s">
        <v>1821</v>
      </c>
      <c r="F845" s="203">
        <v>0</v>
      </c>
      <c r="G845" s="202"/>
      <c r="H845" s="202" t="s">
        <v>1820</v>
      </c>
      <c r="I845" s="202"/>
      <c r="J845" s="202">
        <v>1995</v>
      </c>
      <c r="K845" s="202" t="s">
        <v>1819</v>
      </c>
      <c r="L845" s="202" t="s">
        <v>1503</v>
      </c>
      <c r="M845" s="202" t="s">
        <v>1503</v>
      </c>
      <c r="N845" s="206">
        <v>40179</v>
      </c>
      <c r="O845" s="206">
        <v>40179</v>
      </c>
      <c r="P845" s="202" t="s">
        <v>1818</v>
      </c>
      <c r="Q845" s="203">
        <v>300</v>
      </c>
      <c r="R845" s="203">
        <v>14040</v>
      </c>
      <c r="S845" s="204">
        <v>46051.39</v>
      </c>
      <c r="T845" s="203">
        <v>14046</v>
      </c>
      <c r="U845" s="204">
        <v>46051.39</v>
      </c>
      <c r="V845" s="204">
        <f t="shared" si="24"/>
        <v>0</v>
      </c>
      <c r="W845" s="205">
        <v>0</v>
      </c>
      <c r="X845" s="203">
        <v>51260</v>
      </c>
      <c r="Y845" s="204">
        <v>0</v>
      </c>
      <c r="Z845" s="202" t="s">
        <v>97</v>
      </c>
      <c r="AA845" s="202"/>
      <c r="AB845" s="202" t="s">
        <v>1817</v>
      </c>
      <c r="AC845" s="202">
        <v>9984</v>
      </c>
      <c r="AD845" s="202" t="s">
        <v>1152</v>
      </c>
      <c r="AE845" s="202" t="s">
        <v>1153</v>
      </c>
      <c r="AF845" s="203" t="s">
        <v>1154</v>
      </c>
      <c r="AG845" s="208">
        <v>40939</v>
      </c>
      <c r="AH845" s="203" t="s">
        <v>1155</v>
      </c>
      <c r="AI845" s="202">
        <v>0</v>
      </c>
      <c r="AJ845" s="202">
        <v>31980.11</v>
      </c>
    </row>
    <row r="846" spans="2:36">
      <c r="B846" s="203">
        <v>2180</v>
      </c>
      <c r="C846" s="207">
        <v>90524</v>
      </c>
      <c r="D846" s="203">
        <v>90541</v>
      </c>
      <c r="E846" s="202" t="s">
        <v>184</v>
      </c>
      <c r="F846" s="203">
        <v>0</v>
      </c>
      <c r="G846" s="202"/>
      <c r="H846" s="202">
        <v>719300</v>
      </c>
      <c r="I846" s="202"/>
      <c r="J846" s="202">
        <v>2009</v>
      </c>
      <c r="K846" s="202" t="s">
        <v>1816</v>
      </c>
      <c r="L846" s="202" t="s">
        <v>1255</v>
      </c>
      <c r="M846" s="202" t="s">
        <v>1404</v>
      </c>
      <c r="N846" s="206">
        <v>39787</v>
      </c>
      <c r="O846" s="206">
        <v>39787</v>
      </c>
      <c r="P846" s="202" t="s">
        <v>1815</v>
      </c>
      <c r="Q846" s="203">
        <v>1000</v>
      </c>
      <c r="R846" s="203">
        <v>14040</v>
      </c>
      <c r="S846" s="204">
        <v>100569.69</v>
      </c>
      <c r="T846" s="203">
        <v>14046</v>
      </c>
      <c r="U846" s="204">
        <v>100569.69</v>
      </c>
      <c r="V846" s="204">
        <f t="shared" ref="V846:V909" si="25">S846-U846</f>
        <v>0</v>
      </c>
      <c r="W846" s="205">
        <v>0</v>
      </c>
      <c r="X846" s="203">
        <v>51260</v>
      </c>
      <c r="Y846" s="204">
        <v>0</v>
      </c>
      <c r="Z846" s="202" t="s">
        <v>97</v>
      </c>
      <c r="AA846" s="202"/>
      <c r="AB846" s="202" t="s">
        <v>1814</v>
      </c>
      <c r="AC846" s="202" t="s">
        <v>1813</v>
      </c>
      <c r="AD846" s="202" t="s">
        <v>1152</v>
      </c>
      <c r="AE846" s="202" t="s">
        <v>1153</v>
      </c>
      <c r="AF846" s="203" t="s">
        <v>1154</v>
      </c>
      <c r="AG846" s="208">
        <v>40939</v>
      </c>
      <c r="AH846" s="203" t="s">
        <v>1155</v>
      </c>
      <c r="AI846" s="202">
        <v>0</v>
      </c>
      <c r="AJ846" s="202">
        <v>31847.07</v>
      </c>
    </row>
    <row r="847" spans="2:36">
      <c r="B847" s="203">
        <v>2180</v>
      </c>
      <c r="C847" s="207">
        <v>90521</v>
      </c>
      <c r="D847" s="203" t="s">
        <v>97</v>
      </c>
      <c r="E847" s="202" t="s">
        <v>1398</v>
      </c>
      <c r="F847" s="203">
        <v>0</v>
      </c>
      <c r="G847" s="202"/>
      <c r="H847" s="202" t="s">
        <v>1812</v>
      </c>
      <c r="I847" s="202"/>
      <c r="J847" s="202">
        <v>2007</v>
      </c>
      <c r="K847" s="202" t="s">
        <v>1396</v>
      </c>
      <c r="L847" s="202" t="s">
        <v>1395</v>
      </c>
      <c r="M847" s="202" t="s">
        <v>1394</v>
      </c>
      <c r="N847" s="206">
        <v>39755</v>
      </c>
      <c r="O847" s="206">
        <v>39755</v>
      </c>
      <c r="P847" s="202"/>
      <c r="Q847" s="203">
        <v>800</v>
      </c>
      <c r="R847" s="203">
        <v>14040</v>
      </c>
      <c r="S847" s="204">
        <v>133500</v>
      </c>
      <c r="T847" s="203">
        <v>14046</v>
      </c>
      <c r="U847" s="204">
        <v>133500</v>
      </c>
      <c r="V847" s="204">
        <f t="shared" si="25"/>
        <v>0</v>
      </c>
      <c r="W847" s="205">
        <v>0</v>
      </c>
      <c r="X847" s="203">
        <v>51260</v>
      </c>
      <c r="Y847" s="204">
        <v>0</v>
      </c>
      <c r="Z847" s="202" t="s">
        <v>1153</v>
      </c>
      <c r="AA847" s="202" t="s">
        <v>1383</v>
      </c>
      <c r="AB847" s="202"/>
      <c r="AC847" s="202">
        <v>1053</v>
      </c>
      <c r="AD847" s="202" t="s">
        <v>1152</v>
      </c>
      <c r="AE847" s="202" t="s">
        <v>1153</v>
      </c>
      <c r="AF847" s="203" t="s">
        <v>1154</v>
      </c>
      <c r="AG847" s="208">
        <v>40939</v>
      </c>
      <c r="AH847" s="203" t="s">
        <v>1155</v>
      </c>
      <c r="AI847" s="202">
        <v>0</v>
      </c>
      <c r="AJ847" s="202">
        <v>54234.38</v>
      </c>
    </row>
    <row r="848" spans="2:36">
      <c r="B848" s="203">
        <v>2180</v>
      </c>
      <c r="C848" s="207">
        <v>90520</v>
      </c>
      <c r="D848" s="203" t="s">
        <v>97</v>
      </c>
      <c r="E848" s="202" t="s">
        <v>1398</v>
      </c>
      <c r="F848" s="203">
        <v>0</v>
      </c>
      <c r="G848" s="202"/>
      <c r="H848" s="202" t="s">
        <v>1811</v>
      </c>
      <c r="I848" s="202"/>
      <c r="J848" s="202">
        <v>2007</v>
      </c>
      <c r="K848" s="202" t="s">
        <v>1396</v>
      </c>
      <c r="L848" s="202" t="s">
        <v>1395</v>
      </c>
      <c r="M848" s="202" t="s">
        <v>1394</v>
      </c>
      <c r="N848" s="206">
        <v>39755</v>
      </c>
      <c r="O848" s="206">
        <v>39755</v>
      </c>
      <c r="P848" s="202"/>
      <c r="Q848" s="203">
        <v>800</v>
      </c>
      <c r="R848" s="203">
        <v>14040</v>
      </c>
      <c r="S848" s="204">
        <v>133500</v>
      </c>
      <c r="T848" s="203">
        <v>14046</v>
      </c>
      <c r="U848" s="204">
        <v>133500</v>
      </c>
      <c r="V848" s="204">
        <f t="shared" si="25"/>
        <v>0</v>
      </c>
      <c r="W848" s="205">
        <v>0</v>
      </c>
      <c r="X848" s="203">
        <v>51260</v>
      </c>
      <c r="Y848" s="204">
        <v>0</v>
      </c>
      <c r="Z848" s="202" t="s">
        <v>1153</v>
      </c>
      <c r="AA848" s="202" t="s">
        <v>1383</v>
      </c>
      <c r="AB848" s="202"/>
      <c r="AC848" s="202">
        <v>1058</v>
      </c>
      <c r="AD848" s="202" t="s">
        <v>1152</v>
      </c>
      <c r="AE848" s="202" t="s">
        <v>1153</v>
      </c>
      <c r="AF848" s="203" t="s">
        <v>1154</v>
      </c>
      <c r="AG848" s="208">
        <v>40939</v>
      </c>
      <c r="AH848" s="203" t="s">
        <v>1155</v>
      </c>
      <c r="AI848" s="202">
        <v>0</v>
      </c>
      <c r="AJ848" s="202">
        <v>54234.38</v>
      </c>
    </row>
    <row r="849" spans="2:36">
      <c r="B849" s="203">
        <v>2180</v>
      </c>
      <c r="C849" s="207">
        <v>90518</v>
      </c>
      <c r="D849" s="203" t="s">
        <v>97</v>
      </c>
      <c r="E849" s="202" t="s">
        <v>1810</v>
      </c>
      <c r="F849" s="203">
        <v>0</v>
      </c>
      <c r="G849" s="202"/>
      <c r="H849" s="202" t="s">
        <v>1809</v>
      </c>
      <c r="I849" s="202"/>
      <c r="J849" s="202">
        <v>2000</v>
      </c>
      <c r="K849" s="202" t="s">
        <v>1785</v>
      </c>
      <c r="L849" s="202" t="s">
        <v>1785</v>
      </c>
      <c r="M849" s="202" t="s">
        <v>1412</v>
      </c>
      <c r="N849" s="206">
        <v>39755</v>
      </c>
      <c r="O849" s="206">
        <v>39755</v>
      </c>
      <c r="P849" s="202"/>
      <c r="Q849" s="203">
        <v>300</v>
      </c>
      <c r="R849" s="203">
        <v>14030</v>
      </c>
      <c r="S849" s="204">
        <v>2500</v>
      </c>
      <c r="T849" s="203">
        <v>14036</v>
      </c>
      <c r="U849" s="204">
        <v>2500</v>
      </c>
      <c r="V849" s="204">
        <f t="shared" si="25"/>
        <v>0</v>
      </c>
      <c r="W849" s="205">
        <v>0</v>
      </c>
      <c r="X849" s="203">
        <v>51260</v>
      </c>
      <c r="Y849" s="204">
        <v>0</v>
      </c>
      <c r="Z849" s="202" t="s">
        <v>1153</v>
      </c>
      <c r="AA849" s="202" t="s">
        <v>1383</v>
      </c>
      <c r="AB849" s="202"/>
      <c r="AC849" s="202">
        <v>7030</v>
      </c>
      <c r="AD849" s="202" t="s">
        <v>1152</v>
      </c>
      <c r="AE849" s="202" t="s">
        <v>1153</v>
      </c>
      <c r="AF849" s="203" t="s">
        <v>1154</v>
      </c>
      <c r="AG849" s="208">
        <v>40939</v>
      </c>
      <c r="AH849" s="203" t="s">
        <v>1155</v>
      </c>
      <c r="AI849" s="202">
        <v>0</v>
      </c>
      <c r="AJ849" s="202">
        <v>2500</v>
      </c>
    </row>
    <row r="850" spans="2:36">
      <c r="B850" s="203">
        <v>2180</v>
      </c>
      <c r="C850" s="207">
        <v>90464</v>
      </c>
      <c r="D850" s="203" t="s">
        <v>97</v>
      </c>
      <c r="E850" s="202" t="s">
        <v>1808</v>
      </c>
      <c r="F850" s="203">
        <v>0</v>
      </c>
      <c r="G850" s="202"/>
      <c r="H850" s="202"/>
      <c r="I850" s="202"/>
      <c r="J850" s="202">
        <v>0</v>
      </c>
      <c r="K850" s="202" t="s">
        <v>1807</v>
      </c>
      <c r="L850" s="202"/>
      <c r="M850" s="202"/>
      <c r="N850" s="206">
        <v>40933</v>
      </c>
      <c r="O850" s="206">
        <v>40933</v>
      </c>
      <c r="P850" s="202" t="s">
        <v>1806</v>
      </c>
      <c r="Q850" s="203">
        <v>500</v>
      </c>
      <c r="R850" s="203">
        <v>14110</v>
      </c>
      <c r="S850" s="204">
        <v>564.44000000000005</v>
      </c>
      <c r="T850" s="203">
        <v>14116</v>
      </c>
      <c r="U850" s="204">
        <v>564.44000000000005</v>
      </c>
      <c r="V850" s="204">
        <f t="shared" si="25"/>
        <v>0</v>
      </c>
      <c r="W850" s="205">
        <v>0</v>
      </c>
      <c r="X850" s="203">
        <v>70260</v>
      </c>
      <c r="Y850" s="204">
        <v>0</v>
      </c>
      <c r="Z850" s="202" t="s">
        <v>97</v>
      </c>
      <c r="AA850" s="202"/>
      <c r="AB850" s="202" t="s">
        <v>1805</v>
      </c>
      <c r="AC850" s="202"/>
      <c r="AD850" s="202" t="s">
        <v>1152</v>
      </c>
      <c r="AE850" s="202" t="s">
        <v>1153</v>
      </c>
      <c r="AF850" s="203" t="s">
        <v>1154</v>
      </c>
      <c r="AG850" s="202"/>
      <c r="AH850" s="203" t="s">
        <v>1155</v>
      </c>
      <c r="AI850" s="202">
        <v>0</v>
      </c>
      <c r="AJ850" s="202">
        <v>0</v>
      </c>
    </row>
    <row r="851" spans="2:36">
      <c r="B851" s="203">
        <v>2180</v>
      </c>
      <c r="C851" s="207">
        <v>89282</v>
      </c>
      <c r="D851" s="203" t="s">
        <v>97</v>
      </c>
      <c r="E851" s="202" t="s">
        <v>1804</v>
      </c>
      <c r="F851" s="203">
        <v>648</v>
      </c>
      <c r="G851" s="202"/>
      <c r="H851" s="202"/>
      <c r="I851" s="202"/>
      <c r="J851" s="202">
        <v>0</v>
      </c>
      <c r="K851" s="202" t="s">
        <v>1658</v>
      </c>
      <c r="L851" s="202"/>
      <c r="M851" s="202"/>
      <c r="N851" s="206">
        <v>40909</v>
      </c>
      <c r="O851" s="206">
        <v>40909</v>
      </c>
      <c r="P851" s="202" t="s">
        <v>1803</v>
      </c>
      <c r="Q851" s="203">
        <v>700</v>
      </c>
      <c r="R851" s="203">
        <v>14050</v>
      </c>
      <c r="S851" s="204">
        <v>29237.14</v>
      </c>
      <c r="T851" s="203">
        <v>14056</v>
      </c>
      <c r="U851" s="204">
        <v>29237.14</v>
      </c>
      <c r="V851" s="204">
        <f t="shared" si="25"/>
        <v>0</v>
      </c>
      <c r="W851" s="205">
        <v>0</v>
      </c>
      <c r="X851" s="203">
        <v>54260</v>
      </c>
      <c r="Y851" s="204">
        <v>0</v>
      </c>
      <c r="Z851" s="202" t="s">
        <v>97</v>
      </c>
      <c r="AA851" s="202"/>
      <c r="AB851" s="202" t="s">
        <v>1802</v>
      </c>
      <c r="AC851" s="202"/>
      <c r="AD851" s="202" t="s">
        <v>1152</v>
      </c>
      <c r="AE851" s="202" t="s">
        <v>1153</v>
      </c>
      <c r="AF851" s="203" t="s">
        <v>1154</v>
      </c>
      <c r="AG851" s="202"/>
      <c r="AH851" s="203" t="s">
        <v>1155</v>
      </c>
      <c r="AI851" s="202">
        <v>0</v>
      </c>
      <c r="AJ851" s="202">
        <v>0</v>
      </c>
    </row>
    <row r="852" spans="2:36">
      <c r="B852" s="203">
        <v>2180</v>
      </c>
      <c r="C852" s="207">
        <v>88248</v>
      </c>
      <c r="D852" s="203" t="s">
        <v>97</v>
      </c>
      <c r="E852" s="202" t="s">
        <v>1801</v>
      </c>
      <c r="F852" s="203">
        <v>0</v>
      </c>
      <c r="G852" s="202"/>
      <c r="H852" s="202"/>
      <c r="I852" s="202"/>
      <c r="J852" s="202">
        <v>0</v>
      </c>
      <c r="K852" s="202" t="s">
        <v>1800</v>
      </c>
      <c r="L852" s="202"/>
      <c r="M852" s="202"/>
      <c r="N852" s="206">
        <v>40878</v>
      </c>
      <c r="O852" s="206">
        <v>40878</v>
      </c>
      <c r="P852" s="202" t="s">
        <v>1799</v>
      </c>
      <c r="Q852" s="203">
        <v>300</v>
      </c>
      <c r="R852" s="203">
        <v>14110</v>
      </c>
      <c r="S852" s="204">
        <v>1750</v>
      </c>
      <c r="T852" s="203">
        <v>14116</v>
      </c>
      <c r="U852" s="204">
        <v>1750</v>
      </c>
      <c r="V852" s="204">
        <f t="shared" si="25"/>
        <v>0</v>
      </c>
      <c r="W852" s="205">
        <v>0</v>
      </c>
      <c r="X852" s="203">
        <v>70260</v>
      </c>
      <c r="Y852" s="204">
        <v>0</v>
      </c>
      <c r="Z852" s="202" t="s">
        <v>97</v>
      </c>
      <c r="AA852" s="202"/>
      <c r="AB852" s="202">
        <v>12893</v>
      </c>
      <c r="AC852" s="202"/>
      <c r="AD852" s="202" t="s">
        <v>1152</v>
      </c>
      <c r="AE852" s="202" t="s">
        <v>1153</v>
      </c>
      <c r="AF852" s="203" t="s">
        <v>1154</v>
      </c>
      <c r="AG852" s="202"/>
      <c r="AH852" s="203" t="s">
        <v>1155</v>
      </c>
      <c r="AI852" s="202">
        <v>0</v>
      </c>
      <c r="AJ852" s="202">
        <v>0</v>
      </c>
    </row>
    <row r="853" spans="2:36">
      <c r="B853" s="203">
        <v>2180</v>
      </c>
      <c r="C853" s="207">
        <v>88132</v>
      </c>
      <c r="D853" s="203" t="s">
        <v>97</v>
      </c>
      <c r="E853" s="202" t="s">
        <v>1797</v>
      </c>
      <c r="F853" s="203">
        <v>486</v>
      </c>
      <c r="G853" s="202"/>
      <c r="H853" s="202"/>
      <c r="I853" s="202"/>
      <c r="J853" s="202">
        <v>0</v>
      </c>
      <c r="K853" s="202" t="s">
        <v>1658</v>
      </c>
      <c r="L853" s="202"/>
      <c r="M853" s="202"/>
      <c r="N853" s="206">
        <v>40796</v>
      </c>
      <c r="O853" s="206">
        <v>40796</v>
      </c>
      <c r="P853" s="202" t="s">
        <v>1796</v>
      </c>
      <c r="Q853" s="203">
        <v>700</v>
      </c>
      <c r="R853" s="203">
        <v>14050</v>
      </c>
      <c r="S853" s="204">
        <v>3868.85</v>
      </c>
      <c r="T853" s="203">
        <v>14056</v>
      </c>
      <c r="U853" s="204">
        <v>3868.85</v>
      </c>
      <c r="V853" s="204">
        <f t="shared" si="25"/>
        <v>0</v>
      </c>
      <c r="W853" s="205">
        <v>0</v>
      </c>
      <c r="X853" s="203">
        <v>54260</v>
      </c>
      <c r="Y853" s="204">
        <v>0</v>
      </c>
      <c r="Z853" s="202" t="s">
        <v>97</v>
      </c>
      <c r="AA853" s="202"/>
      <c r="AB853" s="202" t="s">
        <v>1798</v>
      </c>
      <c r="AC853" s="202"/>
      <c r="AD853" s="202" t="s">
        <v>1152</v>
      </c>
      <c r="AE853" s="202" t="s">
        <v>1153</v>
      </c>
      <c r="AF853" s="203" t="s">
        <v>1154</v>
      </c>
      <c r="AG853" s="202"/>
      <c r="AH853" s="203" t="s">
        <v>1155</v>
      </c>
      <c r="AI853" s="202">
        <v>0</v>
      </c>
      <c r="AJ853" s="202">
        <v>0</v>
      </c>
    </row>
    <row r="854" spans="2:36">
      <c r="B854" s="203">
        <v>2180</v>
      </c>
      <c r="C854" s="207">
        <v>88131</v>
      </c>
      <c r="D854" s="203" t="s">
        <v>97</v>
      </c>
      <c r="E854" s="202" t="s">
        <v>1797</v>
      </c>
      <c r="F854" s="203">
        <v>486</v>
      </c>
      <c r="G854" s="202"/>
      <c r="H854" s="202"/>
      <c r="I854" s="202"/>
      <c r="J854" s="202">
        <v>0</v>
      </c>
      <c r="K854" s="202" t="s">
        <v>1658</v>
      </c>
      <c r="L854" s="202"/>
      <c r="M854" s="202"/>
      <c r="N854" s="206">
        <v>40796</v>
      </c>
      <c r="O854" s="206">
        <v>40796</v>
      </c>
      <c r="P854" s="202" t="s">
        <v>1747</v>
      </c>
      <c r="Q854" s="203">
        <v>700</v>
      </c>
      <c r="R854" s="203">
        <v>14050</v>
      </c>
      <c r="S854" s="204">
        <v>23780</v>
      </c>
      <c r="T854" s="203">
        <v>14056</v>
      </c>
      <c r="U854" s="204">
        <v>23780</v>
      </c>
      <c r="V854" s="204">
        <f t="shared" si="25"/>
        <v>0</v>
      </c>
      <c r="W854" s="205">
        <v>0</v>
      </c>
      <c r="X854" s="203">
        <v>54260</v>
      </c>
      <c r="Y854" s="204">
        <v>0</v>
      </c>
      <c r="Z854" s="202" t="s">
        <v>97</v>
      </c>
      <c r="AA854" s="202"/>
      <c r="AB854" s="202" t="s">
        <v>1798</v>
      </c>
      <c r="AC854" s="202"/>
      <c r="AD854" s="202" t="s">
        <v>1152</v>
      </c>
      <c r="AE854" s="202" t="s">
        <v>1153</v>
      </c>
      <c r="AF854" s="203" t="s">
        <v>1154</v>
      </c>
      <c r="AG854" s="202"/>
      <c r="AH854" s="203" t="s">
        <v>1155</v>
      </c>
      <c r="AI854" s="202">
        <v>0</v>
      </c>
      <c r="AJ854" s="202">
        <v>0</v>
      </c>
    </row>
    <row r="855" spans="2:36">
      <c r="B855" s="203">
        <v>2180</v>
      </c>
      <c r="C855" s="207">
        <v>88130</v>
      </c>
      <c r="D855" s="203" t="s">
        <v>97</v>
      </c>
      <c r="E855" s="202" t="s">
        <v>1797</v>
      </c>
      <c r="F855" s="203">
        <v>486</v>
      </c>
      <c r="G855" s="202"/>
      <c r="H855" s="202"/>
      <c r="I855" s="202"/>
      <c r="J855" s="202">
        <v>0</v>
      </c>
      <c r="K855" s="202" t="s">
        <v>1658</v>
      </c>
      <c r="L855" s="202"/>
      <c r="M855" s="202"/>
      <c r="N855" s="206">
        <v>40796</v>
      </c>
      <c r="O855" s="206">
        <v>40796</v>
      </c>
      <c r="P855" s="202" t="s">
        <v>1796</v>
      </c>
      <c r="Q855" s="203">
        <v>700</v>
      </c>
      <c r="R855" s="203">
        <v>14050</v>
      </c>
      <c r="S855" s="204">
        <v>27648.85</v>
      </c>
      <c r="T855" s="203">
        <v>14056</v>
      </c>
      <c r="U855" s="204">
        <v>27648.85</v>
      </c>
      <c r="V855" s="204">
        <f t="shared" si="25"/>
        <v>0</v>
      </c>
      <c r="W855" s="205">
        <v>0</v>
      </c>
      <c r="X855" s="203">
        <v>54260</v>
      </c>
      <c r="Y855" s="204">
        <v>0</v>
      </c>
      <c r="Z855" s="202" t="s">
        <v>97</v>
      </c>
      <c r="AA855" s="202"/>
      <c r="AB855" s="202" t="s">
        <v>1795</v>
      </c>
      <c r="AC855" s="202"/>
      <c r="AD855" s="202" t="s">
        <v>1152</v>
      </c>
      <c r="AE855" s="202" t="s">
        <v>1153</v>
      </c>
      <c r="AF855" s="203" t="s">
        <v>1154</v>
      </c>
      <c r="AG855" s="202"/>
      <c r="AH855" s="203" t="s">
        <v>1155</v>
      </c>
      <c r="AI855" s="202">
        <v>0</v>
      </c>
      <c r="AJ855" s="202">
        <v>0</v>
      </c>
    </row>
    <row r="856" spans="2:36">
      <c r="B856" s="203">
        <v>2180</v>
      </c>
      <c r="C856" s="207">
        <v>87413</v>
      </c>
      <c r="D856" s="203" t="s">
        <v>97</v>
      </c>
      <c r="E856" s="202" t="s">
        <v>1794</v>
      </c>
      <c r="F856" s="203">
        <v>20</v>
      </c>
      <c r="G856" s="202"/>
      <c r="H856" s="202"/>
      <c r="I856" s="202"/>
      <c r="J856" s="202">
        <v>0</v>
      </c>
      <c r="K856" s="202" t="s">
        <v>1574</v>
      </c>
      <c r="L856" s="202"/>
      <c r="M856" s="202" t="s">
        <v>1793</v>
      </c>
      <c r="N856" s="206">
        <v>40842</v>
      </c>
      <c r="O856" s="206">
        <v>40842</v>
      </c>
      <c r="P856" s="202" t="s">
        <v>1792</v>
      </c>
      <c r="Q856" s="203">
        <v>1200</v>
      </c>
      <c r="R856" s="203">
        <v>14050</v>
      </c>
      <c r="S856" s="204">
        <v>8700.2800000000007</v>
      </c>
      <c r="T856" s="203">
        <v>14056</v>
      </c>
      <c r="U856" s="204">
        <v>7673.13</v>
      </c>
      <c r="V856" s="204">
        <f t="shared" si="25"/>
        <v>1027.1500000000005</v>
      </c>
      <c r="W856" s="205">
        <v>302.08999999999997</v>
      </c>
      <c r="X856" s="203">
        <v>54260</v>
      </c>
      <c r="Y856" s="204">
        <v>60.42</v>
      </c>
      <c r="Z856" s="202" t="s">
        <v>97</v>
      </c>
      <c r="AA856" s="202"/>
      <c r="AB856" s="202">
        <v>63149</v>
      </c>
      <c r="AC856" s="202"/>
      <c r="AD856" s="202" t="s">
        <v>1152</v>
      </c>
      <c r="AE856" s="202" t="s">
        <v>1153</v>
      </c>
      <c r="AF856" s="203" t="s">
        <v>1154</v>
      </c>
      <c r="AG856" s="202"/>
      <c r="AH856" s="203" t="s">
        <v>1155</v>
      </c>
      <c r="AI856" s="202">
        <v>0</v>
      </c>
      <c r="AJ856" s="202">
        <v>0</v>
      </c>
    </row>
    <row r="857" spans="2:36">
      <c r="B857" s="203">
        <v>2180</v>
      </c>
      <c r="C857" s="207">
        <v>87412</v>
      </c>
      <c r="D857" s="203" t="s">
        <v>97</v>
      </c>
      <c r="E857" s="202" t="s">
        <v>520</v>
      </c>
      <c r="F857" s="203">
        <v>6</v>
      </c>
      <c r="G857" s="202"/>
      <c r="H857" s="202"/>
      <c r="I857" s="202"/>
      <c r="J857" s="202">
        <v>0</v>
      </c>
      <c r="K857" s="202" t="s">
        <v>1574</v>
      </c>
      <c r="L857" s="202"/>
      <c r="M857" s="202" t="s">
        <v>1456</v>
      </c>
      <c r="N857" s="206">
        <v>40837</v>
      </c>
      <c r="O857" s="206">
        <v>40837</v>
      </c>
      <c r="P857" s="202" t="s">
        <v>1791</v>
      </c>
      <c r="Q857" s="203">
        <v>1200</v>
      </c>
      <c r="R857" s="203">
        <v>14050</v>
      </c>
      <c r="S857" s="204">
        <v>4905.38</v>
      </c>
      <c r="T857" s="203">
        <v>14056</v>
      </c>
      <c r="U857" s="204">
        <v>4326.17</v>
      </c>
      <c r="V857" s="204">
        <f t="shared" si="25"/>
        <v>579.21</v>
      </c>
      <c r="W857" s="205">
        <v>170.33</v>
      </c>
      <c r="X857" s="203">
        <v>54260</v>
      </c>
      <c r="Y857" s="204">
        <v>34.07</v>
      </c>
      <c r="Z857" s="202" t="s">
        <v>97</v>
      </c>
      <c r="AA857" s="202"/>
      <c r="AB857" s="202">
        <v>63054</v>
      </c>
      <c r="AC857" s="202"/>
      <c r="AD857" s="202" t="s">
        <v>1152</v>
      </c>
      <c r="AE857" s="202" t="s">
        <v>1153</v>
      </c>
      <c r="AF857" s="203" t="s">
        <v>1154</v>
      </c>
      <c r="AG857" s="202"/>
      <c r="AH857" s="203" t="s">
        <v>1155</v>
      </c>
      <c r="AI857" s="202">
        <v>0</v>
      </c>
      <c r="AJ857" s="202">
        <v>0</v>
      </c>
    </row>
    <row r="858" spans="2:36">
      <c r="B858" s="203">
        <v>2180</v>
      </c>
      <c r="C858" s="207">
        <v>87411</v>
      </c>
      <c r="D858" s="203" t="s">
        <v>97</v>
      </c>
      <c r="E858" s="202" t="s">
        <v>520</v>
      </c>
      <c r="F858" s="203">
        <v>8</v>
      </c>
      <c r="G858" s="202"/>
      <c r="H858" s="202"/>
      <c r="I858" s="202"/>
      <c r="J858" s="202">
        <v>0</v>
      </c>
      <c r="K858" s="202" t="s">
        <v>1574</v>
      </c>
      <c r="L858" s="202"/>
      <c r="M858" s="202" t="s">
        <v>1456</v>
      </c>
      <c r="N858" s="206">
        <v>40837</v>
      </c>
      <c r="O858" s="206">
        <v>40837</v>
      </c>
      <c r="P858" s="202" t="s">
        <v>1791</v>
      </c>
      <c r="Q858" s="203">
        <v>1200</v>
      </c>
      <c r="R858" s="203">
        <v>14050</v>
      </c>
      <c r="S858" s="204">
        <v>6540.51</v>
      </c>
      <c r="T858" s="203">
        <v>14056</v>
      </c>
      <c r="U858" s="204">
        <v>5768.34</v>
      </c>
      <c r="V858" s="204">
        <f t="shared" si="25"/>
        <v>772.17000000000007</v>
      </c>
      <c r="W858" s="205">
        <v>227.1</v>
      </c>
      <c r="X858" s="203">
        <v>54260</v>
      </c>
      <c r="Y858" s="204">
        <v>45.42</v>
      </c>
      <c r="Z858" s="202" t="s">
        <v>97</v>
      </c>
      <c r="AA858" s="202"/>
      <c r="AB858" s="202">
        <v>63010</v>
      </c>
      <c r="AC858" s="202"/>
      <c r="AD858" s="202" t="s">
        <v>1152</v>
      </c>
      <c r="AE858" s="202" t="s">
        <v>1153</v>
      </c>
      <c r="AF858" s="203" t="s">
        <v>1154</v>
      </c>
      <c r="AG858" s="202"/>
      <c r="AH858" s="203" t="s">
        <v>1155</v>
      </c>
      <c r="AI858" s="202">
        <v>0</v>
      </c>
      <c r="AJ858" s="202">
        <v>0</v>
      </c>
    </row>
    <row r="859" spans="2:36">
      <c r="B859" s="203">
        <v>2180</v>
      </c>
      <c r="C859" s="207">
        <v>87203</v>
      </c>
      <c r="D859" s="203" t="s">
        <v>97</v>
      </c>
      <c r="E859" s="202" t="s">
        <v>1790</v>
      </c>
      <c r="F859" s="203">
        <v>0</v>
      </c>
      <c r="G859" s="202"/>
      <c r="H859" s="202"/>
      <c r="I859" s="202"/>
      <c r="J859" s="202">
        <v>0</v>
      </c>
      <c r="K859" s="202" t="s">
        <v>1429</v>
      </c>
      <c r="L859" s="202"/>
      <c r="M859" s="202"/>
      <c r="N859" s="206">
        <v>40826</v>
      </c>
      <c r="O859" s="206">
        <v>40826</v>
      </c>
      <c r="P859" s="202" t="s">
        <v>1789</v>
      </c>
      <c r="Q859" s="203">
        <v>300</v>
      </c>
      <c r="R859" s="203">
        <v>14110</v>
      </c>
      <c r="S859" s="204">
        <v>1549.26</v>
      </c>
      <c r="T859" s="203">
        <v>14116</v>
      </c>
      <c r="U859" s="204">
        <v>1549.26</v>
      </c>
      <c r="V859" s="204">
        <f t="shared" si="25"/>
        <v>0</v>
      </c>
      <c r="W859" s="205">
        <v>0</v>
      </c>
      <c r="X859" s="203">
        <v>70260</v>
      </c>
      <c r="Y859" s="204">
        <v>0</v>
      </c>
      <c r="Z859" s="202" t="s">
        <v>97</v>
      </c>
      <c r="AA859" s="202"/>
      <c r="AB859" s="202" t="s">
        <v>1788</v>
      </c>
      <c r="AC859" s="202"/>
      <c r="AD859" s="202" t="s">
        <v>1152</v>
      </c>
      <c r="AE859" s="202" t="s">
        <v>1153</v>
      </c>
      <c r="AF859" s="203" t="s">
        <v>1154</v>
      </c>
      <c r="AG859" s="202"/>
      <c r="AH859" s="203" t="s">
        <v>1155</v>
      </c>
      <c r="AI859" s="202">
        <v>0</v>
      </c>
      <c r="AJ859" s="202">
        <v>0</v>
      </c>
    </row>
    <row r="860" spans="2:36">
      <c r="B860" s="203">
        <v>2180</v>
      </c>
      <c r="C860" s="207">
        <v>87092</v>
      </c>
      <c r="D860" s="203" t="s">
        <v>97</v>
      </c>
      <c r="E860" s="202" t="s">
        <v>1787</v>
      </c>
      <c r="F860" s="203">
        <v>0</v>
      </c>
      <c r="G860" s="202"/>
      <c r="H860" s="202" t="s">
        <v>1786</v>
      </c>
      <c r="I860" s="202"/>
      <c r="J860" s="202">
        <v>2005</v>
      </c>
      <c r="K860" s="202" t="s">
        <v>1785</v>
      </c>
      <c r="L860" s="202" t="s">
        <v>1785</v>
      </c>
      <c r="M860" s="202" t="s">
        <v>1412</v>
      </c>
      <c r="N860" s="206">
        <v>40810</v>
      </c>
      <c r="O860" s="206">
        <v>40810</v>
      </c>
      <c r="P860" s="202" t="s">
        <v>1784</v>
      </c>
      <c r="Q860" s="203">
        <v>600</v>
      </c>
      <c r="R860" s="203">
        <v>14030</v>
      </c>
      <c r="S860" s="204">
        <v>6230.1</v>
      </c>
      <c r="T860" s="203">
        <v>14036</v>
      </c>
      <c r="U860" s="204">
        <v>6230.1</v>
      </c>
      <c r="V860" s="204">
        <f t="shared" si="25"/>
        <v>0</v>
      </c>
      <c r="W860" s="205">
        <v>0</v>
      </c>
      <c r="X860" s="203">
        <v>51260</v>
      </c>
      <c r="Y860" s="204">
        <v>0</v>
      </c>
      <c r="Z860" s="202" t="s">
        <v>97</v>
      </c>
      <c r="AA860" s="202"/>
      <c r="AB860" s="202" t="s">
        <v>1783</v>
      </c>
      <c r="AC860" s="202">
        <v>7035</v>
      </c>
      <c r="AD860" s="202" t="s">
        <v>1152</v>
      </c>
      <c r="AE860" s="202" t="s">
        <v>1153</v>
      </c>
      <c r="AF860" s="203" t="s">
        <v>1154</v>
      </c>
      <c r="AG860" s="202"/>
      <c r="AH860" s="203" t="s">
        <v>1155</v>
      </c>
      <c r="AI860" s="202">
        <v>0</v>
      </c>
      <c r="AJ860" s="202">
        <v>0</v>
      </c>
    </row>
    <row r="861" spans="2:36">
      <c r="B861" s="203">
        <v>2180</v>
      </c>
      <c r="C861" s="207">
        <v>86876</v>
      </c>
      <c r="D861" s="203" t="s">
        <v>97</v>
      </c>
      <c r="E861" s="202" t="s">
        <v>1780</v>
      </c>
      <c r="F861" s="203">
        <v>63</v>
      </c>
      <c r="G861" s="202"/>
      <c r="H861" s="202" t="s">
        <v>1782</v>
      </c>
      <c r="I861" s="202"/>
      <c r="J861" s="202">
        <v>0</v>
      </c>
      <c r="K861" s="202" t="s">
        <v>1658</v>
      </c>
      <c r="L861" s="202"/>
      <c r="M861" s="202"/>
      <c r="N861" s="206">
        <v>40810</v>
      </c>
      <c r="O861" s="206">
        <v>40810</v>
      </c>
      <c r="P861" s="202" t="s">
        <v>1778</v>
      </c>
      <c r="Q861" s="203">
        <v>700</v>
      </c>
      <c r="R861" s="203">
        <v>14050</v>
      </c>
      <c r="S861" s="204">
        <v>3652.99</v>
      </c>
      <c r="T861" s="203">
        <v>14056</v>
      </c>
      <c r="U861" s="204">
        <v>3652.99</v>
      </c>
      <c r="V861" s="204">
        <f t="shared" si="25"/>
        <v>0</v>
      </c>
      <c r="W861" s="205">
        <v>0</v>
      </c>
      <c r="X861" s="203">
        <v>54260</v>
      </c>
      <c r="Y861" s="204">
        <v>0</v>
      </c>
      <c r="Z861" s="202" t="s">
        <v>97</v>
      </c>
      <c r="AA861" s="202"/>
      <c r="AB861" s="202" t="s">
        <v>1781</v>
      </c>
      <c r="AC861" s="202"/>
      <c r="AD861" s="202" t="s">
        <v>1152</v>
      </c>
      <c r="AE861" s="202" t="s">
        <v>1153</v>
      </c>
      <c r="AF861" s="203" t="s">
        <v>1154</v>
      </c>
      <c r="AG861" s="202"/>
      <c r="AH861" s="203" t="s">
        <v>1155</v>
      </c>
      <c r="AI861" s="202">
        <v>0</v>
      </c>
      <c r="AJ861" s="202">
        <v>0</v>
      </c>
    </row>
    <row r="862" spans="2:36">
      <c r="B862" s="203">
        <v>2180</v>
      </c>
      <c r="C862" s="207">
        <v>86875</v>
      </c>
      <c r="D862" s="203" t="s">
        <v>97</v>
      </c>
      <c r="E862" s="202" t="s">
        <v>1780</v>
      </c>
      <c r="F862" s="203">
        <v>486</v>
      </c>
      <c r="G862" s="202"/>
      <c r="H862" s="202" t="s">
        <v>1779</v>
      </c>
      <c r="I862" s="202"/>
      <c r="J862" s="202">
        <v>0</v>
      </c>
      <c r="K862" s="202" t="s">
        <v>1658</v>
      </c>
      <c r="L862" s="202"/>
      <c r="M862" s="202"/>
      <c r="N862" s="206">
        <v>40810</v>
      </c>
      <c r="O862" s="206">
        <v>40810</v>
      </c>
      <c r="P862" s="202" t="s">
        <v>1778</v>
      </c>
      <c r="Q862" s="203">
        <v>700</v>
      </c>
      <c r="R862" s="203">
        <v>14050</v>
      </c>
      <c r="S862" s="204">
        <v>28180.04</v>
      </c>
      <c r="T862" s="203">
        <v>14056</v>
      </c>
      <c r="U862" s="204">
        <v>28180.04</v>
      </c>
      <c r="V862" s="204">
        <f t="shared" si="25"/>
        <v>0</v>
      </c>
      <c r="W862" s="205">
        <v>0</v>
      </c>
      <c r="X862" s="203">
        <v>54260</v>
      </c>
      <c r="Y862" s="204">
        <v>0</v>
      </c>
      <c r="Z862" s="202" t="s">
        <v>97</v>
      </c>
      <c r="AA862" s="202"/>
      <c r="AB862" s="202" t="s">
        <v>1777</v>
      </c>
      <c r="AC862" s="202"/>
      <c r="AD862" s="202" t="s">
        <v>1152</v>
      </c>
      <c r="AE862" s="202" t="s">
        <v>1153</v>
      </c>
      <c r="AF862" s="203" t="s">
        <v>1154</v>
      </c>
      <c r="AG862" s="202"/>
      <c r="AH862" s="203" t="s">
        <v>1155</v>
      </c>
      <c r="AI862" s="202">
        <v>0</v>
      </c>
      <c r="AJ862" s="202">
        <v>0</v>
      </c>
    </row>
    <row r="863" spans="2:36">
      <c r="B863" s="203">
        <v>2180</v>
      </c>
      <c r="C863" s="207">
        <v>86848</v>
      </c>
      <c r="D863" s="203">
        <v>86844</v>
      </c>
      <c r="E863" s="202" t="s">
        <v>1776</v>
      </c>
      <c r="F863" s="203">
        <v>0</v>
      </c>
      <c r="G863" s="202"/>
      <c r="H863" s="202"/>
      <c r="I863" s="202"/>
      <c r="J863" s="202">
        <v>2010</v>
      </c>
      <c r="K863" s="202" t="s">
        <v>1772</v>
      </c>
      <c r="L863" s="202"/>
      <c r="M863" s="202" t="s">
        <v>1757</v>
      </c>
      <c r="N863" s="206">
        <v>40544</v>
      </c>
      <c r="O863" s="206">
        <v>40544</v>
      </c>
      <c r="P863" s="202" t="s">
        <v>1768</v>
      </c>
      <c r="Q863" s="203">
        <v>300</v>
      </c>
      <c r="R863" s="203">
        <v>14030</v>
      </c>
      <c r="S863" s="204">
        <v>13553.2</v>
      </c>
      <c r="T863" s="203">
        <v>14036</v>
      </c>
      <c r="U863" s="204">
        <v>13553.2</v>
      </c>
      <c r="V863" s="204">
        <f t="shared" si="25"/>
        <v>0</v>
      </c>
      <c r="W863" s="205">
        <v>0</v>
      </c>
      <c r="X863" s="203">
        <v>51260</v>
      </c>
      <c r="Y863" s="204">
        <v>0</v>
      </c>
      <c r="Z863" s="202" t="s">
        <v>97</v>
      </c>
      <c r="AA863" s="202"/>
      <c r="AB863" s="202" t="s">
        <v>1767</v>
      </c>
      <c r="AC863" s="202"/>
      <c r="AD863" s="202" t="s">
        <v>1152</v>
      </c>
      <c r="AE863" s="202" t="s">
        <v>1153</v>
      </c>
      <c r="AF863" s="203" t="s">
        <v>1154</v>
      </c>
      <c r="AG863" s="208">
        <v>40816</v>
      </c>
      <c r="AH863" s="203" t="s">
        <v>1155</v>
      </c>
      <c r="AI863" s="202">
        <v>0</v>
      </c>
      <c r="AJ863" s="202">
        <v>3388.3</v>
      </c>
    </row>
    <row r="864" spans="2:36">
      <c r="B864" s="203">
        <v>2180</v>
      </c>
      <c r="C864" s="207">
        <v>86847</v>
      </c>
      <c r="D864" s="203">
        <v>86844</v>
      </c>
      <c r="E864" s="202" t="s">
        <v>1775</v>
      </c>
      <c r="F864" s="203">
        <v>0</v>
      </c>
      <c r="G864" s="202"/>
      <c r="H864" s="202"/>
      <c r="I864" s="202"/>
      <c r="J864" s="202">
        <v>2010</v>
      </c>
      <c r="K864" s="202" t="s">
        <v>1772</v>
      </c>
      <c r="L864" s="202"/>
      <c r="M864" s="202" t="s">
        <v>1757</v>
      </c>
      <c r="N864" s="206">
        <v>40544</v>
      </c>
      <c r="O864" s="206">
        <v>40544</v>
      </c>
      <c r="P864" s="202" t="s">
        <v>1768</v>
      </c>
      <c r="Q864" s="203">
        <v>300</v>
      </c>
      <c r="R864" s="203">
        <v>14030</v>
      </c>
      <c r="S864" s="204">
        <v>20329.8</v>
      </c>
      <c r="T864" s="203">
        <v>14036</v>
      </c>
      <c r="U864" s="204">
        <v>20329.8</v>
      </c>
      <c r="V864" s="204">
        <f t="shared" si="25"/>
        <v>0</v>
      </c>
      <c r="W864" s="205">
        <v>0</v>
      </c>
      <c r="X864" s="203">
        <v>51260</v>
      </c>
      <c r="Y864" s="204">
        <v>0</v>
      </c>
      <c r="Z864" s="202" t="s">
        <v>97</v>
      </c>
      <c r="AA864" s="202"/>
      <c r="AB864" s="202" t="s">
        <v>1767</v>
      </c>
      <c r="AC864" s="202"/>
      <c r="AD864" s="202" t="s">
        <v>1152</v>
      </c>
      <c r="AE864" s="202" t="s">
        <v>1153</v>
      </c>
      <c r="AF864" s="203" t="s">
        <v>1154</v>
      </c>
      <c r="AG864" s="208">
        <v>40816</v>
      </c>
      <c r="AH864" s="203" t="s">
        <v>1155</v>
      </c>
      <c r="AI864" s="202">
        <v>0</v>
      </c>
      <c r="AJ864" s="202">
        <v>5082.45</v>
      </c>
    </row>
    <row r="865" spans="2:36">
      <c r="B865" s="203">
        <v>2180</v>
      </c>
      <c r="C865" s="207">
        <v>86846</v>
      </c>
      <c r="D865" s="203">
        <v>86844</v>
      </c>
      <c r="E865" s="202" t="s">
        <v>1774</v>
      </c>
      <c r="F865" s="203">
        <v>0</v>
      </c>
      <c r="G865" s="202"/>
      <c r="H865" s="202"/>
      <c r="I865" s="202"/>
      <c r="J865" s="202">
        <v>2010</v>
      </c>
      <c r="K865" s="202" t="s">
        <v>1772</v>
      </c>
      <c r="L865" s="202"/>
      <c r="M865" s="202" t="s">
        <v>1447</v>
      </c>
      <c r="N865" s="206">
        <v>40544</v>
      </c>
      <c r="O865" s="206">
        <v>40544</v>
      </c>
      <c r="P865" s="202" t="s">
        <v>1768</v>
      </c>
      <c r="Q865" s="203">
        <v>300</v>
      </c>
      <c r="R865" s="203">
        <v>14030</v>
      </c>
      <c r="S865" s="204">
        <v>16941.5</v>
      </c>
      <c r="T865" s="203">
        <v>14036</v>
      </c>
      <c r="U865" s="204">
        <v>16941.5</v>
      </c>
      <c r="V865" s="204">
        <f t="shared" si="25"/>
        <v>0</v>
      </c>
      <c r="W865" s="205">
        <v>0</v>
      </c>
      <c r="X865" s="203">
        <v>51260</v>
      </c>
      <c r="Y865" s="204">
        <v>0</v>
      </c>
      <c r="Z865" s="202" t="s">
        <v>97</v>
      </c>
      <c r="AA865" s="202"/>
      <c r="AB865" s="202" t="s">
        <v>1767</v>
      </c>
      <c r="AC865" s="202"/>
      <c r="AD865" s="202" t="s">
        <v>1152</v>
      </c>
      <c r="AE865" s="202" t="s">
        <v>1153</v>
      </c>
      <c r="AF865" s="203" t="s">
        <v>1154</v>
      </c>
      <c r="AG865" s="208">
        <v>40816</v>
      </c>
      <c r="AH865" s="203" t="s">
        <v>1155</v>
      </c>
      <c r="AI865" s="202">
        <v>0</v>
      </c>
      <c r="AJ865" s="202">
        <v>4235.38</v>
      </c>
    </row>
    <row r="866" spans="2:36">
      <c r="B866" s="203">
        <v>2180</v>
      </c>
      <c r="C866" s="207">
        <v>86845</v>
      </c>
      <c r="D866" s="203">
        <v>86844</v>
      </c>
      <c r="E866" s="202" t="s">
        <v>1773</v>
      </c>
      <c r="F866" s="203">
        <v>0</v>
      </c>
      <c r="G866" s="202"/>
      <c r="H866" s="202"/>
      <c r="I866" s="202"/>
      <c r="J866" s="202">
        <v>2010</v>
      </c>
      <c r="K866" s="202" t="s">
        <v>1772</v>
      </c>
      <c r="L866" s="202"/>
      <c r="M866" s="202" t="s">
        <v>1447</v>
      </c>
      <c r="N866" s="206">
        <v>40544</v>
      </c>
      <c r="O866" s="206">
        <v>40544</v>
      </c>
      <c r="P866" s="202" t="s">
        <v>1768</v>
      </c>
      <c r="Q866" s="203">
        <v>300</v>
      </c>
      <c r="R866" s="203">
        <v>14030</v>
      </c>
      <c r="S866" s="204">
        <v>13553.2</v>
      </c>
      <c r="T866" s="203">
        <v>14036</v>
      </c>
      <c r="U866" s="204">
        <v>13553.2</v>
      </c>
      <c r="V866" s="204">
        <f t="shared" si="25"/>
        <v>0</v>
      </c>
      <c r="W866" s="205">
        <v>0</v>
      </c>
      <c r="X866" s="203">
        <v>51260</v>
      </c>
      <c r="Y866" s="204">
        <v>0</v>
      </c>
      <c r="Z866" s="202" t="s">
        <v>97</v>
      </c>
      <c r="AA866" s="202"/>
      <c r="AB866" s="202" t="s">
        <v>1767</v>
      </c>
      <c r="AC866" s="202"/>
      <c r="AD866" s="202" t="s">
        <v>1152</v>
      </c>
      <c r="AE866" s="202" t="s">
        <v>1153</v>
      </c>
      <c r="AF866" s="203" t="s">
        <v>1154</v>
      </c>
      <c r="AG866" s="208">
        <v>40816</v>
      </c>
      <c r="AH866" s="203" t="s">
        <v>1155</v>
      </c>
      <c r="AI866" s="202">
        <v>0</v>
      </c>
      <c r="AJ866" s="202">
        <v>3388.3</v>
      </c>
    </row>
    <row r="867" spans="2:36">
      <c r="B867" s="203">
        <v>2180</v>
      </c>
      <c r="C867" s="207">
        <v>86844</v>
      </c>
      <c r="D867" s="203" t="s">
        <v>97</v>
      </c>
      <c r="E867" s="202" t="s">
        <v>1771</v>
      </c>
      <c r="F867" s="203">
        <v>0</v>
      </c>
      <c r="G867" s="202"/>
      <c r="H867" s="202" t="s">
        <v>1770</v>
      </c>
      <c r="I867" s="202"/>
      <c r="J867" s="202">
        <v>2010</v>
      </c>
      <c r="K867" s="202" t="s">
        <v>1769</v>
      </c>
      <c r="L867" s="202" t="s">
        <v>1769</v>
      </c>
      <c r="M867" s="202" t="s">
        <v>1757</v>
      </c>
      <c r="N867" s="206">
        <v>40544</v>
      </c>
      <c r="O867" s="206">
        <v>40544</v>
      </c>
      <c r="P867" s="202" t="s">
        <v>1768</v>
      </c>
      <c r="Q867" s="203">
        <v>1100</v>
      </c>
      <c r="R867" s="203">
        <v>14030</v>
      </c>
      <c r="S867" s="204">
        <v>105037.3</v>
      </c>
      <c r="T867" s="203">
        <v>14036</v>
      </c>
      <c r="U867" s="204">
        <v>105037.3</v>
      </c>
      <c r="V867" s="204">
        <f t="shared" si="25"/>
        <v>0</v>
      </c>
      <c r="W867" s="205">
        <v>0</v>
      </c>
      <c r="X867" s="203">
        <v>51260</v>
      </c>
      <c r="Y867" s="204">
        <v>0</v>
      </c>
      <c r="Z867" s="202" t="s">
        <v>97</v>
      </c>
      <c r="AA867" s="202"/>
      <c r="AB867" s="202" t="s">
        <v>1767</v>
      </c>
      <c r="AC867" s="202">
        <v>7411</v>
      </c>
      <c r="AD867" s="202" t="s">
        <v>1152</v>
      </c>
      <c r="AE867" s="202" t="s">
        <v>1153</v>
      </c>
      <c r="AF867" s="203" t="s">
        <v>1154</v>
      </c>
      <c r="AG867" s="208">
        <v>40816</v>
      </c>
      <c r="AH867" s="203" t="s">
        <v>1155</v>
      </c>
      <c r="AI867" s="202">
        <v>0</v>
      </c>
      <c r="AJ867" s="202">
        <v>7161.64</v>
      </c>
    </row>
    <row r="868" spans="2:36">
      <c r="B868" s="203">
        <v>2180</v>
      </c>
      <c r="C868" s="207">
        <v>86841</v>
      </c>
      <c r="D868" s="203" t="s">
        <v>97</v>
      </c>
      <c r="E868" s="202" t="s">
        <v>1766</v>
      </c>
      <c r="F868" s="203">
        <v>0</v>
      </c>
      <c r="G868" s="202"/>
      <c r="H868" s="202" t="s">
        <v>1765</v>
      </c>
      <c r="I868" s="202"/>
      <c r="J868" s="202">
        <v>2004</v>
      </c>
      <c r="K868" s="202" t="s">
        <v>1396</v>
      </c>
      <c r="L868" s="202" t="s">
        <v>1764</v>
      </c>
      <c r="M868" s="202" t="s">
        <v>1763</v>
      </c>
      <c r="N868" s="206">
        <v>39755</v>
      </c>
      <c r="O868" s="206">
        <v>39755</v>
      </c>
      <c r="P868" s="202"/>
      <c r="Q868" s="203">
        <v>500</v>
      </c>
      <c r="R868" s="203">
        <v>14040</v>
      </c>
      <c r="S868" s="204">
        <v>46500</v>
      </c>
      <c r="T868" s="203">
        <v>14046</v>
      </c>
      <c r="U868" s="204">
        <v>46500</v>
      </c>
      <c r="V868" s="204">
        <f t="shared" si="25"/>
        <v>0</v>
      </c>
      <c r="W868" s="205">
        <v>0</v>
      </c>
      <c r="X868" s="203">
        <v>51260</v>
      </c>
      <c r="Y868" s="204">
        <v>0</v>
      </c>
      <c r="Z868" s="202" t="s">
        <v>1153</v>
      </c>
      <c r="AA868" s="202" t="s">
        <v>1383</v>
      </c>
      <c r="AB868" s="202"/>
      <c r="AC868" s="202">
        <v>4517</v>
      </c>
      <c r="AD868" s="202" t="s">
        <v>1152</v>
      </c>
      <c r="AE868" s="202" t="s">
        <v>1153</v>
      </c>
      <c r="AF868" s="203" t="s">
        <v>1154</v>
      </c>
      <c r="AG868" s="208">
        <v>40816</v>
      </c>
      <c r="AH868" s="203" t="s">
        <v>1155</v>
      </c>
      <c r="AI868" s="202">
        <v>0</v>
      </c>
      <c r="AJ868" s="202">
        <v>27125</v>
      </c>
    </row>
    <row r="869" spans="2:36">
      <c r="B869" s="203">
        <v>2180</v>
      </c>
      <c r="C869" s="207">
        <v>86840</v>
      </c>
      <c r="D869" s="203" t="s">
        <v>97</v>
      </c>
      <c r="E869" s="202" t="s">
        <v>1762</v>
      </c>
      <c r="F869" s="203">
        <v>0</v>
      </c>
      <c r="G869" s="202"/>
      <c r="H869" s="202"/>
      <c r="I869" s="202"/>
      <c r="J869" s="202">
        <v>0</v>
      </c>
      <c r="K869" s="202"/>
      <c r="L869" s="202"/>
      <c r="M869" s="202"/>
      <c r="N869" s="206">
        <v>39755</v>
      </c>
      <c r="O869" s="206">
        <v>39755</v>
      </c>
      <c r="P869" s="202"/>
      <c r="Q869" s="203">
        <v>300</v>
      </c>
      <c r="R869" s="203">
        <v>14070</v>
      </c>
      <c r="S869" s="204">
        <v>1000</v>
      </c>
      <c r="T869" s="203">
        <v>14076</v>
      </c>
      <c r="U869" s="204">
        <v>1000</v>
      </c>
      <c r="V869" s="204">
        <f t="shared" si="25"/>
        <v>0</v>
      </c>
      <c r="W869" s="205">
        <v>0</v>
      </c>
      <c r="X869" s="203">
        <v>51260</v>
      </c>
      <c r="Y869" s="204">
        <v>0</v>
      </c>
      <c r="Z869" s="202" t="s">
        <v>1153</v>
      </c>
      <c r="AA869" s="202" t="s">
        <v>1383</v>
      </c>
      <c r="AB869" s="202"/>
      <c r="AC869" s="202"/>
      <c r="AD869" s="202" t="s">
        <v>1152</v>
      </c>
      <c r="AE869" s="202" t="s">
        <v>1153</v>
      </c>
      <c r="AF869" s="203" t="s">
        <v>1154</v>
      </c>
      <c r="AG869" s="208">
        <v>40816</v>
      </c>
      <c r="AH869" s="203" t="s">
        <v>1155</v>
      </c>
      <c r="AI869" s="202">
        <v>0</v>
      </c>
      <c r="AJ869" s="202">
        <v>972.22</v>
      </c>
    </row>
    <row r="870" spans="2:36">
      <c r="B870" s="203">
        <v>2180</v>
      </c>
      <c r="C870" s="207">
        <v>86839</v>
      </c>
      <c r="D870" s="203" t="s">
        <v>97</v>
      </c>
      <c r="E870" s="202" t="s">
        <v>1761</v>
      </c>
      <c r="F870" s="203">
        <v>0</v>
      </c>
      <c r="G870" s="202"/>
      <c r="H870" s="202"/>
      <c r="I870" s="202"/>
      <c r="J870" s="202">
        <v>0</v>
      </c>
      <c r="K870" s="202"/>
      <c r="L870" s="202"/>
      <c r="M870" s="202"/>
      <c r="N870" s="206">
        <v>39755</v>
      </c>
      <c r="O870" s="206">
        <v>39755</v>
      </c>
      <c r="P870" s="202"/>
      <c r="Q870" s="203">
        <v>300</v>
      </c>
      <c r="R870" s="203">
        <v>14070</v>
      </c>
      <c r="S870" s="204">
        <v>1000</v>
      </c>
      <c r="T870" s="203">
        <v>14076</v>
      </c>
      <c r="U870" s="204">
        <v>1000</v>
      </c>
      <c r="V870" s="204">
        <f t="shared" si="25"/>
        <v>0</v>
      </c>
      <c r="W870" s="205">
        <v>0</v>
      </c>
      <c r="X870" s="203">
        <v>51260</v>
      </c>
      <c r="Y870" s="204">
        <v>0</v>
      </c>
      <c r="Z870" s="202" t="s">
        <v>1153</v>
      </c>
      <c r="AA870" s="202" t="s">
        <v>1383</v>
      </c>
      <c r="AB870" s="202"/>
      <c r="AC870" s="202"/>
      <c r="AD870" s="202" t="s">
        <v>1152</v>
      </c>
      <c r="AE870" s="202" t="s">
        <v>1153</v>
      </c>
      <c r="AF870" s="203" t="s">
        <v>1154</v>
      </c>
      <c r="AG870" s="208">
        <v>40816</v>
      </c>
      <c r="AH870" s="203" t="s">
        <v>1155</v>
      </c>
      <c r="AI870" s="202">
        <v>0</v>
      </c>
      <c r="AJ870" s="202">
        <v>972.22</v>
      </c>
    </row>
    <row r="871" spans="2:36">
      <c r="B871" s="203">
        <v>2180</v>
      </c>
      <c r="C871" s="207">
        <v>86836</v>
      </c>
      <c r="D871" s="203">
        <v>86835</v>
      </c>
      <c r="E871" s="202" t="s">
        <v>274</v>
      </c>
      <c r="F871" s="203">
        <v>0</v>
      </c>
      <c r="G871" s="202"/>
      <c r="H871" s="202"/>
      <c r="I871" s="202"/>
      <c r="J871" s="202">
        <v>1992</v>
      </c>
      <c r="K871" s="202"/>
      <c r="L871" s="202"/>
      <c r="M871" s="202" t="s">
        <v>1447</v>
      </c>
      <c r="N871" s="206">
        <v>39936</v>
      </c>
      <c r="O871" s="206">
        <v>39936</v>
      </c>
      <c r="P871" s="202" t="s">
        <v>1760</v>
      </c>
      <c r="Q871" s="203">
        <v>300</v>
      </c>
      <c r="R871" s="203">
        <v>14040</v>
      </c>
      <c r="S871" s="204">
        <v>10496.91</v>
      </c>
      <c r="T871" s="203">
        <v>14046</v>
      </c>
      <c r="U871" s="204">
        <v>10496.91</v>
      </c>
      <c r="V871" s="204">
        <f t="shared" si="25"/>
        <v>0</v>
      </c>
      <c r="W871" s="205">
        <v>0</v>
      </c>
      <c r="X871" s="203">
        <v>51260</v>
      </c>
      <c r="Y871" s="204">
        <v>0</v>
      </c>
      <c r="Z871" s="202" t="s">
        <v>97</v>
      </c>
      <c r="AA871" s="202"/>
      <c r="AB871" s="202">
        <v>2123506</v>
      </c>
      <c r="AC871" s="202">
        <v>7407</v>
      </c>
      <c r="AD871" s="202" t="s">
        <v>1152</v>
      </c>
      <c r="AE871" s="202" t="s">
        <v>1153</v>
      </c>
      <c r="AF871" s="203" t="s">
        <v>1154</v>
      </c>
      <c r="AG871" s="208">
        <v>40816</v>
      </c>
      <c r="AH871" s="203" t="s">
        <v>1155</v>
      </c>
      <c r="AI871" s="202">
        <v>0</v>
      </c>
      <c r="AJ871" s="202">
        <v>8455.85</v>
      </c>
    </row>
    <row r="872" spans="2:36">
      <c r="B872" s="203">
        <v>2180</v>
      </c>
      <c r="C872" s="207">
        <v>86835</v>
      </c>
      <c r="D872" s="203" t="s">
        <v>97</v>
      </c>
      <c r="E872" s="202" t="s">
        <v>1759</v>
      </c>
      <c r="F872" s="203">
        <v>0</v>
      </c>
      <c r="G872" s="202"/>
      <c r="H872" s="209" t="s">
        <v>1758</v>
      </c>
      <c r="I872" s="202"/>
      <c r="J872" s="202">
        <v>1992</v>
      </c>
      <c r="K872" s="202" t="s">
        <v>1255</v>
      </c>
      <c r="L872" s="202" t="s">
        <v>1255</v>
      </c>
      <c r="M872" s="202" t="s">
        <v>1757</v>
      </c>
      <c r="N872" s="206">
        <v>39755</v>
      </c>
      <c r="O872" s="206">
        <v>39755</v>
      </c>
      <c r="P872" s="202"/>
      <c r="Q872" s="203">
        <v>300</v>
      </c>
      <c r="R872" s="203">
        <v>14030</v>
      </c>
      <c r="S872" s="204">
        <v>2500</v>
      </c>
      <c r="T872" s="203">
        <v>14036</v>
      </c>
      <c r="U872" s="204">
        <v>2500</v>
      </c>
      <c r="V872" s="204">
        <f t="shared" si="25"/>
        <v>0</v>
      </c>
      <c r="W872" s="205">
        <v>0</v>
      </c>
      <c r="X872" s="203">
        <v>51260</v>
      </c>
      <c r="Y872" s="204">
        <v>0</v>
      </c>
      <c r="Z872" s="202" t="s">
        <v>1153</v>
      </c>
      <c r="AA872" s="202" t="s">
        <v>1383</v>
      </c>
      <c r="AB872" s="202"/>
      <c r="AC872" s="202">
        <v>7407</v>
      </c>
      <c r="AD872" s="202" t="s">
        <v>1152</v>
      </c>
      <c r="AE872" s="202" t="s">
        <v>1153</v>
      </c>
      <c r="AF872" s="203" t="s">
        <v>1154</v>
      </c>
      <c r="AG872" s="208">
        <v>40816</v>
      </c>
      <c r="AH872" s="203" t="s">
        <v>1155</v>
      </c>
      <c r="AI872" s="202">
        <v>0</v>
      </c>
      <c r="AJ872" s="202">
        <v>2430.56</v>
      </c>
    </row>
    <row r="873" spans="2:36">
      <c r="B873" s="203">
        <v>2180</v>
      </c>
      <c r="C873" s="207">
        <v>86829</v>
      </c>
      <c r="D873" s="203" t="s">
        <v>97</v>
      </c>
      <c r="E873" s="202" t="s">
        <v>1753</v>
      </c>
      <c r="F873" s="203">
        <v>0</v>
      </c>
      <c r="G873" s="202"/>
      <c r="H873" s="202" t="s">
        <v>1756</v>
      </c>
      <c r="I873" s="202"/>
      <c r="J873" s="202">
        <v>1993</v>
      </c>
      <c r="K873" s="202" t="s">
        <v>1396</v>
      </c>
      <c r="L873" s="202" t="s">
        <v>1042</v>
      </c>
      <c r="M873" s="202" t="s">
        <v>1149</v>
      </c>
      <c r="N873" s="206">
        <v>39755</v>
      </c>
      <c r="O873" s="206">
        <v>39755</v>
      </c>
      <c r="P873" s="202"/>
      <c r="Q873" s="203">
        <v>300</v>
      </c>
      <c r="R873" s="203">
        <v>14040</v>
      </c>
      <c r="S873" s="204">
        <v>2500</v>
      </c>
      <c r="T873" s="203">
        <v>14046</v>
      </c>
      <c r="U873" s="204">
        <v>2500</v>
      </c>
      <c r="V873" s="204">
        <f t="shared" si="25"/>
        <v>0</v>
      </c>
      <c r="W873" s="205">
        <v>0</v>
      </c>
      <c r="X873" s="203">
        <v>51260</v>
      </c>
      <c r="Y873" s="204">
        <v>0</v>
      </c>
      <c r="Z873" s="202" t="s">
        <v>1153</v>
      </c>
      <c r="AA873" s="202" t="s">
        <v>1383</v>
      </c>
      <c r="AB873" s="202"/>
      <c r="AC873" s="202">
        <v>5555</v>
      </c>
      <c r="AD873" s="202" t="s">
        <v>1152</v>
      </c>
      <c r="AE873" s="202" t="s">
        <v>1153</v>
      </c>
      <c r="AF873" s="203" t="s">
        <v>1154</v>
      </c>
      <c r="AG873" s="208">
        <v>40816</v>
      </c>
      <c r="AH873" s="203" t="s">
        <v>1155</v>
      </c>
      <c r="AI873" s="202">
        <v>0</v>
      </c>
      <c r="AJ873" s="202">
        <v>2430.56</v>
      </c>
    </row>
    <row r="874" spans="2:36">
      <c r="B874" s="203">
        <v>2180</v>
      </c>
      <c r="C874" s="207">
        <v>86828</v>
      </c>
      <c r="D874" s="203">
        <v>86827</v>
      </c>
      <c r="E874" s="202" t="s">
        <v>1103</v>
      </c>
      <c r="F874" s="203">
        <v>0</v>
      </c>
      <c r="G874" s="202"/>
      <c r="H874" s="202">
        <v>66072</v>
      </c>
      <c r="I874" s="202"/>
      <c r="J874" s="202">
        <v>1993</v>
      </c>
      <c r="K874" s="202"/>
      <c r="L874" s="202"/>
      <c r="M874" s="202" t="s">
        <v>1447</v>
      </c>
      <c r="N874" s="206">
        <v>39936</v>
      </c>
      <c r="O874" s="206">
        <v>39936</v>
      </c>
      <c r="P874" s="202" t="s">
        <v>1755</v>
      </c>
      <c r="Q874" s="203">
        <v>300</v>
      </c>
      <c r="R874" s="203">
        <v>14040</v>
      </c>
      <c r="S874" s="204">
        <v>4394.9799999999996</v>
      </c>
      <c r="T874" s="203">
        <v>14046</v>
      </c>
      <c r="U874" s="204">
        <v>4394.9799999999996</v>
      </c>
      <c r="V874" s="204">
        <f t="shared" si="25"/>
        <v>0</v>
      </c>
      <c r="W874" s="205">
        <v>0</v>
      </c>
      <c r="X874" s="203">
        <v>51260</v>
      </c>
      <c r="Y874" s="204">
        <v>0</v>
      </c>
      <c r="Z874" s="202" t="s">
        <v>97</v>
      </c>
      <c r="AA874" s="202"/>
      <c r="AB874" s="202" t="s">
        <v>1754</v>
      </c>
      <c r="AC874" s="202">
        <v>5554</v>
      </c>
      <c r="AD874" s="202" t="s">
        <v>1152</v>
      </c>
      <c r="AE874" s="202" t="s">
        <v>1153</v>
      </c>
      <c r="AF874" s="203" t="s">
        <v>1154</v>
      </c>
      <c r="AG874" s="208">
        <v>40816</v>
      </c>
      <c r="AH874" s="203" t="s">
        <v>1155</v>
      </c>
      <c r="AI874" s="202">
        <v>0</v>
      </c>
      <c r="AJ874" s="202">
        <v>3540.39</v>
      </c>
    </row>
    <row r="875" spans="2:36">
      <c r="B875" s="203">
        <v>2180</v>
      </c>
      <c r="C875" s="207">
        <v>86827</v>
      </c>
      <c r="D875" s="203" t="s">
        <v>97</v>
      </c>
      <c r="E875" s="202" t="s">
        <v>1753</v>
      </c>
      <c r="F875" s="203">
        <v>0</v>
      </c>
      <c r="G875" s="202"/>
      <c r="H875" s="202" t="s">
        <v>1752</v>
      </c>
      <c r="I875" s="202"/>
      <c r="J875" s="202">
        <v>1993</v>
      </c>
      <c r="K875" s="202" t="s">
        <v>1396</v>
      </c>
      <c r="L875" s="202" t="s">
        <v>1042</v>
      </c>
      <c r="M875" s="202" t="s">
        <v>1149</v>
      </c>
      <c r="N875" s="206">
        <v>39755</v>
      </c>
      <c r="O875" s="206">
        <v>39755</v>
      </c>
      <c r="P875" s="202"/>
      <c r="Q875" s="203">
        <v>300</v>
      </c>
      <c r="R875" s="203">
        <v>14040</v>
      </c>
      <c r="S875" s="204">
        <v>2500</v>
      </c>
      <c r="T875" s="203">
        <v>14046</v>
      </c>
      <c r="U875" s="204">
        <v>2500</v>
      </c>
      <c r="V875" s="204">
        <f t="shared" si="25"/>
        <v>0</v>
      </c>
      <c r="W875" s="205">
        <v>0</v>
      </c>
      <c r="X875" s="203">
        <v>51260</v>
      </c>
      <c r="Y875" s="204">
        <v>0</v>
      </c>
      <c r="Z875" s="202" t="s">
        <v>1153</v>
      </c>
      <c r="AA875" s="202" t="s">
        <v>1383</v>
      </c>
      <c r="AB875" s="202"/>
      <c r="AC875" s="202">
        <v>5554</v>
      </c>
      <c r="AD875" s="202" t="s">
        <v>1152</v>
      </c>
      <c r="AE875" s="202" t="s">
        <v>1153</v>
      </c>
      <c r="AF875" s="203" t="s">
        <v>1154</v>
      </c>
      <c r="AG875" s="208">
        <v>40816</v>
      </c>
      <c r="AH875" s="203" t="s">
        <v>1155</v>
      </c>
      <c r="AI875" s="202">
        <v>0</v>
      </c>
      <c r="AJ875" s="202">
        <v>2430.56</v>
      </c>
    </row>
    <row r="876" spans="2:36">
      <c r="B876" s="203">
        <v>2180</v>
      </c>
      <c r="C876" s="207">
        <v>86801</v>
      </c>
      <c r="D876" s="203" t="s">
        <v>97</v>
      </c>
      <c r="E876" s="202" t="s">
        <v>1749</v>
      </c>
      <c r="F876" s="203">
        <v>68</v>
      </c>
      <c r="G876" s="202"/>
      <c r="H876" s="202" t="s">
        <v>1751</v>
      </c>
      <c r="I876" s="202"/>
      <c r="J876" s="202">
        <v>0</v>
      </c>
      <c r="K876" s="202" t="s">
        <v>1658</v>
      </c>
      <c r="L876" s="202"/>
      <c r="M876" s="202"/>
      <c r="N876" s="206">
        <v>40796</v>
      </c>
      <c r="O876" s="206">
        <v>40796</v>
      </c>
      <c r="P876" s="202" t="s">
        <v>1747</v>
      </c>
      <c r="Q876" s="203">
        <v>700</v>
      </c>
      <c r="R876" s="203">
        <v>14050</v>
      </c>
      <c r="S876" s="204">
        <v>3868.57</v>
      </c>
      <c r="T876" s="203">
        <v>14056</v>
      </c>
      <c r="U876" s="204">
        <v>3868.57</v>
      </c>
      <c r="V876" s="204">
        <f t="shared" si="25"/>
        <v>0</v>
      </c>
      <c r="W876" s="205">
        <v>0</v>
      </c>
      <c r="X876" s="203">
        <v>54260</v>
      </c>
      <c r="Y876" s="204">
        <v>0</v>
      </c>
      <c r="Z876" s="202" t="s">
        <v>97</v>
      </c>
      <c r="AA876" s="202"/>
      <c r="AB876" s="202" t="s">
        <v>1750</v>
      </c>
      <c r="AC876" s="202"/>
      <c r="AD876" s="202" t="s">
        <v>1152</v>
      </c>
      <c r="AE876" s="202" t="s">
        <v>1153</v>
      </c>
      <c r="AF876" s="203" t="s">
        <v>1154</v>
      </c>
      <c r="AG876" s="202"/>
      <c r="AH876" s="203" t="s">
        <v>1155</v>
      </c>
      <c r="AI876" s="202">
        <v>0</v>
      </c>
      <c r="AJ876" s="202">
        <v>0</v>
      </c>
    </row>
    <row r="877" spans="2:36">
      <c r="B877" s="203">
        <v>2180</v>
      </c>
      <c r="C877" s="207">
        <v>86800</v>
      </c>
      <c r="D877" s="203" t="s">
        <v>97</v>
      </c>
      <c r="E877" s="202" t="s">
        <v>1749</v>
      </c>
      <c r="F877" s="203">
        <v>68</v>
      </c>
      <c r="G877" s="202"/>
      <c r="H877" s="202" t="s">
        <v>1748</v>
      </c>
      <c r="I877" s="202"/>
      <c r="J877" s="202">
        <v>0</v>
      </c>
      <c r="K877" s="202" t="s">
        <v>1658</v>
      </c>
      <c r="L877" s="202"/>
      <c r="M877" s="202"/>
      <c r="N877" s="206">
        <v>40796</v>
      </c>
      <c r="O877" s="206">
        <v>40796</v>
      </c>
      <c r="P877" s="202" t="s">
        <v>1747</v>
      </c>
      <c r="Q877" s="203">
        <v>700</v>
      </c>
      <c r="R877" s="203">
        <v>14050</v>
      </c>
      <c r="S877" s="204">
        <v>3868.57</v>
      </c>
      <c r="T877" s="203">
        <v>14056</v>
      </c>
      <c r="U877" s="204">
        <v>3868.57</v>
      </c>
      <c r="V877" s="204">
        <f t="shared" si="25"/>
        <v>0</v>
      </c>
      <c r="W877" s="205">
        <v>0</v>
      </c>
      <c r="X877" s="203">
        <v>54260</v>
      </c>
      <c r="Y877" s="204">
        <v>0</v>
      </c>
      <c r="Z877" s="202" t="s">
        <v>97</v>
      </c>
      <c r="AA877" s="202"/>
      <c r="AB877" s="202" t="s">
        <v>1746</v>
      </c>
      <c r="AC877" s="202"/>
      <c r="AD877" s="202" t="s">
        <v>1152</v>
      </c>
      <c r="AE877" s="202" t="s">
        <v>1153</v>
      </c>
      <c r="AF877" s="203" t="s">
        <v>1154</v>
      </c>
      <c r="AG877" s="202"/>
      <c r="AH877" s="203" t="s">
        <v>1155</v>
      </c>
      <c r="AI877" s="202">
        <v>0</v>
      </c>
      <c r="AJ877" s="202">
        <v>0</v>
      </c>
    </row>
    <row r="878" spans="2:36">
      <c r="B878" s="203">
        <v>2180</v>
      </c>
      <c r="C878" s="207">
        <v>86524</v>
      </c>
      <c r="D878" s="203" t="s">
        <v>97</v>
      </c>
      <c r="E878" s="202" t="s">
        <v>1745</v>
      </c>
      <c r="F878" s="203">
        <v>0</v>
      </c>
      <c r="G878" s="202"/>
      <c r="H878" s="202"/>
      <c r="I878" s="202"/>
      <c r="J878" s="202">
        <v>0</v>
      </c>
      <c r="K878" s="202" t="s">
        <v>1429</v>
      </c>
      <c r="L878" s="202"/>
      <c r="M878" s="202"/>
      <c r="N878" s="206">
        <v>40787</v>
      </c>
      <c r="O878" s="206">
        <v>40787</v>
      </c>
      <c r="P878" s="202" t="s">
        <v>1744</v>
      </c>
      <c r="Q878" s="203">
        <v>300</v>
      </c>
      <c r="R878" s="203">
        <v>14110</v>
      </c>
      <c r="S878" s="204">
        <v>1006.03</v>
      </c>
      <c r="T878" s="203">
        <v>14116</v>
      </c>
      <c r="U878" s="204">
        <v>1006.03</v>
      </c>
      <c r="V878" s="204">
        <f t="shared" si="25"/>
        <v>0</v>
      </c>
      <c r="W878" s="205">
        <v>0</v>
      </c>
      <c r="X878" s="203">
        <v>70260</v>
      </c>
      <c r="Y878" s="204">
        <v>0</v>
      </c>
      <c r="Z878" s="202" t="s">
        <v>97</v>
      </c>
      <c r="AA878" s="202"/>
      <c r="AB878" s="202" t="s">
        <v>1743</v>
      </c>
      <c r="AC878" s="202"/>
      <c r="AD878" s="202" t="s">
        <v>1152</v>
      </c>
      <c r="AE878" s="202" t="s">
        <v>1153</v>
      </c>
      <c r="AF878" s="203" t="s">
        <v>1154</v>
      </c>
      <c r="AG878" s="202"/>
      <c r="AH878" s="203" t="s">
        <v>1155</v>
      </c>
      <c r="AI878" s="202">
        <v>0</v>
      </c>
      <c r="AJ878" s="202">
        <v>0</v>
      </c>
    </row>
    <row r="879" spans="2:36">
      <c r="B879" s="203">
        <v>2180</v>
      </c>
      <c r="C879" s="207">
        <v>86470</v>
      </c>
      <c r="D879" s="203" t="s">
        <v>97</v>
      </c>
      <c r="E879" s="202" t="s">
        <v>1742</v>
      </c>
      <c r="F879" s="203">
        <v>1</v>
      </c>
      <c r="G879" s="202"/>
      <c r="H879" s="202"/>
      <c r="I879" s="202"/>
      <c r="J879" s="202">
        <v>0</v>
      </c>
      <c r="K879" s="202" t="s">
        <v>1741</v>
      </c>
      <c r="L879" s="202"/>
      <c r="M879" s="202" t="s">
        <v>1573</v>
      </c>
      <c r="N879" s="206">
        <v>40794</v>
      </c>
      <c r="O879" s="206">
        <v>40794</v>
      </c>
      <c r="P879" s="202" t="s">
        <v>1740</v>
      </c>
      <c r="Q879" s="203">
        <v>1200</v>
      </c>
      <c r="R879" s="203">
        <v>14050</v>
      </c>
      <c r="S879" s="204">
        <v>538.63</v>
      </c>
      <c r="T879" s="203">
        <v>14056</v>
      </c>
      <c r="U879" s="204">
        <v>482.55</v>
      </c>
      <c r="V879" s="204">
        <f t="shared" si="25"/>
        <v>56.079999999999984</v>
      </c>
      <c r="W879" s="205">
        <v>18.7</v>
      </c>
      <c r="X879" s="203">
        <v>54260</v>
      </c>
      <c r="Y879" s="204">
        <v>3.74</v>
      </c>
      <c r="Z879" s="202" t="s">
        <v>97</v>
      </c>
      <c r="AA879" s="202"/>
      <c r="AB879" s="202">
        <v>61221</v>
      </c>
      <c r="AC879" s="202"/>
      <c r="AD879" s="202" t="s">
        <v>1152</v>
      </c>
      <c r="AE879" s="202" t="s">
        <v>1153</v>
      </c>
      <c r="AF879" s="203" t="s">
        <v>1154</v>
      </c>
      <c r="AG879" s="208">
        <v>41698</v>
      </c>
      <c r="AH879" s="203" t="s">
        <v>1155</v>
      </c>
      <c r="AI879" s="202">
        <v>1</v>
      </c>
      <c r="AJ879" s="202">
        <v>112.21</v>
      </c>
    </row>
    <row r="880" spans="2:36">
      <c r="B880" s="203">
        <v>2180</v>
      </c>
      <c r="C880" s="207">
        <v>86469</v>
      </c>
      <c r="D880" s="203" t="s">
        <v>97</v>
      </c>
      <c r="E880" s="202" t="s">
        <v>1742</v>
      </c>
      <c r="F880" s="203">
        <v>4</v>
      </c>
      <c r="G880" s="202"/>
      <c r="H880" s="202"/>
      <c r="I880" s="202"/>
      <c r="J880" s="202">
        <v>0</v>
      </c>
      <c r="K880" s="202" t="s">
        <v>1741</v>
      </c>
      <c r="L880" s="202"/>
      <c r="M880" s="202" t="s">
        <v>1573</v>
      </c>
      <c r="N880" s="206">
        <v>40794</v>
      </c>
      <c r="O880" s="206">
        <v>40794</v>
      </c>
      <c r="P880" s="202" t="s">
        <v>1740</v>
      </c>
      <c r="Q880" s="203">
        <v>1200</v>
      </c>
      <c r="R880" s="203">
        <v>14050</v>
      </c>
      <c r="S880" s="204">
        <v>1923.68</v>
      </c>
      <c r="T880" s="203">
        <v>14056</v>
      </c>
      <c r="U880" s="204">
        <v>1723.34</v>
      </c>
      <c r="V880" s="204">
        <f t="shared" si="25"/>
        <v>200.34000000000015</v>
      </c>
      <c r="W880" s="205">
        <v>66.8</v>
      </c>
      <c r="X880" s="203">
        <v>54260</v>
      </c>
      <c r="Y880" s="204">
        <v>13.36</v>
      </c>
      <c r="Z880" s="202" t="s">
        <v>97</v>
      </c>
      <c r="AA880" s="202"/>
      <c r="AB880" s="202">
        <v>61276</v>
      </c>
      <c r="AC880" s="202"/>
      <c r="AD880" s="202" t="s">
        <v>1152</v>
      </c>
      <c r="AE880" s="202" t="s">
        <v>1153</v>
      </c>
      <c r="AF880" s="203" t="s">
        <v>1154</v>
      </c>
      <c r="AG880" s="202"/>
      <c r="AH880" s="203" t="s">
        <v>1155</v>
      </c>
      <c r="AI880" s="202">
        <v>0</v>
      </c>
      <c r="AJ880" s="202">
        <v>0</v>
      </c>
    </row>
    <row r="881" spans="2:36">
      <c r="B881" s="203">
        <v>2180</v>
      </c>
      <c r="C881" s="207">
        <v>86148</v>
      </c>
      <c r="D881" s="203">
        <v>85917</v>
      </c>
      <c r="E881" s="202" t="s">
        <v>1739</v>
      </c>
      <c r="F881" s="203">
        <v>0</v>
      </c>
      <c r="G881" s="202"/>
      <c r="H881" s="202" t="s">
        <v>1734</v>
      </c>
      <c r="I881" s="202"/>
      <c r="J881" s="202">
        <v>2012</v>
      </c>
      <c r="K881" s="202"/>
      <c r="L881" s="202"/>
      <c r="M881" s="202" t="s">
        <v>1404</v>
      </c>
      <c r="N881" s="206">
        <v>40760</v>
      </c>
      <c r="O881" s="206">
        <v>40760</v>
      </c>
      <c r="P881" s="202" t="s">
        <v>1731</v>
      </c>
      <c r="Q881" s="203">
        <v>1000</v>
      </c>
      <c r="R881" s="203">
        <v>14040</v>
      </c>
      <c r="S881" s="204">
        <v>2451.19</v>
      </c>
      <c r="T881" s="203">
        <v>14046</v>
      </c>
      <c r="U881" s="204">
        <v>2451.19</v>
      </c>
      <c r="V881" s="204">
        <f t="shared" si="25"/>
        <v>0</v>
      </c>
      <c r="W881" s="205">
        <v>0</v>
      </c>
      <c r="X881" s="203">
        <v>51260</v>
      </c>
      <c r="Y881" s="204">
        <v>0</v>
      </c>
      <c r="Z881" s="202" t="s">
        <v>97</v>
      </c>
      <c r="AA881" s="202"/>
      <c r="AB881" s="202" t="s">
        <v>1738</v>
      </c>
      <c r="AC881" s="202"/>
      <c r="AD881" s="202" t="s">
        <v>1152</v>
      </c>
      <c r="AE881" s="202" t="s">
        <v>1153</v>
      </c>
      <c r="AF881" s="203" t="s">
        <v>1154</v>
      </c>
      <c r="AG881" s="202"/>
      <c r="AH881" s="203" t="s">
        <v>1155</v>
      </c>
      <c r="AI881" s="202">
        <v>0</v>
      </c>
      <c r="AJ881" s="202">
        <v>0</v>
      </c>
    </row>
    <row r="882" spans="2:36">
      <c r="B882" s="203">
        <v>2180</v>
      </c>
      <c r="C882" s="207">
        <v>86147</v>
      </c>
      <c r="D882" s="203">
        <v>85917</v>
      </c>
      <c r="E882" s="202" t="s">
        <v>1737</v>
      </c>
      <c r="F882" s="203">
        <v>0</v>
      </c>
      <c r="G882" s="202"/>
      <c r="H882" s="202" t="s">
        <v>1734</v>
      </c>
      <c r="I882" s="202"/>
      <c r="J882" s="202">
        <v>2012</v>
      </c>
      <c r="K882" s="202"/>
      <c r="L882" s="202"/>
      <c r="M882" s="202" t="s">
        <v>1404</v>
      </c>
      <c r="N882" s="206">
        <v>40760</v>
      </c>
      <c r="O882" s="206">
        <v>40760</v>
      </c>
      <c r="P882" s="202" t="s">
        <v>1731</v>
      </c>
      <c r="Q882" s="203">
        <v>1000</v>
      </c>
      <c r="R882" s="203">
        <v>14040</v>
      </c>
      <c r="S882" s="204">
        <v>137814.17000000001</v>
      </c>
      <c r="T882" s="203">
        <v>14046</v>
      </c>
      <c r="U882" s="204">
        <v>137814.17000000001</v>
      </c>
      <c r="V882" s="204">
        <f t="shared" si="25"/>
        <v>0</v>
      </c>
      <c r="W882" s="205">
        <v>0</v>
      </c>
      <c r="X882" s="203">
        <v>51260</v>
      </c>
      <c r="Y882" s="204">
        <v>0</v>
      </c>
      <c r="Z882" s="202" t="s">
        <v>97</v>
      </c>
      <c r="AA882" s="202"/>
      <c r="AB882" s="202" t="s">
        <v>1736</v>
      </c>
      <c r="AC882" s="202"/>
      <c r="AD882" s="202" t="s">
        <v>1152</v>
      </c>
      <c r="AE882" s="202" t="s">
        <v>1153</v>
      </c>
      <c r="AF882" s="203" t="s">
        <v>1154</v>
      </c>
      <c r="AG882" s="202"/>
      <c r="AH882" s="203" t="s">
        <v>1155</v>
      </c>
      <c r="AI882" s="202">
        <v>0</v>
      </c>
      <c r="AJ882" s="202">
        <v>0</v>
      </c>
    </row>
    <row r="883" spans="2:36">
      <c r="B883" s="203">
        <v>2180</v>
      </c>
      <c r="C883" s="207">
        <v>85917</v>
      </c>
      <c r="D883" s="203" t="s">
        <v>97</v>
      </c>
      <c r="E883" s="202" t="s">
        <v>1735</v>
      </c>
      <c r="F883" s="203">
        <v>0</v>
      </c>
      <c r="G883" s="202"/>
      <c r="H883" s="202" t="s">
        <v>1734</v>
      </c>
      <c r="I883" s="202"/>
      <c r="J883" s="202">
        <v>2012</v>
      </c>
      <c r="K883" s="202" t="s">
        <v>1733</v>
      </c>
      <c r="L883" s="202" t="s">
        <v>1732</v>
      </c>
      <c r="M883" s="202" t="s">
        <v>1404</v>
      </c>
      <c r="N883" s="206">
        <v>40760</v>
      </c>
      <c r="O883" s="206">
        <v>40760</v>
      </c>
      <c r="P883" s="202" t="s">
        <v>1731</v>
      </c>
      <c r="Q883" s="203">
        <v>1000</v>
      </c>
      <c r="R883" s="203">
        <v>14040</v>
      </c>
      <c r="S883" s="204">
        <v>156624.20000000001</v>
      </c>
      <c r="T883" s="203">
        <v>14046</v>
      </c>
      <c r="U883" s="204">
        <v>156624.20000000001</v>
      </c>
      <c r="V883" s="204">
        <f t="shared" si="25"/>
        <v>0</v>
      </c>
      <c r="W883" s="205">
        <v>0</v>
      </c>
      <c r="X883" s="203">
        <v>51260</v>
      </c>
      <c r="Y883" s="204">
        <v>0</v>
      </c>
      <c r="Z883" s="202" t="s">
        <v>97</v>
      </c>
      <c r="AA883" s="202"/>
      <c r="AB883" s="202" t="s">
        <v>1730</v>
      </c>
      <c r="AC883" s="202">
        <v>3631</v>
      </c>
      <c r="AD883" s="202" t="s">
        <v>1152</v>
      </c>
      <c r="AE883" s="202" t="s">
        <v>1153</v>
      </c>
      <c r="AF883" s="203" t="s">
        <v>1154</v>
      </c>
      <c r="AG883" s="202"/>
      <c r="AH883" s="203" t="s">
        <v>1155</v>
      </c>
      <c r="AI883" s="202">
        <v>0</v>
      </c>
      <c r="AJ883" s="202">
        <v>0</v>
      </c>
    </row>
    <row r="884" spans="2:36">
      <c r="B884" s="203">
        <v>2180</v>
      </c>
      <c r="C884" s="207">
        <v>85654</v>
      </c>
      <c r="D884" s="203" t="s">
        <v>97</v>
      </c>
      <c r="E884" s="202" t="s">
        <v>1729</v>
      </c>
      <c r="F884" s="203">
        <v>0</v>
      </c>
      <c r="G884" s="202"/>
      <c r="H884" s="202"/>
      <c r="I884" s="202"/>
      <c r="J884" s="202">
        <v>0</v>
      </c>
      <c r="K884" s="202" t="s">
        <v>1576</v>
      </c>
      <c r="L884" s="202"/>
      <c r="M884" s="202"/>
      <c r="N884" s="206">
        <v>40757</v>
      </c>
      <c r="O884" s="206">
        <v>40757</v>
      </c>
      <c r="P884" s="202" t="s">
        <v>1728</v>
      </c>
      <c r="Q884" s="203">
        <v>300</v>
      </c>
      <c r="R884" s="203">
        <v>14110</v>
      </c>
      <c r="S884" s="204">
        <v>7261.89</v>
      </c>
      <c r="T884" s="203">
        <v>14116</v>
      </c>
      <c r="U884" s="204">
        <v>7261.89</v>
      </c>
      <c r="V884" s="204">
        <f t="shared" si="25"/>
        <v>0</v>
      </c>
      <c r="W884" s="205">
        <v>0</v>
      </c>
      <c r="X884" s="203">
        <v>70260</v>
      </c>
      <c r="Y884" s="204">
        <v>0</v>
      </c>
      <c r="Z884" s="202" t="s">
        <v>97</v>
      </c>
      <c r="AA884" s="202"/>
      <c r="AB884" s="202">
        <v>93640</v>
      </c>
      <c r="AC884" s="202"/>
      <c r="AD884" s="202" t="s">
        <v>1152</v>
      </c>
      <c r="AE884" s="202" t="s">
        <v>1153</v>
      </c>
      <c r="AF884" s="203" t="s">
        <v>1154</v>
      </c>
      <c r="AG884" s="202"/>
      <c r="AH884" s="203" t="s">
        <v>1155</v>
      </c>
      <c r="AI884" s="202">
        <v>0</v>
      </c>
      <c r="AJ884" s="202">
        <v>0</v>
      </c>
    </row>
    <row r="885" spans="2:36">
      <c r="B885" s="203">
        <v>2180</v>
      </c>
      <c r="C885" s="207">
        <v>85005</v>
      </c>
      <c r="D885" s="203" t="s">
        <v>97</v>
      </c>
      <c r="E885" s="202" t="s">
        <v>1727</v>
      </c>
      <c r="F885" s="203">
        <v>0</v>
      </c>
      <c r="G885" s="202"/>
      <c r="H885" s="202"/>
      <c r="I885" s="202"/>
      <c r="J885" s="202">
        <v>0</v>
      </c>
      <c r="K885" s="202" t="s">
        <v>1641</v>
      </c>
      <c r="L885" s="202"/>
      <c r="M885" s="202"/>
      <c r="N885" s="206">
        <v>40633</v>
      </c>
      <c r="O885" s="206">
        <v>40633</v>
      </c>
      <c r="P885" s="202" t="s">
        <v>1644</v>
      </c>
      <c r="Q885" s="203">
        <v>2000</v>
      </c>
      <c r="R885" s="203">
        <v>14080</v>
      </c>
      <c r="S885" s="204">
        <v>23372.76</v>
      </c>
      <c r="T885" s="203">
        <v>14086</v>
      </c>
      <c r="U885" s="204">
        <v>13049.81</v>
      </c>
      <c r="V885" s="204">
        <f t="shared" si="25"/>
        <v>10322.949999999999</v>
      </c>
      <c r="W885" s="205">
        <v>486.93</v>
      </c>
      <c r="X885" s="203">
        <v>57260</v>
      </c>
      <c r="Y885" s="204">
        <v>97.38</v>
      </c>
      <c r="Z885" s="202" t="s">
        <v>97</v>
      </c>
      <c r="AA885" s="202"/>
      <c r="AB885" s="202">
        <v>123514</v>
      </c>
      <c r="AC885" s="202"/>
      <c r="AD885" s="202" t="s">
        <v>1152</v>
      </c>
      <c r="AE885" s="202" t="s">
        <v>1153</v>
      </c>
      <c r="AF885" s="203" t="s">
        <v>1154</v>
      </c>
      <c r="AG885" s="202"/>
      <c r="AH885" s="203" t="s">
        <v>1155</v>
      </c>
      <c r="AI885" s="202">
        <v>0</v>
      </c>
      <c r="AJ885" s="202">
        <v>0</v>
      </c>
    </row>
    <row r="886" spans="2:36">
      <c r="B886" s="203">
        <v>2180</v>
      </c>
      <c r="C886" s="207">
        <v>85004</v>
      </c>
      <c r="D886" s="203" t="s">
        <v>97</v>
      </c>
      <c r="E886" s="202" t="s">
        <v>1727</v>
      </c>
      <c r="F886" s="203">
        <v>0</v>
      </c>
      <c r="G886" s="202"/>
      <c r="H886" s="202"/>
      <c r="I886" s="202"/>
      <c r="J886" s="202">
        <v>0</v>
      </c>
      <c r="K886" s="202" t="s">
        <v>1641</v>
      </c>
      <c r="L886" s="202"/>
      <c r="M886" s="202"/>
      <c r="N886" s="206">
        <v>40633</v>
      </c>
      <c r="O886" s="206">
        <v>40633</v>
      </c>
      <c r="P886" s="202" t="s">
        <v>1644</v>
      </c>
      <c r="Q886" s="203">
        <v>2000</v>
      </c>
      <c r="R886" s="203">
        <v>14080</v>
      </c>
      <c r="S886" s="204">
        <v>2133.77</v>
      </c>
      <c r="T886" s="203">
        <v>14086</v>
      </c>
      <c r="U886" s="204">
        <v>1191.3699999999999</v>
      </c>
      <c r="V886" s="204">
        <f t="shared" si="25"/>
        <v>942.40000000000009</v>
      </c>
      <c r="W886" s="205">
        <v>44.45</v>
      </c>
      <c r="X886" s="203">
        <v>57260</v>
      </c>
      <c r="Y886" s="204">
        <v>8.89</v>
      </c>
      <c r="Z886" s="202" t="s">
        <v>97</v>
      </c>
      <c r="AA886" s="202"/>
      <c r="AB886" s="202">
        <v>123514</v>
      </c>
      <c r="AC886" s="202"/>
      <c r="AD886" s="202" t="s">
        <v>1152</v>
      </c>
      <c r="AE886" s="202" t="s">
        <v>1153</v>
      </c>
      <c r="AF886" s="203" t="s">
        <v>1154</v>
      </c>
      <c r="AG886" s="202"/>
      <c r="AH886" s="203" t="s">
        <v>1155</v>
      </c>
      <c r="AI886" s="202">
        <v>0</v>
      </c>
      <c r="AJ886" s="202">
        <v>0</v>
      </c>
    </row>
    <row r="887" spans="2:36">
      <c r="B887" s="203">
        <v>2180</v>
      </c>
      <c r="C887" s="207">
        <v>84734</v>
      </c>
      <c r="D887" s="203">
        <v>80461</v>
      </c>
      <c r="E887" s="202" t="s">
        <v>1726</v>
      </c>
      <c r="F887" s="203">
        <v>0</v>
      </c>
      <c r="G887" s="202"/>
      <c r="H887" s="202"/>
      <c r="I887" s="202"/>
      <c r="J887" s="202">
        <v>0</v>
      </c>
      <c r="K887" s="202" t="s">
        <v>1633</v>
      </c>
      <c r="L887" s="202"/>
      <c r="M887" s="202"/>
      <c r="N887" s="206">
        <v>40633</v>
      </c>
      <c r="O887" s="206">
        <v>40633</v>
      </c>
      <c r="P887" s="202" t="s">
        <v>1597</v>
      </c>
      <c r="Q887" s="203">
        <v>1000</v>
      </c>
      <c r="R887" s="203">
        <v>14100</v>
      </c>
      <c r="S887" s="204">
        <v>1695.95</v>
      </c>
      <c r="T887" s="203">
        <v>14106</v>
      </c>
      <c r="U887" s="204">
        <v>1695.95</v>
      </c>
      <c r="V887" s="204">
        <f t="shared" si="25"/>
        <v>0</v>
      </c>
      <c r="W887" s="205">
        <v>0</v>
      </c>
      <c r="X887" s="203">
        <v>70260</v>
      </c>
      <c r="Y887" s="204">
        <v>0</v>
      </c>
      <c r="Z887" s="202" t="s">
        <v>97</v>
      </c>
      <c r="AA887" s="202"/>
      <c r="AB887" s="202">
        <v>201763</v>
      </c>
      <c r="AC887" s="202"/>
      <c r="AD887" s="202" t="s">
        <v>1152</v>
      </c>
      <c r="AE887" s="202" t="s">
        <v>1153</v>
      </c>
      <c r="AF887" s="203" t="s">
        <v>1154</v>
      </c>
      <c r="AG887" s="202"/>
      <c r="AH887" s="203" t="s">
        <v>1155</v>
      </c>
      <c r="AI887" s="202">
        <v>0</v>
      </c>
      <c r="AJ887" s="202">
        <v>0</v>
      </c>
    </row>
    <row r="888" spans="2:36">
      <c r="B888" s="203">
        <v>2180</v>
      </c>
      <c r="C888" s="207">
        <v>84732</v>
      </c>
      <c r="D888" s="203">
        <v>80461</v>
      </c>
      <c r="E888" s="202" t="s">
        <v>1725</v>
      </c>
      <c r="F888" s="203">
        <v>0</v>
      </c>
      <c r="G888" s="202"/>
      <c r="H888" s="202"/>
      <c r="I888" s="202"/>
      <c r="J888" s="202">
        <v>0</v>
      </c>
      <c r="K888" s="202" t="s">
        <v>1429</v>
      </c>
      <c r="L888" s="202"/>
      <c r="M888" s="202"/>
      <c r="N888" s="206">
        <v>40633</v>
      </c>
      <c r="O888" s="206">
        <v>40633</v>
      </c>
      <c r="P888" s="202" t="s">
        <v>1644</v>
      </c>
      <c r="Q888" s="203">
        <v>500</v>
      </c>
      <c r="R888" s="203">
        <v>14100</v>
      </c>
      <c r="S888" s="204">
        <v>3960.18</v>
      </c>
      <c r="T888" s="203">
        <v>14106</v>
      </c>
      <c r="U888" s="204">
        <v>3960.18</v>
      </c>
      <c r="V888" s="204">
        <f t="shared" si="25"/>
        <v>0</v>
      </c>
      <c r="W888" s="205">
        <v>0</v>
      </c>
      <c r="X888" s="203">
        <v>70260</v>
      </c>
      <c r="Y888" s="204">
        <v>0</v>
      </c>
      <c r="Z888" s="202" t="s">
        <v>97</v>
      </c>
      <c r="AA888" s="202"/>
      <c r="AB888" s="202">
        <v>17783</v>
      </c>
      <c r="AC888" s="202"/>
      <c r="AD888" s="202" t="s">
        <v>1152</v>
      </c>
      <c r="AE888" s="202" t="s">
        <v>1153</v>
      </c>
      <c r="AF888" s="203" t="s">
        <v>1154</v>
      </c>
      <c r="AG888" s="202"/>
      <c r="AH888" s="203" t="s">
        <v>1155</v>
      </c>
      <c r="AI888" s="202">
        <v>0</v>
      </c>
      <c r="AJ888" s="202">
        <v>0</v>
      </c>
    </row>
    <row r="889" spans="2:36">
      <c r="B889" s="203">
        <v>2180</v>
      </c>
      <c r="C889" s="207">
        <v>84730</v>
      </c>
      <c r="D889" s="203">
        <v>80461</v>
      </c>
      <c r="E889" s="202" t="s">
        <v>1724</v>
      </c>
      <c r="F889" s="203">
        <v>0</v>
      </c>
      <c r="G889" s="202"/>
      <c r="H889" s="202"/>
      <c r="I889" s="202"/>
      <c r="J889" s="202">
        <v>0</v>
      </c>
      <c r="K889" s="202" t="s">
        <v>1723</v>
      </c>
      <c r="L889" s="202"/>
      <c r="M889" s="202"/>
      <c r="N889" s="206">
        <v>40633</v>
      </c>
      <c r="O889" s="206">
        <v>40633</v>
      </c>
      <c r="P889" s="202" t="s">
        <v>1644</v>
      </c>
      <c r="Q889" s="203">
        <v>2000</v>
      </c>
      <c r="R889" s="203">
        <v>14080</v>
      </c>
      <c r="S889" s="204">
        <v>2240.65</v>
      </c>
      <c r="T889" s="203">
        <v>14086</v>
      </c>
      <c r="U889" s="204">
        <v>1251.01</v>
      </c>
      <c r="V889" s="204">
        <f t="shared" si="25"/>
        <v>989.6400000000001</v>
      </c>
      <c r="W889" s="205">
        <v>46.68</v>
      </c>
      <c r="X889" s="203">
        <v>57260</v>
      </c>
      <c r="Y889" s="204">
        <v>9.34</v>
      </c>
      <c r="Z889" s="202" t="s">
        <v>97</v>
      </c>
      <c r="AA889" s="202"/>
      <c r="AB889" s="202">
        <v>42811</v>
      </c>
      <c r="AC889" s="202"/>
      <c r="AD889" s="202" t="s">
        <v>1152</v>
      </c>
      <c r="AE889" s="202" t="s">
        <v>1153</v>
      </c>
      <c r="AF889" s="203" t="s">
        <v>1154</v>
      </c>
      <c r="AG889" s="202"/>
      <c r="AH889" s="203" t="s">
        <v>1155</v>
      </c>
      <c r="AI889" s="202">
        <v>0</v>
      </c>
      <c r="AJ889" s="202">
        <v>0</v>
      </c>
    </row>
    <row r="890" spans="2:36">
      <c r="B890" s="203">
        <v>2180</v>
      </c>
      <c r="C890" s="207">
        <v>84654</v>
      </c>
      <c r="D890" s="203" t="s">
        <v>97</v>
      </c>
      <c r="E890" s="202" t="s">
        <v>1722</v>
      </c>
      <c r="F890" s="203">
        <v>0</v>
      </c>
      <c r="G890" s="202"/>
      <c r="H890" s="202" t="s">
        <v>1721</v>
      </c>
      <c r="I890" s="202"/>
      <c r="J890" s="202">
        <v>2006</v>
      </c>
      <c r="K890" s="202" t="s">
        <v>1720</v>
      </c>
      <c r="L890" s="202" t="s">
        <v>1719</v>
      </c>
      <c r="M890" s="202" t="s">
        <v>1412</v>
      </c>
      <c r="N890" s="206">
        <v>40688</v>
      </c>
      <c r="O890" s="206">
        <v>40688</v>
      </c>
      <c r="P890" s="202" t="s">
        <v>1718</v>
      </c>
      <c r="Q890" s="203">
        <v>500</v>
      </c>
      <c r="R890" s="203">
        <v>14030</v>
      </c>
      <c r="S890" s="204">
        <v>21323.33</v>
      </c>
      <c r="T890" s="203">
        <v>14036</v>
      </c>
      <c r="U890" s="204">
        <v>21323.33</v>
      </c>
      <c r="V890" s="204">
        <f t="shared" si="25"/>
        <v>0</v>
      </c>
      <c r="W890" s="205">
        <v>0</v>
      </c>
      <c r="X890" s="203">
        <v>51260</v>
      </c>
      <c r="Y890" s="204">
        <v>0</v>
      </c>
      <c r="Z890" s="202" t="s">
        <v>97</v>
      </c>
      <c r="AA890" s="202"/>
      <c r="AB890" s="202" t="s">
        <v>1717</v>
      </c>
      <c r="AC890" s="202">
        <v>7036</v>
      </c>
      <c r="AD890" s="202" t="s">
        <v>1152</v>
      </c>
      <c r="AE890" s="202" t="s">
        <v>1153</v>
      </c>
      <c r="AF890" s="203" t="s">
        <v>1154</v>
      </c>
      <c r="AG890" s="202"/>
      <c r="AH890" s="203" t="s">
        <v>1155</v>
      </c>
      <c r="AI890" s="202">
        <v>0</v>
      </c>
      <c r="AJ890" s="202">
        <v>0</v>
      </c>
    </row>
    <row r="891" spans="2:36">
      <c r="B891" s="203">
        <v>2180</v>
      </c>
      <c r="C891" s="207">
        <v>84597</v>
      </c>
      <c r="D891" s="203">
        <v>80461</v>
      </c>
      <c r="E891" s="202" t="s">
        <v>1716</v>
      </c>
      <c r="F891" s="203">
        <v>0</v>
      </c>
      <c r="G891" s="202"/>
      <c r="H891" s="202"/>
      <c r="I891" s="202"/>
      <c r="J891" s="202">
        <v>0</v>
      </c>
      <c r="K891" s="202" t="s">
        <v>1639</v>
      </c>
      <c r="L891" s="202"/>
      <c r="M891" s="202"/>
      <c r="N891" s="206">
        <v>40633</v>
      </c>
      <c r="O891" s="206">
        <v>40633</v>
      </c>
      <c r="P891" s="202" t="s">
        <v>1644</v>
      </c>
      <c r="Q891" s="203">
        <v>2000</v>
      </c>
      <c r="R891" s="203">
        <v>14080</v>
      </c>
      <c r="S891" s="204">
        <v>3166.67</v>
      </c>
      <c r="T891" s="203">
        <v>14086</v>
      </c>
      <c r="U891" s="204">
        <v>1768.02</v>
      </c>
      <c r="V891" s="204">
        <f t="shared" si="25"/>
        <v>1398.65</v>
      </c>
      <c r="W891" s="205">
        <v>65.97</v>
      </c>
      <c r="X891" s="203">
        <v>57260</v>
      </c>
      <c r="Y891" s="204">
        <v>13.19</v>
      </c>
      <c r="Z891" s="202" t="s">
        <v>97</v>
      </c>
      <c r="AA891" s="202"/>
      <c r="AB891" s="202" t="s">
        <v>1715</v>
      </c>
      <c r="AC891" s="202"/>
      <c r="AD891" s="202" t="s">
        <v>1152</v>
      </c>
      <c r="AE891" s="202" t="s">
        <v>1153</v>
      </c>
      <c r="AF891" s="203" t="s">
        <v>1154</v>
      </c>
      <c r="AG891" s="202"/>
      <c r="AH891" s="203" t="s">
        <v>1155</v>
      </c>
      <c r="AI891" s="202">
        <v>0</v>
      </c>
      <c r="AJ891" s="202">
        <v>0</v>
      </c>
    </row>
    <row r="892" spans="2:36">
      <c r="B892" s="203">
        <v>2180</v>
      </c>
      <c r="C892" s="207">
        <v>84596</v>
      </c>
      <c r="D892" s="203">
        <v>80461</v>
      </c>
      <c r="E892" s="202" t="s">
        <v>1646</v>
      </c>
      <c r="F892" s="203">
        <v>0</v>
      </c>
      <c r="G892" s="202"/>
      <c r="H892" s="202"/>
      <c r="I892" s="202"/>
      <c r="J892" s="202">
        <v>0</v>
      </c>
      <c r="K892" s="202" t="s">
        <v>1698</v>
      </c>
      <c r="L892" s="202"/>
      <c r="M892" s="202"/>
      <c r="N892" s="206">
        <v>40633</v>
      </c>
      <c r="O892" s="206">
        <v>40633</v>
      </c>
      <c r="P892" s="202" t="s">
        <v>1644</v>
      </c>
      <c r="Q892" s="203">
        <v>2000</v>
      </c>
      <c r="R892" s="203">
        <v>14080</v>
      </c>
      <c r="S892" s="204">
        <v>555</v>
      </c>
      <c r="T892" s="203">
        <v>14086</v>
      </c>
      <c r="U892" s="204">
        <v>309.87</v>
      </c>
      <c r="V892" s="204">
        <f t="shared" si="25"/>
        <v>245.13</v>
      </c>
      <c r="W892" s="205">
        <v>11.56</v>
      </c>
      <c r="X892" s="203">
        <v>57260</v>
      </c>
      <c r="Y892" s="204">
        <v>2.31</v>
      </c>
      <c r="Z892" s="202" t="s">
        <v>97</v>
      </c>
      <c r="AA892" s="202"/>
      <c r="AB892" s="202">
        <v>25361</v>
      </c>
      <c r="AC892" s="202"/>
      <c r="AD892" s="202" t="s">
        <v>1152</v>
      </c>
      <c r="AE892" s="202" t="s">
        <v>1153</v>
      </c>
      <c r="AF892" s="203" t="s">
        <v>1154</v>
      </c>
      <c r="AG892" s="202"/>
      <c r="AH892" s="203" t="s">
        <v>1155</v>
      </c>
      <c r="AI892" s="202">
        <v>0</v>
      </c>
      <c r="AJ892" s="202">
        <v>0</v>
      </c>
    </row>
    <row r="893" spans="2:36">
      <c r="B893" s="203">
        <v>2180</v>
      </c>
      <c r="C893" s="207">
        <v>84595</v>
      </c>
      <c r="D893" s="203">
        <v>80461</v>
      </c>
      <c r="E893" s="202" t="s">
        <v>1646</v>
      </c>
      <c r="F893" s="203">
        <v>0</v>
      </c>
      <c r="G893" s="202"/>
      <c r="H893" s="202"/>
      <c r="I893" s="202"/>
      <c r="J893" s="202">
        <v>0</v>
      </c>
      <c r="K893" s="202" t="s">
        <v>1698</v>
      </c>
      <c r="L893" s="202"/>
      <c r="M893" s="202"/>
      <c r="N893" s="206">
        <v>40633</v>
      </c>
      <c r="O893" s="206">
        <v>40633</v>
      </c>
      <c r="P893" s="202" t="s">
        <v>1644</v>
      </c>
      <c r="Q893" s="203">
        <v>2000</v>
      </c>
      <c r="R893" s="203">
        <v>14080</v>
      </c>
      <c r="S893" s="204">
        <v>8571.02</v>
      </c>
      <c r="T893" s="203">
        <v>14086</v>
      </c>
      <c r="U893" s="204">
        <v>4785.47</v>
      </c>
      <c r="V893" s="204">
        <f t="shared" si="25"/>
        <v>3785.55</v>
      </c>
      <c r="W893" s="205">
        <v>178.56</v>
      </c>
      <c r="X893" s="203">
        <v>57260</v>
      </c>
      <c r="Y893" s="204">
        <v>35.71</v>
      </c>
      <c r="Z893" s="202" t="s">
        <v>97</v>
      </c>
      <c r="AA893" s="202"/>
      <c r="AB893" s="202">
        <v>24657</v>
      </c>
      <c r="AC893" s="202"/>
      <c r="AD893" s="202" t="s">
        <v>1152</v>
      </c>
      <c r="AE893" s="202" t="s">
        <v>1153</v>
      </c>
      <c r="AF893" s="203" t="s">
        <v>1154</v>
      </c>
      <c r="AG893" s="202"/>
      <c r="AH893" s="203" t="s">
        <v>1155</v>
      </c>
      <c r="AI893" s="202">
        <v>0</v>
      </c>
      <c r="AJ893" s="202">
        <v>0</v>
      </c>
    </row>
    <row r="894" spans="2:36">
      <c r="B894" s="203">
        <v>2180</v>
      </c>
      <c r="C894" s="207">
        <v>84594</v>
      </c>
      <c r="D894" s="203">
        <v>80461</v>
      </c>
      <c r="E894" s="202" t="s">
        <v>1646</v>
      </c>
      <c r="F894" s="203">
        <v>0</v>
      </c>
      <c r="G894" s="202"/>
      <c r="H894" s="202"/>
      <c r="I894" s="202"/>
      <c r="J894" s="202">
        <v>0</v>
      </c>
      <c r="K894" s="202" t="s">
        <v>1698</v>
      </c>
      <c r="L894" s="202"/>
      <c r="M894" s="202"/>
      <c r="N894" s="206">
        <v>40633</v>
      </c>
      <c r="O894" s="206">
        <v>40633</v>
      </c>
      <c r="P894" s="202" t="s">
        <v>1644</v>
      </c>
      <c r="Q894" s="203">
        <v>2000</v>
      </c>
      <c r="R894" s="203">
        <v>14080</v>
      </c>
      <c r="S894" s="204">
        <v>2739.6</v>
      </c>
      <c r="T894" s="203">
        <v>14086</v>
      </c>
      <c r="U894" s="204">
        <v>1529.53</v>
      </c>
      <c r="V894" s="204">
        <f t="shared" si="25"/>
        <v>1210.07</v>
      </c>
      <c r="W894" s="205">
        <v>57.08</v>
      </c>
      <c r="X894" s="203">
        <v>57260</v>
      </c>
      <c r="Y894" s="204">
        <v>11.42</v>
      </c>
      <c r="Z894" s="202" t="s">
        <v>97</v>
      </c>
      <c r="AA894" s="202"/>
      <c r="AB894" s="202">
        <v>24443</v>
      </c>
      <c r="AC894" s="202"/>
      <c r="AD894" s="202" t="s">
        <v>1152</v>
      </c>
      <c r="AE894" s="202" t="s">
        <v>1153</v>
      </c>
      <c r="AF894" s="203" t="s">
        <v>1154</v>
      </c>
      <c r="AG894" s="202"/>
      <c r="AH894" s="203" t="s">
        <v>1155</v>
      </c>
      <c r="AI894" s="202">
        <v>0</v>
      </c>
      <c r="AJ894" s="202">
        <v>0</v>
      </c>
    </row>
    <row r="895" spans="2:36">
      <c r="B895" s="203">
        <v>2180</v>
      </c>
      <c r="C895" s="207">
        <v>84593</v>
      </c>
      <c r="D895" s="203">
        <v>80461</v>
      </c>
      <c r="E895" s="202" t="s">
        <v>1646</v>
      </c>
      <c r="F895" s="203">
        <v>0</v>
      </c>
      <c r="G895" s="202"/>
      <c r="H895" s="202"/>
      <c r="I895" s="202"/>
      <c r="J895" s="202">
        <v>0</v>
      </c>
      <c r="K895" s="202" t="s">
        <v>1698</v>
      </c>
      <c r="L895" s="202"/>
      <c r="M895" s="202"/>
      <c r="N895" s="206">
        <v>40633</v>
      </c>
      <c r="O895" s="206">
        <v>40633</v>
      </c>
      <c r="P895" s="202" t="s">
        <v>1644</v>
      </c>
      <c r="Q895" s="203">
        <v>2000</v>
      </c>
      <c r="R895" s="203">
        <v>14080</v>
      </c>
      <c r="S895" s="204">
        <v>1676.81</v>
      </c>
      <c r="T895" s="203">
        <v>14086</v>
      </c>
      <c r="U895" s="204">
        <v>936.21</v>
      </c>
      <c r="V895" s="204">
        <f t="shared" si="25"/>
        <v>740.59999999999991</v>
      </c>
      <c r="W895" s="205">
        <v>34.93</v>
      </c>
      <c r="X895" s="203">
        <v>57260</v>
      </c>
      <c r="Y895" s="204">
        <v>6.98</v>
      </c>
      <c r="Z895" s="202" t="s">
        <v>97</v>
      </c>
      <c r="AA895" s="202"/>
      <c r="AB895" s="202">
        <v>24896</v>
      </c>
      <c r="AC895" s="202"/>
      <c r="AD895" s="202" t="s">
        <v>1152</v>
      </c>
      <c r="AE895" s="202" t="s">
        <v>1153</v>
      </c>
      <c r="AF895" s="203" t="s">
        <v>1154</v>
      </c>
      <c r="AG895" s="202"/>
      <c r="AH895" s="203" t="s">
        <v>1155</v>
      </c>
      <c r="AI895" s="202">
        <v>0</v>
      </c>
      <c r="AJ895" s="202">
        <v>0</v>
      </c>
    </row>
    <row r="896" spans="2:36">
      <c r="B896" s="203">
        <v>2180</v>
      </c>
      <c r="C896" s="207">
        <v>84592</v>
      </c>
      <c r="D896" s="203">
        <v>80461</v>
      </c>
      <c r="E896" s="202" t="s">
        <v>1646</v>
      </c>
      <c r="F896" s="203">
        <v>0</v>
      </c>
      <c r="G896" s="202"/>
      <c r="H896" s="202"/>
      <c r="I896" s="202"/>
      <c r="J896" s="202">
        <v>0</v>
      </c>
      <c r="K896" s="202" t="s">
        <v>1645</v>
      </c>
      <c r="L896" s="202"/>
      <c r="M896" s="202"/>
      <c r="N896" s="206">
        <v>40633</v>
      </c>
      <c r="O896" s="206">
        <v>40633</v>
      </c>
      <c r="P896" s="202" t="s">
        <v>1644</v>
      </c>
      <c r="Q896" s="203">
        <v>2000</v>
      </c>
      <c r="R896" s="203">
        <v>14080</v>
      </c>
      <c r="S896" s="204">
        <v>673</v>
      </c>
      <c r="T896" s="203">
        <v>14086</v>
      </c>
      <c r="U896" s="204">
        <v>375.76</v>
      </c>
      <c r="V896" s="204">
        <f t="shared" si="25"/>
        <v>297.24</v>
      </c>
      <c r="W896" s="205">
        <v>14.02</v>
      </c>
      <c r="X896" s="203">
        <v>57260</v>
      </c>
      <c r="Y896" s="204">
        <v>2.8</v>
      </c>
      <c r="Z896" s="202" t="s">
        <v>97</v>
      </c>
      <c r="AA896" s="202"/>
      <c r="AB896" s="202">
        <v>1000371</v>
      </c>
      <c r="AC896" s="202"/>
      <c r="AD896" s="202" t="s">
        <v>1152</v>
      </c>
      <c r="AE896" s="202" t="s">
        <v>1153</v>
      </c>
      <c r="AF896" s="203" t="s">
        <v>1154</v>
      </c>
      <c r="AG896" s="202"/>
      <c r="AH896" s="203" t="s">
        <v>1155</v>
      </c>
      <c r="AI896" s="202">
        <v>0</v>
      </c>
      <c r="AJ896" s="202">
        <v>0</v>
      </c>
    </row>
    <row r="897" spans="2:36">
      <c r="B897" s="203">
        <v>2180</v>
      </c>
      <c r="C897" s="207">
        <v>84591</v>
      </c>
      <c r="D897" s="203">
        <v>80461</v>
      </c>
      <c r="E897" s="202" t="s">
        <v>1714</v>
      </c>
      <c r="F897" s="203">
        <v>0</v>
      </c>
      <c r="G897" s="202"/>
      <c r="H897" s="202"/>
      <c r="I897" s="202"/>
      <c r="J897" s="202">
        <v>0</v>
      </c>
      <c r="K897" s="202" t="s">
        <v>1713</v>
      </c>
      <c r="L897" s="202"/>
      <c r="M897" s="202"/>
      <c r="N897" s="206">
        <v>40633</v>
      </c>
      <c r="O897" s="206">
        <v>40633</v>
      </c>
      <c r="P897" s="202" t="s">
        <v>1644</v>
      </c>
      <c r="Q897" s="203">
        <v>2000</v>
      </c>
      <c r="R897" s="203">
        <v>14080</v>
      </c>
      <c r="S897" s="204">
        <v>2011.12</v>
      </c>
      <c r="T897" s="203">
        <v>14086</v>
      </c>
      <c r="U897" s="204">
        <v>1122.92</v>
      </c>
      <c r="V897" s="204">
        <f t="shared" si="25"/>
        <v>888.19999999999982</v>
      </c>
      <c r="W897" s="205">
        <v>41.9</v>
      </c>
      <c r="X897" s="203">
        <v>57260</v>
      </c>
      <c r="Y897" s="204">
        <v>8.3800000000000008</v>
      </c>
      <c r="Z897" s="202" t="s">
        <v>97</v>
      </c>
      <c r="AA897" s="202"/>
      <c r="AB897" s="202">
        <v>1996.7</v>
      </c>
      <c r="AC897" s="202"/>
      <c r="AD897" s="202" t="s">
        <v>1152</v>
      </c>
      <c r="AE897" s="202" t="s">
        <v>1153</v>
      </c>
      <c r="AF897" s="203" t="s">
        <v>1154</v>
      </c>
      <c r="AG897" s="202"/>
      <c r="AH897" s="203" t="s">
        <v>1155</v>
      </c>
      <c r="AI897" s="202">
        <v>0</v>
      </c>
      <c r="AJ897" s="202">
        <v>0</v>
      </c>
    </row>
    <row r="898" spans="2:36">
      <c r="B898" s="203">
        <v>2180</v>
      </c>
      <c r="C898" s="207">
        <v>84590</v>
      </c>
      <c r="D898" s="203">
        <v>80461</v>
      </c>
      <c r="E898" s="202" t="s">
        <v>1712</v>
      </c>
      <c r="F898" s="203">
        <v>0</v>
      </c>
      <c r="G898" s="202"/>
      <c r="H898" s="202"/>
      <c r="I898" s="202"/>
      <c r="J898" s="202">
        <v>0</v>
      </c>
      <c r="K898" s="202" t="s">
        <v>1634</v>
      </c>
      <c r="L898" s="202"/>
      <c r="M898" s="202"/>
      <c r="N898" s="206">
        <v>40633</v>
      </c>
      <c r="O898" s="206">
        <v>40633</v>
      </c>
      <c r="P898" s="202" t="s">
        <v>1644</v>
      </c>
      <c r="Q898" s="203">
        <v>2000</v>
      </c>
      <c r="R898" s="203">
        <v>14080</v>
      </c>
      <c r="S898" s="204">
        <v>7370.54</v>
      </c>
      <c r="T898" s="203">
        <v>14086</v>
      </c>
      <c r="U898" s="204">
        <v>4115.0600000000004</v>
      </c>
      <c r="V898" s="204">
        <f t="shared" si="25"/>
        <v>3255.4799999999996</v>
      </c>
      <c r="W898" s="205">
        <v>153.55000000000001</v>
      </c>
      <c r="X898" s="203">
        <v>57260</v>
      </c>
      <c r="Y898" s="204">
        <v>30.71</v>
      </c>
      <c r="Z898" s="202" t="s">
        <v>97</v>
      </c>
      <c r="AA898" s="202"/>
      <c r="AB898" s="202">
        <v>125933</v>
      </c>
      <c r="AC898" s="202"/>
      <c r="AD898" s="202" t="s">
        <v>1152</v>
      </c>
      <c r="AE898" s="202" t="s">
        <v>1153</v>
      </c>
      <c r="AF898" s="203" t="s">
        <v>1154</v>
      </c>
      <c r="AG898" s="202"/>
      <c r="AH898" s="203" t="s">
        <v>1155</v>
      </c>
      <c r="AI898" s="202">
        <v>0</v>
      </c>
      <c r="AJ898" s="202">
        <v>0</v>
      </c>
    </row>
    <row r="899" spans="2:36">
      <c r="B899" s="203">
        <v>2180</v>
      </c>
      <c r="C899" s="207">
        <v>84570</v>
      </c>
      <c r="D899" s="203" t="s">
        <v>97</v>
      </c>
      <c r="E899" s="202" t="s">
        <v>1543</v>
      </c>
      <c r="F899" s="203">
        <v>91</v>
      </c>
      <c r="G899" s="202"/>
      <c r="H899" s="202" t="s">
        <v>1711</v>
      </c>
      <c r="I899" s="202"/>
      <c r="J899" s="202">
        <v>0</v>
      </c>
      <c r="K899" s="202" t="s">
        <v>1658</v>
      </c>
      <c r="L899" s="202"/>
      <c r="M899" s="202"/>
      <c r="N899" s="206">
        <v>40692</v>
      </c>
      <c r="O899" s="206">
        <v>40692</v>
      </c>
      <c r="P899" s="202" t="s">
        <v>1707</v>
      </c>
      <c r="Q899" s="203">
        <v>700</v>
      </c>
      <c r="R899" s="203">
        <v>14050</v>
      </c>
      <c r="S899" s="204">
        <v>4451.96</v>
      </c>
      <c r="T899" s="203">
        <v>14056</v>
      </c>
      <c r="U899" s="204">
        <v>4451.96</v>
      </c>
      <c r="V899" s="204">
        <f t="shared" si="25"/>
        <v>0</v>
      </c>
      <c r="W899" s="205">
        <v>0</v>
      </c>
      <c r="X899" s="203">
        <v>54260</v>
      </c>
      <c r="Y899" s="204">
        <v>0</v>
      </c>
      <c r="Z899" s="202" t="s">
        <v>97</v>
      </c>
      <c r="AA899" s="202"/>
      <c r="AB899" s="202" t="s">
        <v>1710</v>
      </c>
      <c r="AC899" s="202"/>
      <c r="AD899" s="202" t="s">
        <v>1152</v>
      </c>
      <c r="AE899" s="202" t="s">
        <v>1153</v>
      </c>
      <c r="AF899" s="203" t="s">
        <v>1154</v>
      </c>
      <c r="AG899" s="202"/>
      <c r="AH899" s="203" t="s">
        <v>1155</v>
      </c>
      <c r="AI899" s="202">
        <v>0</v>
      </c>
      <c r="AJ899" s="202">
        <v>0</v>
      </c>
    </row>
    <row r="900" spans="2:36">
      <c r="B900" s="203">
        <v>2180</v>
      </c>
      <c r="C900" s="207">
        <v>84569</v>
      </c>
      <c r="D900" s="203" t="s">
        <v>97</v>
      </c>
      <c r="E900" s="202" t="s">
        <v>1465</v>
      </c>
      <c r="F900" s="203">
        <v>20</v>
      </c>
      <c r="G900" s="202"/>
      <c r="H900" s="202"/>
      <c r="I900" s="202"/>
      <c r="J900" s="202">
        <v>0</v>
      </c>
      <c r="K900" s="202" t="s">
        <v>1658</v>
      </c>
      <c r="L900" s="202"/>
      <c r="M900" s="202" t="s">
        <v>1464</v>
      </c>
      <c r="N900" s="206">
        <v>40702</v>
      </c>
      <c r="O900" s="206">
        <v>40702</v>
      </c>
      <c r="P900" s="202" t="s">
        <v>1700</v>
      </c>
      <c r="Q900" s="203">
        <v>700</v>
      </c>
      <c r="R900" s="203">
        <v>14050</v>
      </c>
      <c r="S900" s="204">
        <v>14181.68</v>
      </c>
      <c r="T900" s="203">
        <v>14056</v>
      </c>
      <c r="U900" s="204">
        <v>14181.68</v>
      </c>
      <c r="V900" s="204">
        <f t="shared" si="25"/>
        <v>0</v>
      </c>
      <c r="W900" s="205">
        <v>0</v>
      </c>
      <c r="X900" s="203">
        <v>54260</v>
      </c>
      <c r="Y900" s="204">
        <v>0</v>
      </c>
      <c r="Z900" s="202" t="s">
        <v>97</v>
      </c>
      <c r="AA900" s="202"/>
      <c r="AB900" s="202" t="s">
        <v>1709</v>
      </c>
      <c r="AC900" s="202"/>
      <c r="AD900" s="202" t="s">
        <v>1152</v>
      </c>
      <c r="AE900" s="202" t="s">
        <v>1153</v>
      </c>
      <c r="AF900" s="203" t="s">
        <v>1154</v>
      </c>
      <c r="AG900" s="202"/>
      <c r="AH900" s="203" t="s">
        <v>1155</v>
      </c>
      <c r="AI900" s="202">
        <v>0</v>
      </c>
      <c r="AJ900" s="202">
        <v>0</v>
      </c>
    </row>
    <row r="901" spans="2:36">
      <c r="B901" s="203">
        <v>2180</v>
      </c>
      <c r="C901" s="207">
        <v>84568</v>
      </c>
      <c r="D901" s="203" t="s">
        <v>97</v>
      </c>
      <c r="E901" s="202" t="s">
        <v>1543</v>
      </c>
      <c r="F901" s="203">
        <v>648</v>
      </c>
      <c r="G901" s="202"/>
      <c r="H901" s="202" t="s">
        <v>1708</v>
      </c>
      <c r="I901" s="202"/>
      <c r="J901" s="202">
        <v>0</v>
      </c>
      <c r="K901" s="202" t="s">
        <v>1658</v>
      </c>
      <c r="L901" s="202"/>
      <c r="M901" s="202"/>
      <c r="N901" s="206">
        <v>40692</v>
      </c>
      <c r="O901" s="206">
        <v>40692</v>
      </c>
      <c r="P901" s="202" t="s">
        <v>1707</v>
      </c>
      <c r="Q901" s="203">
        <v>700</v>
      </c>
      <c r="R901" s="203">
        <v>14050</v>
      </c>
      <c r="S901" s="204">
        <v>31701.91</v>
      </c>
      <c r="T901" s="203">
        <v>14056</v>
      </c>
      <c r="U901" s="204">
        <v>31701.91</v>
      </c>
      <c r="V901" s="204">
        <f t="shared" si="25"/>
        <v>0</v>
      </c>
      <c r="W901" s="205">
        <v>0</v>
      </c>
      <c r="X901" s="203">
        <v>54260</v>
      </c>
      <c r="Y901" s="204">
        <v>0</v>
      </c>
      <c r="Z901" s="202" t="s">
        <v>97</v>
      </c>
      <c r="AA901" s="202"/>
      <c r="AB901" s="202" t="s">
        <v>1706</v>
      </c>
      <c r="AC901" s="202"/>
      <c r="AD901" s="202" t="s">
        <v>1152</v>
      </c>
      <c r="AE901" s="202" t="s">
        <v>1153</v>
      </c>
      <c r="AF901" s="203" t="s">
        <v>1154</v>
      </c>
      <c r="AG901" s="202"/>
      <c r="AH901" s="203" t="s">
        <v>1155</v>
      </c>
      <c r="AI901" s="202">
        <v>0</v>
      </c>
      <c r="AJ901" s="202">
        <v>0</v>
      </c>
    </row>
    <row r="902" spans="2:36">
      <c r="B902" s="203">
        <v>2180</v>
      </c>
      <c r="C902" s="207">
        <v>84567</v>
      </c>
      <c r="D902" s="203" t="s">
        <v>97</v>
      </c>
      <c r="E902" s="202" t="s">
        <v>1465</v>
      </c>
      <c r="F902" s="203">
        <v>3</v>
      </c>
      <c r="G902" s="202"/>
      <c r="H902" s="202"/>
      <c r="I902" s="202"/>
      <c r="J902" s="202">
        <v>0</v>
      </c>
      <c r="K902" s="202" t="s">
        <v>1658</v>
      </c>
      <c r="L902" s="202"/>
      <c r="M902" s="202" t="s">
        <v>1464</v>
      </c>
      <c r="N902" s="206">
        <v>40702</v>
      </c>
      <c r="O902" s="206">
        <v>40702</v>
      </c>
      <c r="P902" s="202" t="s">
        <v>1700</v>
      </c>
      <c r="Q902" s="203">
        <v>700</v>
      </c>
      <c r="R902" s="203">
        <v>14050</v>
      </c>
      <c r="S902" s="204">
        <v>2127.27</v>
      </c>
      <c r="T902" s="203">
        <v>14056</v>
      </c>
      <c r="U902" s="204">
        <v>2127.27</v>
      </c>
      <c r="V902" s="204">
        <f t="shared" si="25"/>
        <v>0</v>
      </c>
      <c r="W902" s="205">
        <v>0</v>
      </c>
      <c r="X902" s="203">
        <v>54260</v>
      </c>
      <c r="Y902" s="204">
        <v>0</v>
      </c>
      <c r="Z902" s="202" t="s">
        <v>97</v>
      </c>
      <c r="AA902" s="202"/>
      <c r="AB902" s="202" t="s">
        <v>1705</v>
      </c>
      <c r="AC902" s="202"/>
      <c r="AD902" s="202" t="s">
        <v>1152</v>
      </c>
      <c r="AE902" s="202" t="s">
        <v>1153</v>
      </c>
      <c r="AF902" s="203" t="s">
        <v>1154</v>
      </c>
      <c r="AG902" s="202"/>
      <c r="AH902" s="203" t="s">
        <v>1155</v>
      </c>
      <c r="AI902" s="202">
        <v>0</v>
      </c>
      <c r="AJ902" s="202">
        <v>0</v>
      </c>
    </row>
    <row r="903" spans="2:36">
      <c r="B903" s="203">
        <v>2180</v>
      </c>
      <c r="C903" s="207">
        <v>84566</v>
      </c>
      <c r="D903" s="203" t="s">
        <v>97</v>
      </c>
      <c r="E903" s="202" t="s">
        <v>1702</v>
      </c>
      <c r="F903" s="203">
        <v>10</v>
      </c>
      <c r="G903" s="202"/>
      <c r="H903" s="202"/>
      <c r="I903" s="202"/>
      <c r="J903" s="202">
        <v>0</v>
      </c>
      <c r="K903" s="202" t="s">
        <v>1658</v>
      </c>
      <c r="L903" s="202"/>
      <c r="M903" s="202" t="s">
        <v>1701</v>
      </c>
      <c r="N903" s="206">
        <v>40702</v>
      </c>
      <c r="O903" s="206">
        <v>40702</v>
      </c>
      <c r="P903" s="202" t="s">
        <v>1700</v>
      </c>
      <c r="Q903" s="203">
        <v>700</v>
      </c>
      <c r="R903" s="203">
        <v>14050</v>
      </c>
      <c r="S903" s="204">
        <v>6440.5</v>
      </c>
      <c r="T903" s="203">
        <v>14056</v>
      </c>
      <c r="U903" s="204">
        <v>6440.5</v>
      </c>
      <c r="V903" s="204">
        <f t="shared" si="25"/>
        <v>0</v>
      </c>
      <c r="W903" s="205">
        <v>0</v>
      </c>
      <c r="X903" s="203">
        <v>54260</v>
      </c>
      <c r="Y903" s="204">
        <v>0</v>
      </c>
      <c r="Z903" s="202" t="s">
        <v>97</v>
      </c>
      <c r="AA903" s="202"/>
      <c r="AB903" s="202" t="s">
        <v>1704</v>
      </c>
      <c r="AC903" s="202"/>
      <c r="AD903" s="202" t="s">
        <v>1152</v>
      </c>
      <c r="AE903" s="202" t="s">
        <v>1153</v>
      </c>
      <c r="AF903" s="203" t="s">
        <v>1154</v>
      </c>
      <c r="AG903" s="202"/>
      <c r="AH903" s="203" t="s">
        <v>1155</v>
      </c>
      <c r="AI903" s="202">
        <v>0</v>
      </c>
      <c r="AJ903" s="202">
        <v>0</v>
      </c>
    </row>
    <row r="904" spans="2:36">
      <c r="B904" s="203">
        <v>2180</v>
      </c>
      <c r="C904" s="207">
        <v>84565</v>
      </c>
      <c r="D904" s="203" t="s">
        <v>97</v>
      </c>
      <c r="E904" s="202" t="s">
        <v>1702</v>
      </c>
      <c r="F904" s="203">
        <v>10</v>
      </c>
      <c r="G904" s="202"/>
      <c r="H904" s="202"/>
      <c r="I904" s="202"/>
      <c r="J904" s="202">
        <v>0</v>
      </c>
      <c r="K904" s="202" t="s">
        <v>1658</v>
      </c>
      <c r="L904" s="202"/>
      <c r="M904" s="202" t="s">
        <v>1701</v>
      </c>
      <c r="N904" s="206">
        <v>40702</v>
      </c>
      <c r="O904" s="206">
        <v>40702</v>
      </c>
      <c r="P904" s="202" t="s">
        <v>1700</v>
      </c>
      <c r="Q904" s="203">
        <v>700</v>
      </c>
      <c r="R904" s="203">
        <v>14050</v>
      </c>
      <c r="S904" s="204">
        <v>6440.5</v>
      </c>
      <c r="T904" s="203">
        <v>14056</v>
      </c>
      <c r="U904" s="204">
        <v>6440.5</v>
      </c>
      <c r="V904" s="204">
        <f t="shared" si="25"/>
        <v>0</v>
      </c>
      <c r="W904" s="205">
        <v>0</v>
      </c>
      <c r="X904" s="203">
        <v>54260</v>
      </c>
      <c r="Y904" s="204">
        <v>0</v>
      </c>
      <c r="Z904" s="202" t="s">
        <v>97</v>
      </c>
      <c r="AA904" s="202"/>
      <c r="AB904" s="202" t="s">
        <v>1703</v>
      </c>
      <c r="AC904" s="202"/>
      <c r="AD904" s="202" t="s">
        <v>1152</v>
      </c>
      <c r="AE904" s="202" t="s">
        <v>1153</v>
      </c>
      <c r="AF904" s="203" t="s">
        <v>1154</v>
      </c>
      <c r="AG904" s="202"/>
      <c r="AH904" s="203" t="s">
        <v>1155</v>
      </c>
      <c r="AI904" s="202">
        <v>0</v>
      </c>
      <c r="AJ904" s="202">
        <v>0</v>
      </c>
    </row>
    <row r="905" spans="2:36">
      <c r="B905" s="203">
        <v>2180</v>
      </c>
      <c r="C905" s="207">
        <v>84564</v>
      </c>
      <c r="D905" s="203" t="s">
        <v>97</v>
      </c>
      <c r="E905" s="202" t="s">
        <v>1702</v>
      </c>
      <c r="F905" s="203">
        <v>3</v>
      </c>
      <c r="G905" s="202"/>
      <c r="H905" s="202"/>
      <c r="I905" s="202"/>
      <c r="J905" s="202">
        <v>0</v>
      </c>
      <c r="K905" s="202" t="s">
        <v>1658</v>
      </c>
      <c r="L905" s="202"/>
      <c r="M905" s="202" t="s">
        <v>1701</v>
      </c>
      <c r="N905" s="206">
        <v>40702</v>
      </c>
      <c r="O905" s="206">
        <v>40702</v>
      </c>
      <c r="P905" s="202" t="s">
        <v>1700</v>
      </c>
      <c r="Q905" s="203">
        <v>700</v>
      </c>
      <c r="R905" s="203">
        <v>14050</v>
      </c>
      <c r="S905" s="204">
        <v>1932.17</v>
      </c>
      <c r="T905" s="203">
        <v>14056</v>
      </c>
      <c r="U905" s="204">
        <v>1932.17</v>
      </c>
      <c r="V905" s="204">
        <f t="shared" si="25"/>
        <v>0</v>
      </c>
      <c r="W905" s="205">
        <v>0</v>
      </c>
      <c r="X905" s="203">
        <v>54260</v>
      </c>
      <c r="Y905" s="204">
        <v>0</v>
      </c>
      <c r="Z905" s="202" t="s">
        <v>97</v>
      </c>
      <c r="AA905" s="202"/>
      <c r="AB905" s="202" t="s">
        <v>1699</v>
      </c>
      <c r="AC905" s="202"/>
      <c r="AD905" s="202" t="s">
        <v>1152</v>
      </c>
      <c r="AE905" s="202" t="s">
        <v>1153</v>
      </c>
      <c r="AF905" s="203" t="s">
        <v>1154</v>
      </c>
      <c r="AG905" s="202"/>
      <c r="AH905" s="203" t="s">
        <v>1155</v>
      </c>
      <c r="AI905" s="202">
        <v>0</v>
      </c>
      <c r="AJ905" s="202">
        <v>0</v>
      </c>
    </row>
    <row r="906" spans="2:36">
      <c r="B906" s="203">
        <v>2180</v>
      </c>
      <c r="C906" s="207">
        <v>84039</v>
      </c>
      <c r="D906" s="203">
        <v>80461</v>
      </c>
      <c r="E906" s="202" t="s">
        <v>1646</v>
      </c>
      <c r="F906" s="203">
        <v>0</v>
      </c>
      <c r="G906" s="202"/>
      <c r="H906" s="202"/>
      <c r="I906" s="202"/>
      <c r="J906" s="202">
        <v>0</v>
      </c>
      <c r="K906" s="202" t="s">
        <v>1698</v>
      </c>
      <c r="L906" s="202"/>
      <c r="M906" s="202"/>
      <c r="N906" s="206">
        <v>40633</v>
      </c>
      <c r="O906" s="206">
        <v>40633</v>
      </c>
      <c r="P906" s="202" t="s">
        <v>1644</v>
      </c>
      <c r="Q906" s="203">
        <v>2000</v>
      </c>
      <c r="R906" s="203">
        <v>14080</v>
      </c>
      <c r="S906" s="204">
        <v>216.12</v>
      </c>
      <c r="T906" s="203">
        <v>14086</v>
      </c>
      <c r="U906" s="204">
        <v>120.71</v>
      </c>
      <c r="V906" s="204">
        <f t="shared" si="25"/>
        <v>95.410000000000011</v>
      </c>
      <c r="W906" s="205">
        <v>4.5</v>
      </c>
      <c r="X906" s="203">
        <v>57260</v>
      </c>
      <c r="Y906" s="204">
        <v>0.9</v>
      </c>
      <c r="Z906" s="202" t="s">
        <v>97</v>
      </c>
      <c r="AA906" s="202"/>
      <c r="AB906" s="202">
        <v>25168</v>
      </c>
      <c r="AC906" s="202"/>
      <c r="AD906" s="202" t="s">
        <v>1152</v>
      </c>
      <c r="AE906" s="202" t="s">
        <v>1153</v>
      </c>
      <c r="AF906" s="203" t="s">
        <v>1154</v>
      </c>
      <c r="AG906" s="202"/>
      <c r="AH906" s="203" t="s">
        <v>1155</v>
      </c>
      <c r="AI906" s="202">
        <v>0</v>
      </c>
      <c r="AJ906" s="202">
        <v>0</v>
      </c>
    </row>
    <row r="907" spans="2:36">
      <c r="B907" s="203">
        <v>2180</v>
      </c>
      <c r="C907" s="207">
        <v>84038</v>
      </c>
      <c r="D907" s="203">
        <v>80461</v>
      </c>
      <c r="E907" s="202" t="s">
        <v>1697</v>
      </c>
      <c r="F907" s="203">
        <v>0</v>
      </c>
      <c r="G907" s="202"/>
      <c r="H907" s="202"/>
      <c r="I907" s="202"/>
      <c r="J907" s="202">
        <v>0</v>
      </c>
      <c r="K907" s="202" t="s">
        <v>1695</v>
      </c>
      <c r="L907" s="202"/>
      <c r="M907" s="202"/>
      <c r="N907" s="206">
        <v>40633</v>
      </c>
      <c r="O907" s="206">
        <v>40633</v>
      </c>
      <c r="P907" s="202" t="s">
        <v>1644</v>
      </c>
      <c r="Q907" s="203">
        <v>2000</v>
      </c>
      <c r="R907" s="203">
        <v>14080</v>
      </c>
      <c r="S907" s="204">
        <v>3673.77</v>
      </c>
      <c r="T907" s="203">
        <v>14086</v>
      </c>
      <c r="U907" s="204">
        <v>2051.21</v>
      </c>
      <c r="V907" s="204">
        <f t="shared" si="25"/>
        <v>1622.56</v>
      </c>
      <c r="W907" s="205">
        <v>76.540000000000006</v>
      </c>
      <c r="X907" s="203">
        <v>57260</v>
      </c>
      <c r="Y907" s="204">
        <v>15.31</v>
      </c>
      <c r="Z907" s="202" t="s">
        <v>97</v>
      </c>
      <c r="AA907" s="202"/>
      <c r="AB907" s="202">
        <v>1741</v>
      </c>
      <c r="AC907" s="202"/>
      <c r="AD907" s="202" t="s">
        <v>1152</v>
      </c>
      <c r="AE907" s="202" t="s">
        <v>1153</v>
      </c>
      <c r="AF907" s="203" t="s">
        <v>1154</v>
      </c>
      <c r="AG907" s="202"/>
      <c r="AH907" s="203" t="s">
        <v>1155</v>
      </c>
      <c r="AI907" s="202">
        <v>0</v>
      </c>
      <c r="AJ907" s="202">
        <v>0</v>
      </c>
    </row>
    <row r="908" spans="2:36">
      <c r="B908" s="203">
        <v>2180</v>
      </c>
      <c r="C908" s="207">
        <v>84037</v>
      </c>
      <c r="D908" s="203">
        <v>80461</v>
      </c>
      <c r="E908" s="202" t="s">
        <v>1696</v>
      </c>
      <c r="F908" s="203">
        <v>0</v>
      </c>
      <c r="G908" s="202"/>
      <c r="H908" s="202"/>
      <c r="I908" s="202"/>
      <c r="J908" s="202">
        <v>0</v>
      </c>
      <c r="K908" s="202" t="s">
        <v>1695</v>
      </c>
      <c r="L908" s="202"/>
      <c r="M908" s="202"/>
      <c r="N908" s="206">
        <v>40633</v>
      </c>
      <c r="O908" s="206">
        <v>40633</v>
      </c>
      <c r="P908" s="202" t="s">
        <v>1644</v>
      </c>
      <c r="Q908" s="203">
        <v>2000</v>
      </c>
      <c r="R908" s="203">
        <v>14080</v>
      </c>
      <c r="S908" s="204">
        <v>636.66999999999996</v>
      </c>
      <c r="T908" s="203">
        <v>14086</v>
      </c>
      <c r="U908" s="204">
        <v>355.44</v>
      </c>
      <c r="V908" s="204">
        <f t="shared" si="25"/>
        <v>281.22999999999996</v>
      </c>
      <c r="W908" s="205">
        <v>13.26</v>
      </c>
      <c r="X908" s="203">
        <v>57260</v>
      </c>
      <c r="Y908" s="204">
        <v>2.65</v>
      </c>
      <c r="Z908" s="202" t="s">
        <v>97</v>
      </c>
      <c r="AA908" s="202"/>
      <c r="AB908" s="202">
        <v>1740</v>
      </c>
      <c r="AC908" s="202"/>
      <c r="AD908" s="202" t="s">
        <v>1152</v>
      </c>
      <c r="AE908" s="202" t="s">
        <v>1153</v>
      </c>
      <c r="AF908" s="203" t="s">
        <v>1154</v>
      </c>
      <c r="AG908" s="202"/>
      <c r="AH908" s="203" t="s">
        <v>1155</v>
      </c>
      <c r="AI908" s="202">
        <v>0</v>
      </c>
      <c r="AJ908" s="202">
        <v>0</v>
      </c>
    </row>
    <row r="909" spans="2:36">
      <c r="B909" s="203">
        <v>2180</v>
      </c>
      <c r="C909" s="207">
        <v>84036</v>
      </c>
      <c r="D909" s="203">
        <v>80461</v>
      </c>
      <c r="E909" s="202" t="s">
        <v>1694</v>
      </c>
      <c r="F909" s="203">
        <v>0</v>
      </c>
      <c r="G909" s="202"/>
      <c r="H909" s="202"/>
      <c r="I909" s="202"/>
      <c r="J909" s="202">
        <v>0</v>
      </c>
      <c r="K909" s="202" t="s">
        <v>1689</v>
      </c>
      <c r="L909" s="202"/>
      <c r="M909" s="202"/>
      <c r="N909" s="206">
        <v>40633</v>
      </c>
      <c r="O909" s="206">
        <v>40633</v>
      </c>
      <c r="P909" s="202" t="s">
        <v>1644</v>
      </c>
      <c r="Q909" s="203">
        <v>2000</v>
      </c>
      <c r="R909" s="203">
        <v>14080</v>
      </c>
      <c r="S909" s="204">
        <v>59592</v>
      </c>
      <c r="T909" s="203">
        <v>14086</v>
      </c>
      <c r="U909" s="204">
        <v>33272.199999999997</v>
      </c>
      <c r="V909" s="204">
        <f t="shared" si="25"/>
        <v>26319.800000000003</v>
      </c>
      <c r="W909" s="205">
        <v>1241.5</v>
      </c>
      <c r="X909" s="203">
        <v>57260</v>
      </c>
      <c r="Y909" s="204">
        <v>248.3</v>
      </c>
      <c r="Z909" s="202" t="s">
        <v>97</v>
      </c>
      <c r="AA909" s="202"/>
      <c r="AB909" s="202">
        <v>18071</v>
      </c>
      <c r="AC909" s="202"/>
      <c r="AD909" s="202" t="s">
        <v>1152</v>
      </c>
      <c r="AE909" s="202" t="s">
        <v>1153</v>
      </c>
      <c r="AF909" s="203" t="s">
        <v>1154</v>
      </c>
      <c r="AG909" s="202"/>
      <c r="AH909" s="203" t="s">
        <v>1155</v>
      </c>
      <c r="AI909" s="202">
        <v>0</v>
      </c>
      <c r="AJ909" s="202">
        <v>0</v>
      </c>
    </row>
    <row r="910" spans="2:36">
      <c r="B910" s="203">
        <v>2180</v>
      </c>
      <c r="C910" s="207">
        <v>84035</v>
      </c>
      <c r="D910" s="203">
        <v>80461</v>
      </c>
      <c r="E910" s="202" t="s">
        <v>1693</v>
      </c>
      <c r="F910" s="203">
        <v>0</v>
      </c>
      <c r="G910" s="202"/>
      <c r="H910" s="202"/>
      <c r="I910" s="202"/>
      <c r="J910" s="202">
        <v>0</v>
      </c>
      <c r="K910" s="202" t="s">
        <v>1689</v>
      </c>
      <c r="L910" s="202"/>
      <c r="M910" s="202"/>
      <c r="N910" s="206">
        <v>40633</v>
      </c>
      <c r="O910" s="206">
        <v>40633</v>
      </c>
      <c r="P910" s="202" t="s">
        <v>1592</v>
      </c>
      <c r="Q910" s="203">
        <v>2000</v>
      </c>
      <c r="R910" s="203">
        <v>14080</v>
      </c>
      <c r="S910" s="204">
        <v>20568.07</v>
      </c>
      <c r="T910" s="203">
        <v>14086</v>
      </c>
      <c r="U910" s="204">
        <v>11483.8</v>
      </c>
      <c r="V910" s="204">
        <f t="shared" ref="V910:V973" si="26">S910-U910</f>
        <v>9084.27</v>
      </c>
      <c r="W910" s="205">
        <v>428.5</v>
      </c>
      <c r="X910" s="203">
        <v>57260</v>
      </c>
      <c r="Y910" s="204">
        <v>85.7</v>
      </c>
      <c r="Z910" s="202" t="s">
        <v>97</v>
      </c>
      <c r="AA910" s="202"/>
      <c r="AB910" s="202">
        <v>18049</v>
      </c>
      <c r="AC910" s="202"/>
      <c r="AD910" s="202" t="s">
        <v>1152</v>
      </c>
      <c r="AE910" s="202" t="s">
        <v>1153</v>
      </c>
      <c r="AF910" s="203" t="s">
        <v>1154</v>
      </c>
      <c r="AG910" s="202"/>
      <c r="AH910" s="203" t="s">
        <v>1155</v>
      </c>
      <c r="AI910" s="202">
        <v>0</v>
      </c>
      <c r="AJ910" s="202">
        <v>0</v>
      </c>
    </row>
    <row r="911" spans="2:36">
      <c r="B911" s="203">
        <v>2180</v>
      </c>
      <c r="C911" s="207">
        <v>84034</v>
      </c>
      <c r="D911" s="203">
        <v>80461</v>
      </c>
      <c r="E911" s="202" t="s">
        <v>1692</v>
      </c>
      <c r="F911" s="203">
        <v>0</v>
      </c>
      <c r="G911" s="202"/>
      <c r="H911" s="202"/>
      <c r="I911" s="202"/>
      <c r="J911" s="202">
        <v>0</v>
      </c>
      <c r="K911" s="202" t="s">
        <v>1689</v>
      </c>
      <c r="L911" s="202"/>
      <c r="M911" s="202"/>
      <c r="N911" s="206">
        <v>40633</v>
      </c>
      <c r="O911" s="206">
        <v>40633</v>
      </c>
      <c r="P911" s="202" t="s">
        <v>1592</v>
      </c>
      <c r="Q911" s="203">
        <v>2000</v>
      </c>
      <c r="R911" s="203">
        <v>14080</v>
      </c>
      <c r="S911" s="204">
        <v>6062.87</v>
      </c>
      <c r="T911" s="203">
        <v>14086</v>
      </c>
      <c r="U911" s="204">
        <v>3385.07</v>
      </c>
      <c r="V911" s="204">
        <f t="shared" si="26"/>
        <v>2677.7999999999997</v>
      </c>
      <c r="W911" s="205">
        <v>126.31</v>
      </c>
      <c r="X911" s="203">
        <v>57260</v>
      </c>
      <c r="Y911" s="204">
        <v>25.26</v>
      </c>
      <c r="Z911" s="202" t="s">
        <v>97</v>
      </c>
      <c r="AA911" s="202"/>
      <c r="AB911" s="202">
        <v>18044</v>
      </c>
      <c r="AC911" s="202"/>
      <c r="AD911" s="202" t="s">
        <v>1152</v>
      </c>
      <c r="AE911" s="202" t="s">
        <v>1153</v>
      </c>
      <c r="AF911" s="203" t="s">
        <v>1154</v>
      </c>
      <c r="AG911" s="202"/>
      <c r="AH911" s="203" t="s">
        <v>1155</v>
      </c>
      <c r="AI911" s="202">
        <v>0</v>
      </c>
      <c r="AJ911" s="202">
        <v>0</v>
      </c>
    </row>
    <row r="912" spans="2:36">
      <c r="B912" s="203">
        <v>2180</v>
      </c>
      <c r="C912" s="207">
        <v>84033</v>
      </c>
      <c r="D912" s="203">
        <v>80461</v>
      </c>
      <c r="E912" s="202" t="s">
        <v>1691</v>
      </c>
      <c r="F912" s="203">
        <v>0</v>
      </c>
      <c r="G912" s="202"/>
      <c r="H912" s="202"/>
      <c r="I912" s="202"/>
      <c r="J912" s="202">
        <v>0</v>
      </c>
      <c r="K912" s="202" t="s">
        <v>1689</v>
      </c>
      <c r="L912" s="202"/>
      <c r="M912" s="202"/>
      <c r="N912" s="206">
        <v>40633</v>
      </c>
      <c r="O912" s="206">
        <v>40633</v>
      </c>
      <c r="P912" s="202" t="s">
        <v>1592</v>
      </c>
      <c r="Q912" s="203">
        <v>2000</v>
      </c>
      <c r="R912" s="203">
        <v>14080</v>
      </c>
      <c r="S912" s="204">
        <v>4618.55</v>
      </c>
      <c r="T912" s="203">
        <v>14086</v>
      </c>
      <c r="U912" s="204">
        <v>2578.7199999999998</v>
      </c>
      <c r="V912" s="204">
        <f t="shared" si="26"/>
        <v>2039.8300000000004</v>
      </c>
      <c r="W912" s="205">
        <v>96.22</v>
      </c>
      <c r="X912" s="203">
        <v>57260</v>
      </c>
      <c r="Y912" s="204">
        <v>19.239999999999998</v>
      </c>
      <c r="Z912" s="202" t="s">
        <v>97</v>
      </c>
      <c r="AA912" s="202"/>
      <c r="AB912" s="202">
        <v>18042</v>
      </c>
      <c r="AC912" s="202"/>
      <c r="AD912" s="202" t="s">
        <v>1152</v>
      </c>
      <c r="AE912" s="202" t="s">
        <v>1153</v>
      </c>
      <c r="AF912" s="203" t="s">
        <v>1154</v>
      </c>
      <c r="AG912" s="202"/>
      <c r="AH912" s="203" t="s">
        <v>1155</v>
      </c>
      <c r="AI912" s="202">
        <v>0</v>
      </c>
      <c r="AJ912" s="202">
        <v>0</v>
      </c>
    </row>
    <row r="913" spans="2:36">
      <c r="B913" s="203">
        <v>2180</v>
      </c>
      <c r="C913" s="207">
        <v>84032</v>
      </c>
      <c r="D913" s="203">
        <v>80461</v>
      </c>
      <c r="E913" s="202" t="s">
        <v>1690</v>
      </c>
      <c r="F913" s="203">
        <v>0</v>
      </c>
      <c r="G913" s="202"/>
      <c r="H913" s="202"/>
      <c r="I913" s="202"/>
      <c r="J913" s="202">
        <v>0</v>
      </c>
      <c r="K913" s="202" t="s">
        <v>1689</v>
      </c>
      <c r="L913" s="202"/>
      <c r="M913" s="202"/>
      <c r="N913" s="206">
        <v>40633</v>
      </c>
      <c r="O913" s="206">
        <v>40633</v>
      </c>
      <c r="P913" s="202" t="s">
        <v>1592</v>
      </c>
      <c r="Q913" s="203">
        <v>2000</v>
      </c>
      <c r="R913" s="203">
        <v>14080</v>
      </c>
      <c r="S913" s="204">
        <v>6693.53</v>
      </c>
      <c r="T913" s="203">
        <v>14086</v>
      </c>
      <c r="U913" s="204">
        <v>3737.26</v>
      </c>
      <c r="V913" s="204">
        <f t="shared" si="26"/>
        <v>2956.2699999999995</v>
      </c>
      <c r="W913" s="205">
        <v>139.44999999999999</v>
      </c>
      <c r="X913" s="203">
        <v>57260</v>
      </c>
      <c r="Y913" s="204">
        <v>27.89</v>
      </c>
      <c r="Z913" s="202" t="s">
        <v>97</v>
      </c>
      <c r="AA913" s="202"/>
      <c r="AB913" s="202">
        <v>18043</v>
      </c>
      <c r="AC913" s="202"/>
      <c r="AD913" s="202" t="s">
        <v>1152</v>
      </c>
      <c r="AE913" s="202" t="s">
        <v>1153</v>
      </c>
      <c r="AF913" s="203" t="s">
        <v>1154</v>
      </c>
      <c r="AG913" s="202"/>
      <c r="AH913" s="203" t="s">
        <v>1155</v>
      </c>
      <c r="AI913" s="202">
        <v>0</v>
      </c>
      <c r="AJ913" s="202">
        <v>0</v>
      </c>
    </row>
    <row r="914" spans="2:36">
      <c r="B914" s="203">
        <v>2180</v>
      </c>
      <c r="C914" s="207">
        <v>84031</v>
      </c>
      <c r="D914" s="203">
        <v>80461</v>
      </c>
      <c r="E914" s="202" t="s">
        <v>1688</v>
      </c>
      <c r="F914" s="203">
        <v>0</v>
      </c>
      <c r="G914" s="202"/>
      <c r="H914" s="202"/>
      <c r="I914" s="202"/>
      <c r="J914" s="202">
        <v>0</v>
      </c>
      <c r="K914" s="202" t="s">
        <v>1684</v>
      </c>
      <c r="L914" s="202"/>
      <c r="M914" s="202"/>
      <c r="N914" s="206">
        <v>40633</v>
      </c>
      <c r="O914" s="206">
        <v>40633</v>
      </c>
      <c r="P914" s="202" t="s">
        <v>1644</v>
      </c>
      <c r="Q914" s="203">
        <v>2000</v>
      </c>
      <c r="R914" s="203">
        <v>14080</v>
      </c>
      <c r="S914" s="204">
        <v>31000.84</v>
      </c>
      <c r="T914" s="203">
        <v>14086</v>
      </c>
      <c r="U914" s="204">
        <v>17308.78</v>
      </c>
      <c r="V914" s="204">
        <f t="shared" si="26"/>
        <v>13692.060000000001</v>
      </c>
      <c r="W914" s="205">
        <v>645.85</v>
      </c>
      <c r="X914" s="203">
        <v>57260</v>
      </c>
      <c r="Y914" s="204">
        <v>129.16999999999999</v>
      </c>
      <c r="Z914" s="202" t="s">
        <v>97</v>
      </c>
      <c r="AA914" s="202"/>
      <c r="AB914" s="202">
        <v>165</v>
      </c>
      <c r="AC914" s="202"/>
      <c r="AD914" s="202" t="s">
        <v>1152</v>
      </c>
      <c r="AE914" s="202" t="s">
        <v>1153</v>
      </c>
      <c r="AF914" s="203" t="s">
        <v>1154</v>
      </c>
      <c r="AG914" s="202"/>
      <c r="AH914" s="203" t="s">
        <v>1155</v>
      </c>
      <c r="AI914" s="202">
        <v>0</v>
      </c>
      <c r="AJ914" s="202">
        <v>0</v>
      </c>
    </row>
    <row r="915" spans="2:36">
      <c r="B915" s="203">
        <v>2180</v>
      </c>
      <c r="C915" s="207">
        <v>84030</v>
      </c>
      <c r="D915" s="203">
        <v>80461</v>
      </c>
      <c r="E915" s="202" t="s">
        <v>1687</v>
      </c>
      <c r="F915" s="203">
        <v>0</v>
      </c>
      <c r="G915" s="202"/>
      <c r="H915" s="202"/>
      <c r="I915" s="202"/>
      <c r="J915" s="202">
        <v>0</v>
      </c>
      <c r="K915" s="202" t="s">
        <v>1684</v>
      </c>
      <c r="L915" s="202"/>
      <c r="M915" s="202"/>
      <c r="N915" s="206">
        <v>40633</v>
      </c>
      <c r="O915" s="206">
        <v>40633</v>
      </c>
      <c r="P915" s="202" t="s">
        <v>1592</v>
      </c>
      <c r="Q915" s="203">
        <v>2000</v>
      </c>
      <c r="R915" s="203">
        <v>14080</v>
      </c>
      <c r="S915" s="204">
        <v>245.11</v>
      </c>
      <c r="T915" s="203">
        <v>14086</v>
      </c>
      <c r="U915" s="204">
        <v>136.9</v>
      </c>
      <c r="V915" s="204">
        <f t="shared" si="26"/>
        <v>108.21000000000001</v>
      </c>
      <c r="W915" s="205">
        <v>5.1100000000000003</v>
      </c>
      <c r="X915" s="203">
        <v>57260</v>
      </c>
      <c r="Y915" s="204">
        <v>1.02</v>
      </c>
      <c r="Z915" s="202" t="s">
        <v>97</v>
      </c>
      <c r="AA915" s="202"/>
      <c r="AB915" s="202">
        <v>165</v>
      </c>
      <c r="AC915" s="202"/>
      <c r="AD915" s="202" t="s">
        <v>1152</v>
      </c>
      <c r="AE915" s="202" t="s">
        <v>1153</v>
      </c>
      <c r="AF915" s="203" t="s">
        <v>1154</v>
      </c>
      <c r="AG915" s="202"/>
      <c r="AH915" s="203" t="s">
        <v>1155</v>
      </c>
      <c r="AI915" s="202">
        <v>0</v>
      </c>
      <c r="AJ915" s="202">
        <v>0</v>
      </c>
    </row>
    <row r="916" spans="2:36">
      <c r="B916" s="203">
        <v>2180</v>
      </c>
      <c r="C916" s="207">
        <v>84029</v>
      </c>
      <c r="D916" s="203">
        <v>80461</v>
      </c>
      <c r="E916" s="202" t="s">
        <v>1686</v>
      </c>
      <c r="F916" s="203">
        <v>0</v>
      </c>
      <c r="G916" s="202"/>
      <c r="H916" s="202"/>
      <c r="I916" s="202"/>
      <c r="J916" s="202">
        <v>0</v>
      </c>
      <c r="K916" s="202" t="s">
        <v>1684</v>
      </c>
      <c r="L916" s="202"/>
      <c r="M916" s="202"/>
      <c r="N916" s="206">
        <v>40633</v>
      </c>
      <c r="O916" s="206">
        <v>40633</v>
      </c>
      <c r="P916" s="202" t="s">
        <v>1592</v>
      </c>
      <c r="Q916" s="203">
        <v>2000</v>
      </c>
      <c r="R916" s="203">
        <v>14080</v>
      </c>
      <c r="S916" s="204">
        <v>80823.8</v>
      </c>
      <c r="T916" s="203">
        <v>14086</v>
      </c>
      <c r="U916" s="204">
        <v>45126.62</v>
      </c>
      <c r="V916" s="204">
        <f t="shared" si="26"/>
        <v>35697.18</v>
      </c>
      <c r="W916" s="205">
        <v>1683.83</v>
      </c>
      <c r="X916" s="203">
        <v>57260</v>
      </c>
      <c r="Y916" s="204">
        <v>336.77</v>
      </c>
      <c r="Z916" s="202" t="s">
        <v>97</v>
      </c>
      <c r="AA916" s="202"/>
      <c r="AB916" s="202">
        <v>165</v>
      </c>
      <c r="AC916" s="202"/>
      <c r="AD916" s="202" t="s">
        <v>1152</v>
      </c>
      <c r="AE916" s="202" t="s">
        <v>1153</v>
      </c>
      <c r="AF916" s="203" t="s">
        <v>1154</v>
      </c>
      <c r="AG916" s="202"/>
      <c r="AH916" s="203" t="s">
        <v>1155</v>
      </c>
      <c r="AI916" s="202">
        <v>0</v>
      </c>
      <c r="AJ916" s="202">
        <v>0</v>
      </c>
    </row>
    <row r="917" spans="2:36">
      <c r="B917" s="203">
        <v>2180</v>
      </c>
      <c r="C917" s="207">
        <v>84028</v>
      </c>
      <c r="D917" s="203">
        <v>80461</v>
      </c>
      <c r="E917" s="202" t="s">
        <v>1685</v>
      </c>
      <c r="F917" s="203">
        <v>0</v>
      </c>
      <c r="G917" s="202"/>
      <c r="H917" s="202"/>
      <c r="I917" s="202"/>
      <c r="J917" s="202">
        <v>0</v>
      </c>
      <c r="K917" s="202" t="s">
        <v>1684</v>
      </c>
      <c r="L917" s="202"/>
      <c r="M917" s="202"/>
      <c r="N917" s="206">
        <v>40633</v>
      </c>
      <c r="O917" s="206">
        <v>40633</v>
      </c>
      <c r="P917" s="202" t="s">
        <v>1592</v>
      </c>
      <c r="Q917" s="203">
        <v>2000</v>
      </c>
      <c r="R917" s="203">
        <v>14080</v>
      </c>
      <c r="S917" s="204">
        <v>68923.28</v>
      </c>
      <c r="T917" s="203">
        <v>14086</v>
      </c>
      <c r="U917" s="204">
        <v>38482.120000000003</v>
      </c>
      <c r="V917" s="204">
        <f t="shared" si="26"/>
        <v>30441.159999999996</v>
      </c>
      <c r="W917" s="205">
        <v>1435.9</v>
      </c>
      <c r="X917" s="203">
        <v>57260</v>
      </c>
      <c r="Y917" s="204">
        <v>287.18</v>
      </c>
      <c r="Z917" s="202" t="s">
        <v>97</v>
      </c>
      <c r="AA917" s="202"/>
      <c r="AB917" s="202">
        <v>164</v>
      </c>
      <c r="AC917" s="202"/>
      <c r="AD917" s="202" t="s">
        <v>1152</v>
      </c>
      <c r="AE917" s="202" t="s">
        <v>1153</v>
      </c>
      <c r="AF917" s="203" t="s">
        <v>1154</v>
      </c>
      <c r="AG917" s="202"/>
      <c r="AH917" s="203" t="s">
        <v>1155</v>
      </c>
      <c r="AI917" s="202">
        <v>0</v>
      </c>
      <c r="AJ917" s="202">
        <v>0</v>
      </c>
    </row>
    <row r="918" spans="2:36">
      <c r="B918" s="203">
        <v>2180</v>
      </c>
      <c r="C918" s="207">
        <v>84014</v>
      </c>
      <c r="D918" s="203" t="s">
        <v>97</v>
      </c>
      <c r="E918" s="202" t="s">
        <v>1670</v>
      </c>
      <c r="F918" s="203">
        <v>437</v>
      </c>
      <c r="G918" s="202"/>
      <c r="H918" s="202" t="s">
        <v>1683</v>
      </c>
      <c r="I918" s="202"/>
      <c r="J918" s="202">
        <v>0</v>
      </c>
      <c r="K918" s="202" t="s">
        <v>1658</v>
      </c>
      <c r="L918" s="202"/>
      <c r="M918" s="202"/>
      <c r="N918" s="206">
        <v>40667</v>
      </c>
      <c r="O918" s="206">
        <v>40667</v>
      </c>
      <c r="P918" s="202" t="s">
        <v>1668</v>
      </c>
      <c r="Q918" s="203">
        <v>700</v>
      </c>
      <c r="R918" s="203">
        <v>14050</v>
      </c>
      <c r="S918" s="204">
        <v>22668.84</v>
      </c>
      <c r="T918" s="203">
        <v>14056</v>
      </c>
      <c r="U918" s="204">
        <v>22668.84</v>
      </c>
      <c r="V918" s="204">
        <f t="shared" si="26"/>
        <v>0</v>
      </c>
      <c r="W918" s="205">
        <v>0</v>
      </c>
      <c r="X918" s="203">
        <v>54260</v>
      </c>
      <c r="Y918" s="204">
        <v>0</v>
      </c>
      <c r="Z918" s="202" t="s">
        <v>97</v>
      </c>
      <c r="AA918" s="202"/>
      <c r="AB918" s="202" t="s">
        <v>1682</v>
      </c>
      <c r="AC918" s="202"/>
      <c r="AD918" s="202" t="s">
        <v>1152</v>
      </c>
      <c r="AE918" s="202" t="s">
        <v>1153</v>
      </c>
      <c r="AF918" s="203" t="s">
        <v>1154</v>
      </c>
      <c r="AG918" s="202"/>
      <c r="AH918" s="203" t="s">
        <v>1155</v>
      </c>
      <c r="AI918" s="202">
        <v>0</v>
      </c>
      <c r="AJ918" s="202">
        <v>0</v>
      </c>
    </row>
    <row r="919" spans="2:36">
      <c r="B919" s="203">
        <v>2180</v>
      </c>
      <c r="C919" s="207">
        <v>82748</v>
      </c>
      <c r="D919" s="203">
        <v>80461</v>
      </c>
      <c r="E919" s="202" t="s">
        <v>1681</v>
      </c>
      <c r="F919" s="203">
        <v>0</v>
      </c>
      <c r="G919" s="202"/>
      <c r="H919" s="202"/>
      <c r="I919" s="202"/>
      <c r="J919" s="202">
        <v>0</v>
      </c>
      <c r="K919" s="202" t="s">
        <v>1680</v>
      </c>
      <c r="L919" s="202"/>
      <c r="M919" s="202"/>
      <c r="N919" s="206">
        <v>40633</v>
      </c>
      <c r="O919" s="206">
        <v>40633</v>
      </c>
      <c r="P919" s="202" t="s">
        <v>1644</v>
      </c>
      <c r="Q919" s="203">
        <v>2000</v>
      </c>
      <c r="R919" s="203">
        <v>14080</v>
      </c>
      <c r="S919" s="204">
        <v>-114.39</v>
      </c>
      <c r="T919" s="203">
        <v>14086</v>
      </c>
      <c r="U919" s="204">
        <v>-63.87</v>
      </c>
      <c r="V919" s="204">
        <f t="shared" si="26"/>
        <v>-50.52</v>
      </c>
      <c r="W919" s="205">
        <v>-2.38</v>
      </c>
      <c r="X919" s="203">
        <v>57260</v>
      </c>
      <c r="Y919" s="204">
        <v>-0.47</v>
      </c>
      <c r="Z919" s="202" t="s">
        <v>97</v>
      </c>
      <c r="AA919" s="202"/>
      <c r="AB919" s="202">
        <v>689407</v>
      </c>
      <c r="AC919" s="202"/>
      <c r="AD919" s="202" t="s">
        <v>1152</v>
      </c>
      <c r="AE919" s="202" t="s">
        <v>1153</v>
      </c>
      <c r="AF919" s="203" t="s">
        <v>1154</v>
      </c>
      <c r="AG919" s="202"/>
      <c r="AH919" s="203" t="s">
        <v>1155</v>
      </c>
      <c r="AI919" s="202">
        <v>0</v>
      </c>
      <c r="AJ919" s="202">
        <v>0</v>
      </c>
    </row>
    <row r="920" spans="2:36">
      <c r="B920" s="203">
        <v>2180</v>
      </c>
      <c r="C920" s="207">
        <v>82336</v>
      </c>
      <c r="D920" s="203">
        <v>80461</v>
      </c>
      <c r="E920" s="202" t="s">
        <v>1679</v>
      </c>
      <c r="F920" s="203">
        <v>0</v>
      </c>
      <c r="G920" s="202"/>
      <c r="H920" s="202"/>
      <c r="I920" s="202"/>
      <c r="J920" s="202">
        <v>0</v>
      </c>
      <c r="K920" s="202" t="s">
        <v>1678</v>
      </c>
      <c r="L920" s="202"/>
      <c r="M920" s="202"/>
      <c r="N920" s="206">
        <v>40633</v>
      </c>
      <c r="O920" s="206">
        <v>40633</v>
      </c>
      <c r="P920" s="202" t="s">
        <v>1644</v>
      </c>
      <c r="Q920" s="203">
        <v>2000</v>
      </c>
      <c r="R920" s="203">
        <v>14080</v>
      </c>
      <c r="S920" s="204">
        <v>8580.16</v>
      </c>
      <c r="T920" s="203">
        <v>14086</v>
      </c>
      <c r="U920" s="204">
        <v>4790.6099999999997</v>
      </c>
      <c r="V920" s="204">
        <f t="shared" si="26"/>
        <v>3789.55</v>
      </c>
      <c r="W920" s="205">
        <v>178.75</v>
      </c>
      <c r="X920" s="203">
        <v>57260</v>
      </c>
      <c r="Y920" s="204">
        <v>35.75</v>
      </c>
      <c r="Z920" s="202" t="s">
        <v>97</v>
      </c>
      <c r="AA920" s="202"/>
      <c r="AB920" s="202" t="s">
        <v>1677</v>
      </c>
      <c r="AC920" s="202"/>
      <c r="AD920" s="202" t="s">
        <v>1152</v>
      </c>
      <c r="AE920" s="202" t="s">
        <v>1153</v>
      </c>
      <c r="AF920" s="203" t="s">
        <v>1154</v>
      </c>
      <c r="AG920" s="202"/>
      <c r="AH920" s="203" t="s">
        <v>1155</v>
      </c>
      <c r="AI920" s="202">
        <v>0</v>
      </c>
      <c r="AJ920" s="202">
        <v>0</v>
      </c>
    </row>
    <row r="921" spans="2:36">
      <c r="B921" s="203">
        <v>2180</v>
      </c>
      <c r="C921" s="207">
        <v>82335</v>
      </c>
      <c r="D921" s="203">
        <v>80461</v>
      </c>
      <c r="E921" s="202" t="s">
        <v>1676</v>
      </c>
      <c r="F921" s="203">
        <v>0</v>
      </c>
      <c r="G921" s="202"/>
      <c r="H921" s="202"/>
      <c r="I921" s="202"/>
      <c r="J921" s="202">
        <v>0</v>
      </c>
      <c r="K921" s="202" t="s">
        <v>1673</v>
      </c>
      <c r="L921" s="202"/>
      <c r="M921" s="202"/>
      <c r="N921" s="206">
        <v>40633</v>
      </c>
      <c r="O921" s="206">
        <v>40633</v>
      </c>
      <c r="P921" s="202" t="s">
        <v>1644</v>
      </c>
      <c r="Q921" s="203">
        <v>2000</v>
      </c>
      <c r="R921" s="203">
        <v>14080</v>
      </c>
      <c r="S921" s="204">
        <v>5668.3</v>
      </c>
      <c r="T921" s="203">
        <v>14086</v>
      </c>
      <c r="U921" s="204">
        <v>3164.85</v>
      </c>
      <c r="V921" s="204">
        <f t="shared" si="26"/>
        <v>2503.4500000000003</v>
      </c>
      <c r="W921" s="205">
        <v>118.09</v>
      </c>
      <c r="X921" s="203">
        <v>57260</v>
      </c>
      <c r="Y921" s="204">
        <v>23.62</v>
      </c>
      <c r="Z921" s="202" t="s">
        <v>97</v>
      </c>
      <c r="AA921" s="202"/>
      <c r="AB921" s="209" t="s">
        <v>1675</v>
      </c>
      <c r="AC921" s="202"/>
      <c r="AD921" s="202" t="s">
        <v>1152</v>
      </c>
      <c r="AE921" s="202" t="s">
        <v>1153</v>
      </c>
      <c r="AF921" s="203" t="s">
        <v>1154</v>
      </c>
      <c r="AG921" s="202"/>
      <c r="AH921" s="203" t="s">
        <v>1155</v>
      </c>
      <c r="AI921" s="202">
        <v>0</v>
      </c>
      <c r="AJ921" s="202">
        <v>0</v>
      </c>
    </row>
    <row r="922" spans="2:36">
      <c r="B922" s="203">
        <v>2180</v>
      </c>
      <c r="C922" s="207">
        <v>82334</v>
      </c>
      <c r="D922" s="203">
        <v>80461</v>
      </c>
      <c r="E922" s="202" t="s">
        <v>1674</v>
      </c>
      <c r="F922" s="203">
        <v>0</v>
      </c>
      <c r="G922" s="202"/>
      <c r="H922" s="202"/>
      <c r="I922" s="202"/>
      <c r="J922" s="202">
        <v>0</v>
      </c>
      <c r="K922" s="202" t="s">
        <v>1673</v>
      </c>
      <c r="L922" s="202"/>
      <c r="M922" s="202"/>
      <c r="N922" s="206">
        <v>40633</v>
      </c>
      <c r="O922" s="206">
        <v>40633</v>
      </c>
      <c r="P922" s="202" t="s">
        <v>1592</v>
      </c>
      <c r="Q922" s="203">
        <v>2000</v>
      </c>
      <c r="R922" s="203">
        <v>14080</v>
      </c>
      <c r="S922" s="204">
        <v>2278.91</v>
      </c>
      <c r="T922" s="203">
        <v>14086</v>
      </c>
      <c r="U922" s="204">
        <v>1272.44</v>
      </c>
      <c r="V922" s="204">
        <f t="shared" si="26"/>
        <v>1006.4699999999998</v>
      </c>
      <c r="W922" s="205">
        <v>47.48</v>
      </c>
      <c r="X922" s="203">
        <v>57260</v>
      </c>
      <c r="Y922" s="204">
        <v>9.5</v>
      </c>
      <c r="Z922" s="202" t="s">
        <v>97</v>
      </c>
      <c r="AA922" s="202"/>
      <c r="AB922" s="209" t="s">
        <v>1672</v>
      </c>
      <c r="AC922" s="202"/>
      <c r="AD922" s="202" t="s">
        <v>1152</v>
      </c>
      <c r="AE922" s="202" t="s">
        <v>1153</v>
      </c>
      <c r="AF922" s="203" t="s">
        <v>1154</v>
      </c>
      <c r="AG922" s="202"/>
      <c r="AH922" s="203" t="s">
        <v>1155</v>
      </c>
      <c r="AI922" s="202">
        <v>0</v>
      </c>
      <c r="AJ922" s="202">
        <v>0</v>
      </c>
    </row>
    <row r="923" spans="2:36">
      <c r="B923" s="203">
        <v>2180</v>
      </c>
      <c r="C923" s="207">
        <v>82331</v>
      </c>
      <c r="D923" s="203" t="s">
        <v>97</v>
      </c>
      <c r="E923" s="202" t="s">
        <v>1671</v>
      </c>
      <c r="F923" s="203">
        <v>0</v>
      </c>
      <c r="G923" s="202"/>
      <c r="H923" s="202"/>
      <c r="I923" s="202"/>
      <c r="J923" s="202">
        <v>0</v>
      </c>
      <c r="K923" s="202" t="s">
        <v>1607</v>
      </c>
      <c r="L923" s="202"/>
      <c r="M923" s="202"/>
      <c r="N923" s="206">
        <v>40633</v>
      </c>
      <c r="O923" s="206">
        <v>40633</v>
      </c>
      <c r="P923" s="202" t="s">
        <v>1584</v>
      </c>
      <c r="Q923" s="203">
        <v>500</v>
      </c>
      <c r="R923" s="203">
        <v>14070</v>
      </c>
      <c r="S923" s="204">
        <v>7305.94</v>
      </c>
      <c r="T923" s="203">
        <v>14076</v>
      </c>
      <c r="U923" s="204">
        <v>7305.94</v>
      </c>
      <c r="V923" s="204">
        <f t="shared" si="26"/>
        <v>0</v>
      </c>
      <c r="W923" s="205">
        <v>0</v>
      </c>
      <c r="X923" s="203">
        <v>51260</v>
      </c>
      <c r="Y923" s="204">
        <v>0</v>
      </c>
      <c r="Z923" s="202" t="s">
        <v>97</v>
      </c>
      <c r="AA923" s="202"/>
      <c r="AB923" s="202">
        <v>16004</v>
      </c>
      <c r="AC923" s="202"/>
      <c r="AD923" s="202" t="s">
        <v>1152</v>
      </c>
      <c r="AE923" s="202" t="s">
        <v>1153</v>
      </c>
      <c r="AF923" s="203" t="s">
        <v>1154</v>
      </c>
      <c r="AG923" s="202"/>
      <c r="AH923" s="203" t="s">
        <v>1155</v>
      </c>
      <c r="AI923" s="202">
        <v>0</v>
      </c>
      <c r="AJ923" s="202">
        <v>0</v>
      </c>
    </row>
    <row r="924" spans="2:36">
      <c r="B924" s="203">
        <v>2180</v>
      </c>
      <c r="C924" s="207">
        <v>82069</v>
      </c>
      <c r="D924" s="203" t="s">
        <v>97</v>
      </c>
      <c r="E924" s="202" t="s">
        <v>1670</v>
      </c>
      <c r="F924" s="203">
        <v>437</v>
      </c>
      <c r="G924" s="202"/>
      <c r="H924" s="202" t="s">
        <v>1669</v>
      </c>
      <c r="I924" s="202"/>
      <c r="J924" s="202">
        <v>0</v>
      </c>
      <c r="K924" s="202" t="s">
        <v>1658</v>
      </c>
      <c r="L924" s="202"/>
      <c r="M924" s="202"/>
      <c r="N924" s="206">
        <v>40667</v>
      </c>
      <c r="O924" s="206">
        <v>40667</v>
      </c>
      <c r="P924" s="202" t="s">
        <v>1668</v>
      </c>
      <c r="Q924" s="203">
        <v>700</v>
      </c>
      <c r="R924" s="203">
        <v>14050</v>
      </c>
      <c r="S924" s="204">
        <v>22668.84</v>
      </c>
      <c r="T924" s="203">
        <v>14056</v>
      </c>
      <c r="U924" s="204">
        <v>22668.84</v>
      </c>
      <c r="V924" s="204">
        <f t="shared" si="26"/>
        <v>0</v>
      </c>
      <c r="W924" s="205">
        <v>0</v>
      </c>
      <c r="X924" s="203">
        <v>54260</v>
      </c>
      <c r="Y924" s="204">
        <v>0</v>
      </c>
      <c r="Z924" s="202" t="s">
        <v>97</v>
      </c>
      <c r="AA924" s="202"/>
      <c r="AB924" s="202" t="s">
        <v>1667</v>
      </c>
      <c r="AC924" s="202"/>
      <c r="AD924" s="202" t="s">
        <v>1152</v>
      </c>
      <c r="AE924" s="202" t="s">
        <v>1153</v>
      </c>
      <c r="AF924" s="203" t="s">
        <v>1154</v>
      </c>
      <c r="AG924" s="202"/>
      <c r="AH924" s="203" t="s">
        <v>1155</v>
      </c>
      <c r="AI924" s="202">
        <v>0</v>
      </c>
      <c r="AJ924" s="202">
        <v>0</v>
      </c>
    </row>
    <row r="925" spans="2:36">
      <c r="B925" s="203">
        <v>2180</v>
      </c>
      <c r="C925" s="207">
        <v>82068</v>
      </c>
      <c r="D925" s="203" t="s">
        <v>97</v>
      </c>
      <c r="E925" s="202" t="s">
        <v>1666</v>
      </c>
      <c r="F925" s="203">
        <v>360</v>
      </c>
      <c r="G925" s="202"/>
      <c r="H925" s="202" t="s">
        <v>1665</v>
      </c>
      <c r="I925" s="202"/>
      <c r="J925" s="202">
        <v>0</v>
      </c>
      <c r="K925" s="202" t="s">
        <v>1658</v>
      </c>
      <c r="L925" s="202"/>
      <c r="M925" s="202"/>
      <c r="N925" s="206">
        <v>40651</v>
      </c>
      <c r="O925" s="206">
        <v>40651</v>
      </c>
      <c r="P925" s="202" t="s">
        <v>1657</v>
      </c>
      <c r="Q925" s="203">
        <v>700</v>
      </c>
      <c r="R925" s="203">
        <v>14050</v>
      </c>
      <c r="S925" s="204">
        <v>12721.21</v>
      </c>
      <c r="T925" s="203">
        <v>14056</v>
      </c>
      <c r="U925" s="204">
        <v>12721.21</v>
      </c>
      <c r="V925" s="204">
        <f t="shared" si="26"/>
        <v>0</v>
      </c>
      <c r="W925" s="205">
        <v>0</v>
      </c>
      <c r="X925" s="203">
        <v>54260</v>
      </c>
      <c r="Y925" s="204">
        <v>0</v>
      </c>
      <c r="Z925" s="202" t="s">
        <v>97</v>
      </c>
      <c r="AA925" s="202"/>
      <c r="AB925" s="202" t="s">
        <v>1664</v>
      </c>
      <c r="AC925" s="202"/>
      <c r="AD925" s="202" t="s">
        <v>1152</v>
      </c>
      <c r="AE925" s="202" t="s">
        <v>1153</v>
      </c>
      <c r="AF925" s="203" t="s">
        <v>1154</v>
      </c>
      <c r="AG925" s="202"/>
      <c r="AH925" s="203" t="s">
        <v>1155</v>
      </c>
      <c r="AI925" s="202">
        <v>0</v>
      </c>
      <c r="AJ925" s="202">
        <v>0</v>
      </c>
    </row>
    <row r="926" spans="2:36">
      <c r="B926" s="203">
        <v>2180</v>
      </c>
      <c r="C926" s="207">
        <v>81531</v>
      </c>
      <c r="D926" s="203">
        <v>80461</v>
      </c>
      <c r="E926" s="202" t="s">
        <v>1643</v>
      </c>
      <c r="F926" s="203">
        <v>0</v>
      </c>
      <c r="G926" s="202"/>
      <c r="H926" s="202"/>
      <c r="I926" s="202"/>
      <c r="J926" s="202">
        <v>0</v>
      </c>
      <c r="K926" s="202" t="s">
        <v>1641</v>
      </c>
      <c r="L926" s="202"/>
      <c r="M926" s="202"/>
      <c r="N926" s="206">
        <v>40633</v>
      </c>
      <c r="O926" s="206">
        <v>40633</v>
      </c>
      <c r="P926" s="202" t="s">
        <v>1592</v>
      </c>
      <c r="Q926" s="203">
        <v>2000</v>
      </c>
      <c r="R926" s="203">
        <v>14080</v>
      </c>
      <c r="S926" s="204">
        <v>20661.47</v>
      </c>
      <c r="T926" s="203">
        <v>14086</v>
      </c>
      <c r="U926" s="204">
        <v>11535.96</v>
      </c>
      <c r="V926" s="204">
        <f t="shared" si="26"/>
        <v>9125.510000000002</v>
      </c>
      <c r="W926" s="205">
        <v>430.45</v>
      </c>
      <c r="X926" s="203">
        <v>57260</v>
      </c>
      <c r="Y926" s="204">
        <v>86.09</v>
      </c>
      <c r="Z926" s="202" t="s">
        <v>97</v>
      </c>
      <c r="AA926" s="202"/>
      <c r="AB926" s="202">
        <v>123487</v>
      </c>
      <c r="AC926" s="202"/>
      <c r="AD926" s="202" t="s">
        <v>1152</v>
      </c>
      <c r="AE926" s="202" t="s">
        <v>1153</v>
      </c>
      <c r="AF926" s="203" t="s">
        <v>1154</v>
      </c>
      <c r="AG926" s="202"/>
      <c r="AH926" s="203" t="s">
        <v>1155</v>
      </c>
      <c r="AI926" s="202">
        <v>0</v>
      </c>
      <c r="AJ926" s="202">
        <v>0</v>
      </c>
    </row>
    <row r="927" spans="2:36">
      <c r="B927" s="203">
        <v>2180</v>
      </c>
      <c r="C927" s="207">
        <v>81530</v>
      </c>
      <c r="D927" s="203">
        <v>80461</v>
      </c>
      <c r="E927" s="202" t="s">
        <v>1663</v>
      </c>
      <c r="F927" s="203">
        <v>0</v>
      </c>
      <c r="G927" s="202"/>
      <c r="H927" s="202"/>
      <c r="I927" s="202"/>
      <c r="J927" s="202">
        <v>0</v>
      </c>
      <c r="K927" s="202" t="s">
        <v>1600</v>
      </c>
      <c r="L927" s="202"/>
      <c r="M927" s="202"/>
      <c r="N927" s="206">
        <v>40633</v>
      </c>
      <c r="O927" s="206">
        <v>40633</v>
      </c>
      <c r="P927" s="202" t="s">
        <v>1644</v>
      </c>
      <c r="Q927" s="203">
        <v>2000</v>
      </c>
      <c r="R927" s="203">
        <v>14080</v>
      </c>
      <c r="S927" s="204">
        <v>301</v>
      </c>
      <c r="T927" s="203">
        <v>14086</v>
      </c>
      <c r="U927" s="204">
        <v>168.05</v>
      </c>
      <c r="V927" s="204">
        <f t="shared" si="26"/>
        <v>132.94999999999999</v>
      </c>
      <c r="W927" s="205">
        <v>6.27</v>
      </c>
      <c r="X927" s="203">
        <v>57260</v>
      </c>
      <c r="Y927" s="204">
        <v>1.25</v>
      </c>
      <c r="Z927" s="202" t="s">
        <v>97</v>
      </c>
      <c r="AA927" s="202"/>
      <c r="AB927" s="202" t="s">
        <v>1662</v>
      </c>
      <c r="AC927" s="202"/>
      <c r="AD927" s="202" t="s">
        <v>1152</v>
      </c>
      <c r="AE927" s="202" t="s">
        <v>1153</v>
      </c>
      <c r="AF927" s="203" t="s">
        <v>1154</v>
      </c>
      <c r="AG927" s="202"/>
      <c r="AH927" s="203" t="s">
        <v>1155</v>
      </c>
      <c r="AI927" s="202">
        <v>0</v>
      </c>
      <c r="AJ927" s="202">
        <v>0</v>
      </c>
    </row>
    <row r="928" spans="2:36">
      <c r="B928" s="203">
        <v>2180</v>
      </c>
      <c r="C928" s="207">
        <v>81529</v>
      </c>
      <c r="D928" s="203">
        <v>80461</v>
      </c>
      <c r="E928" s="202" t="s">
        <v>1661</v>
      </c>
      <c r="F928" s="203">
        <v>0</v>
      </c>
      <c r="G928" s="202"/>
      <c r="H928" s="202"/>
      <c r="I928" s="202"/>
      <c r="J928" s="202">
        <v>0</v>
      </c>
      <c r="K928" s="202" t="s">
        <v>1634</v>
      </c>
      <c r="L928" s="202"/>
      <c r="M928" s="202"/>
      <c r="N928" s="206">
        <v>40633</v>
      </c>
      <c r="O928" s="206">
        <v>40633</v>
      </c>
      <c r="P928" s="202" t="s">
        <v>1644</v>
      </c>
      <c r="Q928" s="203">
        <v>2000</v>
      </c>
      <c r="R928" s="203">
        <v>14080</v>
      </c>
      <c r="S928" s="204">
        <v>8812.86</v>
      </c>
      <c r="T928" s="203">
        <v>14086</v>
      </c>
      <c r="U928" s="204">
        <v>4920.4799999999996</v>
      </c>
      <c r="V928" s="204">
        <f t="shared" si="26"/>
        <v>3892.380000000001</v>
      </c>
      <c r="W928" s="205">
        <v>183.6</v>
      </c>
      <c r="X928" s="203">
        <v>57260</v>
      </c>
      <c r="Y928" s="204">
        <v>36.72</v>
      </c>
      <c r="Z928" s="202" t="s">
        <v>97</v>
      </c>
      <c r="AA928" s="202"/>
      <c r="AB928" s="202">
        <v>126821</v>
      </c>
      <c r="AC928" s="202"/>
      <c r="AD928" s="202" t="s">
        <v>1152</v>
      </c>
      <c r="AE928" s="202" t="s">
        <v>1153</v>
      </c>
      <c r="AF928" s="203" t="s">
        <v>1154</v>
      </c>
      <c r="AG928" s="202"/>
      <c r="AH928" s="203" t="s">
        <v>1155</v>
      </c>
      <c r="AI928" s="202">
        <v>0</v>
      </c>
      <c r="AJ928" s="202">
        <v>0</v>
      </c>
    </row>
    <row r="929" spans="2:36">
      <c r="B929" s="203">
        <v>2180</v>
      </c>
      <c r="C929" s="207">
        <v>81513</v>
      </c>
      <c r="D929" s="203" t="s">
        <v>97</v>
      </c>
      <c r="E929" s="202" t="s">
        <v>1660</v>
      </c>
      <c r="F929" s="203">
        <v>437</v>
      </c>
      <c r="G929" s="202"/>
      <c r="H929" s="202" t="s">
        <v>1659</v>
      </c>
      <c r="I929" s="202"/>
      <c r="J929" s="202">
        <v>0</v>
      </c>
      <c r="K929" s="202" t="s">
        <v>1658</v>
      </c>
      <c r="L929" s="202"/>
      <c r="M929" s="202"/>
      <c r="N929" s="206">
        <v>40651</v>
      </c>
      <c r="O929" s="206">
        <v>40651</v>
      </c>
      <c r="P929" s="202" t="s">
        <v>1657</v>
      </c>
      <c r="Q929" s="203">
        <v>700</v>
      </c>
      <c r="R929" s="203">
        <v>14050</v>
      </c>
      <c r="S929" s="204">
        <v>23146.47</v>
      </c>
      <c r="T929" s="203">
        <v>14056</v>
      </c>
      <c r="U929" s="204">
        <v>23146.47</v>
      </c>
      <c r="V929" s="204">
        <f t="shared" si="26"/>
        <v>0</v>
      </c>
      <c r="W929" s="205">
        <v>0</v>
      </c>
      <c r="X929" s="203">
        <v>54260</v>
      </c>
      <c r="Y929" s="204">
        <v>0</v>
      </c>
      <c r="Z929" s="202" t="s">
        <v>97</v>
      </c>
      <c r="AA929" s="202"/>
      <c r="AB929" s="202" t="s">
        <v>1656</v>
      </c>
      <c r="AC929" s="202"/>
      <c r="AD929" s="202" t="s">
        <v>1152</v>
      </c>
      <c r="AE929" s="202" t="s">
        <v>1153</v>
      </c>
      <c r="AF929" s="203" t="s">
        <v>1154</v>
      </c>
      <c r="AG929" s="202"/>
      <c r="AH929" s="203" t="s">
        <v>1155</v>
      </c>
      <c r="AI929" s="202">
        <v>0</v>
      </c>
      <c r="AJ929" s="202">
        <v>0</v>
      </c>
    </row>
    <row r="930" spans="2:36">
      <c r="B930" s="203">
        <v>2180</v>
      </c>
      <c r="C930" s="207">
        <v>81108</v>
      </c>
      <c r="D930" s="203">
        <v>80461</v>
      </c>
      <c r="E930" s="202" t="s">
        <v>1655</v>
      </c>
      <c r="F930" s="203">
        <v>0</v>
      </c>
      <c r="G930" s="202"/>
      <c r="H930" s="202"/>
      <c r="I930" s="202"/>
      <c r="J930" s="202">
        <v>0</v>
      </c>
      <c r="K930" s="202" t="s">
        <v>1654</v>
      </c>
      <c r="L930" s="202"/>
      <c r="M930" s="202"/>
      <c r="N930" s="206">
        <v>40633</v>
      </c>
      <c r="O930" s="206">
        <v>40633</v>
      </c>
      <c r="P930" s="202" t="s">
        <v>1644</v>
      </c>
      <c r="Q930" s="203">
        <v>2000</v>
      </c>
      <c r="R930" s="203">
        <v>14080</v>
      </c>
      <c r="S930" s="204">
        <v>8580.17</v>
      </c>
      <c r="T930" s="203">
        <v>14086</v>
      </c>
      <c r="U930" s="204">
        <v>4790.6099999999997</v>
      </c>
      <c r="V930" s="204">
        <f t="shared" si="26"/>
        <v>3789.5600000000004</v>
      </c>
      <c r="W930" s="205">
        <v>178.75</v>
      </c>
      <c r="X930" s="203">
        <v>57260</v>
      </c>
      <c r="Y930" s="204">
        <v>35.75</v>
      </c>
      <c r="Z930" s="202" t="s">
        <v>97</v>
      </c>
      <c r="AA930" s="202"/>
      <c r="AB930" s="202" t="s">
        <v>1653</v>
      </c>
      <c r="AC930" s="202"/>
      <c r="AD930" s="202" t="s">
        <v>1152</v>
      </c>
      <c r="AE930" s="202" t="s">
        <v>1153</v>
      </c>
      <c r="AF930" s="203" t="s">
        <v>1154</v>
      </c>
      <c r="AG930" s="202"/>
      <c r="AH930" s="203" t="s">
        <v>1155</v>
      </c>
      <c r="AI930" s="202">
        <v>0</v>
      </c>
      <c r="AJ930" s="202">
        <v>0</v>
      </c>
    </row>
    <row r="931" spans="2:36">
      <c r="B931" s="203">
        <v>2180</v>
      </c>
      <c r="C931" s="207">
        <v>81107</v>
      </c>
      <c r="D931" s="203">
        <v>80461</v>
      </c>
      <c r="E931" s="202" t="s">
        <v>1652</v>
      </c>
      <c r="F931" s="203">
        <v>0</v>
      </c>
      <c r="G931" s="202"/>
      <c r="H931" s="202"/>
      <c r="I931" s="202"/>
      <c r="J931" s="202">
        <v>0</v>
      </c>
      <c r="K931" s="202" t="s">
        <v>1651</v>
      </c>
      <c r="L931" s="202"/>
      <c r="M931" s="202"/>
      <c r="N931" s="206">
        <v>40633</v>
      </c>
      <c r="O931" s="206">
        <v>40633</v>
      </c>
      <c r="P931" s="202" t="s">
        <v>1644</v>
      </c>
      <c r="Q931" s="203">
        <v>2000</v>
      </c>
      <c r="R931" s="203">
        <v>14080</v>
      </c>
      <c r="S931" s="204">
        <v>835.05</v>
      </c>
      <c r="T931" s="203">
        <v>14086</v>
      </c>
      <c r="U931" s="204">
        <v>466.22</v>
      </c>
      <c r="V931" s="204">
        <f t="shared" si="26"/>
        <v>368.82999999999993</v>
      </c>
      <c r="W931" s="205">
        <v>17.399999999999999</v>
      </c>
      <c r="X931" s="203">
        <v>57260</v>
      </c>
      <c r="Y931" s="204">
        <v>3.48</v>
      </c>
      <c r="Z931" s="202" t="s">
        <v>97</v>
      </c>
      <c r="AA931" s="202"/>
      <c r="AB931" s="202">
        <v>110044</v>
      </c>
      <c r="AC931" s="202"/>
      <c r="AD931" s="202" t="s">
        <v>1152</v>
      </c>
      <c r="AE931" s="202" t="s">
        <v>1153</v>
      </c>
      <c r="AF931" s="203" t="s">
        <v>1154</v>
      </c>
      <c r="AG931" s="202"/>
      <c r="AH931" s="203" t="s">
        <v>1155</v>
      </c>
      <c r="AI931" s="202">
        <v>0</v>
      </c>
      <c r="AJ931" s="202">
        <v>0</v>
      </c>
    </row>
    <row r="932" spans="2:36">
      <c r="B932" s="203">
        <v>2180</v>
      </c>
      <c r="C932" s="207">
        <v>81106</v>
      </c>
      <c r="D932" s="203">
        <v>80461</v>
      </c>
      <c r="E932" s="202" t="s">
        <v>1650</v>
      </c>
      <c r="F932" s="203">
        <v>0</v>
      </c>
      <c r="G932" s="202"/>
      <c r="H932" s="202"/>
      <c r="I932" s="202"/>
      <c r="J932" s="202">
        <v>0</v>
      </c>
      <c r="K932" s="202" t="s">
        <v>1613</v>
      </c>
      <c r="L932" s="202"/>
      <c r="M932" s="202"/>
      <c r="N932" s="206">
        <v>40633</v>
      </c>
      <c r="O932" s="206">
        <v>40633</v>
      </c>
      <c r="P932" s="202" t="s">
        <v>1592</v>
      </c>
      <c r="Q932" s="203">
        <v>1000</v>
      </c>
      <c r="R932" s="203">
        <v>14080</v>
      </c>
      <c r="S932" s="204">
        <v>1955.1</v>
      </c>
      <c r="T932" s="203">
        <v>14086</v>
      </c>
      <c r="U932" s="204">
        <v>1955.1</v>
      </c>
      <c r="V932" s="204">
        <f t="shared" si="26"/>
        <v>0</v>
      </c>
      <c r="W932" s="205">
        <v>0</v>
      </c>
      <c r="X932" s="203">
        <v>57260</v>
      </c>
      <c r="Y932" s="204">
        <v>0</v>
      </c>
      <c r="Z932" s="202" t="s">
        <v>97</v>
      </c>
      <c r="AA932" s="202"/>
      <c r="AB932" s="202">
        <v>14835</v>
      </c>
      <c r="AC932" s="202"/>
      <c r="AD932" s="202" t="s">
        <v>1152</v>
      </c>
      <c r="AE932" s="202" t="s">
        <v>1153</v>
      </c>
      <c r="AF932" s="203" t="s">
        <v>1154</v>
      </c>
      <c r="AG932" s="202"/>
      <c r="AH932" s="203" t="s">
        <v>1155</v>
      </c>
      <c r="AI932" s="202">
        <v>0</v>
      </c>
      <c r="AJ932" s="202">
        <v>0</v>
      </c>
    </row>
    <row r="933" spans="2:36">
      <c r="B933" s="203">
        <v>2180</v>
      </c>
      <c r="C933" s="207">
        <v>80943</v>
      </c>
      <c r="D933" s="203">
        <v>80461</v>
      </c>
      <c r="E933" s="202" t="s">
        <v>1646</v>
      </c>
      <c r="F933" s="203">
        <v>0</v>
      </c>
      <c r="G933" s="202"/>
      <c r="H933" s="202"/>
      <c r="I933" s="202"/>
      <c r="J933" s="202">
        <v>0</v>
      </c>
      <c r="K933" s="202" t="s">
        <v>1645</v>
      </c>
      <c r="L933" s="202"/>
      <c r="M933" s="202"/>
      <c r="N933" s="206">
        <v>40633</v>
      </c>
      <c r="O933" s="206">
        <v>40633</v>
      </c>
      <c r="P933" s="202" t="s">
        <v>1592</v>
      </c>
      <c r="Q933" s="203">
        <v>2000</v>
      </c>
      <c r="R933" s="203">
        <v>14080</v>
      </c>
      <c r="S933" s="204">
        <v>5427.5</v>
      </c>
      <c r="T933" s="203">
        <v>14086</v>
      </c>
      <c r="U933" s="204">
        <v>3030.41</v>
      </c>
      <c r="V933" s="204">
        <f t="shared" si="26"/>
        <v>2397.09</v>
      </c>
      <c r="W933" s="205">
        <v>113.08</v>
      </c>
      <c r="X933" s="203">
        <v>57260</v>
      </c>
      <c r="Y933" s="204">
        <v>22.62</v>
      </c>
      <c r="Z933" s="202" t="s">
        <v>97</v>
      </c>
      <c r="AA933" s="202"/>
      <c r="AB933" s="202">
        <v>999580</v>
      </c>
      <c r="AC933" s="202"/>
      <c r="AD933" s="202" t="s">
        <v>1152</v>
      </c>
      <c r="AE933" s="202" t="s">
        <v>1153</v>
      </c>
      <c r="AF933" s="203" t="s">
        <v>1154</v>
      </c>
      <c r="AG933" s="202"/>
      <c r="AH933" s="203" t="s">
        <v>1155</v>
      </c>
      <c r="AI933" s="202">
        <v>0</v>
      </c>
      <c r="AJ933" s="202">
        <v>0</v>
      </c>
    </row>
    <row r="934" spans="2:36">
      <c r="B934" s="203">
        <v>2180</v>
      </c>
      <c r="C934" s="207">
        <v>80942</v>
      </c>
      <c r="D934" s="203">
        <v>80461</v>
      </c>
      <c r="E934" s="202" t="s">
        <v>1646</v>
      </c>
      <c r="F934" s="203">
        <v>0</v>
      </c>
      <c r="G934" s="202"/>
      <c r="H934" s="202"/>
      <c r="I934" s="202"/>
      <c r="J934" s="202">
        <v>0</v>
      </c>
      <c r="K934" s="202" t="s">
        <v>1645</v>
      </c>
      <c r="L934" s="202"/>
      <c r="M934" s="202"/>
      <c r="N934" s="206">
        <v>40633</v>
      </c>
      <c r="O934" s="206">
        <v>40633</v>
      </c>
      <c r="P934" s="202" t="s">
        <v>1592</v>
      </c>
      <c r="Q934" s="203">
        <v>2000</v>
      </c>
      <c r="R934" s="203">
        <v>14080</v>
      </c>
      <c r="S934" s="204">
        <v>5255</v>
      </c>
      <c r="T934" s="203">
        <v>14086</v>
      </c>
      <c r="U934" s="204">
        <v>2934.04</v>
      </c>
      <c r="V934" s="204">
        <f t="shared" si="26"/>
        <v>2320.96</v>
      </c>
      <c r="W934" s="205">
        <v>109.48</v>
      </c>
      <c r="X934" s="203">
        <v>57260</v>
      </c>
      <c r="Y934" s="204">
        <v>21.9</v>
      </c>
      <c r="Z934" s="202" t="s">
        <v>97</v>
      </c>
      <c r="AA934" s="202"/>
      <c r="AB934" s="202">
        <v>999781</v>
      </c>
      <c r="AC934" s="202"/>
      <c r="AD934" s="202" t="s">
        <v>1152</v>
      </c>
      <c r="AE934" s="202" t="s">
        <v>1153</v>
      </c>
      <c r="AF934" s="203" t="s">
        <v>1154</v>
      </c>
      <c r="AG934" s="202"/>
      <c r="AH934" s="203" t="s">
        <v>1155</v>
      </c>
      <c r="AI934" s="202">
        <v>0</v>
      </c>
      <c r="AJ934" s="202">
        <v>0</v>
      </c>
    </row>
    <row r="935" spans="2:36">
      <c r="B935" s="203">
        <v>2180</v>
      </c>
      <c r="C935" s="207">
        <v>80941</v>
      </c>
      <c r="D935" s="203">
        <v>80461</v>
      </c>
      <c r="E935" s="202" t="s">
        <v>1649</v>
      </c>
      <c r="F935" s="203">
        <v>0</v>
      </c>
      <c r="G935" s="202"/>
      <c r="H935" s="202"/>
      <c r="I935" s="202"/>
      <c r="J935" s="202">
        <v>0</v>
      </c>
      <c r="K935" s="202" t="s">
        <v>1648</v>
      </c>
      <c r="L935" s="202"/>
      <c r="M935" s="202"/>
      <c r="N935" s="206">
        <v>40633</v>
      </c>
      <c r="O935" s="206">
        <v>40633</v>
      </c>
      <c r="P935" s="202" t="s">
        <v>1644</v>
      </c>
      <c r="Q935" s="203">
        <v>2000</v>
      </c>
      <c r="R935" s="203">
        <v>14080</v>
      </c>
      <c r="S935" s="204">
        <v>23823.03</v>
      </c>
      <c r="T935" s="203">
        <v>14086</v>
      </c>
      <c r="U935" s="204">
        <v>13301.17</v>
      </c>
      <c r="V935" s="204">
        <f t="shared" si="26"/>
        <v>10521.859999999999</v>
      </c>
      <c r="W935" s="205">
        <v>496.31</v>
      </c>
      <c r="X935" s="203">
        <v>57260</v>
      </c>
      <c r="Y935" s="204">
        <v>99.26</v>
      </c>
      <c r="Z935" s="202" t="s">
        <v>97</v>
      </c>
      <c r="AA935" s="202"/>
      <c r="AB935" s="202" t="s">
        <v>1647</v>
      </c>
      <c r="AC935" s="202"/>
      <c r="AD935" s="202" t="s">
        <v>1152</v>
      </c>
      <c r="AE935" s="202" t="s">
        <v>1153</v>
      </c>
      <c r="AF935" s="203" t="s">
        <v>1154</v>
      </c>
      <c r="AG935" s="202"/>
      <c r="AH935" s="203" t="s">
        <v>1155</v>
      </c>
      <c r="AI935" s="202">
        <v>0</v>
      </c>
      <c r="AJ935" s="202">
        <v>0</v>
      </c>
    </row>
    <row r="936" spans="2:36">
      <c r="B936" s="203">
        <v>2180</v>
      </c>
      <c r="C936" s="207">
        <v>80940</v>
      </c>
      <c r="D936" s="203">
        <v>80461</v>
      </c>
      <c r="E936" s="202" t="s">
        <v>1646</v>
      </c>
      <c r="F936" s="203">
        <v>0</v>
      </c>
      <c r="G936" s="202"/>
      <c r="H936" s="202"/>
      <c r="I936" s="202"/>
      <c r="J936" s="202">
        <v>0</v>
      </c>
      <c r="K936" s="202" t="s">
        <v>1645</v>
      </c>
      <c r="L936" s="202"/>
      <c r="M936" s="202"/>
      <c r="N936" s="206">
        <v>40633</v>
      </c>
      <c r="O936" s="206">
        <v>40633</v>
      </c>
      <c r="P936" s="202" t="s">
        <v>1592</v>
      </c>
      <c r="Q936" s="203">
        <v>2000</v>
      </c>
      <c r="R936" s="203">
        <v>14080</v>
      </c>
      <c r="S936" s="204">
        <v>4566.5</v>
      </c>
      <c r="T936" s="203">
        <v>14086</v>
      </c>
      <c r="U936" s="204">
        <v>2549.6799999999998</v>
      </c>
      <c r="V936" s="204">
        <f t="shared" si="26"/>
        <v>2016.8200000000002</v>
      </c>
      <c r="W936" s="205">
        <v>95.14</v>
      </c>
      <c r="X936" s="203">
        <v>57260</v>
      </c>
      <c r="Y936" s="204">
        <v>19.03</v>
      </c>
      <c r="Z936" s="202" t="s">
        <v>97</v>
      </c>
      <c r="AA936" s="202"/>
      <c r="AB936" s="202">
        <v>1000059</v>
      </c>
      <c r="AC936" s="202"/>
      <c r="AD936" s="202" t="s">
        <v>1152</v>
      </c>
      <c r="AE936" s="202" t="s">
        <v>1153</v>
      </c>
      <c r="AF936" s="203" t="s">
        <v>1154</v>
      </c>
      <c r="AG936" s="202"/>
      <c r="AH936" s="203" t="s">
        <v>1155</v>
      </c>
      <c r="AI936" s="202">
        <v>0</v>
      </c>
      <c r="AJ936" s="202">
        <v>0</v>
      </c>
    </row>
    <row r="937" spans="2:36">
      <c r="B937" s="203">
        <v>2180</v>
      </c>
      <c r="C937" s="207">
        <v>80886</v>
      </c>
      <c r="D937" s="203">
        <v>80461</v>
      </c>
      <c r="E937" s="202" t="s">
        <v>1643</v>
      </c>
      <c r="F937" s="203">
        <v>0</v>
      </c>
      <c r="G937" s="202"/>
      <c r="H937" s="202"/>
      <c r="I937" s="202"/>
      <c r="J937" s="202">
        <v>0</v>
      </c>
      <c r="K937" s="202" t="s">
        <v>1641</v>
      </c>
      <c r="L937" s="202"/>
      <c r="M937" s="202"/>
      <c r="N937" s="206">
        <v>40633</v>
      </c>
      <c r="O937" s="206">
        <v>40633</v>
      </c>
      <c r="P937" s="202" t="s">
        <v>1644</v>
      </c>
      <c r="Q937" s="203">
        <v>2000</v>
      </c>
      <c r="R937" s="203">
        <v>14080</v>
      </c>
      <c r="S937" s="204">
        <v>118437</v>
      </c>
      <c r="T937" s="203">
        <v>14086</v>
      </c>
      <c r="U937" s="204">
        <v>66127.33</v>
      </c>
      <c r="V937" s="204">
        <f t="shared" si="26"/>
        <v>52309.67</v>
      </c>
      <c r="W937" s="205">
        <v>2467.44</v>
      </c>
      <c r="X937" s="203">
        <v>57260</v>
      </c>
      <c r="Y937" s="204">
        <v>493.49</v>
      </c>
      <c r="Z937" s="202" t="s">
        <v>97</v>
      </c>
      <c r="AA937" s="202"/>
      <c r="AB937" s="202">
        <v>123457</v>
      </c>
      <c r="AC937" s="202"/>
      <c r="AD937" s="202" t="s">
        <v>1152</v>
      </c>
      <c r="AE937" s="202" t="s">
        <v>1153</v>
      </c>
      <c r="AF937" s="203" t="s">
        <v>1154</v>
      </c>
      <c r="AG937" s="202"/>
      <c r="AH937" s="203" t="s">
        <v>1155</v>
      </c>
      <c r="AI937" s="202">
        <v>0</v>
      </c>
      <c r="AJ937" s="202">
        <v>0</v>
      </c>
    </row>
    <row r="938" spans="2:36">
      <c r="B938" s="203">
        <v>2180</v>
      </c>
      <c r="C938" s="207">
        <v>80885</v>
      </c>
      <c r="D938" s="203">
        <v>80461</v>
      </c>
      <c r="E938" s="202" t="s">
        <v>1643</v>
      </c>
      <c r="F938" s="203">
        <v>0</v>
      </c>
      <c r="G938" s="202"/>
      <c r="H938" s="202"/>
      <c r="I938" s="202"/>
      <c r="J938" s="202">
        <v>0</v>
      </c>
      <c r="K938" s="202" t="s">
        <v>1641</v>
      </c>
      <c r="L938" s="202"/>
      <c r="M938" s="202"/>
      <c r="N938" s="206">
        <v>40633</v>
      </c>
      <c r="O938" s="206">
        <v>40633</v>
      </c>
      <c r="P938" s="202" t="s">
        <v>1592</v>
      </c>
      <c r="Q938" s="203">
        <v>2000</v>
      </c>
      <c r="R938" s="203">
        <v>14080</v>
      </c>
      <c r="S938" s="204">
        <v>138250.85</v>
      </c>
      <c r="T938" s="203">
        <v>14086</v>
      </c>
      <c r="U938" s="204">
        <v>77190.03</v>
      </c>
      <c r="V938" s="204">
        <f t="shared" si="26"/>
        <v>61060.820000000007</v>
      </c>
      <c r="W938" s="205">
        <v>2880.23</v>
      </c>
      <c r="X938" s="203">
        <v>57260</v>
      </c>
      <c r="Y938" s="204">
        <v>576.04999999999995</v>
      </c>
      <c r="Z938" s="202" t="s">
        <v>97</v>
      </c>
      <c r="AA938" s="202"/>
      <c r="AB938" s="202">
        <v>123457</v>
      </c>
      <c r="AC938" s="202"/>
      <c r="AD938" s="202" t="s">
        <v>1152</v>
      </c>
      <c r="AE938" s="202" t="s">
        <v>1153</v>
      </c>
      <c r="AF938" s="203" t="s">
        <v>1154</v>
      </c>
      <c r="AG938" s="202"/>
      <c r="AH938" s="203" t="s">
        <v>1155</v>
      </c>
      <c r="AI938" s="202">
        <v>0</v>
      </c>
      <c r="AJ938" s="202">
        <v>0</v>
      </c>
    </row>
    <row r="939" spans="2:36">
      <c r="B939" s="203">
        <v>2180</v>
      </c>
      <c r="C939" s="207">
        <v>80884</v>
      </c>
      <c r="D939" s="203">
        <v>80461</v>
      </c>
      <c r="E939" s="202" t="s">
        <v>1642</v>
      </c>
      <c r="F939" s="203">
        <v>0</v>
      </c>
      <c r="G939" s="202"/>
      <c r="H939" s="202"/>
      <c r="I939" s="202"/>
      <c r="J939" s="202">
        <v>0</v>
      </c>
      <c r="K939" s="202" t="s">
        <v>1641</v>
      </c>
      <c r="L939" s="202"/>
      <c r="M939" s="202"/>
      <c r="N939" s="206">
        <v>40633</v>
      </c>
      <c r="O939" s="206">
        <v>40633</v>
      </c>
      <c r="P939" s="202" t="s">
        <v>1592</v>
      </c>
      <c r="Q939" s="203">
        <v>2000</v>
      </c>
      <c r="R939" s="203">
        <v>14080</v>
      </c>
      <c r="S939" s="204">
        <v>71579.83</v>
      </c>
      <c r="T939" s="203">
        <v>14086</v>
      </c>
      <c r="U939" s="204">
        <v>39965.39</v>
      </c>
      <c r="V939" s="204">
        <f t="shared" si="26"/>
        <v>31614.440000000002</v>
      </c>
      <c r="W939" s="205">
        <v>1491.25</v>
      </c>
      <c r="X939" s="203">
        <v>57260</v>
      </c>
      <c r="Y939" s="204">
        <v>298.25</v>
      </c>
      <c r="Z939" s="202" t="s">
        <v>97</v>
      </c>
      <c r="AA939" s="202"/>
      <c r="AB939" s="202">
        <v>123448</v>
      </c>
      <c r="AC939" s="202"/>
      <c r="AD939" s="202" t="s">
        <v>1152</v>
      </c>
      <c r="AE939" s="202" t="s">
        <v>1153</v>
      </c>
      <c r="AF939" s="203" t="s">
        <v>1154</v>
      </c>
      <c r="AG939" s="202"/>
      <c r="AH939" s="203" t="s">
        <v>1155</v>
      </c>
      <c r="AI939" s="202">
        <v>0</v>
      </c>
      <c r="AJ939" s="202">
        <v>0</v>
      </c>
    </row>
    <row r="940" spans="2:36">
      <c r="B940" s="203">
        <v>2180</v>
      </c>
      <c r="C940" s="207">
        <v>80883</v>
      </c>
      <c r="D940" s="203">
        <v>80461</v>
      </c>
      <c r="E940" s="202" t="s">
        <v>1640</v>
      </c>
      <c r="F940" s="203">
        <v>0</v>
      </c>
      <c r="G940" s="202"/>
      <c r="H940" s="202"/>
      <c r="I940" s="202"/>
      <c r="J940" s="202">
        <v>0</v>
      </c>
      <c r="K940" s="202" t="s">
        <v>1639</v>
      </c>
      <c r="L940" s="202"/>
      <c r="M940" s="202"/>
      <c r="N940" s="206">
        <v>40633</v>
      </c>
      <c r="O940" s="206">
        <v>40633</v>
      </c>
      <c r="P940" s="202" t="s">
        <v>1592</v>
      </c>
      <c r="Q940" s="203">
        <v>2000</v>
      </c>
      <c r="R940" s="203">
        <v>14080</v>
      </c>
      <c r="S940" s="204">
        <v>553.12</v>
      </c>
      <c r="T940" s="203">
        <v>14086</v>
      </c>
      <c r="U940" s="204">
        <v>308.87</v>
      </c>
      <c r="V940" s="204">
        <f t="shared" si="26"/>
        <v>244.25</v>
      </c>
      <c r="W940" s="205">
        <v>11.53</v>
      </c>
      <c r="X940" s="203">
        <v>57260</v>
      </c>
      <c r="Y940" s="204">
        <v>2.31</v>
      </c>
      <c r="Z940" s="202" t="s">
        <v>97</v>
      </c>
      <c r="AA940" s="202"/>
      <c r="AB940" s="202" t="s">
        <v>1638</v>
      </c>
      <c r="AC940" s="202"/>
      <c r="AD940" s="202" t="s">
        <v>1152</v>
      </c>
      <c r="AE940" s="202" t="s">
        <v>1153</v>
      </c>
      <c r="AF940" s="203" t="s">
        <v>1154</v>
      </c>
      <c r="AG940" s="202"/>
      <c r="AH940" s="203" t="s">
        <v>1155</v>
      </c>
      <c r="AI940" s="202">
        <v>0</v>
      </c>
      <c r="AJ940" s="202">
        <v>0</v>
      </c>
    </row>
    <row r="941" spans="2:36">
      <c r="B941" s="203">
        <v>2180</v>
      </c>
      <c r="C941" s="207">
        <v>80882</v>
      </c>
      <c r="D941" s="203">
        <v>80461</v>
      </c>
      <c r="E941" s="202" t="s">
        <v>1637</v>
      </c>
      <c r="F941" s="203">
        <v>0</v>
      </c>
      <c r="G941" s="202"/>
      <c r="H941" s="202"/>
      <c r="I941" s="202"/>
      <c r="J941" s="202">
        <v>0</v>
      </c>
      <c r="K941" s="202" t="s">
        <v>1636</v>
      </c>
      <c r="L941" s="202"/>
      <c r="M941" s="202"/>
      <c r="N941" s="206">
        <v>40633</v>
      </c>
      <c r="O941" s="206">
        <v>40633</v>
      </c>
      <c r="P941" s="202" t="s">
        <v>1592</v>
      </c>
      <c r="Q941" s="203">
        <v>2000</v>
      </c>
      <c r="R941" s="203">
        <v>14080</v>
      </c>
      <c r="S941" s="204">
        <v>8499.35</v>
      </c>
      <c r="T941" s="203">
        <v>14086</v>
      </c>
      <c r="U941" s="204">
        <v>4745.3999999999996</v>
      </c>
      <c r="V941" s="204">
        <f t="shared" si="26"/>
        <v>3753.9500000000007</v>
      </c>
      <c r="W941" s="205">
        <v>177.07</v>
      </c>
      <c r="X941" s="203">
        <v>57260</v>
      </c>
      <c r="Y941" s="204">
        <v>35.409999999999997</v>
      </c>
      <c r="Z941" s="202" t="s">
        <v>97</v>
      </c>
      <c r="AA941" s="202"/>
      <c r="AB941" s="202">
        <v>19</v>
      </c>
      <c r="AC941" s="202"/>
      <c r="AD941" s="202" t="s">
        <v>1152</v>
      </c>
      <c r="AE941" s="202" t="s">
        <v>1153</v>
      </c>
      <c r="AF941" s="203" t="s">
        <v>1154</v>
      </c>
      <c r="AG941" s="202"/>
      <c r="AH941" s="203" t="s">
        <v>1155</v>
      </c>
      <c r="AI941" s="202">
        <v>0</v>
      </c>
      <c r="AJ941" s="202">
        <v>0</v>
      </c>
    </row>
    <row r="942" spans="2:36">
      <c r="B942" s="203">
        <v>2180</v>
      </c>
      <c r="C942" s="207">
        <v>80808</v>
      </c>
      <c r="D942" s="203">
        <v>80461</v>
      </c>
      <c r="E942" s="202" t="s">
        <v>1635</v>
      </c>
      <c r="F942" s="203">
        <v>0</v>
      </c>
      <c r="G942" s="202"/>
      <c r="H942" s="202"/>
      <c r="I942" s="202"/>
      <c r="J942" s="202">
        <v>0</v>
      </c>
      <c r="K942" s="202" t="s">
        <v>1634</v>
      </c>
      <c r="L942" s="202"/>
      <c r="M942" s="202"/>
      <c r="N942" s="206">
        <v>40633</v>
      </c>
      <c r="O942" s="206">
        <v>40633</v>
      </c>
      <c r="P942" s="202" t="s">
        <v>1592</v>
      </c>
      <c r="Q942" s="203">
        <v>2000</v>
      </c>
      <c r="R942" s="203">
        <v>14080</v>
      </c>
      <c r="S942" s="204">
        <v>42012.06</v>
      </c>
      <c r="T942" s="203">
        <v>14086</v>
      </c>
      <c r="U942" s="204">
        <v>23456.7</v>
      </c>
      <c r="V942" s="204">
        <f t="shared" si="26"/>
        <v>18555.359999999997</v>
      </c>
      <c r="W942" s="205">
        <v>875.25</v>
      </c>
      <c r="X942" s="203">
        <v>57260</v>
      </c>
      <c r="Y942" s="204">
        <v>175.05</v>
      </c>
      <c r="Z942" s="202" t="s">
        <v>97</v>
      </c>
      <c r="AA942" s="202"/>
      <c r="AB942" s="202">
        <v>125561</v>
      </c>
      <c r="AC942" s="202"/>
      <c r="AD942" s="202" t="s">
        <v>1152</v>
      </c>
      <c r="AE942" s="202" t="s">
        <v>1153</v>
      </c>
      <c r="AF942" s="203" t="s">
        <v>1154</v>
      </c>
      <c r="AG942" s="202"/>
      <c r="AH942" s="203" t="s">
        <v>1155</v>
      </c>
      <c r="AI942" s="202">
        <v>0</v>
      </c>
      <c r="AJ942" s="202">
        <v>0</v>
      </c>
    </row>
    <row r="943" spans="2:36">
      <c r="B943" s="203">
        <v>2180</v>
      </c>
      <c r="C943" s="207">
        <v>80755</v>
      </c>
      <c r="D943" s="203">
        <v>80468</v>
      </c>
      <c r="E943" s="202" t="s">
        <v>1632</v>
      </c>
      <c r="F943" s="203">
        <v>0</v>
      </c>
      <c r="G943" s="202"/>
      <c r="H943" s="202"/>
      <c r="I943" s="202"/>
      <c r="J943" s="202">
        <v>0</v>
      </c>
      <c r="K943" s="202" t="s">
        <v>1633</v>
      </c>
      <c r="L943" s="202"/>
      <c r="M943" s="202"/>
      <c r="N943" s="206">
        <v>40633</v>
      </c>
      <c r="O943" s="206">
        <v>40633</v>
      </c>
      <c r="P943" s="202" t="s">
        <v>1597</v>
      </c>
      <c r="Q943" s="203">
        <v>1000</v>
      </c>
      <c r="R943" s="203">
        <v>14100</v>
      </c>
      <c r="S943" s="204">
        <v>1039.45</v>
      </c>
      <c r="T943" s="203">
        <v>14106</v>
      </c>
      <c r="U943" s="204">
        <v>1039.45</v>
      </c>
      <c r="V943" s="204">
        <f t="shared" si="26"/>
        <v>0</v>
      </c>
      <c r="W943" s="205">
        <v>0</v>
      </c>
      <c r="X943" s="203">
        <v>70260</v>
      </c>
      <c r="Y943" s="204">
        <v>0</v>
      </c>
      <c r="Z943" s="202" t="s">
        <v>97</v>
      </c>
      <c r="AA943" s="202"/>
      <c r="AB943" s="202">
        <v>2930</v>
      </c>
      <c r="AC943" s="202"/>
      <c r="AD943" s="202" t="s">
        <v>1152</v>
      </c>
      <c r="AE943" s="202" t="s">
        <v>1153</v>
      </c>
      <c r="AF943" s="203" t="s">
        <v>1154</v>
      </c>
      <c r="AG943" s="202"/>
      <c r="AH943" s="203" t="s">
        <v>1155</v>
      </c>
      <c r="AI943" s="202">
        <v>0</v>
      </c>
      <c r="AJ943" s="202">
        <v>0</v>
      </c>
    </row>
    <row r="944" spans="2:36">
      <c r="B944" s="203">
        <v>2180</v>
      </c>
      <c r="C944" s="207">
        <v>80754</v>
      </c>
      <c r="D944" s="203">
        <v>80468</v>
      </c>
      <c r="E944" s="202" t="s">
        <v>1632</v>
      </c>
      <c r="F944" s="203">
        <v>0</v>
      </c>
      <c r="G944" s="202"/>
      <c r="H944" s="202"/>
      <c r="I944" s="202"/>
      <c r="J944" s="202">
        <v>0</v>
      </c>
      <c r="K944" s="202" t="s">
        <v>1631</v>
      </c>
      <c r="L944" s="202"/>
      <c r="M944" s="202"/>
      <c r="N944" s="206">
        <v>40633</v>
      </c>
      <c r="O944" s="206">
        <v>40633</v>
      </c>
      <c r="P944" s="202" t="s">
        <v>1597</v>
      </c>
      <c r="Q944" s="203">
        <v>1000</v>
      </c>
      <c r="R944" s="203">
        <v>14100</v>
      </c>
      <c r="S944" s="204">
        <v>1695.95</v>
      </c>
      <c r="T944" s="203">
        <v>14106</v>
      </c>
      <c r="U944" s="204">
        <v>1695.95</v>
      </c>
      <c r="V944" s="204">
        <f t="shared" si="26"/>
        <v>0</v>
      </c>
      <c r="W944" s="205">
        <v>0</v>
      </c>
      <c r="X944" s="203">
        <v>70260</v>
      </c>
      <c r="Y944" s="204">
        <v>0</v>
      </c>
      <c r="Z944" s="202" t="s">
        <v>97</v>
      </c>
      <c r="AA944" s="202"/>
      <c r="AB944" s="202">
        <v>3000</v>
      </c>
      <c r="AC944" s="202"/>
      <c r="AD944" s="202" t="s">
        <v>1152</v>
      </c>
      <c r="AE944" s="202" t="s">
        <v>1153</v>
      </c>
      <c r="AF944" s="203" t="s">
        <v>1154</v>
      </c>
      <c r="AG944" s="202"/>
      <c r="AH944" s="203" t="s">
        <v>1155</v>
      </c>
      <c r="AI944" s="202">
        <v>0</v>
      </c>
      <c r="AJ944" s="202">
        <v>0</v>
      </c>
    </row>
    <row r="945" spans="2:36">
      <c r="B945" s="203">
        <v>2180</v>
      </c>
      <c r="C945" s="207">
        <v>80747</v>
      </c>
      <c r="D945" s="203">
        <v>80461</v>
      </c>
      <c r="E945" s="202" t="s">
        <v>1630</v>
      </c>
      <c r="F945" s="203">
        <v>0</v>
      </c>
      <c r="G945" s="202"/>
      <c r="H945" s="202"/>
      <c r="I945" s="202"/>
      <c r="J945" s="202">
        <v>0</v>
      </c>
      <c r="K945" s="202" t="s">
        <v>1629</v>
      </c>
      <c r="L945" s="202"/>
      <c r="M945" s="202"/>
      <c r="N945" s="206">
        <v>40633</v>
      </c>
      <c r="O945" s="206">
        <v>40633</v>
      </c>
      <c r="P945" s="202" t="s">
        <v>1592</v>
      </c>
      <c r="Q945" s="203">
        <v>2000</v>
      </c>
      <c r="R945" s="203">
        <v>14080</v>
      </c>
      <c r="S945" s="204">
        <v>841.06</v>
      </c>
      <c r="T945" s="203">
        <v>14086</v>
      </c>
      <c r="U945" s="204">
        <v>469.56</v>
      </c>
      <c r="V945" s="204">
        <f t="shared" si="26"/>
        <v>371.49999999999994</v>
      </c>
      <c r="W945" s="205">
        <v>17.52</v>
      </c>
      <c r="X945" s="203">
        <v>57260</v>
      </c>
      <c r="Y945" s="204">
        <v>3.5</v>
      </c>
      <c r="Z945" s="202" t="s">
        <v>97</v>
      </c>
      <c r="AA945" s="202"/>
      <c r="AB945" s="202">
        <v>12974</v>
      </c>
      <c r="AC945" s="202"/>
      <c r="AD945" s="202" t="s">
        <v>1152</v>
      </c>
      <c r="AE945" s="202" t="s">
        <v>1153</v>
      </c>
      <c r="AF945" s="203" t="s">
        <v>1154</v>
      </c>
      <c r="AG945" s="202"/>
      <c r="AH945" s="203" t="s">
        <v>1155</v>
      </c>
      <c r="AI945" s="202">
        <v>0</v>
      </c>
      <c r="AJ945" s="202">
        <v>0</v>
      </c>
    </row>
    <row r="946" spans="2:36">
      <c r="B946" s="203">
        <v>2180</v>
      </c>
      <c r="C946" s="207">
        <v>80746</v>
      </c>
      <c r="D946" s="203">
        <v>80461</v>
      </c>
      <c r="E946" s="202" t="s">
        <v>1630</v>
      </c>
      <c r="F946" s="203">
        <v>0</v>
      </c>
      <c r="G946" s="202"/>
      <c r="H946" s="202"/>
      <c r="I946" s="202"/>
      <c r="J946" s="202">
        <v>0</v>
      </c>
      <c r="K946" s="202" t="s">
        <v>1629</v>
      </c>
      <c r="L946" s="202"/>
      <c r="M946" s="202"/>
      <c r="N946" s="206">
        <v>40633</v>
      </c>
      <c r="O946" s="206">
        <v>40633</v>
      </c>
      <c r="P946" s="202" t="s">
        <v>1592</v>
      </c>
      <c r="Q946" s="203">
        <v>2000</v>
      </c>
      <c r="R946" s="203">
        <v>14080</v>
      </c>
      <c r="S946" s="204">
        <v>841.06</v>
      </c>
      <c r="T946" s="203">
        <v>14086</v>
      </c>
      <c r="U946" s="204">
        <v>469.56</v>
      </c>
      <c r="V946" s="204">
        <f t="shared" si="26"/>
        <v>371.49999999999994</v>
      </c>
      <c r="W946" s="205">
        <v>17.52</v>
      </c>
      <c r="X946" s="203">
        <v>57260</v>
      </c>
      <c r="Y946" s="204">
        <v>3.5</v>
      </c>
      <c r="Z946" s="202" t="s">
        <v>97</v>
      </c>
      <c r="AA946" s="202"/>
      <c r="AB946" s="202">
        <v>12973</v>
      </c>
      <c r="AC946" s="202"/>
      <c r="AD946" s="202" t="s">
        <v>1152</v>
      </c>
      <c r="AE946" s="202" t="s">
        <v>1153</v>
      </c>
      <c r="AF946" s="203" t="s">
        <v>1154</v>
      </c>
      <c r="AG946" s="202"/>
      <c r="AH946" s="203" t="s">
        <v>1155</v>
      </c>
      <c r="AI946" s="202">
        <v>0</v>
      </c>
      <c r="AJ946" s="202">
        <v>0</v>
      </c>
    </row>
    <row r="947" spans="2:36">
      <c r="B947" s="203">
        <v>2180</v>
      </c>
      <c r="C947" s="207">
        <v>80745</v>
      </c>
      <c r="D947" s="203">
        <v>80461</v>
      </c>
      <c r="E947" s="202" t="s">
        <v>1628</v>
      </c>
      <c r="F947" s="203">
        <v>0</v>
      </c>
      <c r="G947" s="202"/>
      <c r="H947" s="202"/>
      <c r="I947" s="202"/>
      <c r="J947" s="202">
        <v>0</v>
      </c>
      <c r="K947" s="202" t="s">
        <v>1627</v>
      </c>
      <c r="L947" s="202"/>
      <c r="M947" s="202"/>
      <c r="N947" s="206">
        <v>40633</v>
      </c>
      <c r="O947" s="206">
        <v>40633</v>
      </c>
      <c r="P947" s="202" t="s">
        <v>1592</v>
      </c>
      <c r="Q947" s="203">
        <v>2000</v>
      </c>
      <c r="R947" s="203">
        <v>14080</v>
      </c>
      <c r="S947" s="204">
        <v>9964.8799999999992</v>
      </c>
      <c r="T947" s="203">
        <v>14086</v>
      </c>
      <c r="U947" s="204">
        <v>5563.68</v>
      </c>
      <c r="V947" s="204">
        <f t="shared" si="26"/>
        <v>4401.1999999999989</v>
      </c>
      <c r="W947" s="205">
        <v>207.6</v>
      </c>
      <c r="X947" s="203">
        <v>57260</v>
      </c>
      <c r="Y947" s="204">
        <v>41.52</v>
      </c>
      <c r="Z947" s="202" t="s">
        <v>97</v>
      </c>
      <c r="AA947" s="202"/>
      <c r="AB947" s="202">
        <v>3</v>
      </c>
      <c r="AC947" s="202"/>
      <c r="AD947" s="202" t="s">
        <v>1152</v>
      </c>
      <c r="AE947" s="202" t="s">
        <v>1153</v>
      </c>
      <c r="AF947" s="203" t="s">
        <v>1154</v>
      </c>
      <c r="AG947" s="202"/>
      <c r="AH947" s="203" t="s">
        <v>1155</v>
      </c>
      <c r="AI947" s="202">
        <v>0</v>
      </c>
      <c r="AJ947" s="202">
        <v>0</v>
      </c>
    </row>
    <row r="948" spans="2:36">
      <c r="B948" s="203">
        <v>2180</v>
      </c>
      <c r="C948" s="207">
        <v>80706</v>
      </c>
      <c r="D948" s="203">
        <v>80461</v>
      </c>
      <c r="E948" s="202" t="s">
        <v>1625</v>
      </c>
      <c r="F948" s="203">
        <v>0</v>
      </c>
      <c r="G948" s="202"/>
      <c r="H948" s="202"/>
      <c r="I948" s="202"/>
      <c r="J948" s="202">
        <v>0</v>
      </c>
      <c r="K948" s="202" t="s">
        <v>1624</v>
      </c>
      <c r="L948" s="202"/>
      <c r="M948" s="202"/>
      <c r="N948" s="206">
        <v>40633</v>
      </c>
      <c r="O948" s="206">
        <v>40633</v>
      </c>
      <c r="P948" s="202" t="s">
        <v>1592</v>
      </c>
      <c r="Q948" s="203">
        <v>2000</v>
      </c>
      <c r="R948" s="203">
        <v>14080</v>
      </c>
      <c r="S948" s="204">
        <v>2711.89</v>
      </c>
      <c r="T948" s="203">
        <v>14086</v>
      </c>
      <c r="U948" s="204">
        <v>1514.2</v>
      </c>
      <c r="V948" s="204">
        <f t="shared" si="26"/>
        <v>1197.6899999999998</v>
      </c>
      <c r="W948" s="205">
        <v>56.5</v>
      </c>
      <c r="X948" s="203">
        <v>57260</v>
      </c>
      <c r="Y948" s="204">
        <v>11.3</v>
      </c>
      <c r="Z948" s="202" t="s">
        <v>97</v>
      </c>
      <c r="AA948" s="202"/>
      <c r="AB948" s="202" t="s">
        <v>1626</v>
      </c>
      <c r="AC948" s="202"/>
      <c r="AD948" s="202" t="s">
        <v>1152</v>
      </c>
      <c r="AE948" s="202" t="s">
        <v>1153</v>
      </c>
      <c r="AF948" s="203" t="s">
        <v>1154</v>
      </c>
      <c r="AG948" s="202"/>
      <c r="AH948" s="203" t="s">
        <v>1155</v>
      </c>
      <c r="AI948" s="202">
        <v>0</v>
      </c>
      <c r="AJ948" s="202">
        <v>0</v>
      </c>
    </row>
    <row r="949" spans="2:36">
      <c r="B949" s="203">
        <v>2180</v>
      </c>
      <c r="C949" s="207">
        <v>80705</v>
      </c>
      <c r="D949" s="203">
        <v>80461</v>
      </c>
      <c r="E949" s="202" t="s">
        <v>1625</v>
      </c>
      <c r="F949" s="203">
        <v>0</v>
      </c>
      <c r="G949" s="202"/>
      <c r="H949" s="202"/>
      <c r="I949" s="202"/>
      <c r="J949" s="202">
        <v>0</v>
      </c>
      <c r="K949" s="202" t="s">
        <v>1624</v>
      </c>
      <c r="L949" s="202"/>
      <c r="M949" s="202"/>
      <c r="N949" s="206">
        <v>40633</v>
      </c>
      <c r="O949" s="206">
        <v>40633</v>
      </c>
      <c r="P949" s="202" t="s">
        <v>1592</v>
      </c>
      <c r="Q949" s="203">
        <v>2000</v>
      </c>
      <c r="R949" s="203">
        <v>14080</v>
      </c>
      <c r="S949" s="204">
        <v>5574.14</v>
      </c>
      <c r="T949" s="203">
        <v>14086</v>
      </c>
      <c r="U949" s="204">
        <v>3112.26</v>
      </c>
      <c r="V949" s="204">
        <f t="shared" si="26"/>
        <v>2461.88</v>
      </c>
      <c r="W949" s="205">
        <v>116.13</v>
      </c>
      <c r="X949" s="203">
        <v>57260</v>
      </c>
      <c r="Y949" s="204">
        <v>23.23</v>
      </c>
      <c r="Z949" s="202" t="s">
        <v>97</v>
      </c>
      <c r="AA949" s="202"/>
      <c r="AB949" s="202" t="s">
        <v>1623</v>
      </c>
      <c r="AC949" s="202"/>
      <c r="AD949" s="202" t="s">
        <v>1152</v>
      </c>
      <c r="AE949" s="202" t="s">
        <v>1153</v>
      </c>
      <c r="AF949" s="203" t="s">
        <v>1154</v>
      </c>
      <c r="AG949" s="202"/>
      <c r="AH949" s="203" t="s">
        <v>1155</v>
      </c>
      <c r="AI949" s="202">
        <v>0</v>
      </c>
      <c r="AJ949" s="202">
        <v>0</v>
      </c>
    </row>
    <row r="950" spans="2:36">
      <c r="B950" s="203">
        <v>2180</v>
      </c>
      <c r="C950" s="207">
        <v>80704</v>
      </c>
      <c r="D950" s="203">
        <v>80461</v>
      </c>
      <c r="E950" s="202" t="s">
        <v>1619</v>
      </c>
      <c r="F950" s="203">
        <v>0</v>
      </c>
      <c r="G950" s="202"/>
      <c r="H950" s="202"/>
      <c r="I950" s="202"/>
      <c r="J950" s="202">
        <v>0</v>
      </c>
      <c r="K950" s="202" t="s">
        <v>1622</v>
      </c>
      <c r="L950" s="202"/>
      <c r="M950" s="202"/>
      <c r="N950" s="206">
        <v>40633</v>
      </c>
      <c r="O950" s="206">
        <v>40633</v>
      </c>
      <c r="P950" s="202" t="s">
        <v>1592</v>
      </c>
      <c r="Q950" s="203">
        <v>1000</v>
      </c>
      <c r="R950" s="203">
        <v>14080</v>
      </c>
      <c r="S950" s="204">
        <v>1867.48</v>
      </c>
      <c r="T950" s="203">
        <v>14086</v>
      </c>
      <c r="U950" s="204">
        <v>1867.48</v>
      </c>
      <c r="V950" s="204">
        <f t="shared" si="26"/>
        <v>0</v>
      </c>
      <c r="W950" s="205">
        <v>0</v>
      </c>
      <c r="X950" s="203">
        <v>57260</v>
      </c>
      <c r="Y950" s="204">
        <v>0</v>
      </c>
      <c r="Z950" s="202" t="s">
        <v>97</v>
      </c>
      <c r="AA950" s="202"/>
      <c r="AB950" s="202" t="s">
        <v>1621</v>
      </c>
      <c r="AC950" s="202"/>
      <c r="AD950" s="202" t="s">
        <v>1152</v>
      </c>
      <c r="AE950" s="202" t="s">
        <v>1153</v>
      </c>
      <c r="AF950" s="203" t="s">
        <v>1154</v>
      </c>
      <c r="AG950" s="202"/>
      <c r="AH950" s="203" t="s">
        <v>1155</v>
      </c>
      <c r="AI950" s="202">
        <v>0</v>
      </c>
      <c r="AJ950" s="202">
        <v>0</v>
      </c>
    </row>
    <row r="951" spans="2:36">
      <c r="B951" s="203">
        <v>2180</v>
      </c>
      <c r="C951" s="207">
        <v>80703</v>
      </c>
      <c r="D951" s="203">
        <v>80461</v>
      </c>
      <c r="E951" s="202" t="s">
        <v>1620</v>
      </c>
      <c r="F951" s="203">
        <v>0</v>
      </c>
      <c r="G951" s="202"/>
      <c r="H951" s="202"/>
      <c r="I951" s="202"/>
      <c r="J951" s="202">
        <v>0</v>
      </c>
      <c r="K951" s="202" t="s">
        <v>1613</v>
      </c>
      <c r="L951" s="202"/>
      <c r="M951" s="202"/>
      <c r="N951" s="206">
        <v>40633</v>
      </c>
      <c r="O951" s="206">
        <v>40633</v>
      </c>
      <c r="P951" s="202" t="s">
        <v>1592</v>
      </c>
      <c r="Q951" s="203">
        <v>1000</v>
      </c>
      <c r="R951" s="203">
        <v>14080</v>
      </c>
      <c r="S951" s="204">
        <v>4357.5200000000004</v>
      </c>
      <c r="T951" s="203">
        <v>14086</v>
      </c>
      <c r="U951" s="204">
        <v>4357.5200000000004</v>
      </c>
      <c r="V951" s="204">
        <f t="shared" si="26"/>
        <v>0</v>
      </c>
      <c r="W951" s="205">
        <v>0</v>
      </c>
      <c r="X951" s="203">
        <v>57260</v>
      </c>
      <c r="Y951" s="204">
        <v>0</v>
      </c>
      <c r="Z951" s="202" t="s">
        <v>97</v>
      </c>
      <c r="AA951" s="202"/>
      <c r="AB951" s="202">
        <v>14602</v>
      </c>
      <c r="AC951" s="202"/>
      <c r="AD951" s="202" t="s">
        <v>1152</v>
      </c>
      <c r="AE951" s="202" t="s">
        <v>1153</v>
      </c>
      <c r="AF951" s="203" t="s">
        <v>1154</v>
      </c>
      <c r="AG951" s="202"/>
      <c r="AH951" s="203" t="s">
        <v>1155</v>
      </c>
      <c r="AI951" s="202">
        <v>0</v>
      </c>
      <c r="AJ951" s="202">
        <v>0</v>
      </c>
    </row>
    <row r="952" spans="2:36">
      <c r="B952" s="203">
        <v>2180</v>
      </c>
      <c r="C952" s="207">
        <v>80702</v>
      </c>
      <c r="D952" s="203">
        <v>80461</v>
      </c>
      <c r="E952" s="202" t="s">
        <v>1619</v>
      </c>
      <c r="F952" s="203">
        <v>0</v>
      </c>
      <c r="G952" s="202"/>
      <c r="H952" s="202"/>
      <c r="I952" s="202"/>
      <c r="J952" s="202">
        <v>0</v>
      </c>
      <c r="K952" s="202" t="s">
        <v>1613</v>
      </c>
      <c r="L952" s="202"/>
      <c r="M952" s="202"/>
      <c r="N952" s="206">
        <v>40633</v>
      </c>
      <c r="O952" s="206">
        <v>40633</v>
      </c>
      <c r="P952" s="202" t="s">
        <v>1592</v>
      </c>
      <c r="Q952" s="203">
        <v>1000</v>
      </c>
      <c r="R952" s="203">
        <v>14080</v>
      </c>
      <c r="S952" s="204">
        <v>394.57</v>
      </c>
      <c r="T952" s="203">
        <v>14086</v>
      </c>
      <c r="U952" s="204">
        <v>394.57</v>
      </c>
      <c r="V952" s="204">
        <f t="shared" si="26"/>
        <v>0</v>
      </c>
      <c r="W952" s="205">
        <v>0</v>
      </c>
      <c r="X952" s="203">
        <v>57260</v>
      </c>
      <c r="Y952" s="204">
        <v>0</v>
      </c>
      <c r="Z952" s="202" t="s">
        <v>97</v>
      </c>
      <c r="AA952" s="202"/>
      <c r="AB952" s="202">
        <v>14594</v>
      </c>
      <c r="AC952" s="202"/>
      <c r="AD952" s="202" t="s">
        <v>1152</v>
      </c>
      <c r="AE952" s="202" t="s">
        <v>1153</v>
      </c>
      <c r="AF952" s="203" t="s">
        <v>1154</v>
      </c>
      <c r="AG952" s="202"/>
      <c r="AH952" s="203" t="s">
        <v>1155</v>
      </c>
      <c r="AI952" s="202">
        <v>0</v>
      </c>
      <c r="AJ952" s="202">
        <v>0</v>
      </c>
    </row>
    <row r="953" spans="2:36">
      <c r="B953" s="203">
        <v>2180</v>
      </c>
      <c r="C953" s="207">
        <v>80701</v>
      </c>
      <c r="D953" s="203">
        <v>80461</v>
      </c>
      <c r="E953" s="202" t="s">
        <v>1618</v>
      </c>
      <c r="F953" s="203">
        <v>0</v>
      </c>
      <c r="G953" s="202"/>
      <c r="H953" s="202"/>
      <c r="I953" s="202"/>
      <c r="J953" s="202">
        <v>0</v>
      </c>
      <c r="K953" s="202" t="s">
        <v>1613</v>
      </c>
      <c r="L953" s="202"/>
      <c r="M953" s="202"/>
      <c r="N953" s="206">
        <v>40633</v>
      </c>
      <c r="O953" s="206">
        <v>40633</v>
      </c>
      <c r="P953" s="202" t="s">
        <v>1592</v>
      </c>
      <c r="Q953" s="203">
        <v>1000</v>
      </c>
      <c r="R953" s="203">
        <v>14080</v>
      </c>
      <c r="S953" s="204">
        <v>25.62</v>
      </c>
      <c r="T953" s="203">
        <v>14086</v>
      </c>
      <c r="U953" s="204">
        <v>25.62</v>
      </c>
      <c r="V953" s="204">
        <f t="shared" si="26"/>
        <v>0</v>
      </c>
      <c r="W953" s="205">
        <v>0</v>
      </c>
      <c r="X953" s="203">
        <v>57260</v>
      </c>
      <c r="Y953" s="204">
        <v>0</v>
      </c>
      <c r="Z953" s="202" t="s">
        <v>97</v>
      </c>
      <c r="AA953" s="202"/>
      <c r="AB953" s="202">
        <v>14343</v>
      </c>
      <c r="AC953" s="202"/>
      <c r="AD953" s="202" t="s">
        <v>1152</v>
      </c>
      <c r="AE953" s="202" t="s">
        <v>1153</v>
      </c>
      <c r="AF953" s="203" t="s">
        <v>1154</v>
      </c>
      <c r="AG953" s="202"/>
      <c r="AH953" s="203" t="s">
        <v>1155</v>
      </c>
      <c r="AI953" s="202">
        <v>0</v>
      </c>
      <c r="AJ953" s="202">
        <v>0</v>
      </c>
    </row>
    <row r="954" spans="2:36">
      <c r="B954" s="203">
        <v>2180</v>
      </c>
      <c r="C954" s="207">
        <v>80700</v>
      </c>
      <c r="D954" s="203">
        <v>80461</v>
      </c>
      <c r="E954" s="202" t="s">
        <v>1617</v>
      </c>
      <c r="F954" s="203">
        <v>0</v>
      </c>
      <c r="G954" s="202"/>
      <c r="H954" s="202"/>
      <c r="I954" s="202"/>
      <c r="J954" s="202">
        <v>0</v>
      </c>
      <c r="K954" s="202" t="s">
        <v>1613</v>
      </c>
      <c r="L954" s="202"/>
      <c r="M954" s="202"/>
      <c r="N954" s="206">
        <v>40633</v>
      </c>
      <c r="O954" s="206">
        <v>40633</v>
      </c>
      <c r="P954" s="202" t="s">
        <v>1592</v>
      </c>
      <c r="Q954" s="203">
        <v>1000</v>
      </c>
      <c r="R954" s="203">
        <v>14080</v>
      </c>
      <c r="S954" s="204">
        <v>247.56</v>
      </c>
      <c r="T954" s="203">
        <v>14086</v>
      </c>
      <c r="U954" s="204">
        <v>247.56</v>
      </c>
      <c r="V954" s="204">
        <f t="shared" si="26"/>
        <v>0</v>
      </c>
      <c r="W954" s="205">
        <v>0</v>
      </c>
      <c r="X954" s="203">
        <v>57260</v>
      </c>
      <c r="Y954" s="204">
        <v>0</v>
      </c>
      <c r="Z954" s="202" t="s">
        <v>97</v>
      </c>
      <c r="AA954" s="202"/>
      <c r="AB954" s="202">
        <v>14676</v>
      </c>
      <c r="AC954" s="202"/>
      <c r="AD954" s="202" t="s">
        <v>1152</v>
      </c>
      <c r="AE954" s="202" t="s">
        <v>1153</v>
      </c>
      <c r="AF954" s="203" t="s">
        <v>1154</v>
      </c>
      <c r="AG954" s="202"/>
      <c r="AH954" s="203" t="s">
        <v>1155</v>
      </c>
      <c r="AI954" s="202">
        <v>0</v>
      </c>
      <c r="AJ954" s="202">
        <v>0</v>
      </c>
    </row>
    <row r="955" spans="2:36">
      <c r="B955" s="203">
        <v>2180</v>
      </c>
      <c r="C955" s="207">
        <v>80699</v>
      </c>
      <c r="D955" s="203">
        <v>80461</v>
      </c>
      <c r="E955" s="202" t="s">
        <v>1616</v>
      </c>
      <c r="F955" s="203">
        <v>0</v>
      </c>
      <c r="G955" s="202"/>
      <c r="H955" s="202"/>
      <c r="I955" s="202"/>
      <c r="J955" s="202">
        <v>0</v>
      </c>
      <c r="K955" s="202" t="s">
        <v>1613</v>
      </c>
      <c r="L955" s="202"/>
      <c r="M955" s="202"/>
      <c r="N955" s="206">
        <v>40633</v>
      </c>
      <c r="O955" s="206">
        <v>40633</v>
      </c>
      <c r="P955" s="202" t="s">
        <v>1592</v>
      </c>
      <c r="Q955" s="203">
        <v>1000</v>
      </c>
      <c r="R955" s="203">
        <v>14080</v>
      </c>
      <c r="S955" s="204">
        <v>1108.8499999999999</v>
      </c>
      <c r="T955" s="203">
        <v>14086</v>
      </c>
      <c r="U955" s="204">
        <v>1108.8499999999999</v>
      </c>
      <c r="V955" s="204">
        <f t="shared" si="26"/>
        <v>0</v>
      </c>
      <c r="W955" s="205">
        <v>0</v>
      </c>
      <c r="X955" s="203">
        <v>57260</v>
      </c>
      <c r="Y955" s="204">
        <v>0</v>
      </c>
      <c r="Z955" s="202" t="s">
        <v>97</v>
      </c>
      <c r="AA955" s="202"/>
      <c r="AB955" s="202">
        <v>14691</v>
      </c>
      <c r="AC955" s="202"/>
      <c r="AD955" s="202" t="s">
        <v>1152</v>
      </c>
      <c r="AE955" s="202" t="s">
        <v>1153</v>
      </c>
      <c r="AF955" s="203" t="s">
        <v>1154</v>
      </c>
      <c r="AG955" s="202"/>
      <c r="AH955" s="203" t="s">
        <v>1155</v>
      </c>
      <c r="AI955" s="202">
        <v>0</v>
      </c>
      <c r="AJ955" s="202">
        <v>0</v>
      </c>
    </row>
    <row r="956" spans="2:36">
      <c r="B956" s="203">
        <v>2180</v>
      </c>
      <c r="C956" s="207">
        <v>80698</v>
      </c>
      <c r="D956" s="203">
        <v>80461</v>
      </c>
      <c r="E956" s="202" t="s">
        <v>1615</v>
      </c>
      <c r="F956" s="203">
        <v>0</v>
      </c>
      <c r="G956" s="202"/>
      <c r="H956" s="202"/>
      <c r="I956" s="202"/>
      <c r="J956" s="202">
        <v>0</v>
      </c>
      <c r="K956" s="202" t="s">
        <v>1613</v>
      </c>
      <c r="L956" s="202"/>
      <c r="M956" s="202"/>
      <c r="N956" s="206">
        <v>40633</v>
      </c>
      <c r="O956" s="206">
        <v>40633</v>
      </c>
      <c r="P956" s="202" t="s">
        <v>1592</v>
      </c>
      <c r="Q956" s="203">
        <v>1000</v>
      </c>
      <c r="R956" s="203">
        <v>14080</v>
      </c>
      <c r="S956" s="204">
        <v>938.88</v>
      </c>
      <c r="T956" s="203">
        <v>14086</v>
      </c>
      <c r="U956" s="204">
        <v>938.88</v>
      </c>
      <c r="V956" s="204">
        <f t="shared" si="26"/>
        <v>0</v>
      </c>
      <c r="W956" s="205">
        <v>0</v>
      </c>
      <c r="X956" s="203">
        <v>57260</v>
      </c>
      <c r="Y956" s="204">
        <v>0</v>
      </c>
      <c r="Z956" s="202" t="s">
        <v>97</v>
      </c>
      <c r="AA956" s="202"/>
      <c r="AB956" s="202">
        <v>14665</v>
      </c>
      <c r="AC956" s="202"/>
      <c r="AD956" s="202" t="s">
        <v>1152</v>
      </c>
      <c r="AE956" s="202" t="s">
        <v>1153</v>
      </c>
      <c r="AF956" s="203" t="s">
        <v>1154</v>
      </c>
      <c r="AG956" s="202"/>
      <c r="AH956" s="203" t="s">
        <v>1155</v>
      </c>
      <c r="AI956" s="202">
        <v>0</v>
      </c>
      <c r="AJ956" s="202">
        <v>0</v>
      </c>
    </row>
    <row r="957" spans="2:36">
      <c r="B957" s="203">
        <v>2180</v>
      </c>
      <c r="C957" s="207">
        <v>80697</v>
      </c>
      <c r="D957" s="203">
        <v>80461</v>
      </c>
      <c r="E957" s="202" t="s">
        <v>1614</v>
      </c>
      <c r="F957" s="203">
        <v>0</v>
      </c>
      <c r="G957" s="202"/>
      <c r="H957" s="202"/>
      <c r="I957" s="202"/>
      <c r="J957" s="202">
        <v>0</v>
      </c>
      <c r="K957" s="202" t="s">
        <v>1613</v>
      </c>
      <c r="L957" s="202"/>
      <c r="M957" s="202"/>
      <c r="N957" s="206">
        <v>40633</v>
      </c>
      <c r="O957" s="206">
        <v>40633</v>
      </c>
      <c r="P957" s="202" t="s">
        <v>1592</v>
      </c>
      <c r="Q957" s="203">
        <v>1000</v>
      </c>
      <c r="R957" s="203">
        <v>14080</v>
      </c>
      <c r="S957" s="204">
        <v>196.74</v>
      </c>
      <c r="T957" s="203">
        <v>14086</v>
      </c>
      <c r="U957" s="204">
        <v>196.74</v>
      </c>
      <c r="V957" s="204">
        <f t="shared" si="26"/>
        <v>0</v>
      </c>
      <c r="W957" s="205">
        <v>0</v>
      </c>
      <c r="X957" s="203">
        <v>57260</v>
      </c>
      <c r="Y957" s="204">
        <v>0</v>
      </c>
      <c r="Z957" s="202" t="s">
        <v>97</v>
      </c>
      <c r="AA957" s="202"/>
      <c r="AB957" s="202">
        <v>14721</v>
      </c>
      <c r="AC957" s="202"/>
      <c r="AD957" s="202" t="s">
        <v>1152</v>
      </c>
      <c r="AE957" s="202" t="s">
        <v>1153</v>
      </c>
      <c r="AF957" s="203" t="s">
        <v>1154</v>
      </c>
      <c r="AG957" s="202"/>
      <c r="AH957" s="203" t="s">
        <v>1155</v>
      </c>
      <c r="AI957" s="202">
        <v>0</v>
      </c>
      <c r="AJ957" s="202">
        <v>0</v>
      </c>
    </row>
    <row r="958" spans="2:36">
      <c r="B958" s="203">
        <v>2180</v>
      </c>
      <c r="C958" s="207">
        <v>80696</v>
      </c>
      <c r="D958" s="203">
        <v>80461</v>
      </c>
      <c r="E958" s="202" t="s">
        <v>1612</v>
      </c>
      <c r="F958" s="203">
        <v>0</v>
      </c>
      <c r="G958" s="202"/>
      <c r="H958" s="202"/>
      <c r="I958" s="202"/>
      <c r="J958" s="202">
        <v>0</v>
      </c>
      <c r="K958" s="202" t="s">
        <v>1611</v>
      </c>
      <c r="L958" s="202"/>
      <c r="M958" s="202"/>
      <c r="N958" s="206">
        <v>40633</v>
      </c>
      <c r="O958" s="206">
        <v>40633</v>
      </c>
      <c r="P958" s="202" t="s">
        <v>1592</v>
      </c>
      <c r="Q958" s="203">
        <v>2000</v>
      </c>
      <c r="R958" s="203">
        <v>14080</v>
      </c>
      <c r="S958" s="204">
        <v>-11853.59</v>
      </c>
      <c r="T958" s="203">
        <v>14086</v>
      </c>
      <c r="U958" s="204">
        <v>-6618.26</v>
      </c>
      <c r="V958" s="204">
        <f t="shared" si="26"/>
        <v>-5235.33</v>
      </c>
      <c r="W958" s="205">
        <v>-246.95</v>
      </c>
      <c r="X958" s="203">
        <v>57260</v>
      </c>
      <c r="Y958" s="204">
        <v>-49.39</v>
      </c>
      <c r="Z958" s="202" t="s">
        <v>97</v>
      </c>
      <c r="AA958" s="202"/>
      <c r="AB958" s="202">
        <v>7076716</v>
      </c>
      <c r="AC958" s="202"/>
      <c r="AD958" s="202" t="s">
        <v>1152</v>
      </c>
      <c r="AE958" s="202" t="s">
        <v>1153</v>
      </c>
      <c r="AF958" s="203" t="s">
        <v>1154</v>
      </c>
      <c r="AG958" s="202"/>
      <c r="AH958" s="203" t="s">
        <v>1155</v>
      </c>
      <c r="AI958" s="202">
        <v>0</v>
      </c>
      <c r="AJ958" s="202">
        <v>0</v>
      </c>
    </row>
    <row r="959" spans="2:36">
      <c r="B959" s="203">
        <v>2180</v>
      </c>
      <c r="C959" s="207">
        <v>80695</v>
      </c>
      <c r="D959" s="203">
        <v>80461</v>
      </c>
      <c r="E959" s="202" t="s">
        <v>1610</v>
      </c>
      <c r="F959" s="203">
        <v>0</v>
      </c>
      <c r="G959" s="202"/>
      <c r="H959" s="202"/>
      <c r="I959" s="202"/>
      <c r="J959" s="202">
        <v>0</v>
      </c>
      <c r="K959" s="202" t="s">
        <v>1609</v>
      </c>
      <c r="L959" s="202"/>
      <c r="M959" s="202"/>
      <c r="N959" s="206">
        <v>40633</v>
      </c>
      <c r="O959" s="206">
        <v>40633</v>
      </c>
      <c r="P959" s="202" t="s">
        <v>1592</v>
      </c>
      <c r="Q959" s="203">
        <v>2000</v>
      </c>
      <c r="R959" s="203">
        <v>14080</v>
      </c>
      <c r="S959" s="204">
        <v>3836.43</v>
      </c>
      <c r="T959" s="203">
        <v>14086</v>
      </c>
      <c r="U959" s="204">
        <v>2141.91</v>
      </c>
      <c r="V959" s="204">
        <f t="shared" si="26"/>
        <v>1694.52</v>
      </c>
      <c r="W959" s="205">
        <v>79.930000000000007</v>
      </c>
      <c r="X959" s="203">
        <v>57260</v>
      </c>
      <c r="Y959" s="204">
        <v>15.99</v>
      </c>
      <c r="Z959" s="202" t="s">
        <v>97</v>
      </c>
      <c r="AA959" s="202"/>
      <c r="AB959" s="202">
        <v>110020</v>
      </c>
      <c r="AC959" s="202"/>
      <c r="AD959" s="202" t="s">
        <v>1152</v>
      </c>
      <c r="AE959" s="202" t="s">
        <v>1153</v>
      </c>
      <c r="AF959" s="203" t="s">
        <v>1154</v>
      </c>
      <c r="AG959" s="202"/>
      <c r="AH959" s="203" t="s">
        <v>1155</v>
      </c>
      <c r="AI959" s="202">
        <v>0</v>
      </c>
      <c r="AJ959" s="202">
        <v>0</v>
      </c>
    </row>
    <row r="960" spans="2:36">
      <c r="B960" s="203">
        <v>2180</v>
      </c>
      <c r="C960" s="207">
        <v>80692</v>
      </c>
      <c r="D960" s="203">
        <v>80460</v>
      </c>
      <c r="E960" s="202" t="s">
        <v>1608</v>
      </c>
      <c r="F960" s="203">
        <v>0</v>
      </c>
      <c r="G960" s="202"/>
      <c r="H960" s="202"/>
      <c r="I960" s="202"/>
      <c r="J960" s="202">
        <v>0</v>
      </c>
      <c r="K960" s="202" t="s">
        <v>1607</v>
      </c>
      <c r="L960" s="202"/>
      <c r="M960" s="202"/>
      <c r="N960" s="206">
        <v>40633</v>
      </c>
      <c r="O960" s="206">
        <v>40633</v>
      </c>
      <c r="P960" s="202" t="s">
        <v>1584</v>
      </c>
      <c r="Q960" s="203">
        <v>500</v>
      </c>
      <c r="R960" s="203">
        <v>14070</v>
      </c>
      <c r="S960" s="204">
        <v>1737.87</v>
      </c>
      <c r="T960" s="203">
        <v>14076</v>
      </c>
      <c r="U960" s="204">
        <v>1737.87</v>
      </c>
      <c r="V960" s="204">
        <f t="shared" si="26"/>
        <v>0</v>
      </c>
      <c r="W960" s="205">
        <v>0</v>
      </c>
      <c r="X960" s="203">
        <v>51260</v>
      </c>
      <c r="Y960" s="204">
        <v>0</v>
      </c>
      <c r="Z960" s="202" t="s">
        <v>97</v>
      </c>
      <c r="AA960" s="202"/>
      <c r="AB960" s="202">
        <v>15724</v>
      </c>
      <c r="AC960" s="202"/>
      <c r="AD960" s="202" t="s">
        <v>1152</v>
      </c>
      <c r="AE960" s="202" t="s">
        <v>1153</v>
      </c>
      <c r="AF960" s="203" t="s">
        <v>1154</v>
      </c>
      <c r="AG960" s="202"/>
      <c r="AH960" s="203" t="s">
        <v>1155</v>
      </c>
      <c r="AI960" s="202">
        <v>0</v>
      </c>
      <c r="AJ960" s="202">
        <v>0</v>
      </c>
    </row>
    <row r="961" spans="2:36">
      <c r="B961" s="203">
        <v>2180</v>
      </c>
      <c r="C961" s="207">
        <v>80669</v>
      </c>
      <c r="D961" s="203" t="s">
        <v>97</v>
      </c>
      <c r="E961" s="202" t="s">
        <v>1606</v>
      </c>
      <c r="F961" s="203">
        <v>0</v>
      </c>
      <c r="G961" s="202"/>
      <c r="H961" s="202" t="s">
        <v>1605</v>
      </c>
      <c r="I961" s="202"/>
      <c r="J961" s="202">
        <v>2007</v>
      </c>
      <c r="K961" s="202" t="s">
        <v>1535</v>
      </c>
      <c r="L961" s="202" t="s">
        <v>1534</v>
      </c>
      <c r="M961" s="202" t="s">
        <v>1385</v>
      </c>
      <c r="N961" s="206">
        <v>40616</v>
      </c>
      <c r="O961" s="206">
        <v>40616</v>
      </c>
      <c r="P961" s="202" t="s">
        <v>1604</v>
      </c>
      <c r="Q961" s="203">
        <v>300</v>
      </c>
      <c r="R961" s="203">
        <v>14040</v>
      </c>
      <c r="S961" s="204">
        <v>20000</v>
      </c>
      <c r="T961" s="203">
        <v>14046</v>
      </c>
      <c r="U961" s="204">
        <v>20000</v>
      </c>
      <c r="V961" s="204">
        <f t="shared" si="26"/>
        <v>0</v>
      </c>
      <c r="W961" s="205">
        <v>0</v>
      </c>
      <c r="X961" s="203">
        <v>51260</v>
      </c>
      <c r="Y961" s="204">
        <v>0</v>
      </c>
      <c r="Z961" s="202" t="s">
        <v>97</v>
      </c>
      <c r="AA961" s="202"/>
      <c r="AB961" s="202">
        <v>275040</v>
      </c>
      <c r="AC961" s="202">
        <v>6046</v>
      </c>
      <c r="AD961" s="202" t="s">
        <v>1152</v>
      </c>
      <c r="AE961" s="202" t="s">
        <v>1153</v>
      </c>
      <c r="AF961" s="203" t="s">
        <v>1154</v>
      </c>
      <c r="AG961" s="202"/>
      <c r="AH961" s="203" t="s">
        <v>1155</v>
      </c>
      <c r="AI961" s="202">
        <v>0</v>
      </c>
      <c r="AJ961" s="202">
        <v>0</v>
      </c>
    </row>
    <row r="962" spans="2:36">
      <c r="B962" s="203">
        <v>2180</v>
      </c>
      <c r="C962" s="207">
        <v>80599</v>
      </c>
      <c r="D962" s="203">
        <v>80461</v>
      </c>
      <c r="E962" s="202" t="s">
        <v>1603</v>
      </c>
      <c r="F962" s="203">
        <v>0</v>
      </c>
      <c r="G962" s="202"/>
      <c r="H962" s="202"/>
      <c r="I962" s="202"/>
      <c r="J962" s="202">
        <v>0</v>
      </c>
      <c r="K962" s="202" t="s">
        <v>1600</v>
      </c>
      <c r="L962" s="202"/>
      <c r="M962" s="202"/>
      <c r="N962" s="206">
        <v>40633</v>
      </c>
      <c r="O962" s="206">
        <v>40633</v>
      </c>
      <c r="P962" s="202" t="s">
        <v>1592</v>
      </c>
      <c r="Q962" s="203">
        <v>2000</v>
      </c>
      <c r="R962" s="203">
        <v>14080</v>
      </c>
      <c r="S962" s="204">
        <v>345</v>
      </c>
      <c r="T962" s="203">
        <v>14086</v>
      </c>
      <c r="U962" s="204">
        <v>192.63</v>
      </c>
      <c r="V962" s="204">
        <f t="shared" si="26"/>
        <v>152.37</v>
      </c>
      <c r="W962" s="205">
        <v>7.19</v>
      </c>
      <c r="X962" s="203">
        <v>57260</v>
      </c>
      <c r="Y962" s="204">
        <v>1.44</v>
      </c>
      <c r="Z962" s="202" t="s">
        <v>97</v>
      </c>
      <c r="AA962" s="202"/>
      <c r="AB962" s="202" t="s">
        <v>1602</v>
      </c>
      <c r="AC962" s="202"/>
      <c r="AD962" s="202" t="s">
        <v>1152</v>
      </c>
      <c r="AE962" s="202" t="s">
        <v>1153</v>
      </c>
      <c r="AF962" s="203" t="s">
        <v>1154</v>
      </c>
      <c r="AG962" s="202"/>
      <c r="AH962" s="203" t="s">
        <v>1155</v>
      </c>
      <c r="AI962" s="202">
        <v>0</v>
      </c>
      <c r="AJ962" s="202">
        <v>0</v>
      </c>
    </row>
    <row r="963" spans="2:36">
      <c r="B963" s="203">
        <v>2180</v>
      </c>
      <c r="C963" s="207">
        <v>80598</v>
      </c>
      <c r="D963" s="203">
        <v>80461</v>
      </c>
      <c r="E963" s="202" t="s">
        <v>1601</v>
      </c>
      <c r="F963" s="203">
        <v>0</v>
      </c>
      <c r="G963" s="202"/>
      <c r="H963" s="202"/>
      <c r="I963" s="202"/>
      <c r="J963" s="202">
        <v>0</v>
      </c>
      <c r="K963" s="202" t="s">
        <v>1600</v>
      </c>
      <c r="L963" s="202"/>
      <c r="M963" s="202"/>
      <c r="N963" s="206">
        <v>40633</v>
      </c>
      <c r="O963" s="206">
        <v>40633</v>
      </c>
      <c r="P963" s="202" t="s">
        <v>1592</v>
      </c>
      <c r="Q963" s="203">
        <v>2000</v>
      </c>
      <c r="R963" s="203">
        <v>14080</v>
      </c>
      <c r="S963" s="204">
        <v>45</v>
      </c>
      <c r="T963" s="203">
        <v>14086</v>
      </c>
      <c r="U963" s="204">
        <v>25.13</v>
      </c>
      <c r="V963" s="204">
        <f t="shared" si="26"/>
        <v>19.87</v>
      </c>
      <c r="W963" s="205">
        <v>0.94</v>
      </c>
      <c r="X963" s="203">
        <v>57260</v>
      </c>
      <c r="Y963" s="204">
        <v>0.19</v>
      </c>
      <c r="Z963" s="202" t="s">
        <v>97</v>
      </c>
      <c r="AA963" s="202"/>
      <c r="AB963" s="202" t="s">
        <v>1599</v>
      </c>
      <c r="AC963" s="202"/>
      <c r="AD963" s="202" t="s">
        <v>1152</v>
      </c>
      <c r="AE963" s="202" t="s">
        <v>1153</v>
      </c>
      <c r="AF963" s="203" t="s">
        <v>1154</v>
      </c>
      <c r="AG963" s="202"/>
      <c r="AH963" s="203" t="s">
        <v>1155</v>
      </c>
      <c r="AI963" s="202">
        <v>0</v>
      </c>
      <c r="AJ963" s="202">
        <v>0</v>
      </c>
    </row>
    <row r="964" spans="2:36">
      <c r="B964" s="203">
        <v>2180</v>
      </c>
      <c r="C964" s="207">
        <v>80468</v>
      </c>
      <c r="D964" s="203" t="s">
        <v>97</v>
      </c>
      <c r="E964" s="202" t="s">
        <v>1598</v>
      </c>
      <c r="F964" s="203">
        <v>0</v>
      </c>
      <c r="G964" s="202"/>
      <c r="H964" s="202"/>
      <c r="I964" s="202"/>
      <c r="J964" s="202">
        <v>0</v>
      </c>
      <c r="K964" s="202"/>
      <c r="L964" s="202"/>
      <c r="M964" s="202"/>
      <c r="N964" s="206">
        <v>40633</v>
      </c>
      <c r="O964" s="206">
        <v>40633</v>
      </c>
      <c r="P964" s="202" t="s">
        <v>1597</v>
      </c>
      <c r="Q964" s="203">
        <v>1000</v>
      </c>
      <c r="R964" s="203">
        <v>14100</v>
      </c>
      <c r="S964" s="204">
        <v>188184.69</v>
      </c>
      <c r="T964" s="203">
        <v>14106</v>
      </c>
      <c r="U964" s="204">
        <v>188184.69</v>
      </c>
      <c r="V964" s="204">
        <f t="shared" si="26"/>
        <v>0</v>
      </c>
      <c r="W964" s="205">
        <v>0</v>
      </c>
      <c r="X964" s="203">
        <v>70260</v>
      </c>
      <c r="Y964" s="204">
        <v>0</v>
      </c>
      <c r="Z964" s="202" t="s">
        <v>97</v>
      </c>
      <c r="AA964" s="202"/>
      <c r="AB964" s="202">
        <v>159534</v>
      </c>
      <c r="AC964" s="202"/>
      <c r="AD964" s="202" t="s">
        <v>1152</v>
      </c>
      <c r="AE964" s="202" t="s">
        <v>1153</v>
      </c>
      <c r="AF964" s="203" t="s">
        <v>1154</v>
      </c>
      <c r="AG964" s="202"/>
      <c r="AH964" s="203" t="s">
        <v>1155</v>
      </c>
      <c r="AI964" s="202">
        <v>0</v>
      </c>
      <c r="AJ964" s="202">
        <v>0</v>
      </c>
    </row>
    <row r="965" spans="2:36">
      <c r="B965" s="203">
        <v>2180</v>
      </c>
      <c r="C965" s="207">
        <v>80467</v>
      </c>
      <c r="D965" s="203" t="s">
        <v>97</v>
      </c>
      <c r="E965" s="202" t="s">
        <v>1596</v>
      </c>
      <c r="F965" s="203">
        <v>0</v>
      </c>
      <c r="G965" s="202"/>
      <c r="H965" s="202"/>
      <c r="I965" s="202"/>
      <c r="J965" s="202">
        <v>0</v>
      </c>
      <c r="K965" s="202" t="s">
        <v>1595</v>
      </c>
      <c r="L965" s="202"/>
      <c r="M965" s="202"/>
      <c r="N965" s="206">
        <v>40633</v>
      </c>
      <c r="O965" s="206">
        <v>40633</v>
      </c>
      <c r="P965" s="202" t="s">
        <v>1594</v>
      </c>
      <c r="Q965" s="203">
        <v>500</v>
      </c>
      <c r="R965" s="203">
        <v>14100</v>
      </c>
      <c r="S965" s="204">
        <v>97999.12</v>
      </c>
      <c r="T965" s="203">
        <v>14106</v>
      </c>
      <c r="U965" s="204">
        <v>97999.12</v>
      </c>
      <c r="V965" s="204">
        <f t="shared" si="26"/>
        <v>0</v>
      </c>
      <c r="W965" s="205">
        <v>0</v>
      </c>
      <c r="X965" s="203">
        <v>70260</v>
      </c>
      <c r="Y965" s="204">
        <v>0</v>
      </c>
      <c r="Z965" s="202" t="s">
        <v>97</v>
      </c>
      <c r="AA965" s="202"/>
      <c r="AB965" s="202">
        <v>15588</v>
      </c>
      <c r="AC965" s="202"/>
      <c r="AD965" s="202" t="s">
        <v>1152</v>
      </c>
      <c r="AE965" s="202" t="s">
        <v>1153</v>
      </c>
      <c r="AF965" s="203" t="s">
        <v>1154</v>
      </c>
      <c r="AG965" s="202"/>
      <c r="AH965" s="203" t="s">
        <v>1155</v>
      </c>
      <c r="AI965" s="202">
        <v>0</v>
      </c>
      <c r="AJ965" s="202">
        <v>0</v>
      </c>
    </row>
    <row r="966" spans="2:36">
      <c r="B966" s="203">
        <v>2180</v>
      </c>
      <c r="C966" s="207">
        <v>80463</v>
      </c>
      <c r="D966" s="203">
        <v>80461</v>
      </c>
      <c r="E966" s="202" t="s">
        <v>1593</v>
      </c>
      <c r="F966" s="203">
        <v>0</v>
      </c>
      <c r="G966" s="202"/>
      <c r="H966" s="202"/>
      <c r="I966" s="202"/>
      <c r="J966" s="202">
        <v>0</v>
      </c>
      <c r="K966" s="202"/>
      <c r="L966" s="202"/>
      <c r="M966" s="202"/>
      <c r="N966" s="206">
        <v>40633</v>
      </c>
      <c r="O966" s="206">
        <v>40633</v>
      </c>
      <c r="P966" s="202" t="s">
        <v>1592</v>
      </c>
      <c r="Q966" s="203">
        <v>2000</v>
      </c>
      <c r="R966" s="203">
        <v>14080</v>
      </c>
      <c r="S966" s="204">
        <v>6424143.0099999998</v>
      </c>
      <c r="T966" s="203">
        <v>14086</v>
      </c>
      <c r="U966" s="204">
        <v>3586813.17</v>
      </c>
      <c r="V966" s="204">
        <f t="shared" si="26"/>
        <v>2837329.84</v>
      </c>
      <c r="W966" s="205">
        <v>133836.31</v>
      </c>
      <c r="X966" s="203">
        <v>57260</v>
      </c>
      <c r="Y966" s="204">
        <v>26767.26</v>
      </c>
      <c r="Z966" s="202" t="s">
        <v>97</v>
      </c>
      <c r="AA966" s="202"/>
      <c r="AB966" s="202">
        <v>123432</v>
      </c>
      <c r="AC966" s="202"/>
      <c r="AD966" s="202" t="s">
        <v>1152</v>
      </c>
      <c r="AE966" s="202" t="s">
        <v>1153</v>
      </c>
      <c r="AF966" s="203" t="s">
        <v>1154</v>
      </c>
      <c r="AG966" s="202"/>
      <c r="AH966" s="203" t="s">
        <v>1155</v>
      </c>
      <c r="AI966" s="202">
        <v>0</v>
      </c>
      <c r="AJ966" s="202">
        <v>0</v>
      </c>
    </row>
    <row r="967" spans="2:36">
      <c r="B967" s="203">
        <v>2180</v>
      </c>
      <c r="C967" s="207">
        <v>80462</v>
      </c>
      <c r="D967" s="203">
        <v>80461</v>
      </c>
      <c r="E967" s="202" t="s">
        <v>1591</v>
      </c>
      <c r="F967" s="203">
        <v>0</v>
      </c>
      <c r="G967" s="202"/>
      <c r="H967" s="202"/>
      <c r="I967" s="202"/>
      <c r="J967" s="202">
        <v>0</v>
      </c>
      <c r="K967" s="202"/>
      <c r="L967" s="202"/>
      <c r="M967" s="202"/>
      <c r="N967" s="206">
        <v>40633</v>
      </c>
      <c r="O967" s="206">
        <v>40633</v>
      </c>
      <c r="P967" s="202" t="s">
        <v>1590</v>
      </c>
      <c r="Q967" s="203">
        <v>2000</v>
      </c>
      <c r="R967" s="203">
        <v>14080</v>
      </c>
      <c r="S967" s="204">
        <v>210612.12</v>
      </c>
      <c r="T967" s="203">
        <v>14086</v>
      </c>
      <c r="U967" s="204">
        <v>117591.81</v>
      </c>
      <c r="V967" s="204">
        <f t="shared" si="26"/>
        <v>93020.31</v>
      </c>
      <c r="W967" s="205">
        <v>4387.75</v>
      </c>
      <c r="X967" s="203">
        <v>57260</v>
      </c>
      <c r="Y967" s="204">
        <v>877.55</v>
      </c>
      <c r="Z967" s="202" t="s">
        <v>97</v>
      </c>
      <c r="AA967" s="202"/>
      <c r="AB967" s="202">
        <v>663291</v>
      </c>
      <c r="AC967" s="202"/>
      <c r="AD967" s="202" t="s">
        <v>1152</v>
      </c>
      <c r="AE967" s="202" t="s">
        <v>1153</v>
      </c>
      <c r="AF967" s="203" t="s">
        <v>1154</v>
      </c>
      <c r="AG967" s="202"/>
      <c r="AH967" s="203" t="s">
        <v>1155</v>
      </c>
      <c r="AI967" s="202">
        <v>0</v>
      </c>
      <c r="AJ967" s="202">
        <v>0</v>
      </c>
    </row>
    <row r="968" spans="2:36">
      <c r="B968" s="203">
        <v>2180</v>
      </c>
      <c r="C968" s="207">
        <v>80461</v>
      </c>
      <c r="D968" s="203" t="s">
        <v>97</v>
      </c>
      <c r="E968" s="202" t="s">
        <v>1589</v>
      </c>
      <c r="F968" s="203">
        <v>0</v>
      </c>
      <c r="G968" s="202"/>
      <c r="H968" s="202"/>
      <c r="I968" s="202"/>
      <c r="J968" s="202">
        <v>0</v>
      </c>
      <c r="K968" s="202"/>
      <c r="L968" s="202"/>
      <c r="M968" s="202"/>
      <c r="N968" s="206">
        <v>40633</v>
      </c>
      <c r="O968" s="206">
        <v>40633</v>
      </c>
      <c r="P968" s="202" t="s">
        <v>1588</v>
      </c>
      <c r="Q968" s="203">
        <v>2000</v>
      </c>
      <c r="R968" s="203">
        <v>14080</v>
      </c>
      <c r="S968" s="204">
        <v>269528.37</v>
      </c>
      <c r="T968" s="203">
        <v>14086</v>
      </c>
      <c r="U968" s="204">
        <v>150486.69</v>
      </c>
      <c r="V968" s="204">
        <f t="shared" si="26"/>
        <v>119041.68</v>
      </c>
      <c r="W968" s="205">
        <v>5615.18</v>
      </c>
      <c r="X968" s="203">
        <v>57260</v>
      </c>
      <c r="Y968" s="204">
        <v>1123.04</v>
      </c>
      <c r="Z968" s="202" t="s">
        <v>97</v>
      </c>
      <c r="AA968" s="202"/>
      <c r="AB968" s="202" t="s">
        <v>1587</v>
      </c>
      <c r="AC968" s="202"/>
      <c r="AD968" s="202" t="s">
        <v>1152</v>
      </c>
      <c r="AE968" s="202" t="s">
        <v>1153</v>
      </c>
      <c r="AF968" s="203" t="s">
        <v>1154</v>
      </c>
      <c r="AG968" s="202"/>
      <c r="AH968" s="203" t="s">
        <v>1155</v>
      </c>
      <c r="AI968" s="202">
        <v>0</v>
      </c>
      <c r="AJ968" s="202">
        <v>0</v>
      </c>
    </row>
    <row r="969" spans="2:36">
      <c r="B969" s="203">
        <v>2180</v>
      </c>
      <c r="C969" s="207">
        <v>80460</v>
      </c>
      <c r="D969" s="203" t="s">
        <v>97</v>
      </c>
      <c r="E969" s="202" t="s">
        <v>1586</v>
      </c>
      <c r="F969" s="203">
        <v>0</v>
      </c>
      <c r="G969" s="202"/>
      <c r="H969" s="202"/>
      <c r="I969" s="202"/>
      <c r="J969" s="202">
        <v>0</v>
      </c>
      <c r="K969" s="202" t="s">
        <v>1585</v>
      </c>
      <c r="L969" s="202"/>
      <c r="M969" s="202"/>
      <c r="N969" s="206">
        <v>40633</v>
      </c>
      <c r="O969" s="206">
        <v>40633</v>
      </c>
      <c r="P969" s="202" t="s">
        <v>1584</v>
      </c>
      <c r="Q969" s="203">
        <v>500</v>
      </c>
      <c r="R969" s="203">
        <v>14070</v>
      </c>
      <c r="S969" s="204">
        <v>121878.12</v>
      </c>
      <c r="T969" s="203">
        <v>14076</v>
      </c>
      <c r="U969" s="204">
        <v>121878.12</v>
      </c>
      <c r="V969" s="204">
        <f t="shared" si="26"/>
        <v>0</v>
      </c>
      <c r="W969" s="205">
        <v>0</v>
      </c>
      <c r="X969" s="203">
        <v>51260</v>
      </c>
      <c r="Y969" s="204">
        <v>0</v>
      </c>
      <c r="Z969" s="202" t="s">
        <v>97</v>
      </c>
      <c r="AA969" s="202"/>
      <c r="AB969" s="202">
        <v>910178579</v>
      </c>
      <c r="AC969" s="202"/>
      <c r="AD969" s="202" t="s">
        <v>1152</v>
      </c>
      <c r="AE969" s="202" t="s">
        <v>1153</v>
      </c>
      <c r="AF969" s="203" t="s">
        <v>1154</v>
      </c>
      <c r="AG969" s="202"/>
      <c r="AH969" s="203" t="s">
        <v>1155</v>
      </c>
      <c r="AI969" s="202">
        <v>0</v>
      </c>
      <c r="AJ969" s="202">
        <v>0</v>
      </c>
    </row>
    <row r="970" spans="2:36">
      <c r="B970" s="203">
        <v>2180</v>
      </c>
      <c r="C970" s="207">
        <v>78221</v>
      </c>
      <c r="D970" s="203" t="s">
        <v>97</v>
      </c>
      <c r="E970" s="202" t="s">
        <v>1583</v>
      </c>
      <c r="F970" s="203">
        <v>20</v>
      </c>
      <c r="G970" s="202"/>
      <c r="H970" s="202"/>
      <c r="I970" s="202"/>
      <c r="J970" s="202">
        <v>0</v>
      </c>
      <c r="K970" s="202" t="s">
        <v>1540</v>
      </c>
      <c r="L970" s="202"/>
      <c r="M970" s="202" t="s">
        <v>1582</v>
      </c>
      <c r="N970" s="206">
        <v>40469</v>
      </c>
      <c r="O970" s="206">
        <v>40469</v>
      </c>
      <c r="P970" s="202" t="s">
        <v>1581</v>
      </c>
      <c r="Q970" s="203">
        <v>700</v>
      </c>
      <c r="R970" s="203">
        <v>14050</v>
      </c>
      <c r="S970" s="204">
        <v>14298.63</v>
      </c>
      <c r="T970" s="203">
        <v>14056</v>
      </c>
      <c r="U970" s="204">
        <v>14298.63</v>
      </c>
      <c r="V970" s="204">
        <f t="shared" si="26"/>
        <v>0</v>
      </c>
      <c r="W970" s="205">
        <v>0</v>
      </c>
      <c r="X970" s="203">
        <v>54260</v>
      </c>
      <c r="Y970" s="204">
        <v>0</v>
      </c>
      <c r="Z970" s="202" t="s">
        <v>97</v>
      </c>
      <c r="AA970" s="202"/>
      <c r="AB970" s="202" t="s">
        <v>1580</v>
      </c>
      <c r="AC970" s="202"/>
      <c r="AD970" s="202" t="s">
        <v>1152</v>
      </c>
      <c r="AE970" s="202" t="s">
        <v>1153</v>
      </c>
      <c r="AF970" s="203" t="s">
        <v>1154</v>
      </c>
      <c r="AG970" s="202"/>
      <c r="AH970" s="203" t="s">
        <v>1155</v>
      </c>
      <c r="AI970" s="202">
        <v>0</v>
      </c>
      <c r="AJ970" s="202">
        <v>0</v>
      </c>
    </row>
    <row r="971" spans="2:36">
      <c r="B971" s="203">
        <v>2180</v>
      </c>
      <c r="C971" s="207">
        <v>77833</v>
      </c>
      <c r="D971" s="203">
        <v>75160</v>
      </c>
      <c r="E971" s="202" t="s">
        <v>1579</v>
      </c>
      <c r="F971" s="203">
        <v>0</v>
      </c>
      <c r="G971" s="202"/>
      <c r="H971" s="202"/>
      <c r="I971" s="202"/>
      <c r="J971" s="202">
        <v>0</v>
      </c>
      <c r="K971" s="202" t="s">
        <v>1576</v>
      </c>
      <c r="L971" s="202"/>
      <c r="M971" s="202"/>
      <c r="N971" s="206">
        <v>40344</v>
      </c>
      <c r="O971" s="206">
        <v>40344</v>
      </c>
      <c r="P971" s="202" t="s">
        <v>1551</v>
      </c>
      <c r="Q971" s="203">
        <v>500</v>
      </c>
      <c r="R971" s="203">
        <v>14070</v>
      </c>
      <c r="S971" s="204">
        <v>1836.24</v>
      </c>
      <c r="T971" s="203">
        <v>14076</v>
      </c>
      <c r="U971" s="204">
        <v>1836.24</v>
      </c>
      <c r="V971" s="204">
        <f t="shared" si="26"/>
        <v>0</v>
      </c>
      <c r="W971" s="205">
        <v>0</v>
      </c>
      <c r="X971" s="203">
        <v>51260</v>
      </c>
      <c r="Y971" s="204">
        <v>0</v>
      </c>
      <c r="Z971" s="202" t="s">
        <v>97</v>
      </c>
      <c r="AA971" s="202"/>
      <c r="AB971" s="202">
        <v>92733</v>
      </c>
      <c r="AC971" s="202"/>
      <c r="AD971" s="202" t="s">
        <v>1152</v>
      </c>
      <c r="AE971" s="202" t="s">
        <v>1153</v>
      </c>
      <c r="AF971" s="203" t="s">
        <v>1154</v>
      </c>
      <c r="AG971" s="202"/>
      <c r="AH971" s="203" t="s">
        <v>1155</v>
      </c>
      <c r="AI971" s="202">
        <v>0</v>
      </c>
      <c r="AJ971" s="202">
        <v>0</v>
      </c>
    </row>
    <row r="972" spans="2:36">
      <c r="B972" s="203">
        <v>2180</v>
      </c>
      <c r="C972" s="207">
        <v>77832</v>
      </c>
      <c r="D972" s="203">
        <v>75160</v>
      </c>
      <c r="E972" s="202" t="s">
        <v>1578</v>
      </c>
      <c r="F972" s="203">
        <v>0</v>
      </c>
      <c r="G972" s="202"/>
      <c r="H972" s="202"/>
      <c r="I972" s="202"/>
      <c r="J972" s="202">
        <v>0</v>
      </c>
      <c r="K972" s="202" t="s">
        <v>1576</v>
      </c>
      <c r="L972" s="202"/>
      <c r="M972" s="202"/>
      <c r="N972" s="206">
        <v>40344</v>
      </c>
      <c r="O972" s="206">
        <v>40344</v>
      </c>
      <c r="P972" s="202" t="s">
        <v>1551</v>
      </c>
      <c r="Q972" s="203">
        <v>500</v>
      </c>
      <c r="R972" s="203">
        <v>14070</v>
      </c>
      <c r="S972" s="204">
        <v>18.2</v>
      </c>
      <c r="T972" s="203">
        <v>14076</v>
      </c>
      <c r="U972" s="204">
        <v>18.2</v>
      </c>
      <c r="V972" s="204">
        <f t="shared" si="26"/>
        <v>0</v>
      </c>
      <c r="W972" s="205">
        <v>0</v>
      </c>
      <c r="X972" s="203">
        <v>51260</v>
      </c>
      <c r="Y972" s="204">
        <v>0</v>
      </c>
      <c r="Z972" s="202" t="s">
        <v>97</v>
      </c>
      <c r="AA972" s="202"/>
      <c r="AB972" s="202">
        <v>92580</v>
      </c>
      <c r="AC972" s="202"/>
      <c r="AD972" s="202" t="s">
        <v>1152</v>
      </c>
      <c r="AE972" s="202" t="s">
        <v>1153</v>
      </c>
      <c r="AF972" s="203" t="s">
        <v>1154</v>
      </c>
      <c r="AG972" s="202"/>
      <c r="AH972" s="203" t="s">
        <v>1155</v>
      </c>
      <c r="AI972" s="202">
        <v>0</v>
      </c>
      <c r="AJ972" s="202">
        <v>0</v>
      </c>
    </row>
    <row r="973" spans="2:36">
      <c r="B973" s="203">
        <v>2180</v>
      </c>
      <c r="C973" s="207">
        <v>77831</v>
      </c>
      <c r="D973" s="203">
        <v>75160</v>
      </c>
      <c r="E973" s="202" t="s">
        <v>1577</v>
      </c>
      <c r="F973" s="203">
        <v>0</v>
      </c>
      <c r="G973" s="202"/>
      <c r="H973" s="202"/>
      <c r="I973" s="202"/>
      <c r="J973" s="202">
        <v>0</v>
      </c>
      <c r="K973" s="202" t="s">
        <v>1576</v>
      </c>
      <c r="L973" s="202"/>
      <c r="M973" s="202"/>
      <c r="N973" s="206">
        <v>40344</v>
      </c>
      <c r="O973" s="206">
        <v>40344</v>
      </c>
      <c r="P973" s="202" t="s">
        <v>1551</v>
      </c>
      <c r="Q973" s="203">
        <v>500</v>
      </c>
      <c r="R973" s="203">
        <v>14070</v>
      </c>
      <c r="S973" s="204">
        <v>628</v>
      </c>
      <c r="T973" s="203">
        <v>14076</v>
      </c>
      <c r="U973" s="204">
        <v>628</v>
      </c>
      <c r="V973" s="204">
        <f t="shared" si="26"/>
        <v>0</v>
      </c>
      <c r="W973" s="205">
        <v>0</v>
      </c>
      <c r="X973" s="203">
        <v>51260</v>
      </c>
      <c r="Y973" s="204">
        <v>0</v>
      </c>
      <c r="Z973" s="202" t="s">
        <v>97</v>
      </c>
      <c r="AA973" s="202"/>
      <c r="AB973" s="202">
        <v>92737</v>
      </c>
      <c r="AC973" s="202"/>
      <c r="AD973" s="202" t="s">
        <v>1152</v>
      </c>
      <c r="AE973" s="202" t="s">
        <v>1153</v>
      </c>
      <c r="AF973" s="203" t="s">
        <v>1154</v>
      </c>
      <c r="AG973" s="202"/>
      <c r="AH973" s="203" t="s">
        <v>1155</v>
      </c>
      <c r="AI973" s="202">
        <v>0</v>
      </c>
      <c r="AJ973" s="202">
        <v>0</v>
      </c>
    </row>
    <row r="974" spans="2:36">
      <c r="B974" s="203">
        <v>2180</v>
      </c>
      <c r="C974" s="207">
        <v>77554</v>
      </c>
      <c r="D974" s="203" t="s">
        <v>97</v>
      </c>
      <c r="E974" s="202" t="s">
        <v>1575</v>
      </c>
      <c r="F974" s="203">
        <v>20</v>
      </c>
      <c r="G974" s="202"/>
      <c r="H974" s="202"/>
      <c r="I974" s="202"/>
      <c r="J974" s="202">
        <v>0</v>
      </c>
      <c r="K974" s="202" t="s">
        <v>1574</v>
      </c>
      <c r="L974" s="202"/>
      <c r="M974" s="202" t="s">
        <v>1573</v>
      </c>
      <c r="N974" s="206">
        <v>40451</v>
      </c>
      <c r="O974" s="206">
        <v>40451</v>
      </c>
      <c r="P974" s="202" t="s">
        <v>1572</v>
      </c>
      <c r="Q974" s="203">
        <v>1200</v>
      </c>
      <c r="R974" s="203">
        <v>14050</v>
      </c>
      <c r="S974" s="204">
        <v>7541.7</v>
      </c>
      <c r="T974" s="203">
        <v>14056</v>
      </c>
      <c r="U974" s="204">
        <v>7332.23</v>
      </c>
      <c r="V974" s="204">
        <f t="shared" ref="V974:V1037" si="27">S974-U974</f>
        <v>209.47000000000025</v>
      </c>
      <c r="W974" s="205">
        <v>261.87</v>
      </c>
      <c r="X974" s="203">
        <v>54260</v>
      </c>
      <c r="Y974" s="204">
        <v>52.38</v>
      </c>
      <c r="Z974" s="202" t="s">
        <v>97</v>
      </c>
      <c r="AA974" s="202"/>
      <c r="AB974" s="202">
        <v>50467</v>
      </c>
      <c r="AC974" s="202"/>
      <c r="AD974" s="202" t="s">
        <v>1152</v>
      </c>
      <c r="AE974" s="202" t="s">
        <v>1153</v>
      </c>
      <c r="AF974" s="203" t="s">
        <v>1154</v>
      </c>
      <c r="AG974" s="202"/>
      <c r="AH974" s="203" t="s">
        <v>1155</v>
      </c>
      <c r="AI974" s="202">
        <v>2</v>
      </c>
      <c r="AJ974" s="202">
        <v>0</v>
      </c>
    </row>
    <row r="975" spans="2:36">
      <c r="B975" s="203">
        <v>2180</v>
      </c>
      <c r="C975" s="207">
        <v>77551</v>
      </c>
      <c r="D975" s="203" t="s">
        <v>97</v>
      </c>
      <c r="E975" s="202" t="s">
        <v>1571</v>
      </c>
      <c r="F975" s="203">
        <v>486</v>
      </c>
      <c r="G975" s="202"/>
      <c r="H975" s="202" t="s">
        <v>1570</v>
      </c>
      <c r="I975" s="202"/>
      <c r="J975" s="202">
        <v>0</v>
      </c>
      <c r="K975" s="202" t="s">
        <v>1540</v>
      </c>
      <c r="L975" s="202"/>
      <c r="M975" s="202"/>
      <c r="N975" s="206">
        <v>40442</v>
      </c>
      <c r="O975" s="206">
        <v>40442</v>
      </c>
      <c r="P975" s="202" t="s">
        <v>1569</v>
      </c>
      <c r="Q975" s="203">
        <v>700</v>
      </c>
      <c r="R975" s="203">
        <v>14050</v>
      </c>
      <c r="S975" s="204">
        <v>23638.32</v>
      </c>
      <c r="T975" s="203">
        <v>14056</v>
      </c>
      <c r="U975" s="204">
        <v>23638.32</v>
      </c>
      <c r="V975" s="204">
        <f t="shared" si="27"/>
        <v>0</v>
      </c>
      <c r="W975" s="205">
        <v>0</v>
      </c>
      <c r="X975" s="203">
        <v>54260</v>
      </c>
      <c r="Y975" s="204">
        <v>0</v>
      </c>
      <c r="Z975" s="202" t="s">
        <v>97</v>
      </c>
      <c r="AA975" s="202"/>
      <c r="AB975" s="202" t="s">
        <v>1568</v>
      </c>
      <c r="AC975" s="202"/>
      <c r="AD975" s="202" t="s">
        <v>1152</v>
      </c>
      <c r="AE975" s="202" t="s">
        <v>1153</v>
      </c>
      <c r="AF975" s="203" t="s">
        <v>1154</v>
      </c>
      <c r="AG975" s="202"/>
      <c r="AH975" s="203" t="s">
        <v>1155</v>
      </c>
      <c r="AI975" s="202">
        <v>0</v>
      </c>
      <c r="AJ975" s="202">
        <v>0</v>
      </c>
    </row>
    <row r="976" spans="2:36">
      <c r="B976" s="203">
        <v>2180</v>
      </c>
      <c r="C976" s="207">
        <v>76637</v>
      </c>
      <c r="D976" s="203" t="s">
        <v>97</v>
      </c>
      <c r="E976" s="202" t="s">
        <v>1567</v>
      </c>
      <c r="F976" s="203">
        <v>0</v>
      </c>
      <c r="G976" s="202"/>
      <c r="H976" s="202"/>
      <c r="I976" s="202"/>
      <c r="J976" s="202">
        <v>0</v>
      </c>
      <c r="K976" s="202" t="s">
        <v>1566</v>
      </c>
      <c r="L976" s="202"/>
      <c r="M976" s="202"/>
      <c r="N976" s="206">
        <v>40405</v>
      </c>
      <c r="O976" s="206">
        <v>40405</v>
      </c>
      <c r="P976" s="202" t="s">
        <v>1565</v>
      </c>
      <c r="Q976" s="203">
        <v>1000</v>
      </c>
      <c r="R976" s="203">
        <v>14100</v>
      </c>
      <c r="S976" s="204">
        <v>2684.4</v>
      </c>
      <c r="T976" s="203">
        <v>14106</v>
      </c>
      <c r="U976" s="204">
        <v>2684.4</v>
      </c>
      <c r="V976" s="204">
        <f t="shared" si="27"/>
        <v>0</v>
      </c>
      <c r="W976" s="205">
        <v>0</v>
      </c>
      <c r="X976" s="203">
        <v>70260</v>
      </c>
      <c r="Y976" s="204">
        <v>0</v>
      </c>
      <c r="Z976" s="202" t="s">
        <v>97</v>
      </c>
      <c r="AA976" s="202"/>
      <c r="AB976" s="202" t="s">
        <v>1564</v>
      </c>
      <c r="AC976" s="202"/>
      <c r="AD976" s="202" t="s">
        <v>1152</v>
      </c>
      <c r="AE976" s="202" t="s">
        <v>1153</v>
      </c>
      <c r="AF976" s="203" t="s">
        <v>1154</v>
      </c>
      <c r="AG976" s="202"/>
      <c r="AH976" s="203" t="s">
        <v>1155</v>
      </c>
      <c r="AI976" s="202">
        <v>0</v>
      </c>
      <c r="AJ976" s="202">
        <v>0</v>
      </c>
    </row>
    <row r="977" spans="2:36">
      <c r="B977" s="203">
        <v>2180</v>
      </c>
      <c r="C977" s="207">
        <v>76468</v>
      </c>
      <c r="D977" s="203" t="s">
        <v>97</v>
      </c>
      <c r="E977" s="202" t="s">
        <v>1563</v>
      </c>
      <c r="F977" s="203">
        <v>437</v>
      </c>
      <c r="G977" s="202"/>
      <c r="H977" s="202" t="s">
        <v>1562</v>
      </c>
      <c r="I977" s="202"/>
      <c r="J977" s="202">
        <v>0</v>
      </c>
      <c r="K977" s="202" t="s">
        <v>1540</v>
      </c>
      <c r="L977" s="202"/>
      <c r="M977" s="202"/>
      <c r="N977" s="206">
        <v>40354</v>
      </c>
      <c r="O977" s="206">
        <v>40354</v>
      </c>
      <c r="P977" s="202" t="s">
        <v>1561</v>
      </c>
      <c r="Q977" s="203">
        <v>700</v>
      </c>
      <c r="R977" s="203">
        <v>14050</v>
      </c>
      <c r="S977" s="204">
        <v>23084.39</v>
      </c>
      <c r="T977" s="203">
        <v>14056</v>
      </c>
      <c r="U977" s="204">
        <v>23084.39</v>
      </c>
      <c r="V977" s="204">
        <f t="shared" si="27"/>
        <v>0</v>
      </c>
      <c r="W977" s="205">
        <v>0</v>
      </c>
      <c r="X977" s="203">
        <v>54260</v>
      </c>
      <c r="Y977" s="204">
        <v>0</v>
      </c>
      <c r="Z977" s="202" t="s">
        <v>97</v>
      </c>
      <c r="AA977" s="202"/>
      <c r="AB977" s="202" t="s">
        <v>1560</v>
      </c>
      <c r="AC977" s="202"/>
      <c r="AD977" s="202" t="s">
        <v>1152</v>
      </c>
      <c r="AE977" s="202" t="s">
        <v>1153</v>
      </c>
      <c r="AF977" s="203" t="s">
        <v>1154</v>
      </c>
      <c r="AG977" s="202"/>
      <c r="AH977" s="203" t="s">
        <v>1155</v>
      </c>
      <c r="AI977" s="202">
        <v>0</v>
      </c>
      <c r="AJ977" s="202">
        <v>0</v>
      </c>
    </row>
    <row r="978" spans="2:36">
      <c r="B978" s="203">
        <v>2180</v>
      </c>
      <c r="C978" s="207">
        <v>75722</v>
      </c>
      <c r="D978" s="203" t="s">
        <v>97</v>
      </c>
      <c r="E978" s="202" t="s">
        <v>1559</v>
      </c>
      <c r="F978" s="203">
        <v>15</v>
      </c>
      <c r="G978" s="202"/>
      <c r="H978" s="202"/>
      <c r="I978" s="202"/>
      <c r="J978" s="202">
        <v>0</v>
      </c>
      <c r="K978" s="202" t="s">
        <v>1540</v>
      </c>
      <c r="L978" s="202"/>
      <c r="M978" s="202" t="s">
        <v>1558</v>
      </c>
      <c r="N978" s="206">
        <v>40346</v>
      </c>
      <c r="O978" s="206">
        <v>40346</v>
      </c>
      <c r="P978" s="202" t="s">
        <v>1554</v>
      </c>
      <c r="Q978" s="203">
        <v>700</v>
      </c>
      <c r="R978" s="203">
        <v>14050</v>
      </c>
      <c r="S978" s="204">
        <v>10520</v>
      </c>
      <c r="T978" s="203">
        <v>14056</v>
      </c>
      <c r="U978" s="204">
        <v>10520</v>
      </c>
      <c r="V978" s="204">
        <f t="shared" si="27"/>
        <v>0</v>
      </c>
      <c r="W978" s="205">
        <v>0</v>
      </c>
      <c r="X978" s="203">
        <v>54260</v>
      </c>
      <c r="Y978" s="204">
        <v>0</v>
      </c>
      <c r="Z978" s="202" t="s">
        <v>97</v>
      </c>
      <c r="AA978" s="202"/>
      <c r="AB978" s="202" t="s">
        <v>1557</v>
      </c>
      <c r="AC978" s="202"/>
      <c r="AD978" s="202" t="s">
        <v>1152</v>
      </c>
      <c r="AE978" s="202" t="s">
        <v>1153</v>
      </c>
      <c r="AF978" s="203" t="s">
        <v>1154</v>
      </c>
      <c r="AG978" s="202"/>
      <c r="AH978" s="203" t="s">
        <v>1155</v>
      </c>
      <c r="AI978" s="202">
        <v>0</v>
      </c>
      <c r="AJ978" s="202">
        <v>0</v>
      </c>
    </row>
    <row r="979" spans="2:36">
      <c r="B979" s="203">
        <v>2180</v>
      </c>
      <c r="C979" s="207">
        <v>75721</v>
      </c>
      <c r="D979" s="203" t="s">
        <v>97</v>
      </c>
      <c r="E979" s="202" t="s">
        <v>1556</v>
      </c>
      <c r="F979" s="203">
        <v>25</v>
      </c>
      <c r="G979" s="202"/>
      <c r="H979" s="202"/>
      <c r="I979" s="202"/>
      <c r="J979" s="202">
        <v>0</v>
      </c>
      <c r="K979" s="202" t="s">
        <v>1540</v>
      </c>
      <c r="L979" s="202"/>
      <c r="M979" s="202" t="s">
        <v>1555</v>
      </c>
      <c r="N979" s="206">
        <v>40346</v>
      </c>
      <c r="O979" s="206">
        <v>40346</v>
      </c>
      <c r="P979" s="202" t="s">
        <v>1554</v>
      </c>
      <c r="Q979" s="203">
        <v>700</v>
      </c>
      <c r="R979" s="203">
        <v>14050</v>
      </c>
      <c r="S979" s="204">
        <v>6853.97</v>
      </c>
      <c r="T979" s="203">
        <v>14056</v>
      </c>
      <c r="U979" s="204">
        <v>6853.97</v>
      </c>
      <c r="V979" s="204">
        <f t="shared" si="27"/>
        <v>0</v>
      </c>
      <c r="W979" s="205">
        <v>0</v>
      </c>
      <c r="X979" s="203">
        <v>54260</v>
      </c>
      <c r="Y979" s="204">
        <v>0</v>
      </c>
      <c r="Z979" s="202" t="s">
        <v>97</v>
      </c>
      <c r="AA979" s="202"/>
      <c r="AB979" s="202" t="s">
        <v>1553</v>
      </c>
      <c r="AC979" s="202"/>
      <c r="AD979" s="202" t="s">
        <v>1152</v>
      </c>
      <c r="AE979" s="202" t="s">
        <v>1153</v>
      </c>
      <c r="AF979" s="203" t="s">
        <v>1154</v>
      </c>
      <c r="AG979" s="202"/>
      <c r="AH979" s="203" t="s">
        <v>1155</v>
      </c>
      <c r="AI979" s="202">
        <v>2</v>
      </c>
      <c r="AJ979" s="202">
        <v>0</v>
      </c>
    </row>
    <row r="980" spans="2:36">
      <c r="B980" s="203">
        <v>2180</v>
      </c>
      <c r="C980" s="207">
        <v>75160</v>
      </c>
      <c r="D980" s="203" t="s">
        <v>97</v>
      </c>
      <c r="E980" s="202" t="s">
        <v>1552</v>
      </c>
      <c r="F980" s="203">
        <v>0</v>
      </c>
      <c r="G980" s="202"/>
      <c r="H980" s="202"/>
      <c r="I980" s="202"/>
      <c r="J980" s="202">
        <v>0</v>
      </c>
      <c r="K980" s="202"/>
      <c r="L980" s="202"/>
      <c r="M980" s="202"/>
      <c r="N980" s="206">
        <v>40344</v>
      </c>
      <c r="O980" s="206">
        <v>40344</v>
      </c>
      <c r="P980" s="202" t="s">
        <v>1551</v>
      </c>
      <c r="Q980" s="203">
        <v>500</v>
      </c>
      <c r="R980" s="203">
        <v>14070</v>
      </c>
      <c r="S980" s="204">
        <v>14289.88</v>
      </c>
      <c r="T980" s="203">
        <v>14076</v>
      </c>
      <c r="U980" s="204">
        <v>14289.88</v>
      </c>
      <c r="V980" s="204">
        <f t="shared" si="27"/>
        <v>0</v>
      </c>
      <c r="W980" s="205">
        <v>0</v>
      </c>
      <c r="X980" s="203">
        <v>51260</v>
      </c>
      <c r="Y980" s="204">
        <v>0</v>
      </c>
      <c r="Z980" s="202" t="s">
        <v>97</v>
      </c>
      <c r="AA980" s="202"/>
      <c r="AB980" s="202">
        <v>92441</v>
      </c>
      <c r="AC980" s="202"/>
      <c r="AD980" s="202" t="s">
        <v>1152</v>
      </c>
      <c r="AE980" s="202" t="s">
        <v>1153</v>
      </c>
      <c r="AF980" s="203" t="s">
        <v>1154</v>
      </c>
      <c r="AG980" s="202"/>
      <c r="AH980" s="203" t="s">
        <v>1155</v>
      </c>
      <c r="AI980" s="202">
        <v>0</v>
      </c>
      <c r="AJ980" s="202">
        <v>0</v>
      </c>
    </row>
    <row r="981" spans="2:36">
      <c r="B981" s="203">
        <v>2180</v>
      </c>
      <c r="C981" s="207">
        <v>75009</v>
      </c>
      <c r="D981" s="203" t="s">
        <v>97</v>
      </c>
      <c r="E981" s="202" t="s">
        <v>1550</v>
      </c>
      <c r="F981" s="203">
        <v>13</v>
      </c>
      <c r="G981" s="202"/>
      <c r="H981" s="202"/>
      <c r="I981" s="202"/>
      <c r="J981" s="202">
        <v>0</v>
      </c>
      <c r="K981" s="202" t="s">
        <v>1549</v>
      </c>
      <c r="L981" s="202"/>
      <c r="M981" s="202" t="s">
        <v>1421</v>
      </c>
      <c r="N981" s="206">
        <v>40332</v>
      </c>
      <c r="O981" s="206">
        <v>40332</v>
      </c>
      <c r="P981" s="202" t="s">
        <v>1548</v>
      </c>
      <c r="Q981" s="203">
        <v>1200</v>
      </c>
      <c r="R981" s="203">
        <v>14050</v>
      </c>
      <c r="S981" s="204">
        <v>6771.14</v>
      </c>
      <c r="T981" s="203">
        <v>14056</v>
      </c>
      <c r="U981" s="204">
        <v>6771.14</v>
      </c>
      <c r="V981" s="204">
        <f t="shared" si="27"/>
        <v>0</v>
      </c>
      <c r="W981" s="205">
        <v>235.13</v>
      </c>
      <c r="X981" s="203">
        <v>54260</v>
      </c>
      <c r="Y981" s="204">
        <v>47.03</v>
      </c>
      <c r="Z981" s="202" t="s">
        <v>97</v>
      </c>
      <c r="AA981" s="202"/>
      <c r="AB981" s="202" t="s">
        <v>1547</v>
      </c>
      <c r="AC981" s="202"/>
      <c r="AD981" s="202" t="s">
        <v>1152</v>
      </c>
      <c r="AE981" s="202" t="s">
        <v>1153</v>
      </c>
      <c r="AF981" s="203" t="s">
        <v>1154</v>
      </c>
      <c r="AG981" s="202"/>
      <c r="AH981" s="203" t="s">
        <v>1155</v>
      </c>
      <c r="AI981" s="202">
        <v>0</v>
      </c>
      <c r="AJ981" s="202">
        <v>0</v>
      </c>
    </row>
    <row r="982" spans="2:36">
      <c r="B982" s="203">
        <v>2180</v>
      </c>
      <c r="C982" s="207">
        <v>74451</v>
      </c>
      <c r="D982" s="203" t="s">
        <v>97</v>
      </c>
      <c r="E982" s="202" t="s">
        <v>1546</v>
      </c>
      <c r="F982" s="203">
        <v>0</v>
      </c>
      <c r="G982" s="202"/>
      <c r="H982" s="202"/>
      <c r="I982" s="202"/>
      <c r="J982" s="202">
        <v>0</v>
      </c>
      <c r="K982" s="202" t="s">
        <v>1429</v>
      </c>
      <c r="L982" s="202"/>
      <c r="M982" s="202"/>
      <c r="N982" s="206">
        <v>40308</v>
      </c>
      <c r="O982" s="206">
        <v>40308</v>
      </c>
      <c r="P982" s="202" t="s">
        <v>1545</v>
      </c>
      <c r="Q982" s="203">
        <v>300</v>
      </c>
      <c r="R982" s="203">
        <v>14110</v>
      </c>
      <c r="S982" s="204">
        <v>1574.93</v>
      </c>
      <c r="T982" s="203">
        <v>14116</v>
      </c>
      <c r="U982" s="204">
        <v>1574.93</v>
      </c>
      <c r="V982" s="204">
        <f t="shared" si="27"/>
        <v>0</v>
      </c>
      <c r="W982" s="205">
        <v>0</v>
      </c>
      <c r="X982" s="203">
        <v>70260</v>
      </c>
      <c r="Y982" s="204">
        <v>0</v>
      </c>
      <c r="Z982" s="202" t="s">
        <v>97</v>
      </c>
      <c r="AA982" s="202"/>
      <c r="AB982" s="202" t="s">
        <v>1544</v>
      </c>
      <c r="AC982" s="202"/>
      <c r="AD982" s="202" t="s">
        <v>1152</v>
      </c>
      <c r="AE982" s="202" t="s">
        <v>1153</v>
      </c>
      <c r="AF982" s="203" t="s">
        <v>1154</v>
      </c>
      <c r="AG982" s="202"/>
      <c r="AH982" s="203" t="s">
        <v>1155</v>
      </c>
      <c r="AI982" s="202">
        <v>0</v>
      </c>
      <c r="AJ982" s="202">
        <v>0</v>
      </c>
    </row>
    <row r="983" spans="2:36">
      <c r="B983" s="203">
        <v>2180</v>
      </c>
      <c r="C983" s="207">
        <v>74350</v>
      </c>
      <c r="D983" s="203" t="s">
        <v>97</v>
      </c>
      <c r="E983" s="202" t="s">
        <v>1543</v>
      </c>
      <c r="F983" s="203">
        <v>291</v>
      </c>
      <c r="G983" s="202"/>
      <c r="H983" s="202"/>
      <c r="I983" s="202"/>
      <c r="J983" s="202">
        <v>0</v>
      </c>
      <c r="K983" s="202" t="s">
        <v>1540</v>
      </c>
      <c r="L983" s="202"/>
      <c r="M983" s="202"/>
      <c r="N983" s="206">
        <v>40313</v>
      </c>
      <c r="O983" s="206">
        <v>40313</v>
      </c>
      <c r="P983" s="202" t="s">
        <v>1539</v>
      </c>
      <c r="Q983" s="203">
        <v>700</v>
      </c>
      <c r="R983" s="203">
        <v>14050</v>
      </c>
      <c r="S983" s="204">
        <v>9645.31</v>
      </c>
      <c r="T983" s="203">
        <v>14056</v>
      </c>
      <c r="U983" s="204">
        <v>9645.31</v>
      </c>
      <c r="V983" s="204">
        <f t="shared" si="27"/>
        <v>0</v>
      </c>
      <c r="W983" s="205">
        <v>0</v>
      </c>
      <c r="X983" s="203">
        <v>54260</v>
      </c>
      <c r="Y983" s="204">
        <v>0</v>
      </c>
      <c r="Z983" s="202" t="s">
        <v>97</v>
      </c>
      <c r="AA983" s="202"/>
      <c r="AB983" s="202" t="s">
        <v>1542</v>
      </c>
      <c r="AC983" s="202"/>
      <c r="AD983" s="202" t="s">
        <v>1152</v>
      </c>
      <c r="AE983" s="202" t="s">
        <v>1153</v>
      </c>
      <c r="AF983" s="203" t="s">
        <v>1154</v>
      </c>
      <c r="AG983" s="202"/>
      <c r="AH983" s="203" t="s">
        <v>1155</v>
      </c>
      <c r="AI983" s="202">
        <v>0</v>
      </c>
      <c r="AJ983" s="202">
        <v>0</v>
      </c>
    </row>
    <row r="984" spans="2:36">
      <c r="B984" s="203">
        <v>2180</v>
      </c>
      <c r="C984" s="207">
        <v>74347</v>
      </c>
      <c r="D984" s="203" t="s">
        <v>97</v>
      </c>
      <c r="E984" s="202" t="s">
        <v>1541</v>
      </c>
      <c r="F984" s="203">
        <v>291</v>
      </c>
      <c r="G984" s="202"/>
      <c r="H984" s="202"/>
      <c r="I984" s="202"/>
      <c r="J984" s="202">
        <v>0</v>
      </c>
      <c r="K984" s="202" t="s">
        <v>1540</v>
      </c>
      <c r="L984" s="202"/>
      <c r="M984" s="202"/>
      <c r="N984" s="206">
        <v>40313</v>
      </c>
      <c r="O984" s="206">
        <v>40313</v>
      </c>
      <c r="P984" s="202" t="s">
        <v>1539</v>
      </c>
      <c r="Q984" s="203">
        <v>700</v>
      </c>
      <c r="R984" s="203">
        <v>14050</v>
      </c>
      <c r="S984" s="204">
        <v>16673.25</v>
      </c>
      <c r="T984" s="203">
        <v>14056</v>
      </c>
      <c r="U984" s="204">
        <v>16673.25</v>
      </c>
      <c r="V984" s="204">
        <f t="shared" si="27"/>
        <v>0</v>
      </c>
      <c r="W984" s="205">
        <v>0</v>
      </c>
      <c r="X984" s="203">
        <v>54260</v>
      </c>
      <c r="Y984" s="204">
        <v>0</v>
      </c>
      <c r="Z984" s="202" t="s">
        <v>97</v>
      </c>
      <c r="AA984" s="202"/>
      <c r="AB984" s="202" t="s">
        <v>1538</v>
      </c>
      <c r="AC984" s="202"/>
      <c r="AD984" s="202" t="s">
        <v>1152</v>
      </c>
      <c r="AE984" s="202" t="s">
        <v>1153</v>
      </c>
      <c r="AF984" s="203" t="s">
        <v>1154</v>
      </c>
      <c r="AG984" s="202"/>
      <c r="AH984" s="203" t="s">
        <v>1155</v>
      </c>
      <c r="AI984" s="202">
        <v>0</v>
      </c>
      <c r="AJ984" s="202">
        <v>0</v>
      </c>
    </row>
    <row r="985" spans="2:36">
      <c r="B985" s="203">
        <v>2180</v>
      </c>
      <c r="C985" s="207">
        <v>73834</v>
      </c>
      <c r="D985" s="203" t="s">
        <v>97</v>
      </c>
      <c r="E985" s="202" t="s">
        <v>1537</v>
      </c>
      <c r="F985" s="203">
        <v>0</v>
      </c>
      <c r="G985" s="202"/>
      <c r="H985" s="202" t="s">
        <v>1536</v>
      </c>
      <c r="I985" s="202"/>
      <c r="J985" s="202">
        <v>2007</v>
      </c>
      <c r="K985" s="202" t="s">
        <v>1535</v>
      </c>
      <c r="L985" s="202" t="s">
        <v>1534</v>
      </c>
      <c r="M985" s="202" t="s">
        <v>1385</v>
      </c>
      <c r="N985" s="206">
        <v>40284</v>
      </c>
      <c r="O985" s="206">
        <v>40284</v>
      </c>
      <c r="P985" s="202" t="s">
        <v>1533</v>
      </c>
      <c r="Q985" s="203">
        <v>300</v>
      </c>
      <c r="R985" s="203">
        <v>14040</v>
      </c>
      <c r="S985" s="204">
        <v>14999.99</v>
      </c>
      <c r="T985" s="203">
        <v>14046</v>
      </c>
      <c r="U985" s="204">
        <v>14999.99</v>
      </c>
      <c r="V985" s="204">
        <f t="shared" si="27"/>
        <v>0</v>
      </c>
      <c r="W985" s="205">
        <v>0</v>
      </c>
      <c r="X985" s="203">
        <v>51260</v>
      </c>
      <c r="Y985" s="204">
        <v>0</v>
      </c>
      <c r="Z985" s="202" t="s">
        <v>97</v>
      </c>
      <c r="AA985" s="202"/>
      <c r="AB985" s="202">
        <v>271807</v>
      </c>
      <c r="AC985" s="202">
        <v>6043</v>
      </c>
      <c r="AD985" s="202" t="s">
        <v>1152</v>
      </c>
      <c r="AE985" s="202" t="s">
        <v>1153</v>
      </c>
      <c r="AF985" s="203" t="s">
        <v>1154</v>
      </c>
      <c r="AG985" s="202"/>
      <c r="AH985" s="203" t="s">
        <v>1155</v>
      </c>
      <c r="AI985" s="202">
        <v>0</v>
      </c>
      <c r="AJ985" s="202">
        <v>0</v>
      </c>
    </row>
    <row r="986" spans="2:36">
      <c r="B986" s="203">
        <v>2180</v>
      </c>
      <c r="C986" s="207">
        <v>73815</v>
      </c>
      <c r="D986" s="203" t="s">
        <v>97</v>
      </c>
      <c r="E986" s="202" t="s">
        <v>1532</v>
      </c>
      <c r="F986" s="203">
        <v>0</v>
      </c>
      <c r="G986" s="202"/>
      <c r="H986" s="202"/>
      <c r="I986" s="202"/>
      <c r="J986" s="202">
        <v>0</v>
      </c>
      <c r="K986" s="202" t="s">
        <v>1525</v>
      </c>
      <c r="L986" s="202"/>
      <c r="M986" s="202"/>
      <c r="N986" s="206">
        <v>40269</v>
      </c>
      <c r="O986" s="206">
        <v>40269</v>
      </c>
      <c r="P986" s="202" t="s">
        <v>1524</v>
      </c>
      <c r="Q986" s="203">
        <v>300</v>
      </c>
      <c r="R986" s="203">
        <v>14110</v>
      </c>
      <c r="S986" s="204">
        <v>2625</v>
      </c>
      <c r="T986" s="203">
        <v>14116</v>
      </c>
      <c r="U986" s="204">
        <v>2625</v>
      </c>
      <c r="V986" s="204">
        <f t="shared" si="27"/>
        <v>0</v>
      </c>
      <c r="W986" s="205">
        <v>0</v>
      </c>
      <c r="X986" s="203">
        <v>70260</v>
      </c>
      <c r="Y986" s="204">
        <v>0</v>
      </c>
      <c r="Z986" s="202" t="s">
        <v>97</v>
      </c>
      <c r="AA986" s="202"/>
      <c r="AB986" s="202">
        <v>11036</v>
      </c>
      <c r="AC986" s="202"/>
      <c r="AD986" s="202" t="s">
        <v>1152</v>
      </c>
      <c r="AE986" s="202" t="s">
        <v>1153</v>
      </c>
      <c r="AF986" s="203" t="s">
        <v>1154</v>
      </c>
      <c r="AG986" s="202"/>
      <c r="AH986" s="203" t="s">
        <v>1155</v>
      </c>
      <c r="AI986" s="202">
        <v>0</v>
      </c>
      <c r="AJ986" s="202">
        <v>0</v>
      </c>
    </row>
    <row r="987" spans="2:36">
      <c r="B987" s="203">
        <v>2180</v>
      </c>
      <c r="C987" s="207">
        <v>73806</v>
      </c>
      <c r="D987" s="203">
        <v>60738</v>
      </c>
      <c r="E987" s="202" t="s">
        <v>1531</v>
      </c>
      <c r="F987" s="203">
        <v>0</v>
      </c>
      <c r="G987" s="202"/>
      <c r="H987" s="202"/>
      <c r="I987" s="202"/>
      <c r="J987" s="202">
        <v>0</v>
      </c>
      <c r="K987" s="202"/>
      <c r="L987" s="202"/>
      <c r="M987" s="202" t="s">
        <v>1447</v>
      </c>
      <c r="N987" s="206">
        <v>40301</v>
      </c>
      <c r="O987" s="206">
        <v>40301</v>
      </c>
      <c r="P987" s="202" t="s">
        <v>1530</v>
      </c>
      <c r="Q987" s="203">
        <v>300</v>
      </c>
      <c r="R987" s="203">
        <v>14040</v>
      </c>
      <c r="S987" s="204">
        <v>12083.88</v>
      </c>
      <c r="T987" s="203">
        <v>14046</v>
      </c>
      <c r="U987" s="204">
        <v>12083.88</v>
      </c>
      <c r="V987" s="204">
        <f t="shared" si="27"/>
        <v>0</v>
      </c>
      <c r="W987" s="205">
        <v>0</v>
      </c>
      <c r="X987" s="203">
        <v>51260</v>
      </c>
      <c r="Y987" s="204">
        <v>0</v>
      </c>
      <c r="Z987" s="202" t="s">
        <v>97</v>
      </c>
      <c r="AA987" s="202"/>
      <c r="AB987" s="202">
        <v>81956</v>
      </c>
      <c r="AC987" s="202"/>
      <c r="AD987" s="202" t="s">
        <v>1152</v>
      </c>
      <c r="AE987" s="202" t="s">
        <v>1153</v>
      </c>
      <c r="AF987" s="203" t="s">
        <v>1154</v>
      </c>
      <c r="AG987" s="202"/>
      <c r="AH987" s="203" t="s">
        <v>1155</v>
      </c>
      <c r="AI987" s="202">
        <v>0</v>
      </c>
      <c r="AJ987" s="202">
        <v>0</v>
      </c>
    </row>
    <row r="988" spans="2:36">
      <c r="B988" s="203">
        <v>2180</v>
      </c>
      <c r="C988" s="207">
        <v>73374</v>
      </c>
      <c r="D988" s="203" t="s">
        <v>97</v>
      </c>
      <c r="E988" s="202" t="s">
        <v>1529</v>
      </c>
      <c r="F988" s="203">
        <v>0</v>
      </c>
      <c r="G988" s="202"/>
      <c r="H988" s="202"/>
      <c r="I988" s="202"/>
      <c r="J988" s="202">
        <v>0</v>
      </c>
      <c r="K988" s="202" t="s">
        <v>1429</v>
      </c>
      <c r="L988" s="202"/>
      <c r="M988" s="202"/>
      <c r="N988" s="206">
        <v>40247</v>
      </c>
      <c r="O988" s="206">
        <v>40247</v>
      </c>
      <c r="P988" s="202" t="s">
        <v>1528</v>
      </c>
      <c r="Q988" s="203">
        <v>300</v>
      </c>
      <c r="R988" s="203">
        <v>14110</v>
      </c>
      <c r="S988" s="204">
        <v>1558.9</v>
      </c>
      <c r="T988" s="203">
        <v>14116</v>
      </c>
      <c r="U988" s="204">
        <v>1558.9</v>
      </c>
      <c r="V988" s="204">
        <f t="shared" si="27"/>
        <v>0</v>
      </c>
      <c r="W988" s="205">
        <v>0</v>
      </c>
      <c r="X988" s="203">
        <v>70260</v>
      </c>
      <c r="Y988" s="204">
        <v>0</v>
      </c>
      <c r="Z988" s="202" t="s">
        <v>97</v>
      </c>
      <c r="AA988" s="202"/>
      <c r="AB988" s="202" t="s">
        <v>1527</v>
      </c>
      <c r="AC988" s="202"/>
      <c r="AD988" s="202" t="s">
        <v>1152</v>
      </c>
      <c r="AE988" s="202" t="s">
        <v>1153</v>
      </c>
      <c r="AF988" s="203" t="s">
        <v>1154</v>
      </c>
      <c r="AG988" s="202"/>
      <c r="AH988" s="203" t="s">
        <v>1155</v>
      </c>
      <c r="AI988" s="202">
        <v>0</v>
      </c>
      <c r="AJ988" s="202">
        <v>0</v>
      </c>
    </row>
    <row r="989" spans="2:36">
      <c r="B989" s="203">
        <v>2180</v>
      </c>
      <c r="C989" s="207">
        <v>72871</v>
      </c>
      <c r="D989" s="203" t="s">
        <v>97</v>
      </c>
      <c r="E989" s="202" t="s">
        <v>1526</v>
      </c>
      <c r="F989" s="203">
        <v>0</v>
      </c>
      <c r="G989" s="202"/>
      <c r="H989" s="202"/>
      <c r="I989" s="202"/>
      <c r="J989" s="202">
        <v>0</v>
      </c>
      <c r="K989" s="202" t="s">
        <v>1525</v>
      </c>
      <c r="L989" s="202"/>
      <c r="M989" s="202"/>
      <c r="N989" s="206">
        <v>40238</v>
      </c>
      <c r="O989" s="206">
        <v>40238</v>
      </c>
      <c r="P989" s="202" t="s">
        <v>1524</v>
      </c>
      <c r="Q989" s="203">
        <v>300</v>
      </c>
      <c r="R989" s="203">
        <v>14110</v>
      </c>
      <c r="S989" s="204">
        <v>20775</v>
      </c>
      <c r="T989" s="203">
        <v>14116</v>
      </c>
      <c r="U989" s="204">
        <v>20775</v>
      </c>
      <c r="V989" s="204">
        <f t="shared" si="27"/>
        <v>0</v>
      </c>
      <c r="W989" s="205">
        <v>0</v>
      </c>
      <c r="X989" s="203">
        <v>70260</v>
      </c>
      <c r="Y989" s="204">
        <v>0</v>
      </c>
      <c r="Z989" s="202" t="s">
        <v>97</v>
      </c>
      <c r="AA989" s="202"/>
      <c r="AB989" s="202">
        <v>10915</v>
      </c>
      <c r="AC989" s="202"/>
      <c r="AD989" s="202" t="s">
        <v>1152</v>
      </c>
      <c r="AE989" s="202" t="s">
        <v>1153</v>
      </c>
      <c r="AF989" s="203" t="s">
        <v>1154</v>
      </c>
      <c r="AG989" s="202"/>
      <c r="AH989" s="203" t="s">
        <v>1155</v>
      </c>
      <c r="AI989" s="202">
        <v>0</v>
      </c>
      <c r="AJ989" s="202">
        <v>0</v>
      </c>
    </row>
    <row r="990" spans="2:36">
      <c r="B990" s="203">
        <v>2180</v>
      </c>
      <c r="C990" s="207">
        <v>71789</v>
      </c>
      <c r="D990" s="203" t="s">
        <v>97</v>
      </c>
      <c r="E990" s="202" t="s">
        <v>1523</v>
      </c>
      <c r="F990" s="203">
        <v>0</v>
      </c>
      <c r="G990" s="202"/>
      <c r="H990" s="202"/>
      <c r="I990" s="202"/>
      <c r="J990" s="202">
        <v>0</v>
      </c>
      <c r="K990" s="202"/>
      <c r="L990" s="202"/>
      <c r="M990" s="202"/>
      <c r="N990" s="206">
        <v>40148</v>
      </c>
      <c r="O990" s="206">
        <v>40148</v>
      </c>
      <c r="P990" s="202"/>
      <c r="Q990" s="203">
        <v>100</v>
      </c>
      <c r="R990" s="203">
        <v>15110</v>
      </c>
      <c r="S990" s="204">
        <v>-123224.73</v>
      </c>
      <c r="T990" s="203">
        <v>15120</v>
      </c>
      <c r="U990" s="204">
        <v>0</v>
      </c>
      <c r="V990" s="204">
        <f t="shared" si="27"/>
        <v>-123224.73</v>
      </c>
      <c r="W990" s="205">
        <v>0</v>
      </c>
      <c r="X990" s="203">
        <v>0</v>
      </c>
      <c r="Y990" s="204">
        <v>0</v>
      </c>
      <c r="Z990" s="202" t="s">
        <v>1153</v>
      </c>
      <c r="AA990" s="202" t="s">
        <v>1521</v>
      </c>
      <c r="AB990" s="202"/>
      <c r="AC990" s="202"/>
      <c r="AD990" s="202" t="s">
        <v>1152</v>
      </c>
      <c r="AE990" s="202" t="s">
        <v>1153</v>
      </c>
      <c r="AF990" s="203" t="s">
        <v>1382</v>
      </c>
      <c r="AG990" s="202"/>
      <c r="AH990" s="203" t="s">
        <v>1155</v>
      </c>
      <c r="AI990" s="202">
        <v>0</v>
      </c>
      <c r="AJ990" s="202">
        <v>0</v>
      </c>
    </row>
    <row r="991" spans="2:36">
      <c r="B991" s="203">
        <v>2180</v>
      </c>
      <c r="C991" s="207">
        <v>71788</v>
      </c>
      <c r="D991" s="203" t="s">
        <v>97</v>
      </c>
      <c r="E991" s="202" t="s">
        <v>1522</v>
      </c>
      <c r="F991" s="203">
        <v>0</v>
      </c>
      <c r="G991" s="202"/>
      <c r="H991" s="202"/>
      <c r="I991" s="202"/>
      <c r="J991" s="202">
        <v>0</v>
      </c>
      <c r="K991" s="202"/>
      <c r="L991" s="202"/>
      <c r="M991" s="202"/>
      <c r="N991" s="206">
        <v>40148</v>
      </c>
      <c r="O991" s="206">
        <v>40148</v>
      </c>
      <c r="P991" s="202"/>
      <c r="Q991" s="203">
        <v>100</v>
      </c>
      <c r="R991" s="203">
        <v>15110</v>
      </c>
      <c r="S991" s="204">
        <v>401256.6</v>
      </c>
      <c r="T991" s="203">
        <v>15120</v>
      </c>
      <c r="U991" s="204">
        <v>0</v>
      </c>
      <c r="V991" s="204">
        <f t="shared" si="27"/>
        <v>401256.6</v>
      </c>
      <c r="W991" s="205">
        <v>0</v>
      </c>
      <c r="X991" s="203">
        <v>0</v>
      </c>
      <c r="Y991" s="204">
        <v>0</v>
      </c>
      <c r="Z991" s="202" t="s">
        <v>1153</v>
      </c>
      <c r="AA991" s="202" t="s">
        <v>1521</v>
      </c>
      <c r="AB991" s="202"/>
      <c r="AC991" s="202"/>
      <c r="AD991" s="202" t="s">
        <v>1152</v>
      </c>
      <c r="AE991" s="202" t="s">
        <v>1153</v>
      </c>
      <c r="AF991" s="203" t="s">
        <v>1382</v>
      </c>
      <c r="AG991" s="202"/>
      <c r="AH991" s="203" t="s">
        <v>1155</v>
      </c>
      <c r="AI991" s="202">
        <v>0</v>
      </c>
      <c r="AJ991" s="202">
        <v>0</v>
      </c>
    </row>
    <row r="992" spans="2:36">
      <c r="B992" s="203">
        <v>2180</v>
      </c>
      <c r="C992" s="207">
        <v>70549</v>
      </c>
      <c r="D992" s="203" t="s">
        <v>97</v>
      </c>
      <c r="E992" s="202" t="s">
        <v>1520</v>
      </c>
      <c r="F992" s="203">
        <v>0</v>
      </c>
      <c r="G992" s="202"/>
      <c r="H992" s="202"/>
      <c r="I992" s="202"/>
      <c r="J992" s="202">
        <v>0</v>
      </c>
      <c r="K992" s="202" t="s">
        <v>1429</v>
      </c>
      <c r="L992" s="202"/>
      <c r="M992" s="202"/>
      <c r="N992" s="206">
        <v>40118</v>
      </c>
      <c r="O992" s="206">
        <v>40118</v>
      </c>
      <c r="P992" s="202" t="s">
        <v>1519</v>
      </c>
      <c r="Q992" s="203">
        <v>300</v>
      </c>
      <c r="R992" s="203">
        <v>14110</v>
      </c>
      <c r="S992" s="204">
        <v>7580.56</v>
      </c>
      <c r="T992" s="203">
        <v>14116</v>
      </c>
      <c r="U992" s="204">
        <v>7580.56</v>
      </c>
      <c r="V992" s="204">
        <f t="shared" si="27"/>
        <v>0</v>
      </c>
      <c r="W992" s="205">
        <v>0</v>
      </c>
      <c r="X992" s="203">
        <v>70260</v>
      </c>
      <c r="Y992" s="204">
        <v>0</v>
      </c>
      <c r="Z992" s="202" t="s">
        <v>97</v>
      </c>
      <c r="AA992" s="202"/>
      <c r="AB992" s="202" t="s">
        <v>1518</v>
      </c>
      <c r="AC992" s="202"/>
      <c r="AD992" s="202" t="s">
        <v>1152</v>
      </c>
      <c r="AE992" s="202" t="s">
        <v>1153</v>
      </c>
      <c r="AF992" s="203" t="s">
        <v>1154</v>
      </c>
      <c r="AG992" s="202"/>
      <c r="AH992" s="203" t="s">
        <v>1155</v>
      </c>
      <c r="AI992" s="202">
        <v>0</v>
      </c>
      <c r="AJ992" s="202">
        <v>0</v>
      </c>
    </row>
    <row r="993" spans="2:36">
      <c r="B993" s="203">
        <v>2180</v>
      </c>
      <c r="C993" s="207">
        <v>69179</v>
      </c>
      <c r="D993" s="203" t="s">
        <v>97</v>
      </c>
      <c r="E993" s="202" t="s">
        <v>1517</v>
      </c>
      <c r="F993" s="203">
        <v>0</v>
      </c>
      <c r="G993" s="202"/>
      <c r="H993" s="202"/>
      <c r="I993" s="202"/>
      <c r="J993" s="202">
        <v>0</v>
      </c>
      <c r="K993" s="202" t="s">
        <v>1514</v>
      </c>
      <c r="L993" s="202"/>
      <c r="M993" s="202"/>
      <c r="N993" s="206">
        <v>40099</v>
      </c>
      <c r="O993" s="206">
        <v>40099</v>
      </c>
      <c r="P993" s="202" t="s">
        <v>1516</v>
      </c>
      <c r="Q993" s="203">
        <v>500</v>
      </c>
      <c r="R993" s="203">
        <v>14070</v>
      </c>
      <c r="S993" s="204">
        <v>2951.1</v>
      </c>
      <c r="T993" s="203">
        <v>14076</v>
      </c>
      <c r="U993" s="204">
        <v>2951.1</v>
      </c>
      <c r="V993" s="204">
        <f t="shared" si="27"/>
        <v>0</v>
      </c>
      <c r="W993" s="205">
        <v>0</v>
      </c>
      <c r="X993" s="203">
        <v>51260</v>
      </c>
      <c r="Y993" s="204">
        <v>0</v>
      </c>
      <c r="Z993" s="202" t="s">
        <v>97</v>
      </c>
      <c r="AA993" s="202"/>
      <c r="AB993" s="202">
        <v>281544</v>
      </c>
      <c r="AC993" s="202"/>
      <c r="AD993" s="202" t="s">
        <v>1152</v>
      </c>
      <c r="AE993" s="202" t="s">
        <v>1153</v>
      </c>
      <c r="AF993" s="203" t="s">
        <v>1154</v>
      </c>
      <c r="AG993" s="202"/>
      <c r="AH993" s="203" t="s">
        <v>1155</v>
      </c>
      <c r="AI993" s="202">
        <v>0</v>
      </c>
      <c r="AJ993" s="202">
        <v>0</v>
      </c>
    </row>
    <row r="994" spans="2:36">
      <c r="B994" s="203">
        <v>2180</v>
      </c>
      <c r="C994" s="207">
        <v>69178</v>
      </c>
      <c r="D994" s="203" t="s">
        <v>97</v>
      </c>
      <c r="E994" s="202" t="s">
        <v>1515</v>
      </c>
      <c r="F994" s="203">
        <v>0</v>
      </c>
      <c r="G994" s="202"/>
      <c r="H994" s="202"/>
      <c r="I994" s="202"/>
      <c r="J994" s="202">
        <v>0</v>
      </c>
      <c r="K994" s="202" t="s">
        <v>1514</v>
      </c>
      <c r="L994" s="202"/>
      <c r="M994" s="202"/>
      <c r="N994" s="206">
        <v>40099</v>
      </c>
      <c r="O994" s="206">
        <v>40099</v>
      </c>
      <c r="P994" s="202" t="s">
        <v>1513</v>
      </c>
      <c r="Q994" s="203">
        <v>500</v>
      </c>
      <c r="R994" s="203">
        <v>14070</v>
      </c>
      <c r="S994" s="204">
        <v>3036.35</v>
      </c>
      <c r="T994" s="203">
        <v>14076</v>
      </c>
      <c r="U994" s="204">
        <v>3036.35</v>
      </c>
      <c r="V994" s="204">
        <f t="shared" si="27"/>
        <v>0</v>
      </c>
      <c r="W994" s="205">
        <v>0</v>
      </c>
      <c r="X994" s="203">
        <v>51260</v>
      </c>
      <c r="Y994" s="204">
        <v>0</v>
      </c>
      <c r="Z994" s="202" t="s">
        <v>97</v>
      </c>
      <c r="AA994" s="202"/>
      <c r="AB994" s="202">
        <v>281545</v>
      </c>
      <c r="AC994" s="202"/>
      <c r="AD994" s="202" t="s">
        <v>1152</v>
      </c>
      <c r="AE994" s="202" t="s">
        <v>1153</v>
      </c>
      <c r="AF994" s="203" t="s">
        <v>1154</v>
      </c>
      <c r="AG994" s="202"/>
      <c r="AH994" s="203" t="s">
        <v>1155</v>
      </c>
      <c r="AI994" s="202">
        <v>0</v>
      </c>
      <c r="AJ994" s="202">
        <v>0</v>
      </c>
    </row>
    <row r="995" spans="2:36">
      <c r="B995" s="203">
        <v>2180</v>
      </c>
      <c r="C995" s="207">
        <v>68609</v>
      </c>
      <c r="D995" s="203" t="s">
        <v>97</v>
      </c>
      <c r="E995" s="202" t="s">
        <v>1512</v>
      </c>
      <c r="F995" s="203">
        <v>0</v>
      </c>
      <c r="G995" s="202"/>
      <c r="H995" s="202"/>
      <c r="I995" s="202"/>
      <c r="J995" s="202">
        <v>0</v>
      </c>
      <c r="K995" s="202" t="s">
        <v>109</v>
      </c>
      <c r="L995" s="202"/>
      <c r="M995" s="202"/>
      <c r="N995" s="206">
        <v>40016</v>
      </c>
      <c r="O995" s="206">
        <v>40016</v>
      </c>
      <c r="P995" s="202" t="s">
        <v>1491</v>
      </c>
      <c r="Q995" s="203">
        <v>500</v>
      </c>
      <c r="R995" s="203">
        <v>14070</v>
      </c>
      <c r="S995" s="204">
        <v>14225.95</v>
      </c>
      <c r="T995" s="203">
        <v>14076</v>
      </c>
      <c r="U995" s="204">
        <v>14225.95</v>
      </c>
      <c r="V995" s="204">
        <f t="shared" si="27"/>
        <v>0</v>
      </c>
      <c r="W995" s="205">
        <v>0</v>
      </c>
      <c r="X995" s="203">
        <v>51260</v>
      </c>
      <c r="Y995" s="204">
        <v>0</v>
      </c>
      <c r="Z995" s="202" t="s">
        <v>97</v>
      </c>
      <c r="AA995" s="202"/>
      <c r="AB995" s="202" t="s">
        <v>1511</v>
      </c>
      <c r="AC995" s="202"/>
      <c r="AD995" s="202" t="s">
        <v>1152</v>
      </c>
      <c r="AE995" s="202" t="s">
        <v>1153</v>
      </c>
      <c r="AF995" s="203" t="s">
        <v>1154</v>
      </c>
      <c r="AG995" s="202"/>
      <c r="AH995" s="203" t="s">
        <v>1155</v>
      </c>
      <c r="AI995" s="202">
        <v>0</v>
      </c>
      <c r="AJ995" s="202">
        <v>0</v>
      </c>
    </row>
    <row r="996" spans="2:36">
      <c r="B996" s="203">
        <v>2180</v>
      </c>
      <c r="C996" s="207">
        <v>67780</v>
      </c>
      <c r="D996" s="203" t="s">
        <v>97</v>
      </c>
      <c r="E996" s="202" t="s">
        <v>1489</v>
      </c>
      <c r="F996" s="203">
        <v>0</v>
      </c>
      <c r="G996" s="202"/>
      <c r="H996" s="202" t="s">
        <v>1510</v>
      </c>
      <c r="I996" s="202"/>
      <c r="J996" s="202">
        <v>2004</v>
      </c>
      <c r="K996" s="202" t="s">
        <v>1255</v>
      </c>
      <c r="L996" s="202" t="s">
        <v>1255</v>
      </c>
      <c r="M996" s="202" t="s">
        <v>280</v>
      </c>
      <c r="N996" s="206">
        <v>39755</v>
      </c>
      <c r="O996" s="206">
        <v>39755</v>
      </c>
      <c r="P996" s="202"/>
      <c r="Q996" s="203">
        <v>300</v>
      </c>
      <c r="R996" s="203">
        <v>14040</v>
      </c>
      <c r="S996" s="204">
        <v>13000</v>
      </c>
      <c r="T996" s="203">
        <v>14046</v>
      </c>
      <c r="U996" s="204">
        <v>13000</v>
      </c>
      <c r="V996" s="204">
        <f t="shared" si="27"/>
        <v>0</v>
      </c>
      <c r="W996" s="205">
        <v>0</v>
      </c>
      <c r="X996" s="203">
        <v>51260</v>
      </c>
      <c r="Y996" s="204">
        <v>0</v>
      </c>
      <c r="Z996" s="202" t="s">
        <v>1153</v>
      </c>
      <c r="AA996" s="202" t="s">
        <v>1383</v>
      </c>
      <c r="AB996" s="202"/>
      <c r="AC996" s="202">
        <v>8880</v>
      </c>
      <c r="AD996" s="202" t="s">
        <v>1152</v>
      </c>
      <c r="AE996" s="202" t="s">
        <v>1153</v>
      </c>
      <c r="AF996" s="203" t="s">
        <v>1154</v>
      </c>
      <c r="AG996" s="208">
        <v>40056</v>
      </c>
      <c r="AH996" s="203" t="s">
        <v>1155</v>
      </c>
      <c r="AI996" s="202">
        <v>0</v>
      </c>
      <c r="AJ996" s="202">
        <v>3611.11</v>
      </c>
    </row>
    <row r="997" spans="2:36">
      <c r="B997" s="203">
        <v>2180</v>
      </c>
      <c r="C997" s="207">
        <v>67762</v>
      </c>
      <c r="D997" s="203" t="s">
        <v>97</v>
      </c>
      <c r="E997" s="202" t="s">
        <v>1509</v>
      </c>
      <c r="F997" s="203">
        <v>0</v>
      </c>
      <c r="G997" s="202"/>
      <c r="H997" s="202" t="s">
        <v>1508</v>
      </c>
      <c r="I997" s="202"/>
      <c r="J997" s="202">
        <v>2006</v>
      </c>
      <c r="K997" s="202" t="s">
        <v>1255</v>
      </c>
      <c r="L997" s="202" t="s">
        <v>1255</v>
      </c>
      <c r="M997" s="202" t="s">
        <v>1503</v>
      </c>
      <c r="N997" s="206">
        <v>39755</v>
      </c>
      <c r="O997" s="206">
        <v>39755</v>
      </c>
      <c r="P997" s="202"/>
      <c r="Q997" s="203">
        <v>300</v>
      </c>
      <c r="R997" s="203">
        <v>14040</v>
      </c>
      <c r="S997" s="204">
        <v>2500</v>
      </c>
      <c r="T997" s="203">
        <v>14046</v>
      </c>
      <c r="U997" s="204">
        <v>2500</v>
      </c>
      <c r="V997" s="204">
        <f t="shared" si="27"/>
        <v>0</v>
      </c>
      <c r="W997" s="205">
        <v>0</v>
      </c>
      <c r="X997" s="203">
        <v>51260</v>
      </c>
      <c r="Y997" s="204">
        <v>0</v>
      </c>
      <c r="Z997" s="202" t="s">
        <v>1153</v>
      </c>
      <c r="AA997" s="202" t="s">
        <v>1383</v>
      </c>
      <c r="AB997" s="202"/>
      <c r="AC997" s="202">
        <v>9575</v>
      </c>
      <c r="AD997" s="202" t="s">
        <v>1152</v>
      </c>
      <c r="AE997" s="202" t="s">
        <v>1153</v>
      </c>
      <c r="AF997" s="203" t="s">
        <v>1154</v>
      </c>
      <c r="AG997" s="208">
        <v>40056</v>
      </c>
      <c r="AH997" s="203" t="s">
        <v>1155</v>
      </c>
      <c r="AI997" s="202">
        <v>0</v>
      </c>
      <c r="AJ997" s="202">
        <v>694.44</v>
      </c>
    </row>
    <row r="998" spans="2:36">
      <c r="B998" s="203">
        <v>2180</v>
      </c>
      <c r="C998" s="207">
        <v>67761</v>
      </c>
      <c r="D998" s="203" t="s">
        <v>97</v>
      </c>
      <c r="E998" s="202" t="s">
        <v>1507</v>
      </c>
      <c r="F998" s="203">
        <v>0</v>
      </c>
      <c r="G998" s="202"/>
      <c r="H998" s="202" t="s">
        <v>1506</v>
      </c>
      <c r="I998" s="202"/>
      <c r="J998" s="202">
        <v>2002</v>
      </c>
      <c r="K998" s="202" t="s">
        <v>1255</v>
      </c>
      <c r="L998" s="202" t="s">
        <v>1255</v>
      </c>
      <c r="M998" s="202" t="s">
        <v>1503</v>
      </c>
      <c r="N998" s="206">
        <v>39755</v>
      </c>
      <c r="O998" s="206">
        <v>39755</v>
      </c>
      <c r="P998" s="202"/>
      <c r="Q998" s="203">
        <v>300</v>
      </c>
      <c r="R998" s="203">
        <v>14040</v>
      </c>
      <c r="S998" s="204">
        <v>13000</v>
      </c>
      <c r="T998" s="203">
        <v>14046</v>
      </c>
      <c r="U998" s="204">
        <v>13000</v>
      </c>
      <c r="V998" s="204">
        <f t="shared" si="27"/>
        <v>0</v>
      </c>
      <c r="W998" s="205">
        <v>0</v>
      </c>
      <c r="X998" s="203">
        <v>51260</v>
      </c>
      <c r="Y998" s="204">
        <v>0</v>
      </c>
      <c r="Z998" s="202" t="s">
        <v>1153</v>
      </c>
      <c r="AA998" s="202" t="s">
        <v>1383</v>
      </c>
      <c r="AB998" s="202"/>
      <c r="AC998" s="202">
        <v>9580</v>
      </c>
      <c r="AD998" s="202" t="s">
        <v>1152</v>
      </c>
      <c r="AE998" s="202" t="s">
        <v>1153</v>
      </c>
      <c r="AF998" s="203" t="s">
        <v>1154</v>
      </c>
      <c r="AG998" s="208">
        <v>40056</v>
      </c>
      <c r="AH998" s="203" t="s">
        <v>1155</v>
      </c>
      <c r="AI998" s="202">
        <v>0</v>
      </c>
      <c r="AJ998" s="202">
        <v>3611.11</v>
      </c>
    </row>
    <row r="999" spans="2:36">
      <c r="B999" s="203">
        <v>2180</v>
      </c>
      <c r="C999" s="207">
        <v>67759</v>
      </c>
      <c r="D999" s="203" t="s">
        <v>97</v>
      </c>
      <c r="E999" s="202" t="s">
        <v>1505</v>
      </c>
      <c r="F999" s="203">
        <v>0</v>
      </c>
      <c r="G999" s="202"/>
      <c r="H999" s="202" t="s">
        <v>1504</v>
      </c>
      <c r="I999" s="202"/>
      <c r="J999" s="202">
        <v>2001</v>
      </c>
      <c r="K999" s="202" t="s">
        <v>1255</v>
      </c>
      <c r="L999" s="202" t="s">
        <v>1255</v>
      </c>
      <c r="M999" s="202" t="s">
        <v>1503</v>
      </c>
      <c r="N999" s="206">
        <v>39755</v>
      </c>
      <c r="O999" s="206">
        <v>39755</v>
      </c>
      <c r="P999" s="202"/>
      <c r="Q999" s="203">
        <v>300</v>
      </c>
      <c r="R999" s="203">
        <v>14040</v>
      </c>
      <c r="S999" s="204">
        <v>10000</v>
      </c>
      <c r="T999" s="203">
        <v>14046</v>
      </c>
      <c r="U999" s="204">
        <v>10000</v>
      </c>
      <c r="V999" s="204">
        <f t="shared" si="27"/>
        <v>0</v>
      </c>
      <c r="W999" s="205">
        <v>0</v>
      </c>
      <c r="X999" s="203">
        <v>51260</v>
      </c>
      <c r="Y999" s="204">
        <v>0</v>
      </c>
      <c r="Z999" s="202" t="s">
        <v>1153</v>
      </c>
      <c r="AA999" s="202" t="s">
        <v>1383</v>
      </c>
      <c r="AB999" s="202"/>
      <c r="AC999" s="202">
        <v>9578</v>
      </c>
      <c r="AD999" s="202" t="s">
        <v>1152</v>
      </c>
      <c r="AE999" s="202" t="s">
        <v>1153</v>
      </c>
      <c r="AF999" s="203" t="s">
        <v>1154</v>
      </c>
      <c r="AG999" s="208">
        <v>40056</v>
      </c>
      <c r="AH999" s="203" t="s">
        <v>1155</v>
      </c>
      <c r="AI999" s="202">
        <v>0</v>
      </c>
      <c r="AJ999" s="202">
        <v>2777.78</v>
      </c>
    </row>
    <row r="1000" spans="2:36">
      <c r="B1000" s="203">
        <v>2180</v>
      </c>
      <c r="C1000" s="207">
        <v>67428</v>
      </c>
      <c r="D1000" s="203" t="s">
        <v>97</v>
      </c>
      <c r="E1000" s="202" t="s">
        <v>1502</v>
      </c>
      <c r="F1000" s="203">
        <v>0</v>
      </c>
      <c r="G1000" s="202"/>
      <c r="H1000" s="202"/>
      <c r="I1000" s="202"/>
      <c r="J1000" s="202">
        <v>0</v>
      </c>
      <c r="K1000" s="202"/>
      <c r="L1000" s="202"/>
      <c r="M1000" s="202"/>
      <c r="N1000" s="206">
        <v>40026</v>
      </c>
      <c r="O1000" s="206">
        <v>40026</v>
      </c>
      <c r="P1000" s="202"/>
      <c r="Q1000" s="203">
        <v>0</v>
      </c>
      <c r="R1000" s="203">
        <v>15110</v>
      </c>
      <c r="S1000" s="204">
        <v>-5910</v>
      </c>
      <c r="T1000" s="203">
        <v>0</v>
      </c>
      <c r="U1000" s="204">
        <v>0</v>
      </c>
      <c r="V1000" s="204">
        <f t="shared" si="27"/>
        <v>-5910</v>
      </c>
      <c r="W1000" s="205">
        <v>0</v>
      </c>
      <c r="X1000" s="203">
        <v>0</v>
      </c>
      <c r="Y1000" s="204">
        <v>0</v>
      </c>
      <c r="Z1000" s="202" t="s">
        <v>97</v>
      </c>
      <c r="AA1000" s="202"/>
      <c r="AB1000" s="202"/>
      <c r="AC1000" s="202"/>
      <c r="AD1000" s="202" t="s">
        <v>1152</v>
      </c>
      <c r="AE1000" s="202" t="s">
        <v>1153</v>
      </c>
      <c r="AF1000" s="203" t="s">
        <v>1382</v>
      </c>
      <c r="AG1000" s="202"/>
      <c r="AH1000" s="203" t="s">
        <v>1155</v>
      </c>
      <c r="AI1000" s="202">
        <v>0</v>
      </c>
      <c r="AJ1000" s="202">
        <v>0</v>
      </c>
    </row>
    <row r="1001" spans="2:36">
      <c r="B1001" s="203">
        <v>2180</v>
      </c>
      <c r="C1001" s="207">
        <v>67427</v>
      </c>
      <c r="D1001" s="203" t="s">
        <v>97</v>
      </c>
      <c r="E1001" s="202" t="s">
        <v>1501</v>
      </c>
      <c r="F1001" s="203">
        <v>0</v>
      </c>
      <c r="G1001" s="202"/>
      <c r="H1001" s="202"/>
      <c r="I1001" s="202"/>
      <c r="J1001" s="202">
        <v>0</v>
      </c>
      <c r="K1001" s="202"/>
      <c r="L1001" s="202"/>
      <c r="M1001" s="202"/>
      <c r="N1001" s="206">
        <v>40026</v>
      </c>
      <c r="O1001" s="206">
        <v>40026</v>
      </c>
      <c r="P1001" s="202"/>
      <c r="Q1001" s="203">
        <v>0</v>
      </c>
      <c r="R1001" s="203">
        <v>15110</v>
      </c>
      <c r="S1001" s="204">
        <v>-6356</v>
      </c>
      <c r="T1001" s="203">
        <v>0</v>
      </c>
      <c r="U1001" s="204">
        <v>0</v>
      </c>
      <c r="V1001" s="204">
        <f t="shared" si="27"/>
        <v>-6356</v>
      </c>
      <c r="W1001" s="205">
        <v>0</v>
      </c>
      <c r="X1001" s="203">
        <v>0</v>
      </c>
      <c r="Y1001" s="204">
        <v>0</v>
      </c>
      <c r="Z1001" s="202" t="s">
        <v>97</v>
      </c>
      <c r="AA1001" s="202"/>
      <c r="AB1001" s="202"/>
      <c r="AC1001" s="202"/>
      <c r="AD1001" s="202" t="s">
        <v>1152</v>
      </c>
      <c r="AE1001" s="202" t="s">
        <v>1153</v>
      </c>
      <c r="AF1001" s="203" t="s">
        <v>1382</v>
      </c>
      <c r="AG1001" s="202"/>
      <c r="AH1001" s="203" t="s">
        <v>1155</v>
      </c>
      <c r="AI1001" s="202">
        <v>0</v>
      </c>
      <c r="AJ1001" s="202">
        <v>0</v>
      </c>
    </row>
    <row r="1002" spans="2:36">
      <c r="B1002" s="203">
        <v>2180</v>
      </c>
      <c r="C1002" s="207">
        <v>67426</v>
      </c>
      <c r="D1002" s="203" t="s">
        <v>97</v>
      </c>
      <c r="E1002" s="202" t="s">
        <v>1500</v>
      </c>
      <c r="F1002" s="203">
        <v>0</v>
      </c>
      <c r="G1002" s="202"/>
      <c r="H1002" s="202"/>
      <c r="I1002" s="202"/>
      <c r="J1002" s="202">
        <v>0</v>
      </c>
      <c r="K1002" s="202"/>
      <c r="L1002" s="202"/>
      <c r="M1002" s="202"/>
      <c r="N1002" s="206">
        <v>40026</v>
      </c>
      <c r="O1002" s="206">
        <v>40026</v>
      </c>
      <c r="P1002" s="202"/>
      <c r="Q1002" s="203">
        <v>0</v>
      </c>
      <c r="R1002" s="203">
        <v>15110</v>
      </c>
      <c r="S1002" s="204">
        <v>-7164.02</v>
      </c>
      <c r="T1002" s="203">
        <v>0</v>
      </c>
      <c r="U1002" s="204">
        <v>0</v>
      </c>
      <c r="V1002" s="204">
        <f t="shared" si="27"/>
        <v>-7164.02</v>
      </c>
      <c r="W1002" s="205">
        <v>0</v>
      </c>
      <c r="X1002" s="203">
        <v>0</v>
      </c>
      <c r="Y1002" s="204">
        <v>0</v>
      </c>
      <c r="Z1002" s="202" t="s">
        <v>97</v>
      </c>
      <c r="AA1002" s="202"/>
      <c r="AB1002" s="202"/>
      <c r="AC1002" s="202"/>
      <c r="AD1002" s="202" t="s">
        <v>1152</v>
      </c>
      <c r="AE1002" s="202" t="s">
        <v>1153</v>
      </c>
      <c r="AF1002" s="203" t="s">
        <v>1382</v>
      </c>
      <c r="AG1002" s="202"/>
      <c r="AH1002" s="203" t="s">
        <v>1155</v>
      </c>
      <c r="AI1002" s="202">
        <v>0</v>
      </c>
      <c r="AJ1002" s="202">
        <v>0</v>
      </c>
    </row>
    <row r="1003" spans="2:36">
      <c r="B1003" s="203">
        <v>2180</v>
      </c>
      <c r="C1003" s="207">
        <v>67425</v>
      </c>
      <c r="D1003" s="203" t="s">
        <v>97</v>
      </c>
      <c r="E1003" s="202" t="s">
        <v>1499</v>
      </c>
      <c r="F1003" s="203">
        <v>0</v>
      </c>
      <c r="G1003" s="202"/>
      <c r="H1003" s="202"/>
      <c r="I1003" s="202"/>
      <c r="J1003" s="202">
        <v>0</v>
      </c>
      <c r="K1003" s="202"/>
      <c r="L1003" s="202"/>
      <c r="M1003" s="202"/>
      <c r="N1003" s="206">
        <v>40026</v>
      </c>
      <c r="O1003" s="206">
        <v>40026</v>
      </c>
      <c r="P1003" s="202"/>
      <c r="Q1003" s="203">
        <v>0</v>
      </c>
      <c r="R1003" s="203">
        <v>15110</v>
      </c>
      <c r="S1003" s="204">
        <v>-34701</v>
      </c>
      <c r="T1003" s="203">
        <v>0</v>
      </c>
      <c r="U1003" s="204">
        <v>0</v>
      </c>
      <c r="V1003" s="204">
        <f t="shared" si="27"/>
        <v>-34701</v>
      </c>
      <c r="W1003" s="205">
        <v>0</v>
      </c>
      <c r="X1003" s="203">
        <v>0</v>
      </c>
      <c r="Y1003" s="204">
        <v>0</v>
      </c>
      <c r="Z1003" s="202" t="s">
        <v>97</v>
      </c>
      <c r="AA1003" s="202"/>
      <c r="AB1003" s="202"/>
      <c r="AC1003" s="202"/>
      <c r="AD1003" s="202" t="s">
        <v>1152</v>
      </c>
      <c r="AE1003" s="202" t="s">
        <v>1153</v>
      </c>
      <c r="AF1003" s="203" t="s">
        <v>1382</v>
      </c>
      <c r="AG1003" s="202"/>
      <c r="AH1003" s="203" t="s">
        <v>1155</v>
      </c>
      <c r="AI1003" s="202">
        <v>0</v>
      </c>
      <c r="AJ1003" s="202">
        <v>0</v>
      </c>
    </row>
    <row r="1004" spans="2:36">
      <c r="B1004" s="203">
        <v>2180</v>
      </c>
      <c r="C1004" s="207">
        <v>67203</v>
      </c>
      <c r="D1004" s="203" t="s">
        <v>97</v>
      </c>
      <c r="E1004" s="202" t="s">
        <v>1498</v>
      </c>
      <c r="F1004" s="203">
        <v>0</v>
      </c>
      <c r="G1004" s="202"/>
      <c r="H1004" s="202"/>
      <c r="I1004" s="202"/>
      <c r="J1004" s="202">
        <v>0</v>
      </c>
      <c r="K1004" s="202" t="s">
        <v>109</v>
      </c>
      <c r="L1004" s="202"/>
      <c r="M1004" s="202"/>
      <c r="N1004" s="206">
        <v>40002</v>
      </c>
      <c r="O1004" s="206">
        <v>40002</v>
      </c>
      <c r="P1004" s="202" t="s">
        <v>1491</v>
      </c>
      <c r="Q1004" s="203">
        <v>500</v>
      </c>
      <c r="R1004" s="203">
        <v>14070</v>
      </c>
      <c r="S1004" s="204">
        <v>1194.22</v>
      </c>
      <c r="T1004" s="203">
        <v>14076</v>
      </c>
      <c r="U1004" s="204">
        <v>1194.22</v>
      </c>
      <c r="V1004" s="204">
        <f t="shared" si="27"/>
        <v>0</v>
      </c>
      <c r="W1004" s="205">
        <v>0</v>
      </c>
      <c r="X1004" s="203">
        <v>51260</v>
      </c>
      <c r="Y1004" s="204">
        <v>0</v>
      </c>
      <c r="Z1004" s="202" t="s">
        <v>97</v>
      </c>
      <c r="AA1004" s="202"/>
      <c r="AB1004" s="202" t="s">
        <v>1497</v>
      </c>
      <c r="AC1004" s="202"/>
      <c r="AD1004" s="202" t="s">
        <v>1152</v>
      </c>
      <c r="AE1004" s="202" t="s">
        <v>1153</v>
      </c>
      <c r="AF1004" s="203" t="s">
        <v>1154</v>
      </c>
      <c r="AG1004" s="202"/>
      <c r="AH1004" s="203" t="s">
        <v>1155</v>
      </c>
      <c r="AI1004" s="202">
        <v>0</v>
      </c>
      <c r="AJ1004" s="202">
        <v>0</v>
      </c>
    </row>
    <row r="1005" spans="2:36">
      <c r="B1005" s="203">
        <v>2180</v>
      </c>
      <c r="C1005" s="207">
        <v>67202</v>
      </c>
      <c r="D1005" s="203" t="s">
        <v>97</v>
      </c>
      <c r="E1005" s="202" t="s">
        <v>1496</v>
      </c>
      <c r="F1005" s="203">
        <v>0</v>
      </c>
      <c r="G1005" s="202"/>
      <c r="H1005" s="202"/>
      <c r="I1005" s="202"/>
      <c r="J1005" s="202">
        <v>0</v>
      </c>
      <c r="K1005" s="202" t="s">
        <v>109</v>
      </c>
      <c r="L1005" s="202"/>
      <c r="M1005" s="202"/>
      <c r="N1005" s="206">
        <v>40002</v>
      </c>
      <c r="O1005" s="206">
        <v>40002</v>
      </c>
      <c r="P1005" s="202" t="s">
        <v>1491</v>
      </c>
      <c r="Q1005" s="203">
        <v>500</v>
      </c>
      <c r="R1005" s="203">
        <v>14070</v>
      </c>
      <c r="S1005" s="204">
        <v>641.30999999999995</v>
      </c>
      <c r="T1005" s="203">
        <v>14076</v>
      </c>
      <c r="U1005" s="204">
        <v>641.30999999999995</v>
      </c>
      <c r="V1005" s="204">
        <f t="shared" si="27"/>
        <v>0</v>
      </c>
      <c r="W1005" s="205">
        <v>0</v>
      </c>
      <c r="X1005" s="203">
        <v>51260</v>
      </c>
      <c r="Y1005" s="204">
        <v>0</v>
      </c>
      <c r="Z1005" s="202" t="s">
        <v>97</v>
      </c>
      <c r="AA1005" s="202"/>
      <c r="AB1005" s="202" t="s">
        <v>1495</v>
      </c>
      <c r="AC1005" s="202"/>
      <c r="AD1005" s="202" t="s">
        <v>1152</v>
      </c>
      <c r="AE1005" s="202" t="s">
        <v>1153</v>
      </c>
      <c r="AF1005" s="203" t="s">
        <v>1154</v>
      </c>
      <c r="AG1005" s="202"/>
      <c r="AH1005" s="203" t="s">
        <v>1155</v>
      </c>
      <c r="AI1005" s="202">
        <v>0</v>
      </c>
      <c r="AJ1005" s="202">
        <v>0</v>
      </c>
    </row>
    <row r="1006" spans="2:36">
      <c r="B1006" s="203">
        <v>2180</v>
      </c>
      <c r="C1006" s="207">
        <v>67196</v>
      </c>
      <c r="D1006" s="203" t="s">
        <v>97</v>
      </c>
      <c r="E1006" s="202" t="s">
        <v>1494</v>
      </c>
      <c r="F1006" s="203">
        <v>0</v>
      </c>
      <c r="G1006" s="202"/>
      <c r="H1006" s="202"/>
      <c r="I1006" s="202"/>
      <c r="J1006" s="202">
        <v>0</v>
      </c>
      <c r="K1006" s="202" t="s">
        <v>109</v>
      </c>
      <c r="L1006" s="202"/>
      <c r="M1006" s="202"/>
      <c r="N1006" s="206">
        <v>39986</v>
      </c>
      <c r="O1006" s="206">
        <v>39986</v>
      </c>
      <c r="P1006" s="202" t="s">
        <v>1491</v>
      </c>
      <c r="Q1006" s="203">
        <v>500</v>
      </c>
      <c r="R1006" s="203">
        <v>14070</v>
      </c>
      <c r="S1006" s="204">
        <v>38653.29</v>
      </c>
      <c r="T1006" s="203">
        <v>14076</v>
      </c>
      <c r="U1006" s="204">
        <v>38653.29</v>
      </c>
      <c r="V1006" s="204">
        <f t="shared" si="27"/>
        <v>0</v>
      </c>
      <c r="W1006" s="205">
        <v>0</v>
      </c>
      <c r="X1006" s="203">
        <v>51260</v>
      </c>
      <c r="Y1006" s="204">
        <v>0</v>
      </c>
      <c r="Z1006" s="202" t="s">
        <v>97</v>
      </c>
      <c r="AA1006" s="202"/>
      <c r="AB1006" s="202" t="s">
        <v>1493</v>
      </c>
      <c r="AC1006" s="202"/>
      <c r="AD1006" s="202" t="s">
        <v>1152</v>
      </c>
      <c r="AE1006" s="202" t="s">
        <v>1153</v>
      </c>
      <c r="AF1006" s="203" t="s">
        <v>1154</v>
      </c>
      <c r="AG1006" s="202"/>
      <c r="AH1006" s="203" t="s">
        <v>1155</v>
      </c>
      <c r="AI1006" s="202">
        <v>0</v>
      </c>
      <c r="AJ1006" s="202">
        <v>0</v>
      </c>
    </row>
    <row r="1007" spans="2:36">
      <c r="B1007" s="203">
        <v>2180</v>
      </c>
      <c r="C1007" s="207">
        <v>67195</v>
      </c>
      <c r="D1007" s="203" t="s">
        <v>97</v>
      </c>
      <c r="E1007" s="202" t="s">
        <v>1492</v>
      </c>
      <c r="F1007" s="203">
        <v>0</v>
      </c>
      <c r="G1007" s="202"/>
      <c r="H1007" s="202"/>
      <c r="I1007" s="202"/>
      <c r="J1007" s="202">
        <v>0</v>
      </c>
      <c r="K1007" s="202" t="s">
        <v>109</v>
      </c>
      <c r="L1007" s="202"/>
      <c r="M1007" s="202"/>
      <c r="N1007" s="206">
        <v>39979</v>
      </c>
      <c r="O1007" s="206">
        <v>39979</v>
      </c>
      <c r="P1007" s="202" t="s">
        <v>1491</v>
      </c>
      <c r="Q1007" s="203">
        <v>500</v>
      </c>
      <c r="R1007" s="203">
        <v>14070</v>
      </c>
      <c r="S1007" s="204">
        <v>6722.48</v>
      </c>
      <c r="T1007" s="203">
        <v>14076</v>
      </c>
      <c r="U1007" s="204">
        <v>6722.48</v>
      </c>
      <c r="V1007" s="204">
        <f t="shared" si="27"/>
        <v>0</v>
      </c>
      <c r="W1007" s="205">
        <v>0</v>
      </c>
      <c r="X1007" s="203">
        <v>51260</v>
      </c>
      <c r="Y1007" s="204">
        <v>0</v>
      </c>
      <c r="Z1007" s="202" t="s">
        <v>97</v>
      </c>
      <c r="AA1007" s="202"/>
      <c r="AB1007" s="202" t="s">
        <v>1490</v>
      </c>
      <c r="AC1007" s="202"/>
      <c r="AD1007" s="202" t="s">
        <v>1152</v>
      </c>
      <c r="AE1007" s="202" t="s">
        <v>1153</v>
      </c>
      <c r="AF1007" s="203" t="s">
        <v>1154</v>
      </c>
      <c r="AG1007" s="202"/>
      <c r="AH1007" s="203" t="s">
        <v>1155</v>
      </c>
      <c r="AI1007" s="202">
        <v>0</v>
      </c>
      <c r="AJ1007" s="202">
        <v>0</v>
      </c>
    </row>
    <row r="1008" spans="2:36">
      <c r="B1008" s="203">
        <v>2180</v>
      </c>
      <c r="C1008" s="207">
        <v>66927</v>
      </c>
      <c r="D1008" s="203" t="s">
        <v>97</v>
      </c>
      <c r="E1008" s="202" t="s">
        <v>1489</v>
      </c>
      <c r="F1008" s="203">
        <v>0</v>
      </c>
      <c r="G1008" s="202"/>
      <c r="H1008" s="202" t="s">
        <v>1488</v>
      </c>
      <c r="I1008" s="202"/>
      <c r="J1008" s="202">
        <v>2004</v>
      </c>
      <c r="K1008" s="202" t="s">
        <v>1255</v>
      </c>
      <c r="L1008" s="202" t="s">
        <v>1255</v>
      </c>
      <c r="M1008" s="202" t="s">
        <v>280</v>
      </c>
      <c r="N1008" s="206">
        <v>39755</v>
      </c>
      <c r="O1008" s="206">
        <v>39755</v>
      </c>
      <c r="P1008" s="202"/>
      <c r="Q1008" s="203">
        <v>300</v>
      </c>
      <c r="R1008" s="203">
        <v>14040</v>
      </c>
      <c r="S1008" s="204">
        <v>13000</v>
      </c>
      <c r="T1008" s="203">
        <v>14046</v>
      </c>
      <c r="U1008" s="204">
        <v>13000</v>
      </c>
      <c r="V1008" s="204">
        <f t="shared" si="27"/>
        <v>0</v>
      </c>
      <c r="W1008" s="205">
        <v>0</v>
      </c>
      <c r="X1008" s="203">
        <v>51260</v>
      </c>
      <c r="Y1008" s="204">
        <v>0</v>
      </c>
      <c r="Z1008" s="202" t="s">
        <v>1153</v>
      </c>
      <c r="AA1008" s="202" t="s">
        <v>1383</v>
      </c>
      <c r="AB1008" s="202"/>
      <c r="AC1008" s="202">
        <v>8879</v>
      </c>
      <c r="AD1008" s="202" t="s">
        <v>1152</v>
      </c>
      <c r="AE1008" s="202" t="s">
        <v>1153</v>
      </c>
      <c r="AF1008" s="203" t="s">
        <v>1154</v>
      </c>
      <c r="AG1008" s="208">
        <v>40025</v>
      </c>
      <c r="AH1008" s="203" t="s">
        <v>1155</v>
      </c>
      <c r="AI1008" s="202">
        <v>0</v>
      </c>
      <c r="AJ1008" s="202">
        <v>3250</v>
      </c>
    </row>
    <row r="1009" spans="2:36">
      <c r="B1009" s="203">
        <v>2180</v>
      </c>
      <c r="C1009" s="207">
        <v>66926</v>
      </c>
      <c r="D1009" s="203" t="s">
        <v>97</v>
      </c>
      <c r="E1009" s="202" t="s">
        <v>1485</v>
      </c>
      <c r="F1009" s="203">
        <v>0</v>
      </c>
      <c r="G1009" s="202"/>
      <c r="H1009" s="202" t="s">
        <v>1487</v>
      </c>
      <c r="I1009" s="202"/>
      <c r="J1009" s="202">
        <v>2003</v>
      </c>
      <c r="K1009" s="202" t="s">
        <v>1255</v>
      </c>
      <c r="L1009" s="202" t="s">
        <v>1255</v>
      </c>
      <c r="M1009" s="202" t="s">
        <v>280</v>
      </c>
      <c r="N1009" s="206">
        <v>39755</v>
      </c>
      <c r="O1009" s="206">
        <v>39755</v>
      </c>
      <c r="P1009" s="202"/>
      <c r="Q1009" s="203">
        <v>300</v>
      </c>
      <c r="R1009" s="203">
        <v>14040</v>
      </c>
      <c r="S1009" s="204">
        <v>12000</v>
      </c>
      <c r="T1009" s="203">
        <v>14046</v>
      </c>
      <c r="U1009" s="204">
        <v>12000</v>
      </c>
      <c r="V1009" s="204">
        <f t="shared" si="27"/>
        <v>0</v>
      </c>
      <c r="W1009" s="205">
        <v>0</v>
      </c>
      <c r="X1009" s="203">
        <v>51260</v>
      </c>
      <c r="Y1009" s="204">
        <v>0</v>
      </c>
      <c r="Z1009" s="202" t="s">
        <v>1153</v>
      </c>
      <c r="AA1009" s="202" t="s">
        <v>1383</v>
      </c>
      <c r="AB1009" s="202"/>
      <c r="AC1009" s="202">
        <v>8876</v>
      </c>
      <c r="AD1009" s="202" t="s">
        <v>1152</v>
      </c>
      <c r="AE1009" s="202" t="s">
        <v>1153</v>
      </c>
      <c r="AF1009" s="203" t="s">
        <v>1154</v>
      </c>
      <c r="AG1009" s="208">
        <v>40025</v>
      </c>
      <c r="AH1009" s="203" t="s">
        <v>1155</v>
      </c>
      <c r="AI1009" s="202">
        <v>0</v>
      </c>
      <c r="AJ1009" s="202">
        <v>3000</v>
      </c>
    </row>
    <row r="1010" spans="2:36">
      <c r="B1010" s="203">
        <v>2180</v>
      </c>
      <c r="C1010" s="207">
        <v>66925</v>
      </c>
      <c r="D1010" s="203" t="s">
        <v>97</v>
      </c>
      <c r="E1010" s="202" t="s">
        <v>1485</v>
      </c>
      <c r="F1010" s="203">
        <v>0</v>
      </c>
      <c r="G1010" s="202"/>
      <c r="H1010" s="202" t="s">
        <v>1486</v>
      </c>
      <c r="I1010" s="202"/>
      <c r="J1010" s="202">
        <v>2003</v>
      </c>
      <c r="K1010" s="202" t="s">
        <v>1255</v>
      </c>
      <c r="L1010" s="202" t="s">
        <v>1255</v>
      </c>
      <c r="M1010" s="202" t="s">
        <v>280</v>
      </c>
      <c r="N1010" s="206">
        <v>39755</v>
      </c>
      <c r="O1010" s="206">
        <v>39755</v>
      </c>
      <c r="P1010" s="202"/>
      <c r="Q1010" s="203">
        <v>300</v>
      </c>
      <c r="R1010" s="203">
        <v>14040</v>
      </c>
      <c r="S1010" s="204">
        <v>12000</v>
      </c>
      <c r="T1010" s="203">
        <v>14046</v>
      </c>
      <c r="U1010" s="204">
        <v>12000</v>
      </c>
      <c r="V1010" s="204">
        <f t="shared" si="27"/>
        <v>0</v>
      </c>
      <c r="W1010" s="205">
        <v>0</v>
      </c>
      <c r="X1010" s="203">
        <v>51260</v>
      </c>
      <c r="Y1010" s="204">
        <v>0</v>
      </c>
      <c r="Z1010" s="202" t="s">
        <v>1153</v>
      </c>
      <c r="AA1010" s="202" t="s">
        <v>1383</v>
      </c>
      <c r="AB1010" s="202"/>
      <c r="AC1010" s="202">
        <v>8875</v>
      </c>
      <c r="AD1010" s="202" t="s">
        <v>1152</v>
      </c>
      <c r="AE1010" s="202" t="s">
        <v>1153</v>
      </c>
      <c r="AF1010" s="203" t="s">
        <v>1154</v>
      </c>
      <c r="AG1010" s="208">
        <v>40025</v>
      </c>
      <c r="AH1010" s="203" t="s">
        <v>1155</v>
      </c>
      <c r="AI1010" s="202">
        <v>0</v>
      </c>
      <c r="AJ1010" s="202">
        <v>3000</v>
      </c>
    </row>
    <row r="1011" spans="2:36">
      <c r="B1011" s="203">
        <v>2180</v>
      </c>
      <c r="C1011" s="207">
        <v>66924</v>
      </c>
      <c r="D1011" s="203" t="s">
        <v>97</v>
      </c>
      <c r="E1011" s="202" t="s">
        <v>1485</v>
      </c>
      <c r="F1011" s="203">
        <v>0</v>
      </c>
      <c r="G1011" s="202"/>
      <c r="H1011" s="202" t="s">
        <v>1484</v>
      </c>
      <c r="I1011" s="202"/>
      <c r="J1011" s="202">
        <v>2003</v>
      </c>
      <c r="K1011" s="202" t="s">
        <v>1255</v>
      </c>
      <c r="L1011" s="202" t="s">
        <v>1255</v>
      </c>
      <c r="M1011" s="202" t="s">
        <v>280</v>
      </c>
      <c r="N1011" s="206">
        <v>39755</v>
      </c>
      <c r="O1011" s="206">
        <v>39755</v>
      </c>
      <c r="P1011" s="202"/>
      <c r="Q1011" s="203">
        <v>300</v>
      </c>
      <c r="R1011" s="203">
        <v>14040</v>
      </c>
      <c r="S1011" s="204">
        <v>12000</v>
      </c>
      <c r="T1011" s="203">
        <v>14046</v>
      </c>
      <c r="U1011" s="204">
        <v>12000</v>
      </c>
      <c r="V1011" s="204">
        <f t="shared" si="27"/>
        <v>0</v>
      </c>
      <c r="W1011" s="205">
        <v>0</v>
      </c>
      <c r="X1011" s="203">
        <v>51260</v>
      </c>
      <c r="Y1011" s="204">
        <v>0</v>
      </c>
      <c r="Z1011" s="202" t="s">
        <v>1153</v>
      </c>
      <c r="AA1011" s="202" t="s">
        <v>1383</v>
      </c>
      <c r="AB1011" s="202"/>
      <c r="AC1011" s="202">
        <v>8874</v>
      </c>
      <c r="AD1011" s="202" t="s">
        <v>1152</v>
      </c>
      <c r="AE1011" s="202" t="s">
        <v>1153</v>
      </c>
      <c r="AF1011" s="203" t="s">
        <v>1154</v>
      </c>
      <c r="AG1011" s="208">
        <v>40025</v>
      </c>
      <c r="AH1011" s="203" t="s">
        <v>1155</v>
      </c>
      <c r="AI1011" s="202">
        <v>0</v>
      </c>
      <c r="AJ1011" s="202">
        <v>3000</v>
      </c>
    </row>
    <row r="1012" spans="2:36">
      <c r="B1012" s="203">
        <v>2180</v>
      </c>
      <c r="C1012" s="207">
        <v>66922</v>
      </c>
      <c r="D1012" s="203" t="s">
        <v>97</v>
      </c>
      <c r="E1012" s="202" t="s">
        <v>1483</v>
      </c>
      <c r="F1012" s="203">
        <v>0</v>
      </c>
      <c r="G1012" s="202"/>
      <c r="H1012" s="202" t="s">
        <v>1482</v>
      </c>
      <c r="I1012" s="202"/>
      <c r="J1012" s="202">
        <v>2000</v>
      </c>
      <c r="K1012" s="202" t="s">
        <v>1255</v>
      </c>
      <c r="L1012" s="202" t="s">
        <v>1255</v>
      </c>
      <c r="M1012" s="202" t="s">
        <v>280</v>
      </c>
      <c r="N1012" s="206">
        <v>39755</v>
      </c>
      <c r="O1012" s="206">
        <v>39755</v>
      </c>
      <c r="P1012" s="202"/>
      <c r="Q1012" s="203">
        <v>300</v>
      </c>
      <c r="R1012" s="203">
        <v>14040</v>
      </c>
      <c r="S1012" s="204">
        <v>9000</v>
      </c>
      <c r="T1012" s="203">
        <v>14046</v>
      </c>
      <c r="U1012" s="204">
        <v>9000</v>
      </c>
      <c r="V1012" s="204">
        <f t="shared" si="27"/>
        <v>0</v>
      </c>
      <c r="W1012" s="205">
        <v>0</v>
      </c>
      <c r="X1012" s="203">
        <v>51260</v>
      </c>
      <c r="Y1012" s="204">
        <v>0</v>
      </c>
      <c r="Z1012" s="202" t="s">
        <v>1153</v>
      </c>
      <c r="AA1012" s="202" t="s">
        <v>1383</v>
      </c>
      <c r="AB1012" s="202"/>
      <c r="AC1012" s="202">
        <v>8867</v>
      </c>
      <c r="AD1012" s="202" t="s">
        <v>1152</v>
      </c>
      <c r="AE1012" s="202" t="s">
        <v>1153</v>
      </c>
      <c r="AF1012" s="203" t="s">
        <v>1154</v>
      </c>
      <c r="AG1012" s="208">
        <v>40025</v>
      </c>
      <c r="AH1012" s="203" t="s">
        <v>1155</v>
      </c>
      <c r="AI1012" s="202">
        <v>0</v>
      </c>
      <c r="AJ1012" s="202">
        <v>2250</v>
      </c>
    </row>
    <row r="1013" spans="2:36">
      <c r="B1013" s="203">
        <v>2180</v>
      </c>
      <c r="C1013" s="207">
        <v>66920</v>
      </c>
      <c r="D1013" s="203" t="s">
        <v>97</v>
      </c>
      <c r="E1013" s="202" t="s">
        <v>1481</v>
      </c>
      <c r="F1013" s="203">
        <v>0</v>
      </c>
      <c r="G1013" s="202"/>
      <c r="H1013" s="202" t="s">
        <v>1480</v>
      </c>
      <c r="I1013" s="202"/>
      <c r="J1013" s="202">
        <v>1999</v>
      </c>
      <c r="K1013" s="202" t="s">
        <v>1255</v>
      </c>
      <c r="L1013" s="202" t="s">
        <v>1255</v>
      </c>
      <c r="M1013" s="202" t="s">
        <v>280</v>
      </c>
      <c r="N1013" s="206">
        <v>39755</v>
      </c>
      <c r="O1013" s="206">
        <v>39755</v>
      </c>
      <c r="P1013" s="202"/>
      <c r="Q1013" s="203">
        <v>300</v>
      </c>
      <c r="R1013" s="203">
        <v>14040</v>
      </c>
      <c r="S1013" s="204">
        <v>7000</v>
      </c>
      <c r="T1013" s="203">
        <v>14046</v>
      </c>
      <c r="U1013" s="204">
        <v>7000</v>
      </c>
      <c r="V1013" s="204">
        <f t="shared" si="27"/>
        <v>0</v>
      </c>
      <c r="W1013" s="205">
        <v>0</v>
      </c>
      <c r="X1013" s="203">
        <v>51260</v>
      </c>
      <c r="Y1013" s="204">
        <v>0</v>
      </c>
      <c r="Z1013" s="202" t="s">
        <v>1153</v>
      </c>
      <c r="AA1013" s="202" t="s">
        <v>1383</v>
      </c>
      <c r="AB1013" s="202"/>
      <c r="AC1013" s="202">
        <v>8855</v>
      </c>
      <c r="AD1013" s="202" t="s">
        <v>1152</v>
      </c>
      <c r="AE1013" s="202" t="s">
        <v>1153</v>
      </c>
      <c r="AF1013" s="203" t="s">
        <v>1154</v>
      </c>
      <c r="AG1013" s="208">
        <v>40025</v>
      </c>
      <c r="AH1013" s="203" t="s">
        <v>1155</v>
      </c>
      <c r="AI1013" s="202">
        <v>0</v>
      </c>
      <c r="AJ1013" s="202">
        <v>1750</v>
      </c>
    </row>
    <row r="1014" spans="2:36">
      <c r="B1014" s="203">
        <v>2180</v>
      </c>
      <c r="C1014" s="207">
        <v>66916</v>
      </c>
      <c r="D1014" s="203" t="s">
        <v>97</v>
      </c>
      <c r="E1014" s="202" t="s">
        <v>1479</v>
      </c>
      <c r="F1014" s="203">
        <v>0</v>
      </c>
      <c r="G1014" s="202"/>
      <c r="H1014" s="202" t="s">
        <v>1478</v>
      </c>
      <c r="I1014" s="202"/>
      <c r="J1014" s="202">
        <v>1998</v>
      </c>
      <c r="K1014" s="202" t="s">
        <v>1255</v>
      </c>
      <c r="L1014" s="202" t="s">
        <v>1255</v>
      </c>
      <c r="M1014" s="202" t="s">
        <v>280</v>
      </c>
      <c r="N1014" s="206">
        <v>39755</v>
      </c>
      <c r="O1014" s="206">
        <v>39755</v>
      </c>
      <c r="P1014" s="202"/>
      <c r="Q1014" s="203">
        <v>300</v>
      </c>
      <c r="R1014" s="203">
        <v>14040</v>
      </c>
      <c r="S1014" s="204">
        <v>7000</v>
      </c>
      <c r="T1014" s="203">
        <v>14046</v>
      </c>
      <c r="U1014" s="204">
        <v>7000</v>
      </c>
      <c r="V1014" s="204">
        <f t="shared" si="27"/>
        <v>0</v>
      </c>
      <c r="W1014" s="205">
        <v>0</v>
      </c>
      <c r="X1014" s="203">
        <v>51260</v>
      </c>
      <c r="Y1014" s="204">
        <v>0</v>
      </c>
      <c r="Z1014" s="202" t="s">
        <v>1153</v>
      </c>
      <c r="AA1014" s="202" t="s">
        <v>1383</v>
      </c>
      <c r="AB1014" s="202"/>
      <c r="AC1014" s="202">
        <v>8837</v>
      </c>
      <c r="AD1014" s="202" t="s">
        <v>1152</v>
      </c>
      <c r="AE1014" s="202" t="s">
        <v>1153</v>
      </c>
      <c r="AF1014" s="203" t="s">
        <v>1154</v>
      </c>
      <c r="AG1014" s="208">
        <v>40025</v>
      </c>
      <c r="AH1014" s="203" t="s">
        <v>1155</v>
      </c>
      <c r="AI1014" s="202">
        <v>0</v>
      </c>
      <c r="AJ1014" s="202">
        <v>1750</v>
      </c>
    </row>
    <row r="1015" spans="2:36">
      <c r="B1015" s="203">
        <v>2180</v>
      </c>
      <c r="C1015" s="207">
        <v>66913</v>
      </c>
      <c r="D1015" s="203" t="s">
        <v>97</v>
      </c>
      <c r="E1015" s="202" t="s">
        <v>1476</v>
      </c>
      <c r="F1015" s="203">
        <v>0</v>
      </c>
      <c r="G1015" s="202"/>
      <c r="H1015" s="202" t="s">
        <v>1477</v>
      </c>
      <c r="I1015" s="202"/>
      <c r="J1015" s="202">
        <v>1997</v>
      </c>
      <c r="K1015" s="202" t="s">
        <v>1255</v>
      </c>
      <c r="L1015" s="202" t="s">
        <v>1255</v>
      </c>
      <c r="M1015" s="202" t="s">
        <v>280</v>
      </c>
      <c r="N1015" s="206">
        <v>39755</v>
      </c>
      <c r="O1015" s="206">
        <v>39755</v>
      </c>
      <c r="P1015" s="202"/>
      <c r="Q1015" s="203">
        <v>300</v>
      </c>
      <c r="R1015" s="203">
        <v>14040</v>
      </c>
      <c r="S1015" s="204">
        <v>7000</v>
      </c>
      <c r="T1015" s="203">
        <v>14046</v>
      </c>
      <c r="U1015" s="204">
        <v>7000</v>
      </c>
      <c r="V1015" s="204">
        <f t="shared" si="27"/>
        <v>0</v>
      </c>
      <c r="W1015" s="205">
        <v>0</v>
      </c>
      <c r="X1015" s="203">
        <v>51260</v>
      </c>
      <c r="Y1015" s="204">
        <v>0</v>
      </c>
      <c r="Z1015" s="202" t="s">
        <v>1153</v>
      </c>
      <c r="AA1015" s="202" t="s">
        <v>1383</v>
      </c>
      <c r="AB1015" s="202"/>
      <c r="AC1015" s="202">
        <v>8833</v>
      </c>
      <c r="AD1015" s="202" t="s">
        <v>1152</v>
      </c>
      <c r="AE1015" s="202" t="s">
        <v>1153</v>
      </c>
      <c r="AF1015" s="203" t="s">
        <v>1154</v>
      </c>
      <c r="AG1015" s="208">
        <v>40025</v>
      </c>
      <c r="AH1015" s="203" t="s">
        <v>1155</v>
      </c>
      <c r="AI1015" s="202">
        <v>0</v>
      </c>
      <c r="AJ1015" s="202">
        <v>1750</v>
      </c>
    </row>
    <row r="1016" spans="2:36">
      <c r="B1016" s="203">
        <v>2180</v>
      </c>
      <c r="C1016" s="207">
        <v>66912</v>
      </c>
      <c r="D1016" s="203" t="s">
        <v>97</v>
      </c>
      <c r="E1016" s="202" t="s">
        <v>1476</v>
      </c>
      <c r="F1016" s="203">
        <v>0</v>
      </c>
      <c r="G1016" s="202"/>
      <c r="H1016" s="202" t="s">
        <v>1475</v>
      </c>
      <c r="I1016" s="202"/>
      <c r="J1016" s="202">
        <v>1997</v>
      </c>
      <c r="K1016" s="202" t="s">
        <v>1255</v>
      </c>
      <c r="L1016" s="202" t="s">
        <v>1255</v>
      </c>
      <c r="M1016" s="202" t="s">
        <v>280</v>
      </c>
      <c r="N1016" s="206">
        <v>39755</v>
      </c>
      <c r="O1016" s="206">
        <v>39755</v>
      </c>
      <c r="P1016" s="202"/>
      <c r="Q1016" s="203">
        <v>300</v>
      </c>
      <c r="R1016" s="203">
        <v>14040</v>
      </c>
      <c r="S1016" s="204">
        <v>7000</v>
      </c>
      <c r="T1016" s="203">
        <v>14046</v>
      </c>
      <c r="U1016" s="204">
        <v>7000</v>
      </c>
      <c r="V1016" s="204">
        <f t="shared" si="27"/>
        <v>0</v>
      </c>
      <c r="W1016" s="205">
        <v>0</v>
      </c>
      <c r="X1016" s="203">
        <v>51260</v>
      </c>
      <c r="Y1016" s="204">
        <v>0</v>
      </c>
      <c r="Z1016" s="202" t="s">
        <v>1153</v>
      </c>
      <c r="AA1016" s="202" t="s">
        <v>1383</v>
      </c>
      <c r="AB1016" s="202"/>
      <c r="AC1016" s="202">
        <v>8832</v>
      </c>
      <c r="AD1016" s="202" t="s">
        <v>1152</v>
      </c>
      <c r="AE1016" s="202" t="s">
        <v>1153</v>
      </c>
      <c r="AF1016" s="203" t="s">
        <v>1154</v>
      </c>
      <c r="AG1016" s="208">
        <v>40025</v>
      </c>
      <c r="AH1016" s="203" t="s">
        <v>1155</v>
      </c>
      <c r="AI1016" s="202">
        <v>0</v>
      </c>
      <c r="AJ1016" s="202">
        <v>1750</v>
      </c>
    </row>
    <row r="1017" spans="2:36">
      <c r="B1017" s="203">
        <v>2180</v>
      </c>
      <c r="C1017" s="207">
        <v>66899</v>
      </c>
      <c r="D1017" s="203" t="s">
        <v>97</v>
      </c>
      <c r="E1017" s="202" t="s">
        <v>1474</v>
      </c>
      <c r="F1017" s="203">
        <v>0</v>
      </c>
      <c r="G1017" s="202"/>
      <c r="H1017" s="202" t="s">
        <v>1473</v>
      </c>
      <c r="I1017" s="202"/>
      <c r="J1017" s="202">
        <v>2006</v>
      </c>
      <c r="K1017" s="202" t="s">
        <v>1396</v>
      </c>
      <c r="L1017" s="202" t="s">
        <v>1395</v>
      </c>
      <c r="M1017" s="202" t="s">
        <v>1394</v>
      </c>
      <c r="N1017" s="206">
        <v>39755</v>
      </c>
      <c r="O1017" s="206">
        <v>39755</v>
      </c>
      <c r="P1017" s="202"/>
      <c r="Q1017" s="203">
        <v>700</v>
      </c>
      <c r="R1017" s="203">
        <v>14040</v>
      </c>
      <c r="S1017" s="204">
        <v>123500</v>
      </c>
      <c r="T1017" s="203">
        <v>14046</v>
      </c>
      <c r="U1017" s="204">
        <v>123500</v>
      </c>
      <c r="V1017" s="204">
        <f t="shared" si="27"/>
        <v>0</v>
      </c>
      <c r="W1017" s="205">
        <v>0</v>
      </c>
      <c r="X1017" s="203">
        <v>51260</v>
      </c>
      <c r="Y1017" s="204">
        <v>0</v>
      </c>
      <c r="Z1017" s="202" t="s">
        <v>1153</v>
      </c>
      <c r="AA1017" s="202" t="s">
        <v>1383</v>
      </c>
      <c r="AB1017" s="202"/>
      <c r="AC1017" s="202">
        <v>1044</v>
      </c>
      <c r="AD1017" s="202" t="s">
        <v>1152</v>
      </c>
      <c r="AE1017" s="202" t="s">
        <v>1153</v>
      </c>
      <c r="AF1017" s="203" t="s">
        <v>1154</v>
      </c>
      <c r="AG1017" s="208">
        <v>40025</v>
      </c>
      <c r="AH1017" s="203" t="s">
        <v>1155</v>
      </c>
      <c r="AI1017" s="202">
        <v>0</v>
      </c>
      <c r="AJ1017" s="202">
        <v>13232.15</v>
      </c>
    </row>
    <row r="1018" spans="2:36">
      <c r="B1018" s="203">
        <v>2180</v>
      </c>
      <c r="C1018" s="207">
        <v>66832</v>
      </c>
      <c r="D1018" s="203" t="s">
        <v>97</v>
      </c>
      <c r="E1018" s="202" t="s">
        <v>1472</v>
      </c>
      <c r="F1018" s="203">
        <v>0</v>
      </c>
      <c r="G1018" s="202"/>
      <c r="H1018" s="202" t="s">
        <v>1471</v>
      </c>
      <c r="I1018" s="202"/>
      <c r="J1018" s="202">
        <v>1987</v>
      </c>
      <c r="K1018" s="202" t="s">
        <v>1406</v>
      </c>
      <c r="L1018" s="202" t="s">
        <v>1255</v>
      </c>
      <c r="M1018" s="202" t="s">
        <v>1470</v>
      </c>
      <c r="N1018" s="206">
        <v>39814</v>
      </c>
      <c r="O1018" s="206">
        <v>39814</v>
      </c>
      <c r="P1018" s="202"/>
      <c r="Q1018" s="203">
        <v>100</v>
      </c>
      <c r="R1018" s="203">
        <v>14040</v>
      </c>
      <c r="S1018" s="204">
        <v>0</v>
      </c>
      <c r="T1018" s="203">
        <v>14046</v>
      </c>
      <c r="U1018" s="204">
        <v>0</v>
      </c>
      <c r="V1018" s="204">
        <f t="shared" si="27"/>
        <v>0</v>
      </c>
      <c r="W1018" s="205">
        <v>0</v>
      </c>
      <c r="X1018" s="203">
        <v>51260</v>
      </c>
      <c r="Y1018" s="204">
        <v>0</v>
      </c>
      <c r="Z1018" s="202" t="s">
        <v>97</v>
      </c>
      <c r="AA1018" s="202"/>
      <c r="AB1018" s="202"/>
      <c r="AC1018" s="202">
        <v>9995</v>
      </c>
      <c r="AD1018" s="202" t="s">
        <v>1152</v>
      </c>
      <c r="AE1018" s="202" t="s">
        <v>1153</v>
      </c>
      <c r="AF1018" s="203" t="s">
        <v>1382</v>
      </c>
      <c r="AG1018" s="202"/>
      <c r="AH1018" s="203" t="s">
        <v>1155</v>
      </c>
      <c r="AI1018" s="202">
        <v>0</v>
      </c>
      <c r="AJ1018" s="202">
        <v>0</v>
      </c>
    </row>
    <row r="1019" spans="2:36">
      <c r="B1019" s="203">
        <v>2180</v>
      </c>
      <c r="C1019" s="207">
        <v>66628</v>
      </c>
      <c r="D1019" s="203" t="s">
        <v>97</v>
      </c>
      <c r="E1019" s="202" t="s">
        <v>1469</v>
      </c>
      <c r="F1019" s="203">
        <v>0</v>
      </c>
      <c r="G1019" s="202"/>
      <c r="H1019" s="202"/>
      <c r="I1019" s="202"/>
      <c r="J1019" s="202">
        <v>0</v>
      </c>
      <c r="K1019" s="202"/>
      <c r="L1019" s="202"/>
      <c r="M1019" s="202"/>
      <c r="N1019" s="206">
        <v>40025</v>
      </c>
      <c r="O1019" s="206">
        <v>40025</v>
      </c>
      <c r="P1019" s="202"/>
      <c r="Q1019" s="203">
        <v>100</v>
      </c>
      <c r="R1019" s="203">
        <v>15110</v>
      </c>
      <c r="S1019" s="204">
        <v>-1912.95</v>
      </c>
      <c r="T1019" s="203">
        <v>0</v>
      </c>
      <c r="U1019" s="204">
        <v>0</v>
      </c>
      <c r="V1019" s="204">
        <f t="shared" si="27"/>
        <v>-1912.95</v>
      </c>
      <c r="W1019" s="205">
        <v>0</v>
      </c>
      <c r="X1019" s="203">
        <v>0</v>
      </c>
      <c r="Y1019" s="204">
        <v>0</v>
      </c>
      <c r="Z1019" s="202" t="s">
        <v>97</v>
      </c>
      <c r="AA1019" s="202"/>
      <c r="AB1019" s="202"/>
      <c r="AC1019" s="202"/>
      <c r="AD1019" s="202" t="s">
        <v>1152</v>
      </c>
      <c r="AE1019" s="202" t="s">
        <v>1153</v>
      </c>
      <c r="AF1019" s="203" t="s">
        <v>1382</v>
      </c>
      <c r="AG1019" s="202"/>
      <c r="AH1019" s="203" t="s">
        <v>1155</v>
      </c>
      <c r="AI1019" s="202">
        <v>0</v>
      </c>
      <c r="AJ1019" s="202">
        <v>0</v>
      </c>
    </row>
    <row r="1020" spans="2:36">
      <c r="B1020" s="203">
        <v>2180</v>
      </c>
      <c r="C1020" s="207">
        <v>66627</v>
      </c>
      <c r="D1020" s="203" t="s">
        <v>97</v>
      </c>
      <c r="E1020" s="202" t="s">
        <v>1468</v>
      </c>
      <c r="F1020" s="203">
        <v>0</v>
      </c>
      <c r="G1020" s="202"/>
      <c r="H1020" s="202"/>
      <c r="I1020" s="202"/>
      <c r="J1020" s="202">
        <v>0</v>
      </c>
      <c r="K1020" s="202"/>
      <c r="L1020" s="202"/>
      <c r="M1020" s="202"/>
      <c r="N1020" s="206">
        <v>40025</v>
      </c>
      <c r="O1020" s="206">
        <v>40025</v>
      </c>
      <c r="P1020" s="202"/>
      <c r="Q1020" s="203">
        <v>100</v>
      </c>
      <c r="R1020" s="203">
        <v>15110</v>
      </c>
      <c r="S1020" s="204">
        <v>96176</v>
      </c>
      <c r="T1020" s="203">
        <v>0</v>
      </c>
      <c r="U1020" s="204">
        <v>0</v>
      </c>
      <c r="V1020" s="204">
        <f t="shared" si="27"/>
        <v>96176</v>
      </c>
      <c r="W1020" s="205">
        <v>0</v>
      </c>
      <c r="X1020" s="203">
        <v>0</v>
      </c>
      <c r="Y1020" s="204">
        <v>0</v>
      </c>
      <c r="Z1020" s="202" t="s">
        <v>97</v>
      </c>
      <c r="AA1020" s="202"/>
      <c r="AB1020" s="202"/>
      <c r="AC1020" s="202"/>
      <c r="AD1020" s="202" t="s">
        <v>1152</v>
      </c>
      <c r="AE1020" s="202" t="s">
        <v>1153</v>
      </c>
      <c r="AF1020" s="203" t="s">
        <v>1382</v>
      </c>
      <c r="AG1020" s="202"/>
      <c r="AH1020" s="203" t="s">
        <v>1155</v>
      </c>
      <c r="AI1020" s="202">
        <v>0</v>
      </c>
      <c r="AJ1020" s="202">
        <v>0</v>
      </c>
    </row>
    <row r="1021" spans="2:36">
      <c r="B1021" s="203">
        <v>2180</v>
      </c>
      <c r="C1021" s="207">
        <v>65578</v>
      </c>
      <c r="D1021" s="203">
        <v>60827</v>
      </c>
      <c r="E1021" s="202" t="s">
        <v>1467</v>
      </c>
      <c r="F1021" s="203">
        <v>0</v>
      </c>
      <c r="G1021" s="202"/>
      <c r="H1021" s="202">
        <v>712770</v>
      </c>
      <c r="I1021" s="202"/>
      <c r="J1021" s="202">
        <v>2000</v>
      </c>
      <c r="K1021" s="202"/>
      <c r="L1021" s="202"/>
      <c r="M1021" s="202" t="s">
        <v>1447</v>
      </c>
      <c r="N1021" s="206">
        <v>39965</v>
      </c>
      <c r="O1021" s="206">
        <v>39965</v>
      </c>
      <c r="P1021" s="202" t="s">
        <v>1466</v>
      </c>
      <c r="Q1021" s="203">
        <v>300</v>
      </c>
      <c r="R1021" s="203">
        <v>14040</v>
      </c>
      <c r="S1021" s="204">
        <v>10968.4</v>
      </c>
      <c r="T1021" s="203">
        <v>14046</v>
      </c>
      <c r="U1021" s="204">
        <v>10968.4</v>
      </c>
      <c r="V1021" s="204">
        <f t="shared" si="27"/>
        <v>0</v>
      </c>
      <c r="W1021" s="205">
        <v>0</v>
      </c>
      <c r="X1021" s="203">
        <v>51260</v>
      </c>
      <c r="Y1021" s="204">
        <v>0</v>
      </c>
      <c r="Z1021" s="202" t="s">
        <v>97</v>
      </c>
      <c r="AA1021" s="202"/>
      <c r="AB1021" s="202">
        <v>7136</v>
      </c>
      <c r="AC1021" s="202">
        <v>1569</v>
      </c>
      <c r="AD1021" s="202" t="s">
        <v>1152</v>
      </c>
      <c r="AE1021" s="202" t="s">
        <v>1153</v>
      </c>
      <c r="AF1021" s="203" t="s">
        <v>1154</v>
      </c>
      <c r="AG1021" s="202"/>
      <c r="AH1021" s="203" t="s">
        <v>1155</v>
      </c>
      <c r="AI1021" s="202">
        <v>0</v>
      </c>
      <c r="AJ1021" s="202">
        <v>0</v>
      </c>
    </row>
    <row r="1022" spans="2:36">
      <c r="B1022" s="203">
        <v>2180</v>
      </c>
      <c r="C1022" s="207">
        <v>64720</v>
      </c>
      <c r="D1022" s="203" t="s">
        <v>97</v>
      </c>
      <c r="E1022" s="202" t="s">
        <v>1465</v>
      </c>
      <c r="F1022" s="203">
        <v>30</v>
      </c>
      <c r="G1022" s="202"/>
      <c r="H1022" s="202"/>
      <c r="I1022" s="202"/>
      <c r="J1022" s="202">
        <v>0</v>
      </c>
      <c r="K1022" s="202"/>
      <c r="L1022" s="202"/>
      <c r="M1022" s="202" t="s">
        <v>1464</v>
      </c>
      <c r="N1022" s="206">
        <v>39755</v>
      </c>
      <c r="O1022" s="206">
        <v>39755</v>
      </c>
      <c r="P1022" s="202"/>
      <c r="Q1022" s="203">
        <v>1200</v>
      </c>
      <c r="R1022" s="203">
        <v>14050</v>
      </c>
      <c r="S1022" s="204">
        <v>6670.5</v>
      </c>
      <c r="T1022" s="203">
        <v>14056</v>
      </c>
      <c r="U1022" s="204">
        <v>6670.5</v>
      </c>
      <c r="V1022" s="204">
        <f t="shared" si="27"/>
        <v>0</v>
      </c>
      <c r="W1022" s="205">
        <v>0</v>
      </c>
      <c r="X1022" s="203">
        <v>54260</v>
      </c>
      <c r="Y1022" s="204">
        <v>0</v>
      </c>
      <c r="Z1022" s="202" t="s">
        <v>1153</v>
      </c>
      <c r="AA1022" s="202" t="s">
        <v>1383</v>
      </c>
      <c r="AB1022" s="202"/>
      <c r="AC1022" s="202"/>
      <c r="AD1022" s="202" t="s">
        <v>1152</v>
      </c>
      <c r="AE1022" s="202" t="s">
        <v>1153</v>
      </c>
      <c r="AF1022" s="203" t="s">
        <v>1154</v>
      </c>
      <c r="AG1022" s="208">
        <v>39933</v>
      </c>
      <c r="AH1022" s="203" t="s">
        <v>1155</v>
      </c>
      <c r="AI1022" s="202">
        <v>4</v>
      </c>
      <c r="AJ1022" s="202">
        <v>277.94</v>
      </c>
    </row>
    <row r="1023" spans="2:36">
      <c r="B1023" s="203">
        <v>2180</v>
      </c>
      <c r="C1023" s="207">
        <v>64713</v>
      </c>
      <c r="D1023" s="203" t="s">
        <v>97</v>
      </c>
      <c r="E1023" s="202" t="s">
        <v>1463</v>
      </c>
      <c r="F1023" s="203">
        <v>129</v>
      </c>
      <c r="G1023" s="202"/>
      <c r="H1023" s="202"/>
      <c r="I1023" s="202"/>
      <c r="J1023" s="202">
        <v>0</v>
      </c>
      <c r="K1023" s="202"/>
      <c r="L1023" s="202"/>
      <c r="M1023" s="202" t="s">
        <v>1462</v>
      </c>
      <c r="N1023" s="206">
        <v>39755</v>
      </c>
      <c r="O1023" s="206">
        <v>39755</v>
      </c>
      <c r="P1023" s="202"/>
      <c r="Q1023" s="203">
        <v>1200</v>
      </c>
      <c r="R1023" s="203">
        <v>14050</v>
      </c>
      <c r="S1023" s="204">
        <v>14183.58</v>
      </c>
      <c r="T1023" s="203">
        <v>14056</v>
      </c>
      <c r="U1023" s="204">
        <v>14183.58</v>
      </c>
      <c r="V1023" s="204">
        <f t="shared" si="27"/>
        <v>0</v>
      </c>
      <c r="W1023" s="205">
        <v>0</v>
      </c>
      <c r="X1023" s="203">
        <v>54260</v>
      </c>
      <c r="Y1023" s="204">
        <v>0</v>
      </c>
      <c r="Z1023" s="202" t="s">
        <v>1153</v>
      </c>
      <c r="AA1023" s="202" t="s">
        <v>1383</v>
      </c>
      <c r="AB1023" s="202"/>
      <c r="AC1023" s="202"/>
      <c r="AD1023" s="202" t="s">
        <v>1152</v>
      </c>
      <c r="AE1023" s="202" t="s">
        <v>1153</v>
      </c>
      <c r="AF1023" s="203" t="s">
        <v>1154</v>
      </c>
      <c r="AG1023" s="208">
        <v>41698</v>
      </c>
      <c r="AH1023" s="203" t="s">
        <v>1155</v>
      </c>
      <c r="AI1023" s="202">
        <v>9</v>
      </c>
      <c r="AJ1023" s="202">
        <v>6303.83</v>
      </c>
    </row>
    <row r="1024" spans="2:36">
      <c r="B1024" s="203">
        <v>2180</v>
      </c>
      <c r="C1024" s="207">
        <v>64710</v>
      </c>
      <c r="D1024" s="203" t="s">
        <v>97</v>
      </c>
      <c r="E1024" s="202" t="s">
        <v>1461</v>
      </c>
      <c r="F1024" s="203">
        <v>2</v>
      </c>
      <c r="G1024" s="202"/>
      <c r="H1024" s="202"/>
      <c r="I1024" s="202"/>
      <c r="J1024" s="202">
        <v>0</v>
      </c>
      <c r="K1024" s="202"/>
      <c r="L1024" s="202"/>
      <c r="M1024" s="202" t="s">
        <v>1460</v>
      </c>
      <c r="N1024" s="206">
        <v>39755</v>
      </c>
      <c r="O1024" s="206">
        <v>39755</v>
      </c>
      <c r="P1024" s="202"/>
      <c r="Q1024" s="203">
        <v>700</v>
      </c>
      <c r="R1024" s="203">
        <v>14050</v>
      </c>
      <c r="S1024" s="204">
        <v>6000</v>
      </c>
      <c r="T1024" s="203">
        <v>14056</v>
      </c>
      <c r="U1024" s="204">
        <v>6000</v>
      </c>
      <c r="V1024" s="204">
        <f t="shared" si="27"/>
        <v>0</v>
      </c>
      <c r="W1024" s="205">
        <v>0</v>
      </c>
      <c r="X1024" s="203">
        <v>54260</v>
      </c>
      <c r="Y1024" s="204">
        <v>0</v>
      </c>
      <c r="Z1024" s="202" t="s">
        <v>1153</v>
      </c>
      <c r="AA1024" s="202" t="s">
        <v>1383</v>
      </c>
      <c r="AB1024" s="202"/>
      <c r="AC1024" s="202"/>
      <c r="AD1024" s="202" t="s">
        <v>1152</v>
      </c>
      <c r="AE1024" s="202" t="s">
        <v>1153</v>
      </c>
      <c r="AF1024" s="203" t="s">
        <v>1154</v>
      </c>
      <c r="AG1024" s="208">
        <v>40694</v>
      </c>
      <c r="AH1024" s="203" t="s">
        <v>1155</v>
      </c>
      <c r="AI1024" s="202">
        <v>2</v>
      </c>
      <c r="AJ1024" s="202">
        <v>2214.3000000000002</v>
      </c>
    </row>
    <row r="1025" spans="2:36">
      <c r="B1025" s="203">
        <v>2180</v>
      </c>
      <c r="C1025" s="207">
        <v>64697</v>
      </c>
      <c r="D1025" s="203" t="s">
        <v>97</v>
      </c>
      <c r="E1025" s="202" t="s">
        <v>1459</v>
      </c>
      <c r="F1025" s="203">
        <v>50</v>
      </c>
      <c r="G1025" s="202"/>
      <c r="H1025" s="202"/>
      <c r="I1025" s="202"/>
      <c r="J1025" s="202">
        <v>0</v>
      </c>
      <c r="K1025" s="202"/>
      <c r="L1025" s="202"/>
      <c r="M1025" s="202" t="s">
        <v>1458</v>
      </c>
      <c r="N1025" s="206">
        <v>39755</v>
      </c>
      <c r="O1025" s="206">
        <v>39755</v>
      </c>
      <c r="P1025" s="202"/>
      <c r="Q1025" s="203">
        <v>700</v>
      </c>
      <c r="R1025" s="203">
        <v>14050</v>
      </c>
      <c r="S1025" s="204">
        <v>63502.92</v>
      </c>
      <c r="T1025" s="203">
        <v>14056</v>
      </c>
      <c r="U1025" s="204">
        <v>63502.92</v>
      </c>
      <c r="V1025" s="204">
        <f t="shared" si="27"/>
        <v>0</v>
      </c>
      <c r="W1025" s="205">
        <v>0</v>
      </c>
      <c r="X1025" s="203">
        <v>54260</v>
      </c>
      <c r="Y1025" s="204">
        <v>0</v>
      </c>
      <c r="Z1025" s="202" t="s">
        <v>1153</v>
      </c>
      <c r="AA1025" s="202" t="s">
        <v>1383</v>
      </c>
      <c r="AB1025" s="202"/>
      <c r="AC1025" s="202"/>
      <c r="AD1025" s="202" t="s">
        <v>1152</v>
      </c>
      <c r="AE1025" s="202" t="s">
        <v>1153</v>
      </c>
      <c r="AF1025" s="203" t="s">
        <v>1154</v>
      </c>
      <c r="AG1025" s="208">
        <v>39933</v>
      </c>
      <c r="AH1025" s="203" t="s">
        <v>1155</v>
      </c>
      <c r="AI1025" s="202">
        <v>6</v>
      </c>
      <c r="AJ1025" s="202">
        <v>4535.93</v>
      </c>
    </row>
    <row r="1026" spans="2:36">
      <c r="B1026" s="203">
        <v>2180</v>
      </c>
      <c r="C1026" s="207">
        <v>64690</v>
      </c>
      <c r="D1026" s="203" t="s">
        <v>97</v>
      </c>
      <c r="E1026" s="202" t="s">
        <v>1457</v>
      </c>
      <c r="F1026" s="203">
        <v>64</v>
      </c>
      <c r="G1026" s="202"/>
      <c r="H1026" s="202"/>
      <c r="I1026" s="202"/>
      <c r="J1026" s="202">
        <v>0</v>
      </c>
      <c r="K1026" s="202"/>
      <c r="L1026" s="202"/>
      <c r="M1026" s="202" t="s">
        <v>1456</v>
      </c>
      <c r="N1026" s="206">
        <v>39755</v>
      </c>
      <c r="O1026" s="206">
        <v>39755</v>
      </c>
      <c r="P1026" s="202"/>
      <c r="Q1026" s="203">
        <v>1200</v>
      </c>
      <c r="R1026" s="203">
        <v>14050</v>
      </c>
      <c r="S1026" s="204">
        <v>20478.96</v>
      </c>
      <c r="T1026" s="203">
        <v>14056</v>
      </c>
      <c r="U1026" s="204">
        <v>20478.96</v>
      </c>
      <c r="V1026" s="204">
        <f t="shared" si="27"/>
        <v>0</v>
      </c>
      <c r="W1026" s="205">
        <v>0</v>
      </c>
      <c r="X1026" s="203">
        <v>54260</v>
      </c>
      <c r="Y1026" s="204">
        <v>0</v>
      </c>
      <c r="Z1026" s="202" t="s">
        <v>1153</v>
      </c>
      <c r="AA1026" s="202" t="s">
        <v>1383</v>
      </c>
      <c r="AB1026" s="202"/>
      <c r="AC1026" s="202"/>
      <c r="AD1026" s="202" t="s">
        <v>1152</v>
      </c>
      <c r="AE1026" s="202" t="s">
        <v>1153</v>
      </c>
      <c r="AF1026" s="203" t="s">
        <v>1154</v>
      </c>
      <c r="AG1026" s="208">
        <v>39933</v>
      </c>
      <c r="AH1026" s="203" t="s">
        <v>1155</v>
      </c>
      <c r="AI1026" s="202">
        <v>4</v>
      </c>
      <c r="AJ1026" s="202">
        <v>853.29</v>
      </c>
    </row>
    <row r="1027" spans="2:36">
      <c r="B1027" s="203">
        <v>2180</v>
      </c>
      <c r="C1027" s="207">
        <v>64680</v>
      </c>
      <c r="D1027" s="203" t="s">
        <v>97</v>
      </c>
      <c r="E1027" s="202" t="s">
        <v>1455</v>
      </c>
      <c r="F1027" s="203">
        <v>8</v>
      </c>
      <c r="G1027" s="202"/>
      <c r="H1027" s="202"/>
      <c r="I1027" s="202"/>
      <c r="J1027" s="202">
        <v>0</v>
      </c>
      <c r="K1027" s="202"/>
      <c r="L1027" s="202"/>
      <c r="M1027" s="202" t="s">
        <v>1454</v>
      </c>
      <c r="N1027" s="206">
        <v>39755</v>
      </c>
      <c r="O1027" s="206">
        <v>39755</v>
      </c>
      <c r="P1027" s="202"/>
      <c r="Q1027" s="203">
        <v>700</v>
      </c>
      <c r="R1027" s="203">
        <v>14050</v>
      </c>
      <c r="S1027" s="204">
        <v>122000</v>
      </c>
      <c r="T1027" s="203">
        <v>14056</v>
      </c>
      <c r="U1027" s="204">
        <v>122000</v>
      </c>
      <c r="V1027" s="204">
        <f t="shared" si="27"/>
        <v>0</v>
      </c>
      <c r="W1027" s="205">
        <v>0</v>
      </c>
      <c r="X1027" s="203">
        <v>54260</v>
      </c>
      <c r="Y1027" s="204">
        <v>0</v>
      </c>
      <c r="Z1027" s="202" t="s">
        <v>1153</v>
      </c>
      <c r="AA1027" s="202" t="s">
        <v>1383</v>
      </c>
      <c r="AB1027" s="202"/>
      <c r="AC1027" s="202"/>
      <c r="AD1027" s="202" t="s">
        <v>1152</v>
      </c>
      <c r="AE1027" s="202" t="s">
        <v>1153</v>
      </c>
      <c r="AF1027" s="203" t="s">
        <v>1154</v>
      </c>
      <c r="AG1027" s="208">
        <v>39933</v>
      </c>
      <c r="AH1027" s="203" t="s">
        <v>1155</v>
      </c>
      <c r="AI1027" s="202">
        <v>2</v>
      </c>
      <c r="AJ1027" s="202">
        <v>8714.2800000000007</v>
      </c>
    </row>
    <row r="1028" spans="2:36">
      <c r="B1028" s="203">
        <v>2180</v>
      </c>
      <c r="C1028" s="207">
        <v>64668</v>
      </c>
      <c r="D1028" s="203" t="s">
        <v>97</v>
      </c>
      <c r="E1028" s="202" t="s">
        <v>1453</v>
      </c>
      <c r="F1028" s="203">
        <v>2</v>
      </c>
      <c r="G1028" s="202"/>
      <c r="H1028" s="202"/>
      <c r="I1028" s="202"/>
      <c r="J1028" s="202">
        <v>0</v>
      </c>
      <c r="K1028" s="202"/>
      <c r="L1028" s="202"/>
      <c r="M1028" s="202" t="s">
        <v>1452</v>
      </c>
      <c r="N1028" s="206">
        <v>39755</v>
      </c>
      <c r="O1028" s="206">
        <v>39755</v>
      </c>
      <c r="P1028" s="202"/>
      <c r="Q1028" s="203">
        <v>700</v>
      </c>
      <c r="R1028" s="203">
        <v>14050</v>
      </c>
      <c r="S1028" s="204">
        <v>34714</v>
      </c>
      <c r="T1028" s="203">
        <v>14056</v>
      </c>
      <c r="U1028" s="204">
        <v>34714</v>
      </c>
      <c r="V1028" s="204">
        <f t="shared" si="27"/>
        <v>0</v>
      </c>
      <c r="W1028" s="205">
        <v>0</v>
      </c>
      <c r="X1028" s="203">
        <v>54260</v>
      </c>
      <c r="Y1028" s="204">
        <v>0</v>
      </c>
      <c r="Z1028" s="202" t="s">
        <v>1153</v>
      </c>
      <c r="AA1028" s="202" t="s">
        <v>1383</v>
      </c>
      <c r="AB1028" s="202"/>
      <c r="AC1028" s="202"/>
      <c r="AD1028" s="202" t="s">
        <v>1152</v>
      </c>
      <c r="AE1028" s="202" t="s">
        <v>1153</v>
      </c>
      <c r="AF1028" s="203" t="s">
        <v>1154</v>
      </c>
      <c r="AG1028" s="208">
        <v>39933</v>
      </c>
      <c r="AH1028" s="203" t="s">
        <v>1155</v>
      </c>
      <c r="AI1028" s="202">
        <v>0</v>
      </c>
      <c r="AJ1028" s="202">
        <v>2479.5700000000002</v>
      </c>
    </row>
    <row r="1029" spans="2:36">
      <c r="B1029" s="203">
        <v>2180</v>
      </c>
      <c r="C1029" s="207">
        <v>63721</v>
      </c>
      <c r="D1029" s="203" t="s">
        <v>97</v>
      </c>
      <c r="E1029" s="202" t="s">
        <v>1451</v>
      </c>
      <c r="F1029" s="203">
        <v>0</v>
      </c>
      <c r="G1029" s="202"/>
      <c r="H1029" s="202"/>
      <c r="I1029" s="202"/>
      <c r="J1029" s="202">
        <v>0</v>
      </c>
      <c r="K1029" s="202"/>
      <c r="L1029" s="202"/>
      <c r="M1029" s="202"/>
      <c r="N1029" s="206">
        <v>39903</v>
      </c>
      <c r="O1029" s="206">
        <v>39903</v>
      </c>
      <c r="P1029" s="202"/>
      <c r="Q1029" s="203">
        <v>0</v>
      </c>
      <c r="R1029" s="203">
        <v>15110</v>
      </c>
      <c r="S1029" s="204">
        <v>63519.55</v>
      </c>
      <c r="T1029" s="203">
        <v>15120</v>
      </c>
      <c r="U1029" s="204">
        <v>0</v>
      </c>
      <c r="V1029" s="204">
        <f t="shared" si="27"/>
        <v>63519.55</v>
      </c>
      <c r="W1029" s="205">
        <v>0</v>
      </c>
      <c r="X1029" s="203">
        <v>0</v>
      </c>
      <c r="Y1029" s="204">
        <v>0</v>
      </c>
      <c r="Z1029" s="202" t="s">
        <v>1153</v>
      </c>
      <c r="AA1029" s="202" t="s">
        <v>1439</v>
      </c>
      <c r="AB1029" s="202"/>
      <c r="AC1029" s="202"/>
      <c r="AD1029" s="202" t="s">
        <v>1152</v>
      </c>
      <c r="AE1029" s="202" t="s">
        <v>1153</v>
      </c>
      <c r="AF1029" s="203" t="s">
        <v>1382</v>
      </c>
      <c r="AG1029" s="202"/>
      <c r="AH1029" s="203" t="s">
        <v>1155</v>
      </c>
      <c r="AI1029" s="202">
        <v>0</v>
      </c>
      <c r="AJ1029" s="202">
        <v>0</v>
      </c>
    </row>
    <row r="1030" spans="2:36">
      <c r="B1030" s="203">
        <v>2180</v>
      </c>
      <c r="C1030" s="207">
        <v>63214</v>
      </c>
      <c r="D1030" s="203" t="s">
        <v>97</v>
      </c>
      <c r="E1030" s="202" t="s">
        <v>1450</v>
      </c>
      <c r="F1030" s="203">
        <v>0</v>
      </c>
      <c r="G1030" s="202"/>
      <c r="H1030" s="202"/>
      <c r="I1030" s="202"/>
      <c r="J1030" s="202">
        <v>0</v>
      </c>
      <c r="K1030" s="202"/>
      <c r="L1030" s="202"/>
      <c r="M1030" s="202"/>
      <c r="N1030" s="206">
        <v>39872</v>
      </c>
      <c r="O1030" s="206">
        <v>39872</v>
      </c>
      <c r="P1030" s="202"/>
      <c r="Q1030" s="203">
        <v>0</v>
      </c>
      <c r="R1030" s="203">
        <v>15110</v>
      </c>
      <c r="S1030" s="204">
        <v>140030.07999999999</v>
      </c>
      <c r="T1030" s="203">
        <v>15120</v>
      </c>
      <c r="U1030" s="204">
        <v>0</v>
      </c>
      <c r="V1030" s="204">
        <f t="shared" si="27"/>
        <v>140030.07999999999</v>
      </c>
      <c r="W1030" s="205">
        <v>0</v>
      </c>
      <c r="X1030" s="203">
        <v>0</v>
      </c>
      <c r="Y1030" s="204">
        <v>0</v>
      </c>
      <c r="Z1030" s="202" t="s">
        <v>1153</v>
      </c>
      <c r="AA1030" s="202" t="s">
        <v>1439</v>
      </c>
      <c r="AB1030" s="202"/>
      <c r="AC1030" s="202"/>
      <c r="AD1030" s="202" t="s">
        <v>1152</v>
      </c>
      <c r="AE1030" s="202" t="s">
        <v>1153</v>
      </c>
      <c r="AF1030" s="203" t="s">
        <v>1382</v>
      </c>
      <c r="AG1030" s="202"/>
      <c r="AH1030" s="203" t="s">
        <v>1155</v>
      </c>
      <c r="AI1030" s="202">
        <v>0</v>
      </c>
      <c r="AJ1030" s="202">
        <v>0</v>
      </c>
    </row>
    <row r="1031" spans="2:36">
      <c r="B1031" s="203">
        <v>2180</v>
      </c>
      <c r="C1031" s="207">
        <v>62945</v>
      </c>
      <c r="D1031" s="203" t="s">
        <v>97</v>
      </c>
      <c r="E1031" s="202" t="s">
        <v>1449</v>
      </c>
      <c r="F1031" s="203">
        <v>0</v>
      </c>
      <c r="G1031" s="202"/>
      <c r="H1031" s="202"/>
      <c r="I1031" s="202"/>
      <c r="J1031" s="202">
        <v>0</v>
      </c>
      <c r="K1031" s="202"/>
      <c r="L1031" s="202"/>
      <c r="M1031" s="202"/>
      <c r="N1031" s="206">
        <v>39844</v>
      </c>
      <c r="O1031" s="206">
        <v>39844</v>
      </c>
      <c r="P1031" s="202"/>
      <c r="Q1031" s="203">
        <v>0</v>
      </c>
      <c r="R1031" s="203">
        <v>15110</v>
      </c>
      <c r="S1031" s="204">
        <v>118625.91</v>
      </c>
      <c r="T1031" s="203">
        <v>15120</v>
      </c>
      <c r="U1031" s="204">
        <v>0</v>
      </c>
      <c r="V1031" s="204">
        <f t="shared" si="27"/>
        <v>118625.91</v>
      </c>
      <c r="W1031" s="205">
        <v>0</v>
      </c>
      <c r="X1031" s="203">
        <v>0</v>
      </c>
      <c r="Y1031" s="204">
        <v>0</v>
      </c>
      <c r="Z1031" s="202" t="s">
        <v>1153</v>
      </c>
      <c r="AA1031" s="202" t="s">
        <v>1439</v>
      </c>
      <c r="AB1031" s="202"/>
      <c r="AC1031" s="202"/>
      <c r="AD1031" s="202" t="s">
        <v>1152</v>
      </c>
      <c r="AE1031" s="202" t="s">
        <v>1153</v>
      </c>
      <c r="AF1031" s="203" t="s">
        <v>1382</v>
      </c>
      <c r="AG1031" s="202"/>
      <c r="AH1031" s="203" t="s">
        <v>1155</v>
      </c>
      <c r="AI1031" s="202">
        <v>0</v>
      </c>
      <c r="AJ1031" s="202">
        <v>0</v>
      </c>
    </row>
    <row r="1032" spans="2:36">
      <c r="B1032" s="203">
        <v>2180</v>
      </c>
      <c r="C1032" s="207">
        <v>62796</v>
      </c>
      <c r="D1032" s="203">
        <v>60751</v>
      </c>
      <c r="E1032" s="202" t="s">
        <v>1448</v>
      </c>
      <c r="F1032" s="203">
        <v>0</v>
      </c>
      <c r="G1032" s="202"/>
      <c r="H1032" s="202"/>
      <c r="I1032" s="202"/>
      <c r="J1032" s="202">
        <v>0</v>
      </c>
      <c r="K1032" s="202"/>
      <c r="L1032" s="202"/>
      <c r="M1032" s="202" t="s">
        <v>1447</v>
      </c>
      <c r="N1032" s="206">
        <v>39814</v>
      </c>
      <c r="O1032" s="206">
        <v>39814</v>
      </c>
      <c r="P1032" s="202" t="s">
        <v>1446</v>
      </c>
      <c r="Q1032" s="203">
        <v>300</v>
      </c>
      <c r="R1032" s="203">
        <v>14040</v>
      </c>
      <c r="S1032" s="204">
        <v>4355.1400000000003</v>
      </c>
      <c r="T1032" s="203">
        <v>14046</v>
      </c>
      <c r="U1032" s="204">
        <v>4355.1400000000003</v>
      </c>
      <c r="V1032" s="204">
        <f t="shared" si="27"/>
        <v>0</v>
      </c>
      <c r="W1032" s="205">
        <v>0</v>
      </c>
      <c r="X1032" s="203">
        <v>51260</v>
      </c>
      <c r="Y1032" s="204">
        <v>0</v>
      </c>
      <c r="Z1032" s="202" t="s">
        <v>97</v>
      </c>
      <c r="AA1032" s="202"/>
      <c r="AB1032" s="202">
        <v>6253</v>
      </c>
      <c r="AC1032" s="202"/>
      <c r="AD1032" s="202" t="s">
        <v>1152</v>
      </c>
      <c r="AE1032" s="202" t="s">
        <v>1153</v>
      </c>
      <c r="AF1032" s="203" t="s">
        <v>1154</v>
      </c>
      <c r="AG1032" s="202"/>
      <c r="AH1032" s="203" t="s">
        <v>1155</v>
      </c>
      <c r="AI1032" s="202">
        <v>0</v>
      </c>
      <c r="AJ1032" s="202">
        <v>0</v>
      </c>
    </row>
    <row r="1033" spans="2:36">
      <c r="B1033" s="203">
        <v>2180</v>
      </c>
      <c r="C1033" s="207">
        <v>62783</v>
      </c>
      <c r="D1033" s="203" t="s">
        <v>97</v>
      </c>
      <c r="E1033" s="202" t="s">
        <v>1445</v>
      </c>
      <c r="F1033" s="203">
        <v>0</v>
      </c>
      <c r="G1033" s="202"/>
      <c r="H1033" s="202"/>
      <c r="I1033" s="202"/>
      <c r="J1033" s="202">
        <v>0</v>
      </c>
      <c r="K1033" s="202" t="s">
        <v>1444</v>
      </c>
      <c r="L1033" s="202"/>
      <c r="M1033" s="202"/>
      <c r="N1033" s="206">
        <v>39814</v>
      </c>
      <c r="O1033" s="206">
        <v>39814</v>
      </c>
      <c r="P1033" s="202" t="s">
        <v>1443</v>
      </c>
      <c r="Q1033" s="203">
        <v>411</v>
      </c>
      <c r="R1033" s="203">
        <v>14070</v>
      </c>
      <c r="S1033" s="204">
        <v>2847.76</v>
      </c>
      <c r="T1033" s="203">
        <v>14076</v>
      </c>
      <c r="U1033" s="204">
        <v>2847.76</v>
      </c>
      <c r="V1033" s="204">
        <f t="shared" si="27"/>
        <v>0</v>
      </c>
      <c r="W1033" s="205">
        <v>0</v>
      </c>
      <c r="X1033" s="203">
        <v>51260</v>
      </c>
      <c r="Y1033" s="204">
        <v>0</v>
      </c>
      <c r="Z1033" s="202" t="s">
        <v>97</v>
      </c>
      <c r="AA1033" s="202"/>
      <c r="AB1033" s="202" t="s">
        <v>1442</v>
      </c>
      <c r="AC1033" s="202"/>
      <c r="AD1033" s="202" t="s">
        <v>1152</v>
      </c>
      <c r="AE1033" s="202" t="s">
        <v>1153</v>
      </c>
      <c r="AF1033" s="203" t="s">
        <v>1154</v>
      </c>
      <c r="AG1033" s="202"/>
      <c r="AH1033" s="203" t="s">
        <v>1155</v>
      </c>
      <c r="AI1033" s="202">
        <v>0</v>
      </c>
      <c r="AJ1033" s="202">
        <v>0</v>
      </c>
    </row>
    <row r="1034" spans="2:36">
      <c r="B1034" s="203">
        <v>2180</v>
      </c>
      <c r="C1034" s="207">
        <v>62499</v>
      </c>
      <c r="D1034" s="203" t="s">
        <v>97</v>
      </c>
      <c r="E1034" s="202" t="s">
        <v>1441</v>
      </c>
      <c r="F1034" s="203">
        <v>0</v>
      </c>
      <c r="G1034" s="202"/>
      <c r="H1034" s="202"/>
      <c r="I1034" s="202"/>
      <c r="J1034" s="202">
        <v>0</v>
      </c>
      <c r="K1034" s="202"/>
      <c r="L1034" s="202"/>
      <c r="M1034" s="202"/>
      <c r="N1034" s="206">
        <v>39783</v>
      </c>
      <c r="O1034" s="206">
        <v>39783</v>
      </c>
      <c r="P1034" s="202"/>
      <c r="Q1034" s="203">
        <v>0</v>
      </c>
      <c r="R1034" s="203">
        <v>15110</v>
      </c>
      <c r="S1034" s="204">
        <v>287171.49</v>
      </c>
      <c r="T1034" s="203">
        <v>15120</v>
      </c>
      <c r="U1034" s="204">
        <v>0</v>
      </c>
      <c r="V1034" s="204">
        <f t="shared" si="27"/>
        <v>287171.49</v>
      </c>
      <c r="W1034" s="205">
        <v>0</v>
      </c>
      <c r="X1034" s="203">
        <v>0</v>
      </c>
      <c r="Y1034" s="204">
        <v>0</v>
      </c>
      <c r="Z1034" s="202" t="s">
        <v>1153</v>
      </c>
      <c r="AA1034" s="202" t="s">
        <v>1439</v>
      </c>
      <c r="AB1034" s="202"/>
      <c r="AC1034" s="202"/>
      <c r="AD1034" s="202" t="s">
        <v>1152</v>
      </c>
      <c r="AE1034" s="202" t="s">
        <v>1153</v>
      </c>
      <c r="AF1034" s="203" t="s">
        <v>1382</v>
      </c>
      <c r="AG1034" s="202"/>
      <c r="AH1034" s="203" t="s">
        <v>1155</v>
      </c>
      <c r="AI1034" s="202">
        <v>0</v>
      </c>
      <c r="AJ1034" s="202">
        <v>0</v>
      </c>
    </row>
    <row r="1035" spans="2:36">
      <c r="B1035" s="203">
        <v>2180</v>
      </c>
      <c r="C1035" s="207">
        <v>62484</v>
      </c>
      <c r="D1035" s="203" t="s">
        <v>97</v>
      </c>
      <c r="E1035" s="202" t="s">
        <v>1440</v>
      </c>
      <c r="F1035" s="203">
        <v>0</v>
      </c>
      <c r="G1035" s="202"/>
      <c r="H1035" s="202"/>
      <c r="I1035" s="202"/>
      <c r="J1035" s="202">
        <v>0</v>
      </c>
      <c r="K1035" s="202"/>
      <c r="L1035" s="202"/>
      <c r="M1035" s="202"/>
      <c r="N1035" s="206">
        <v>39783</v>
      </c>
      <c r="O1035" s="206">
        <v>39783</v>
      </c>
      <c r="P1035" s="202"/>
      <c r="Q1035" s="203">
        <v>0</v>
      </c>
      <c r="R1035" s="203">
        <v>15110</v>
      </c>
      <c r="S1035" s="204">
        <v>584477.31999999995</v>
      </c>
      <c r="T1035" s="203">
        <v>15120</v>
      </c>
      <c r="U1035" s="204">
        <v>0</v>
      </c>
      <c r="V1035" s="204">
        <f t="shared" si="27"/>
        <v>584477.31999999995</v>
      </c>
      <c r="W1035" s="205">
        <v>0</v>
      </c>
      <c r="X1035" s="203">
        <v>0</v>
      </c>
      <c r="Y1035" s="204">
        <v>0</v>
      </c>
      <c r="Z1035" s="202" t="s">
        <v>1153</v>
      </c>
      <c r="AA1035" s="202" t="s">
        <v>1439</v>
      </c>
      <c r="AB1035" s="202"/>
      <c r="AC1035" s="202"/>
      <c r="AD1035" s="202" t="s">
        <v>1152</v>
      </c>
      <c r="AE1035" s="202" t="s">
        <v>1153</v>
      </c>
      <c r="AF1035" s="203" t="s">
        <v>1382</v>
      </c>
      <c r="AG1035" s="202"/>
      <c r="AH1035" s="203" t="s">
        <v>1155</v>
      </c>
      <c r="AI1035" s="202">
        <v>0</v>
      </c>
      <c r="AJ1035" s="202">
        <v>0</v>
      </c>
    </row>
    <row r="1036" spans="2:36">
      <c r="B1036" s="203">
        <v>2180</v>
      </c>
      <c r="C1036" s="207">
        <v>61979</v>
      </c>
      <c r="D1036" s="203">
        <v>61977</v>
      </c>
      <c r="E1036" s="202" t="s">
        <v>1438</v>
      </c>
      <c r="F1036" s="203">
        <v>0</v>
      </c>
      <c r="G1036" s="202"/>
      <c r="H1036" s="202"/>
      <c r="I1036" s="202"/>
      <c r="J1036" s="202">
        <v>0</v>
      </c>
      <c r="K1036" s="202" t="s">
        <v>1435</v>
      </c>
      <c r="L1036" s="202"/>
      <c r="M1036" s="202"/>
      <c r="N1036" s="206">
        <v>39752</v>
      </c>
      <c r="O1036" s="206">
        <v>39752</v>
      </c>
      <c r="P1036" s="202" t="s">
        <v>1432</v>
      </c>
      <c r="Q1036" s="203">
        <v>300</v>
      </c>
      <c r="R1036" s="203">
        <v>14110</v>
      </c>
      <c r="S1036" s="204">
        <v>900.9</v>
      </c>
      <c r="T1036" s="203">
        <v>14116</v>
      </c>
      <c r="U1036" s="204">
        <v>900.9</v>
      </c>
      <c r="V1036" s="204">
        <f t="shared" si="27"/>
        <v>0</v>
      </c>
      <c r="W1036" s="205">
        <v>0</v>
      </c>
      <c r="X1036" s="203">
        <v>70260</v>
      </c>
      <c r="Y1036" s="204">
        <v>0</v>
      </c>
      <c r="Z1036" s="202" t="s">
        <v>97</v>
      </c>
      <c r="AA1036" s="202"/>
      <c r="AB1036" s="202" t="s">
        <v>1437</v>
      </c>
      <c r="AC1036" s="202"/>
      <c r="AD1036" s="202" t="s">
        <v>1152</v>
      </c>
      <c r="AE1036" s="202" t="s">
        <v>1153</v>
      </c>
      <c r="AF1036" s="203" t="s">
        <v>1154</v>
      </c>
      <c r="AG1036" s="202"/>
      <c r="AH1036" s="203" t="s">
        <v>1155</v>
      </c>
      <c r="AI1036" s="202">
        <v>0</v>
      </c>
      <c r="AJ1036" s="202">
        <v>0</v>
      </c>
    </row>
    <row r="1037" spans="2:36">
      <c r="B1037" s="203">
        <v>2180</v>
      </c>
      <c r="C1037" s="207">
        <v>61978</v>
      </c>
      <c r="D1037" s="203">
        <v>61977</v>
      </c>
      <c r="E1037" s="202" t="s">
        <v>1436</v>
      </c>
      <c r="F1037" s="203">
        <v>0</v>
      </c>
      <c r="G1037" s="202"/>
      <c r="H1037" s="202"/>
      <c r="I1037" s="202"/>
      <c r="J1037" s="202">
        <v>0</v>
      </c>
      <c r="K1037" s="202" t="s">
        <v>1435</v>
      </c>
      <c r="L1037" s="202"/>
      <c r="M1037" s="202"/>
      <c r="N1037" s="206">
        <v>39752</v>
      </c>
      <c r="O1037" s="206">
        <v>39752</v>
      </c>
      <c r="P1037" s="202" t="s">
        <v>1432</v>
      </c>
      <c r="Q1037" s="203">
        <v>300</v>
      </c>
      <c r="R1037" s="203">
        <v>14110</v>
      </c>
      <c r="S1037" s="204">
        <v>845.68</v>
      </c>
      <c r="T1037" s="203">
        <v>14116</v>
      </c>
      <c r="U1037" s="204">
        <v>845.68</v>
      </c>
      <c r="V1037" s="204">
        <f t="shared" si="27"/>
        <v>0</v>
      </c>
      <c r="W1037" s="205">
        <v>0</v>
      </c>
      <c r="X1037" s="203">
        <v>70260</v>
      </c>
      <c r="Y1037" s="204">
        <v>0</v>
      </c>
      <c r="Z1037" s="202" t="s">
        <v>97</v>
      </c>
      <c r="AA1037" s="202"/>
      <c r="AB1037" s="202" t="s">
        <v>1434</v>
      </c>
      <c r="AC1037" s="202"/>
      <c r="AD1037" s="202" t="s">
        <v>1152</v>
      </c>
      <c r="AE1037" s="202" t="s">
        <v>1153</v>
      </c>
      <c r="AF1037" s="203" t="s">
        <v>1154</v>
      </c>
      <c r="AG1037" s="202"/>
      <c r="AH1037" s="203" t="s">
        <v>1155</v>
      </c>
      <c r="AI1037" s="202">
        <v>0</v>
      </c>
      <c r="AJ1037" s="202">
        <v>0</v>
      </c>
    </row>
    <row r="1038" spans="2:36">
      <c r="B1038" s="203">
        <v>2180</v>
      </c>
      <c r="C1038" s="207">
        <v>61977</v>
      </c>
      <c r="D1038" s="203" t="s">
        <v>97</v>
      </c>
      <c r="E1038" s="202" t="s">
        <v>1433</v>
      </c>
      <c r="F1038" s="203">
        <v>0</v>
      </c>
      <c r="G1038" s="202"/>
      <c r="H1038" s="202"/>
      <c r="I1038" s="202"/>
      <c r="J1038" s="202">
        <v>0</v>
      </c>
      <c r="K1038" s="202" t="s">
        <v>1429</v>
      </c>
      <c r="L1038" s="202"/>
      <c r="M1038" s="202"/>
      <c r="N1038" s="206">
        <v>39752</v>
      </c>
      <c r="O1038" s="206">
        <v>39752</v>
      </c>
      <c r="P1038" s="202" t="s">
        <v>1432</v>
      </c>
      <c r="Q1038" s="203">
        <v>300</v>
      </c>
      <c r="R1038" s="203">
        <v>14110</v>
      </c>
      <c r="S1038" s="204">
        <v>3309.76</v>
      </c>
      <c r="T1038" s="203">
        <v>14116</v>
      </c>
      <c r="U1038" s="204">
        <v>3309.76</v>
      </c>
      <c r="V1038" s="204">
        <f t="shared" ref="V1038:V1064" si="28">S1038-U1038</f>
        <v>0</v>
      </c>
      <c r="W1038" s="205">
        <v>0</v>
      </c>
      <c r="X1038" s="203">
        <v>70260</v>
      </c>
      <c r="Y1038" s="204">
        <v>0</v>
      </c>
      <c r="Z1038" s="202" t="s">
        <v>97</v>
      </c>
      <c r="AA1038" s="202"/>
      <c r="AB1038" s="202" t="s">
        <v>1431</v>
      </c>
      <c r="AC1038" s="202"/>
      <c r="AD1038" s="202" t="s">
        <v>1152</v>
      </c>
      <c r="AE1038" s="202" t="s">
        <v>1153</v>
      </c>
      <c r="AF1038" s="203" t="s">
        <v>1154</v>
      </c>
      <c r="AG1038" s="202"/>
      <c r="AH1038" s="203" t="s">
        <v>1155</v>
      </c>
      <c r="AI1038" s="202">
        <v>0</v>
      </c>
      <c r="AJ1038" s="202">
        <v>0</v>
      </c>
    </row>
    <row r="1039" spans="2:36">
      <c r="B1039" s="203">
        <v>2180</v>
      </c>
      <c r="C1039" s="207">
        <v>61976</v>
      </c>
      <c r="D1039" s="203" t="s">
        <v>97</v>
      </c>
      <c r="E1039" s="202" t="s">
        <v>1430</v>
      </c>
      <c r="F1039" s="203">
        <v>0</v>
      </c>
      <c r="G1039" s="202"/>
      <c r="H1039" s="202"/>
      <c r="I1039" s="202"/>
      <c r="J1039" s="202">
        <v>0</v>
      </c>
      <c r="K1039" s="202" t="s">
        <v>1429</v>
      </c>
      <c r="L1039" s="202"/>
      <c r="M1039" s="202"/>
      <c r="N1039" s="206">
        <v>39790</v>
      </c>
      <c r="O1039" s="206">
        <v>39790</v>
      </c>
      <c r="P1039" s="202" t="s">
        <v>1425</v>
      </c>
      <c r="Q1039" s="203">
        <v>300</v>
      </c>
      <c r="R1039" s="203">
        <v>14110</v>
      </c>
      <c r="S1039" s="204">
        <v>82410.94</v>
      </c>
      <c r="T1039" s="203">
        <v>14116</v>
      </c>
      <c r="U1039" s="204">
        <v>82410.94</v>
      </c>
      <c r="V1039" s="204">
        <f t="shared" si="28"/>
        <v>0</v>
      </c>
      <c r="W1039" s="205">
        <v>0</v>
      </c>
      <c r="X1039" s="203">
        <v>70260</v>
      </c>
      <c r="Y1039" s="204">
        <v>0</v>
      </c>
      <c r="Z1039" s="202" t="s">
        <v>97</v>
      </c>
      <c r="AA1039" s="202"/>
      <c r="AB1039" s="202" t="s">
        <v>1428</v>
      </c>
      <c r="AC1039" s="202"/>
      <c r="AD1039" s="202" t="s">
        <v>1152</v>
      </c>
      <c r="AE1039" s="202" t="s">
        <v>1153</v>
      </c>
      <c r="AF1039" s="203" t="s">
        <v>1154</v>
      </c>
      <c r="AG1039" s="202"/>
      <c r="AH1039" s="203" t="s">
        <v>1155</v>
      </c>
      <c r="AI1039" s="202">
        <v>0</v>
      </c>
      <c r="AJ1039" s="202">
        <v>0</v>
      </c>
    </row>
    <row r="1040" spans="2:36">
      <c r="B1040" s="203">
        <v>2180</v>
      </c>
      <c r="C1040" s="207">
        <v>61685</v>
      </c>
      <c r="D1040" s="203" t="s">
        <v>97</v>
      </c>
      <c r="E1040" s="202" t="s">
        <v>1427</v>
      </c>
      <c r="F1040" s="203">
        <v>0</v>
      </c>
      <c r="G1040" s="202"/>
      <c r="H1040" s="202"/>
      <c r="I1040" s="202"/>
      <c r="J1040" s="202">
        <v>0</v>
      </c>
      <c r="K1040" s="202" t="s">
        <v>1426</v>
      </c>
      <c r="L1040" s="202"/>
      <c r="M1040" s="202"/>
      <c r="N1040" s="206">
        <v>39787</v>
      </c>
      <c r="O1040" s="206">
        <v>39787</v>
      </c>
      <c r="P1040" s="202" t="s">
        <v>1425</v>
      </c>
      <c r="Q1040" s="203">
        <v>300</v>
      </c>
      <c r="R1040" s="203">
        <v>14110</v>
      </c>
      <c r="S1040" s="204">
        <v>36600</v>
      </c>
      <c r="T1040" s="203">
        <v>14116</v>
      </c>
      <c r="U1040" s="204">
        <v>36600</v>
      </c>
      <c r="V1040" s="204">
        <f t="shared" si="28"/>
        <v>0</v>
      </c>
      <c r="W1040" s="205">
        <v>0</v>
      </c>
      <c r="X1040" s="203">
        <v>70260</v>
      </c>
      <c r="Y1040" s="204">
        <v>0</v>
      </c>
      <c r="Z1040" s="202" t="s">
        <v>97</v>
      </c>
      <c r="AA1040" s="202"/>
      <c r="AB1040" s="202">
        <v>351230</v>
      </c>
      <c r="AC1040" s="202"/>
      <c r="AD1040" s="202" t="s">
        <v>1152</v>
      </c>
      <c r="AE1040" s="202" t="s">
        <v>1153</v>
      </c>
      <c r="AF1040" s="203" t="s">
        <v>1154</v>
      </c>
      <c r="AG1040" s="202"/>
      <c r="AH1040" s="203" t="s">
        <v>1155</v>
      </c>
      <c r="AI1040" s="202">
        <v>0</v>
      </c>
      <c r="AJ1040" s="202">
        <v>0</v>
      </c>
    </row>
    <row r="1041" spans="2:36">
      <c r="B1041" s="203">
        <v>2180</v>
      </c>
      <c r="C1041" s="207">
        <v>61477</v>
      </c>
      <c r="D1041" s="203" t="s">
        <v>97</v>
      </c>
      <c r="E1041" s="202" t="s">
        <v>1424</v>
      </c>
      <c r="F1041" s="203">
        <v>0</v>
      </c>
      <c r="G1041" s="202"/>
      <c r="H1041" s="202"/>
      <c r="I1041" s="202"/>
      <c r="J1041" s="202">
        <v>0</v>
      </c>
      <c r="K1041" s="202"/>
      <c r="L1041" s="202"/>
      <c r="M1041" s="202"/>
      <c r="N1041" s="206">
        <v>39755</v>
      </c>
      <c r="O1041" s="206">
        <v>39755</v>
      </c>
      <c r="P1041" s="202"/>
      <c r="Q1041" s="203">
        <v>0</v>
      </c>
      <c r="R1041" s="203">
        <v>15260</v>
      </c>
      <c r="S1041" s="204">
        <v>23804343</v>
      </c>
      <c r="T1041" s="203">
        <v>15266</v>
      </c>
      <c r="U1041" s="204">
        <v>0</v>
      </c>
      <c r="V1041" s="204">
        <f t="shared" si="28"/>
        <v>23804343</v>
      </c>
      <c r="W1041" s="205">
        <v>0</v>
      </c>
      <c r="X1041" s="203"/>
      <c r="Y1041" s="204">
        <v>0</v>
      </c>
      <c r="Z1041" s="202" t="s">
        <v>1153</v>
      </c>
      <c r="AA1041" s="202" t="s">
        <v>1383</v>
      </c>
      <c r="AB1041" s="202"/>
      <c r="AC1041" s="202"/>
      <c r="AD1041" s="202" t="s">
        <v>1152</v>
      </c>
      <c r="AE1041" s="202" t="s">
        <v>1153</v>
      </c>
      <c r="AF1041" s="203" t="s">
        <v>1382</v>
      </c>
      <c r="AG1041" s="202"/>
      <c r="AH1041" s="203" t="s">
        <v>1155</v>
      </c>
      <c r="AI1041" s="202">
        <v>0</v>
      </c>
      <c r="AJ1041" s="202">
        <v>0</v>
      </c>
    </row>
    <row r="1042" spans="2:36">
      <c r="B1042" s="203">
        <v>2180</v>
      </c>
      <c r="C1042" s="207">
        <v>61476</v>
      </c>
      <c r="D1042" s="203" t="s">
        <v>97</v>
      </c>
      <c r="E1042" s="202" t="s">
        <v>1423</v>
      </c>
      <c r="F1042" s="203"/>
      <c r="G1042" s="202"/>
      <c r="H1042" s="202"/>
      <c r="I1042" s="202"/>
      <c r="J1042" s="202">
        <v>0</v>
      </c>
      <c r="K1042" s="202"/>
      <c r="L1042" s="202"/>
      <c r="M1042" s="202"/>
      <c r="N1042" s="206">
        <v>39755</v>
      </c>
      <c r="O1042" s="206">
        <v>39755</v>
      </c>
      <c r="P1042" s="202"/>
      <c r="Q1042" s="203">
        <v>2000</v>
      </c>
      <c r="R1042" s="203">
        <v>14080</v>
      </c>
      <c r="S1042" s="204">
        <v>3530000</v>
      </c>
      <c r="T1042" s="203">
        <v>14086</v>
      </c>
      <c r="U1042" s="204">
        <v>2397458.33</v>
      </c>
      <c r="V1042" s="204">
        <f t="shared" si="28"/>
        <v>1132541.67</v>
      </c>
      <c r="W1042" s="205">
        <v>73541.67</v>
      </c>
      <c r="X1042" s="203">
        <v>57260</v>
      </c>
      <c r="Y1042" s="204">
        <v>14708.34</v>
      </c>
      <c r="Z1042" s="202" t="s">
        <v>1153</v>
      </c>
      <c r="AA1042" s="202" t="s">
        <v>1383</v>
      </c>
      <c r="AB1042" s="202"/>
      <c r="AC1042" s="202"/>
      <c r="AD1042" s="202" t="s">
        <v>1152</v>
      </c>
      <c r="AE1042" s="202" t="s">
        <v>1153</v>
      </c>
      <c r="AF1042" s="203" t="s">
        <v>1154</v>
      </c>
      <c r="AG1042" s="208">
        <v>41639</v>
      </c>
      <c r="AH1042" s="203" t="s">
        <v>1155</v>
      </c>
      <c r="AI1042" s="202">
        <v>1</v>
      </c>
      <c r="AJ1042" s="202">
        <v>911916.66</v>
      </c>
    </row>
    <row r="1043" spans="2:36">
      <c r="B1043" s="203">
        <v>2180</v>
      </c>
      <c r="C1043" s="207">
        <v>61475</v>
      </c>
      <c r="D1043" s="203" t="s">
        <v>97</v>
      </c>
      <c r="E1043" s="202" t="s">
        <v>1422</v>
      </c>
      <c r="F1043" s="203">
        <v>42</v>
      </c>
      <c r="G1043" s="202"/>
      <c r="H1043" s="202"/>
      <c r="I1043" s="202"/>
      <c r="J1043" s="202">
        <v>0</v>
      </c>
      <c r="K1043" s="202"/>
      <c r="L1043" s="202"/>
      <c r="M1043" s="202" t="s">
        <v>1421</v>
      </c>
      <c r="N1043" s="206">
        <v>39755</v>
      </c>
      <c r="O1043" s="206">
        <v>39755</v>
      </c>
      <c r="P1043" s="202"/>
      <c r="Q1043" s="203">
        <v>1200</v>
      </c>
      <c r="R1043" s="203">
        <v>14050</v>
      </c>
      <c r="S1043" s="204">
        <v>10437.969999999999</v>
      </c>
      <c r="T1043" s="203">
        <v>14056</v>
      </c>
      <c r="U1043" s="204">
        <v>10437.969999999999</v>
      </c>
      <c r="V1043" s="204">
        <f t="shared" si="28"/>
        <v>0</v>
      </c>
      <c r="W1043" s="205">
        <v>0</v>
      </c>
      <c r="X1043" s="203">
        <v>54260</v>
      </c>
      <c r="Y1043" s="204">
        <v>0</v>
      </c>
      <c r="Z1043" s="202" t="s">
        <v>1153</v>
      </c>
      <c r="AA1043" s="202" t="s">
        <v>1383</v>
      </c>
      <c r="AB1043" s="202"/>
      <c r="AC1043" s="202"/>
      <c r="AD1043" s="202" t="s">
        <v>1152</v>
      </c>
      <c r="AE1043" s="202" t="s">
        <v>1153</v>
      </c>
      <c r="AF1043" s="203" t="s">
        <v>1154</v>
      </c>
      <c r="AG1043" s="208">
        <v>39933</v>
      </c>
      <c r="AH1043" s="203" t="s">
        <v>1155</v>
      </c>
      <c r="AI1043" s="202">
        <v>22</v>
      </c>
      <c r="AJ1043" s="202">
        <v>434.91</v>
      </c>
    </row>
    <row r="1044" spans="2:36">
      <c r="B1044" s="203">
        <v>2180</v>
      </c>
      <c r="C1044" s="207">
        <v>61473</v>
      </c>
      <c r="D1044" s="203" t="s">
        <v>97</v>
      </c>
      <c r="E1044" s="202" t="s">
        <v>1420</v>
      </c>
      <c r="F1044" s="203">
        <v>2151</v>
      </c>
      <c r="G1044" s="202"/>
      <c r="H1044" s="202"/>
      <c r="I1044" s="202"/>
      <c r="J1044" s="202">
        <v>0</v>
      </c>
      <c r="K1044" s="202"/>
      <c r="L1044" s="202"/>
      <c r="M1044" s="202"/>
      <c r="N1044" s="206">
        <v>39755</v>
      </c>
      <c r="O1044" s="206">
        <v>39755</v>
      </c>
      <c r="P1044" s="202"/>
      <c r="Q1044" s="203">
        <v>700</v>
      </c>
      <c r="R1044" s="203">
        <v>14050</v>
      </c>
      <c r="S1044" s="204">
        <v>95070</v>
      </c>
      <c r="T1044" s="203">
        <v>14056</v>
      </c>
      <c r="U1044" s="204">
        <v>95070</v>
      </c>
      <c r="V1044" s="204">
        <f t="shared" si="28"/>
        <v>0</v>
      </c>
      <c r="W1044" s="205">
        <v>0</v>
      </c>
      <c r="X1044" s="203">
        <v>54260</v>
      </c>
      <c r="Y1044" s="204">
        <v>0</v>
      </c>
      <c r="Z1044" s="202" t="s">
        <v>1153</v>
      </c>
      <c r="AA1044" s="202" t="s">
        <v>1383</v>
      </c>
      <c r="AB1044" s="202"/>
      <c r="AC1044" s="202"/>
      <c r="AD1044" s="202" t="s">
        <v>1152</v>
      </c>
      <c r="AE1044" s="202" t="s">
        <v>1153</v>
      </c>
      <c r="AF1044" s="203" t="s">
        <v>1154</v>
      </c>
      <c r="AG1044" s="202"/>
      <c r="AH1044" s="203" t="s">
        <v>1155</v>
      </c>
      <c r="AI1044" s="202">
        <v>0</v>
      </c>
      <c r="AJ1044" s="202">
        <v>0</v>
      </c>
    </row>
    <row r="1045" spans="2:36">
      <c r="B1045" s="203">
        <v>2180</v>
      </c>
      <c r="C1045" s="207">
        <v>61472</v>
      </c>
      <c r="D1045" s="203" t="s">
        <v>97</v>
      </c>
      <c r="E1045" s="202" t="s">
        <v>1419</v>
      </c>
      <c r="F1045" s="203">
        <v>100486</v>
      </c>
      <c r="G1045" s="202"/>
      <c r="H1045" s="202"/>
      <c r="I1045" s="202"/>
      <c r="J1045" s="202">
        <v>0</v>
      </c>
      <c r="K1045" s="202"/>
      <c r="L1045" s="202"/>
      <c r="M1045" s="202"/>
      <c r="N1045" s="206">
        <v>39755</v>
      </c>
      <c r="O1045" s="206">
        <v>39755</v>
      </c>
      <c r="P1045" s="202"/>
      <c r="Q1045" s="203">
        <v>500</v>
      </c>
      <c r="R1045" s="203">
        <v>14050</v>
      </c>
      <c r="S1045" s="204">
        <v>1004860</v>
      </c>
      <c r="T1045" s="203">
        <v>14056</v>
      </c>
      <c r="U1045" s="204">
        <v>1004860</v>
      </c>
      <c r="V1045" s="204">
        <f t="shared" si="28"/>
        <v>0</v>
      </c>
      <c r="W1045" s="205">
        <v>0</v>
      </c>
      <c r="X1045" s="203">
        <v>54260</v>
      </c>
      <c r="Y1045" s="204">
        <v>0</v>
      </c>
      <c r="Z1045" s="202" t="s">
        <v>1153</v>
      </c>
      <c r="AA1045" s="202" t="s">
        <v>1383</v>
      </c>
      <c r="AB1045" s="202"/>
      <c r="AC1045" s="202"/>
      <c r="AD1045" s="202" t="s">
        <v>1152</v>
      </c>
      <c r="AE1045" s="202" t="s">
        <v>1153</v>
      </c>
      <c r="AF1045" s="203" t="s">
        <v>1154</v>
      </c>
      <c r="AG1045" s="202"/>
      <c r="AH1045" s="203" t="s">
        <v>1155</v>
      </c>
      <c r="AI1045" s="202">
        <v>0</v>
      </c>
      <c r="AJ1045" s="202">
        <v>0</v>
      </c>
    </row>
    <row r="1046" spans="2:36">
      <c r="B1046" s="203">
        <v>2180</v>
      </c>
      <c r="C1046" s="207">
        <v>61471</v>
      </c>
      <c r="D1046" s="203" t="s">
        <v>97</v>
      </c>
      <c r="E1046" s="202" t="s">
        <v>1418</v>
      </c>
      <c r="F1046" s="203">
        <v>3</v>
      </c>
      <c r="G1046" s="202"/>
      <c r="H1046" s="202"/>
      <c r="I1046" s="202"/>
      <c r="J1046" s="202">
        <v>0</v>
      </c>
      <c r="K1046" s="202"/>
      <c r="L1046" s="202"/>
      <c r="M1046" s="202" t="s">
        <v>1417</v>
      </c>
      <c r="N1046" s="206">
        <v>39755</v>
      </c>
      <c r="O1046" s="206">
        <v>39755</v>
      </c>
      <c r="P1046" s="202"/>
      <c r="Q1046" s="203">
        <v>700</v>
      </c>
      <c r="R1046" s="203">
        <v>14050</v>
      </c>
      <c r="S1046" s="204">
        <v>32906.25</v>
      </c>
      <c r="T1046" s="203">
        <v>14056</v>
      </c>
      <c r="U1046" s="204">
        <v>32906.25</v>
      </c>
      <c r="V1046" s="204">
        <f t="shared" si="28"/>
        <v>0</v>
      </c>
      <c r="W1046" s="205">
        <v>0</v>
      </c>
      <c r="X1046" s="203">
        <v>54260</v>
      </c>
      <c r="Y1046" s="204">
        <v>0</v>
      </c>
      <c r="Z1046" s="202" t="s">
        <v>1153</v>
      </c>
      <c r="AA1046" s="202" t="s">
        <v>1383</v>
      </c>
      <c r="AB1046" s="202"/>
      <c r="AC1046" s="202"/>
      <c r="AD1046" s="202" t="s">
        <v>1152</v>
      </c>
      <c r="AE1046" s="202" t="s">
        <v>1153</v>
      </c>
      <c r="AF1046" s="203" t="s">
        <v>1154</v>
      </c>
      <c r="AG1046" s="208">
        <v>44681</v>
      </c>
      <c r="AH1046" s="203" t="s">
        <v>1155</v>
      </c>
      <c r="AI1046" s="202">
        <v>9</v>
      </c>
      <c r="AJ1046" s="202">
        <v>32906.25</v>
      </c>
    </row>
    <row r="1047" spans="2:36">
      <c r="B1047" s="203">
        <v>2180</v>
      </c>
      <c r="C1047" s="207">
        <v>61469</v>
      </c>
      <c r="D1047" s="203" t="s">
        <v>97</v>
      </c>
      <c r="E1047" s="202" t="s">
        <v>1416</v>
      </c>
      <c r="F1047" s="203">
        <v>0</v>
      </c>
      <c r="G1047" s="202"/>
      <c r="H1047" s="202"/>
      <c r="I1047" s="202"/>
      <c r="J1047" s="202">
        <v>0</v>
      </c>
      <c r="K1047" s="202"/>
      <c r="L1047" s="202"/>
      <c r="M1047" s="202"/>
      <c r="N1047" s="206">
        <v>39755</v>
      </c>
      <c r="O1047" s="206">
        <v>39755</v>
      </c>
      <c r="P1047" s="202"/>
      <c r="Q1047" s="203">
        <v>2000</v>
      </c>
      <c r="R1047" s="203">
        <v>14010</v>
      </c>
      <c r="S1047" s="204">
        <v>450000</v>
      </c>
      <c r="T1047" s="203">
        <v>14016</v>
      </c>
      <c r="U1047" s="204">
        <v>305625</v>
      </c>
      <c r="V1047" s="204">
        <f t="shared" si="28"/>
        <v>144375</v>
      </c>
      <c r="W1047" s="205">
        <v>9375</v>
      </c>
      <c r="X1047" s="203">
        <v>57260</v>
      </c>
      <c r="Y1047" s="204">
        <v>1875</v>
      </c>
      <c r="Z1047" s="202" t="s">
        <v>1153</v>
      </c>
      <c r="AA1047" s="202" t="s">
        <v>1383</v>
      </c>
      <c r="AB1047" s="202"/>
      <c r="AC1047" s="202"/>
      <c r="AD1047" s="202" t="s">
        <v>1152</v>
      </c>
      <c r="AE1047" s="202" t="s">
        <v>1153</v>
      </c>
      <c r="AF1047" s="203" t="s">
        <v>1154</v>
      </c>
      <c r="AG1047" s="202"/>
      <c r="AH1047" s="203" t="s">
        <v>1155</v>
      </c>
      <c r="AI1047" s="202">
        <v>0</v>
      </c>
      <c r="AJ1047" s="202">
        <v>0</v>
      </c>
    </row>
    <row r="1048" spans="2:36">
      <c r="B1048" s="203">
        <v>2180</v>
      </c>
      <c r="C1048" s="207">
        <v>60807</v>
      </c>
      <c r="D1048" s="203" t="s">
        <v>97</v>
      </c>
      <c r="E1048" s="202" t="s">
        <v>1415</v>
      </c>
      <c r="F1048" s="203">
        <v>0</v>
      </c>
      <c r="G1048" s="202"/>
      <c r="H1048" s="202"/>
      <c r="I1048" s="202"/>
      <c r="J1048" s="202">
        <v>0</v>
      </c>
      <c r="K1048" s="202"/>
      <c r="L1048" s="202"/>
      <c r="M1048" s="202"/>
      <c r="N1048" s="206">
        <v>39755</v>
      </c>
      <c r="O1048" s="206">
        <v>39755</v>
      </c>
      <c r="P1048" s="202"/>
      <c r="Q1048" s="203">
        <v>0</v>
      </c>
      <c r="R1048" s="203">
        <v>15110</v>
      </c>
      <c r="S1048" s="204">
        <v>3228855.86</v>
      </c>
      <c r="T1048" s="203">
        <v>15120</v>
      </c>
      <c r="U1048" s="204">
        <v>0</v>
      </c>
      <c r="V1048" s="204">
        <f t="shared" si="28"/>
        <v>3228855.86</v>
      </c>
      <c r="W1048" s="205">
        <v>0</v>
      </c>
      <c r="X1048" s="203"/>
      <c r="Y1048" s="204">
        <v>0</v>
      </c>
      <c r="Z1048" s="202" t="s">
        <v>1153</v>
      </c>
      <c r="AA1048" s="202" t="s">
        <v>1383</v>
      </c>
      <c r="AB1048" s="202"/>
      <c r="AC1048" s="202"/>
      <c r="AD1048" s="202" t="s">
        <v>1152</v>
      </c>
      <c r="AE1048" s="202" t="s">
        <v>1153</v>
      </c>
      <c r="AF1048" s="203" t="s">
        <v>1382</v>
      </c>
      <c r="AG1048" s="202"/>
      <c r="AH1048" s="203" t="s">
        <v>1155</v>
      </c>
      <c r="AI1048" s="202">
        <v>0</v>
      </c>
      <c r="AJ1048" s="202">
        <v>0</v>
      </c>
    </row>
    <row r="1049" spans="2:36">
      <c r="B1049" s="203">
        <v>2180</v>
      </c>
      <c r="C1049" s="207">
        <v>60806</v>
      </c>
      <c r="D1049" s="203" t="s">
        <v>97</v>
      </c>
      <c r="E1049" s="202" t="s">
        <v>1414</v>
      </c>
      <c r="F1049" s="203">
        <v>0</v>
      </c>
      <c r="G1049" s="202"/>
      <c r="H1049" s="202"/>
      <c r="I1049" s="202"/>
      <c r="J1049" s="202">
        <v>0</v>
      </c>
      <c r="K1049" s="202"/>
      <c r="L1049" s="202"/>
      <c r="M1049" s="202"/>
      <c r="N1049" s="206">
        <v>39755</v>
      </c>
      <c r="O1049" s="206">
        <v>39755</v>
      </c>
      <c r="P1049" s="202"/>
      <c r="Q1049" s="203">
        <v>300</v>
      </c>
      <c r="R1049" s="203">
        <v>14070</v>
      </c>
      <c r="S1049" s="204">
        <v>1000</v>
      </c>
      <c r="T1049" s="203">
        <v>14076</v>
      </c>
      <c r="U1049" s="204">
        <v>1000</v>
      </c>
      <c r="V1049" s="204">
        <f t="shared" si="28"/>
        <v>0</v>
      </c>
      <c r="W1049" s="205">
        <v>0</v>
      </c>
      <c r="X1049" s="203">
        <v>51260</v>
      </c>
      <c r="Y1049" s="204">
        <v>0</v>
      </c>
      <c r="Z1049" s="202" t="s">
        <v>1153</v>
      </c>
      <c r="AA1049" s="202" t="s">
        <v>1383</v>
      </c>
      <c r="AB1049" s="202"/>
      <c r="AC1049" s="202"/>
      <c r="AD1049" s="202" t="s">
        <v>1152</v>
      </c>
      <c r="AE1049" s="202" t="s">
        <v>1153</v>
      </c>
      <c r="AF1049" s="203" t="s">
        <v>1154</v>
      </c>
      <c r="AG1049" s="202"/>
      <c r="AH1049" s="203" t="s">
        <v>1155</v>
      </c>
      <c r="AI1049" s="202">
        <v>0</v>
      </c>
      <c r="AJ1049" s="202">
        <v>0</v>
      </c>
    </row>
    <row r="1050" spans="2:36">
      <c r="B1050" s="203">
        <v>2180</v>
      </c>
      <c r="C1050" s="207">
        <v>60804</v>
      </c>
      <c r="D1050" s="203" t="s">
        <v>97</v>
      </c>
      <c r="E1050" s="202" t="s">
        <v>1413</v>
      </c>
      <c r="F1050" s="203">
        <v>0</v>
      </c>
      <c r="G1050" s="202"/>
      <c r="H1050" s="202">
        <v>3015080598</v>
      </c>
      <c r="I1050" s="202"/>
      <c r="J1050" s="202">
        <v>1990</v>
      </c>
      <c r="K1050" s="202" t="s">
        <v>1255</v>
      </c>
      <c r="L1050" s="202" t="s">
        <v>1255</v>
      </c>
      <c r="M1050" s="202" t="s">
        <v>1412</v>
      </c>
      <c r="N1050" s="206">
        <v>39755</v>
      </c>
      <c r="O1050" s="206">
        <v>39755</v>
      </c>
      <c r="P1050" s="202"/>
      <c r="Q1050" s="203">
        <v>300</v>
      </c>
      <c r="R1050" s="203">
        <v>14030</v>
      </c>
      <c r="S1050" s="204">
        <v>2500</v>
      </c>
      <c r="T1050" s="203">
        <v>14036</v>
      </c>
      <c r="U1050" s="204">
        <v>2500</v>
      </c>
      <c r="V1050" s="204">
        <f t="shared" si="28"/>
        <v>0</v>
      </c>
      <c r="W1050" s="205">
        <v>0</v>
      </c>
      <c r="X1050" s="203">
        <v>51260</v>
      </c>
      <c r="Y1050" s="204">
        <v>0</v>
      </c>
      <c r="Z1050" s="202" t="s">
        <v>1153</v>
      </c>
      <c r="AA1050" s="202" t="s">
        <v>1383</v>
      </c>
      <c r="AB1050" s="202"/>
      <c r="AC1050" s="202">
        <v>7988</v>
      </c>
      <c r="AD1050" s="202" t="s">
        <v>1152</v>
      </c>
      <c r="AE1050" s="202" t="s">
        <v>1153</v>
      </c>
      <c r="AF1050" s="203" t="s">
        <v>1154</v>
      </c>
      <c r="AG1050" s="202"/>
      <c r="AH1050" s="203" t="s">
        <v>1155</v>
      </c>
      <c r="AI1050" s="202">
        <v>0</v>
      </c>
      <c r="AJ1050" s="202">
        <v>0</v>
      </c>
    </row>
    <row r="1051" spans="2:36">
      <c r="B1051" s="203">
        <v>2180</v>
      </c>
      <c r="C1051" s="207">
        <v>60790</v>
      </c>
      <c r="D1051" s="203" t="s">
        <v>97</v>
      </c>
      <c r="E1051" s="202" t="s">
        <v>1408</v>
      </c>
      <c r="F1051" s="203">
        <v>0</v>
      </c>
      <c r="G1051" s="202"/>
      <c r="H1051" s="202" t="s">
        <v>1411</v>
      </c>
      <c r="I1051" s="202"/>
      <c r="J1051" s="202">
        <v>2007</v>
      </c>
      <c r="K1051" s="202" t="s">
        <v>1406</v>
      </c>
      <c r="L1051" s="202" t="s">
        <v>1405</v>
      </c>
      <c r="M1051" s="202" t="s">
        <v>1404</v>
      </c>
      <c r="N1051" s="206">
        <v>39755</v>
      </c>
      <c r="O1051" s="206">
        <v>39755</v>
      </c>
      <c r="P1051" s="202"/>
      <c r="Q1051" s="203">
        <v>800</v>
      </c>
      <c r="R1051" s="203">
        <v>14040</v>
      </c>
      <c r="S1051" s="204">
        <v>133500</v>
      </c>
      <c r="T1051" s="203">
        <v>14046</v>
      </c>
      <c r="U1051" s="204">
        <v>133500</v>
      </c>
      <c r="V1051" s="204">
        <f t="shared" si="28"/>
        <v>0</v>
      </c>
      <c r="W1051" s="205">
        <v>0</v>
      </c>
      <c r="X1051" s="203">
        <v>51260</v>
      </c>
      <c r="Y1051" s="204">
        <v>0</v>
      </c>
      <c r="Z1051" s="202" t="s">
        <v>1153</v>
      </c>
      <c r="AA1051" s="202" t="s">
        <v>1383</v>
      </c>
      <c r="AB1051" s="202"/>
      <c r="AC1051" s="202">
        <v>3620</v>
      </c>
      <c r="AD1051" s="202" t="s">
        <v>1152</v>
      </c>
      <c r="AE1051" s="202" t="s">
        <v>1153</v>
      </c>
      <c r="AF1051" s="203" t="s">
        <v>1154</v>
      </c>
      <c r="AG1051" s="202"/>
      <c r="AH1051" s="203" t="s">
        <v>1155</v>
      </c>
      <c r="AI1051" s="202">
        <v>0</v>
      </c>
      <c r="AJ1051" s="202">
        <v>0</v>
      </c>
    </row>
    <row r="1052" spans="2:36">
      <c r="B1052" s="203">
        <v>2180</v>
      </c>
      <c r="C1052" s="207">
        <v>60789</v>
      </c>
      <c r="D1052" s="203" t="s">
        <v>97</v>
      </c>
      <c r="E1052" s="202" t="s">
        <v>1408</v>
      </c>
      <c r="F1052" s="203">
        <v>0</v>
      </c>
      <c r="G1052" s="202"/>
      <c r="H1052" s="202" t="s">
        <v>1410</v>
      </c>
      <c r="I1052" s="202"/>
      <c r="J1052" s="202">
        <v>2007</v>
      </c>
      <c r="K1052" s="202" t="s">
        <v>1406</v>
      </c>
      <c r="L1052" s="202" t="s">
        <v>1405</v>
      </c>
      <c r="M1052" s="202" t="s">
        <v>1404</v>
      </c>
      <c r="N1052" s="206">
        <v>39755</v>
      </c>
      <c r="O1052" s="206">
        <v>39755</v>
      </c>
      <c r="P1052" s="202"/>
      <c r="Q1052" s="203">
        <v>800</v>
      </c>
      <c r="R1052" s="203">
        <v>14040</v>
      </c>
      <c r="S1052" s="204">
        <v>133500</v>
      </c>
      <c r="T1052" s="203">
        <v>14046</v>
      </c>
      <c r="U1052" s="204">
        <v>133500</v>
      </c>
      <c r="V1052" s="204">
        <f t="shared" si="28"/>
        <v>0</v>
      </c>
      <c r="W1052" s="205">
        <v>0</v>
      </c>
      <c r="X1052" s="203">
        <v>51260</v>
      </c>
      <c r="Y1052" s="204">
        <v>0</v>
      </c>
      <c r="Z1052" s="202" t="s">
        <v>1153</v>
      </c>
      <c r="AA1052" s="202" t="s">
        <v>1383</v>
      </c>
      <c r="AB1052" s="202"/>
      <c r="AC1052" s="202">
        <v>3619</v>
      </c>
      <c r="AD1052" s="202" t="s">
        <v>1152</v>
      </c>
      <c r="AE1052" s="202" t="s">
        <v>1153</v>
      </c>
      <c r="AF1052" s="203" t="s">
        <v>1154</v>
      </c>
      <c r="AG1052" s="202"/>
      <c r="AH1052" s="203" t="s">
        <v>1155</v>
      </c>
      <c r="AI1052" s="202">
        <v>0</v>
      </c>
      <c r="AJ1052" s="202">
        <v>0</v>
      </c>
    </row>
    <row r="1053" spans="2:36">
      <c r="B1053" s="203">
        <v>2180</v>
      </c>
      <c r="C1053" s="207">
        <v>60787</v>
      </c>
      <c r="D1053" s="203" t="s">
        <v>97</v>
      </c>
      <c r="E1053" s="202" t="s">
        <v>1408</v>
      </c>
      <c r="F1053" s="203">
        <v>0</v>
      </c>
      <c r="G1053" s="202"/>
      <c r="H1053" s="202" t="s">
        <v>1409</v>
      </c>
      <c r="I1053" s="202"/>
      <c r="J1053" s="202">
        <v>2007</v>
      </c>
      <c r="K1053" s="202" t="s">
        <v>1406</v>
      </c>
      <c r="L1053" s="202" t="s">
        <v>1405</v>
      </c>
      <c r="M1053" s="202" t="s">
        <v>1404</v>
      </c>
      <c r="N1053" s="206">
        <v>39755</v>
      </c>
      <c r="O1053" s="206">
        <v>39755</v>
      </c>
      <c r="P1053" s="202"/>
      <c r="Q1053" s="203">
        <v>800</v>
      </c>
      <c r="R1053" s="203">
        <v>14040</v>
      </c>
      <c r="S1053" s="204">
        <v>133500</v>
      </c>
      <c r="T1053" s="203">
        <v>14046</v>
      </c>
      <c r="U1053" s="204">
        <v>133500</v>
      </c>
      <c r="V1053" s="204">
        <f t="shared" si="28"/>
        <v>0</v>
      </c>
      <c r="W1053" s="205">
        <v>0</v>
      </c>
      <c r="X1053" s="203">
        <v>51260</v>
      </c>
      <c r="Y1053" s="204">
        <v>0</v>
      </c>
      <c r="Z1053" s="202" t="s">
        <v>1153</v>
      </c>
      <c r="AA1053" s="202" t="s">
        <v>1383</v>
      </c>
      <c r="AB1053" s="202"/>
      <c r="AC1053" s="202">
        <v>3617</v>
      </c>
      <c r="AD1053" s="202" t="s">
        <v>1152</v>
      </c>
      <c r="AE1053" s="202" t="s">
        <v>1153</v>
      </c>
      <c r="AF1053" s="203" t="s">
        <v>1154</v>
      </c>
      <c r="AG1053" s="202"/>
      <c r="AH1053" s="203" t="s">
        <v>1155</v>
      </c>
      <c r="AI1053" s="202">
        <v>0</v>
      </c>
      <c r="AJ1053" s="202">
        <v>0</v>
      </c>
    </row>
    <row r="1054" spans="2:36">
      <c r="B1054" s="203">
        <v>2180</v>
      </c>
      <c r="C1054" s="207">
        <v>60786</v>
      </c>
      <c r="D1054" s="203" t="s">
        <v>97</v>
      </c>
      <c r="E1054" s="202" t="s">
        <v>1408</v>
      </c>
      <c r="F1054" s="203">
        <v>0</v>
      </c>
      <c r="G1054" s="202"/>
      <c r="H1054" s="202" t="s">
        <v>1407</v>
      </c>
      <c r="I1054" s="202"/>
      <c r="J1054" s="202">
        <v>2007</v>
      </c>
      <c r="K1054" s="202" t="s">
        <v>1406</v>
      </c>
      <c r="L1054" s="202" t="s">
        <v>1405</v>
      </c>
      <c r="M1054" s="202" t="s">
        <v>1404</v>
      </c>
      <c r="N1054" s="206">
        <v>39755</v>
      </c>
      <c r="O1054" s="206">
        <v>39755</v>
      </c>
      <c r="P1054" s="202"/>
      <c r="Q1054" s="203">
        <v>800</v>
      </c>
      <c r="R1054" s="203">
        <v>14040</v>
      </c>
      <c r="S1054" s="204">
        <v>133500</v>
      </c>
      <c r="T1054" s="203">
        <v>14046</v>
      </c>
      <c r="U1054" s="204">
        <v>133500</v>
      </c>
      <c r="V1054" s="204">
        <f t="shared" si="28"/>
        <v>0</v>
      </c>
      <c r="W1054" s="205">
        <v>0</v>
      </c>
      <c r="X1054" s="203">
        <v>51260</v>
      </c>
      <c r="Y1054" s="204">
        <v>0</v>
      </c>
      <c r="Z1054" s="202" t="s">
        <v>1153</v>
      </c>
      <c r="AA1054" s="202" t="s">
        <v>1383</v>
      </c>
      <c r="AB1054" s="202"/>
      <c r="AC1054" s="202">
        <v>3616</v>
      </c>
      <c r="AD1054" s="202" t="s">
        <v>1152</v>
      </c>
      <c r="AE1054" s="202" t="s">
        <v>1153</v>
      </c>
      <c r="AF1054" s="203" t="s">
        <v>1154</v>
      </c>
      <c r="AG1054" s="202"/>
      <c r="AH1054" s="203" t="s">
        <v>1155</v>
      </c>
      <c r="AI1054" s="202">
        <v>0</v>
      </c>
      <c r="AJ1054" s="202">
        <v>0</v>
      </c>
    </row>
    <row r="1055" spans="2:36">
      <c r="B1055" s="203">
        <v>2180</v>
      </c>
      <c r="C1055" s="207">
        <v>60780</v>
      </c>
      <c r="D1055" s="203" t="s">
        <v>97</v>
      </c>
      <c r="E1055" s="202" t="s">
        <v>1398</v>
      </c>
      <c r="F1055" s="203">
        <v>0</v>
      </c>
      <c r="G1055" s="202"/>
      <c r="H1055" s="202" t="s">
        <v>1403</v>
      </c>
      <c r="I1055" s="202"/>
      <c r="J1055" s="202">
        <v>2007</v>
      </c>
      <c r="K1055" s="202" t="s">
        <v>1396</v>
      </c>
      <c r="L1055" s="202" t="s">
        <v>1395</v>
      </c>
      <c r="M1055" s="202" t="s">
        <v>1394</v>
      </c>
      <c r="N1055" s="206">
        <v>39755</v>
      </c>
      <c r="O1055" s="206">
        <v>39755</v>
      </c>
      <c r="P1055" s="202"/>
      <c r="Q1055" s="203">
        <v>800</v>
      </c>
      <c r="R1055" s="203">
        <v>14040</v>
      </c>
      <c r="S1055" s="204">
        <v>133500</v>
      </c>
      <c r="T1055" s="203">
        <v>14046</v>
      </c>
      <c r="U1055" s="204">
        <v>133500</v>
      </c>
      <c r="V1055" s="204">
        <f t="shared" si="28"/>
        <v>0</v>
      </c>
      <c r="W1055" s="205">
        <v>0</v>
      </c>
      <c r="X1055" s="203">
        <v>51260</v>
      </c>
      <c r="Y1055" s="204">
        <v>0</v>
      </c>
      <c r="Z1055" s="202" t="s">
        <v>1153</v>
      </c>
      <c r="AA1055" s="202" t="s">
        <v>1383</v>
      </c>
      <c r="AB1055" s="202"/>
      <c r="AC1055" s="202">
        <v>1066</v>
      </c>
      <c r="AD1055" s="202" t="s">
        <v>1152</v>
      </c>
      <c r="AE1055" s="202" t="s">
        <v>1153</v>
      </c>
      <c r="AF1055" s="203" t="s">
        <v>1154</v>
      </c>
      <c r="AG1055" s="202"/>
      <c r="AH1055" s="203" t="s">
        <v>1155</v>
      </c>
      <c r="AI1055" s="202">
        <v>0</v>
      </c>
      <c r="AJ1055" s="202">
        <v>0</v>
      </c>
    </row>
    <row r="1056" spans="2:36">
      <c r="B1056" s="203">
        <v>2180</v>
      </c>
      <c r="C1056" s="207">
        <v>60779</v>
      </c>
      <c r="D1056" s="203" t="s">
        <v>97</v>
      </c>
      <c r="E1056" s="202" t="s">
        <v>1398</v>
      </c>
      <c r="F1056" s="203">
        <v>0</v>
      </c>
      <c r="G1056" s="202"/>
      <c r="H1056" s="202" t="s">
        <v>1402</v>
      </c>
      <c r="I1056" s="202"/>
      <c r="J1056" s="202">
        <v>2007</v>
      </c>
      <c r="K1056" s="202" t="s">
        <v>1396</v>
      </c>
      <c r="L1056" s="202" t="s">
        <v>1395</v>
      </c>
      <c r="M1056" s="202" t="s">
        <v>1394</v>
      </c>
      <c r="N1056" s="206">
        <v>39755</v>
      </c>
      <c r="O1056" s="206">
        <v>39755</v>
      </c>
      <c r="P1056" s="202"/>
      <c r="Q1056" s="203">
        <v>800</v>
      </c>
      <c r="R1056" s="203">
        <v>14040</v>
      </c>
      <c r="S1056" s="204">
        <v>133500</v>
      </c>
      <c r="T1056" s="203">
        <v>14046</v>
      </c>
      <c r="U1056" s="204">
        <v>133500</v>
      </c>
      <c r="V1056" s="204">
        <f t="shared" si="28"/>
        <v>0</v>
      </c>
      <c r="W1056" s="205">
        <v>0</v>
      </c>
      <c r="X1056" s="203">
        <v>51260</v>
      </c>
      <c r="Y1056" s="204">
        <v>0</v>
      </c>
      <c r="Z1056" s="202" t="s">
        <v>1153</v>
      </c>
      <c r="AA1056" s="202" t="s">
        <v>1383</v>
      </c>
      <c r="AB1056" s="202"/>
      <c r="AC1056" s="202">
        <v>1065</v>
      </c>
      <c r="AD1056" s="202" t="s">
        <v>1152</v>
      </c>
      <c r="AE1056" s="202" t="s">
        <v>1153</v>
      </c>
      <c r="AF1056" s="203" t="s">
        <v>1154</v>
      </c>
      <c r="AG1056" s="202"/>
      <c r="AH1056" s="203" t="s">
        <v>1155</v>
      </c>
      <c r="AI1056" s="202">
        <v>0</v>
      </c>
      <c r="AJ1056" s="202">
        <v>0</v>
      </c>
    </row>
    <row r="1057" spans="2:36">
      <c r="B1057" s="203">
        <v>2180</v>
      </c>
      <c r="C1057" s="207">
        <v>60778</v>
      </c>
      <c r="D1057" s="203" t="s">
        <v>97</v>
      </c>
      <c r="E1057" s="202" t="s">
        <v>1398</v>
      </c>
      <c r="F1057" s="203">
        <v>0</v>
      </c>
      <c r="G1057" s="202"/>
      <c r="H1057" s="202" t="s">
        <v>1401</v>
      </c>
      <c r="I1057" s="202"/>
      <c r="J1057" s="202">
        <v>2007</v>
      </c>
      <c r="K1057" s="202" t="s">
        <v>1396</v>
      </c>
      <c r="L1057" s="202" t="s">
        <v>1395</v>
      </c>
      <c r="M1057" s="202" t="s">
        <v>1394</v>
      </c>
      <c r="N1057" s="206">
        <v>39755</v>
      </c>
      <c r="O1057" s="206">
        <v>39755</v>
      </c>
      <c r="P1057" s="202"/>
      <c r="Q1057" s="203">
        <v>800</v>
      </c>
      <c r="R1057" s="203">
        <v>14040</v>
      </c>
      <c r="S1057" s="204">
        <v>133500</v>
      </c>
      <c r="T1057" s="203">
        <v>14046</v>
      </c>
      <c r="U1057" s="204">
        <v>133500</v>
      </c>
      <c r="V1057" s="204">
        <f t="shared" si="28"/>
        <v>0</v>
      </c>
      <c r="W1057" s="205">
        <v>0</v>
      </c>
      <c r="X1057" s="203">
        <v>51260</v>
      </c>
      <c r="Y1057" s="204">
        <v>0</v>
      </c>
      <c r="Z1057" s="202" t="s">
        <v>1153</v>
      </c>
      <c r="AA1057" s="202" t="s">
        <v>1383</v>
      </c>
      <c r="AB1057" s="202"/>
      <c r="AC1057" s="202">
        <v>1064</v>
      </c>
      <c r="AD1057" s="202" t="s">
        <v>1152</v>
      </c>
      <c r="AE1057" s="202" t="s">
        <v>1153</v>
      </c>
      <c r="AF1057" s="203" t="s">
        <v>1154</v>
      </c>
      <c r="AG1057" s="202"/>
      <c r="AH1057" s="203" t="s">
        <v>1155</v>
      </c>
      <c r="AI1057" s="202">
        <v>0</v>
      </c>
      <c r="AJ1057" s="202">
        <v>0</v>
      </c>
    </row>
    <row r="1058" spans="2:36">
      <c r="B1058" s="203">
        <v>2180</v>
      </c>
      <c r="C1058" s="207">
        <v>60777</v>
      </c>
      <c r="D1058" s="203" t="s">
        <v>97</v>
      </c>
      <c r="E1058" s="202" t="s">
        <v>1398</v>
      </c>
      <c r="F1058" s="203">
        <v>0</v>
      </c>
      <c r="G1058" s="202"/>
      <c r="H1058" s="202" t="s">
        <v>1400</v>
      </c>
      <c r="I1058" s="202"/>
      <c r="J1058" s="202">
        <v>2007</v>
      </c>
      <c r="K1058" s="202" t="s">
        <v>1396</v>
      </c>
      <c r="L1058" s="202" t="s">
        <v>1395</v>
      </c>
      <c r="M1058" s="202" t="s">
        <v>1394</v>
      </c>
      <c r="N1058" s="206">
        <v>39755</v>
      </c>
      <c r="O1058" s="206">
        <v>39755</v>
      </c>
      <c r="P1058" s="202"/>
      <c r="Q1058" s="203">
        <v>800</v>
      </c>
      <c r="R1058" s="203">
        <v>14040</v>
      </c>
      <c r="S1058" s="204">
        <v>133500</v>
      </c>
      <c r="T1058" s="203">
        <v>14046</v>
      </c>
      <c r="U1058" s="204">
        <v>133500</v>
      </c>
      <c r="V1058" s="204">
        <f t="shared" si="28"/>
        <v>0</v>
      </c>
      <c r="W1058" s="205">
        <v>0</v>
      </c>
      <c r="X1058" s="203">
        <v>51260</v>
      </c>
      <c r="Y1058" s="204">
        <v>0</v>
      </c>
      <c r="Z1058" s="202" t="s">
        <v>1153</v>
      </c>
      <c r="AA1058" s="202" t="s">
        <v>1383</v>
      </c>
      <c r="AB1058" s="202"/>
      <c r="AC1058" s="202">
        <v>1063</v>
      </c>
      <c r="AD1058" s="202" t="s">
        <v>1152</v>
      </c>
      <c r="AE1058" s="202" t="s">
        <v>1153</v>
      </c>
      <c r="AF1058" s="203" t="s">
        <v>1154</v>
      </c>
      <c r="AG1058" s="202"/>
      <c r="AH1058" s="203" t="s">
        <v>1155</v>
      </c>
      <c r="AI1058" s="202">
        <v>0</v>
      </c>
      <c r="AJ1058" s="202">
        <v>0</v>
      </c>
    </row>
    <row r="1059" spans="2:36">
      <c r="B1059" s="203">
        <v>2180</v>
      </c>
      <c r="C1059" s="207">
        <v>60775</v>
      </c>
      <c r="D1059" s="203" t="s">
        <v>97</v>
      </c>
      <c r="E1059" s="202" t="s">
        <v>1398</v>
      </c>
      <c r="F1059" s="203">
        <v>0</v>
      </c>
      <c r="G1059" s="202"/>
      <c r="H1059" s="202" t="s">
        <v>1399</v>
      </c>
      <c r="I1059" s="202"/>
      <c r="J1059" s="202">
        <v>2007</v>
      </c>
      <c r="K1059" s="202" t="s">
        <v>1396</v>
      </c>
      <c r="L1059" s="202" t="s">
        <v>1395</v>
      </c>
      <c r="M1059" s="202" t="s">
        <v>1394</v>
      </c>
      <c r="N1059" s="206">
        <v>39755</v>
      </c>
      <c r="O1059" s="206">
        <v>39755</v>
      </c>
      <c r="P1059" s="202"/>
      <c r="Q1059" s="203">
        <v>800</v>
      </c>
      <c r="R1059" s="203">
        <v>14040</v>
      </c>
      <c r="S1059" s="204">
        <v>133500</v>
      </c>
      <c r="T1059" s="203">
        <v>14046</v>
      </c>
      <c r="U1059" s="204">
        <v>133500</v>
      </c>
      <c r="V1059" s="204">
        <f t="shared" si="28"/>
        <v>0</v>
      </c>
      <c r="W1059" s="205">
        <v>0</v>
      </c>
      <c r="X1059" s="203">
        <v>51260</v>
      </c>
      <c r="Y1059" s="204">
        <v>0</v>
      </c>
      <c r="Z1059" s="202" t="s">
        <v>1153</v>
      </c>
      <c r="AA1059" s="202" t="s">
        <v>1383</v>
      </c>
      <c r="AB1059" s="202"/>
      <c r="AC1059" s="202">
        <v>1055</v>
      </c>
      <c r="AD1059" s="202" t="s">
        <v>1152</v>
      </c>
      <c r="AE1059" s="202" t="s">
        <v>1153</v>
      </c>
      <c r="AF1059" s="203" t="s">
        <v>1154</v>
      </c>
      <c r="AG1059" s="202"/>
      <c r="AH1059" s="203" t="s">
        <v>1155</v>
      </c>
      <c r="AI1059" s="202">
        <v>0</v>
      </c>
      <c r="AJ1059" s="202">
        <v>0</v>
      </c>
    </row>
    <row r="1060" spans="2:36">
      <c r="B1060" s="203">
        <v>2180</v>
      </c>
      <c r="C1060" s="207">
        <v>60773</v>
      </c>
      <c r="D1060" s="203" t="s">
        <v>97</v>
      </c>
      <c r="E1060" s="202" t="s">
        <v>1398</v>
      </c>
      <c r="F1060" s="203">
        <v>0</v>
      </c>
      <c r="G1060" s="202"/>
      <c r="H1060" s="202" t="s">
        <v>1397</v>
      </c>
      <c r="I1060" s="202"/>
      <c r="J1060" s="202">
        <v>2007</v>
      </c>
      <c r="K1060" s="202" t="s">
        <v>1396</v>
      </c>
      <c r="L1060" s="202" t="s">
        <v>1395</v>
      </c>
      <c r="M1060" s="202" t="s">
        <v>1394</v>
      </c>
      <c r="N1060" s="206">
        <v>39755</v>
      </c>
      <c r="O1060" s="206">
        <v>39755</v>
      </c>
      <c r="P1060" s="202"/>
      <c r="Q1060" s="203">
        <v>800</v>
      </c>
      <c r="R1060" s="203">
        <v>14040</v>
      </c>
      <c r="S1060" s="204">
        <v>133500</v>
      </c>
      <c r="T1060" s="203">
        <v>14046</v>
      </c>
      <c r="U1060" s="204">
        <v>133500</v>
      </c>
      <c r="V1060" s="204">
        <f t="shared" si="28"/>
        <v>0</v>
      </c>
      <c r="W1060" s="205">
        <v>0</v>
      </c>
      <c r="X1060" s="203">
        <v>51260</v>
      </c>
      <c r="Y1060" s="204">
        <v>0</v>
      </c>
      <c r="Z1060" s="202" t="s">
        <v>1153</v>
      </c>
      <c r="AA1060" s="202" t="s">
        <v>1383</v>
      </c>
      <c r="AB1060" s="202"/>
      <c r="AC1060" s="202">
        <v>1052</v>
      </c>
      <c r="AD1060" s="202" t="s">
        <v>1152</v>
      </c>
      <c r="AE1060" s="202" t="s">
        <v>1153</v>
      </c>
      <c r="AF1060" s="203" t="s">
        <v>1154</v>
      </c>
      <c r="AG1060" s="202"/>
      <c r="AH1060" s="203" t="s">
        <v>1155</v>
      </c>
      <c r="AI1060" s="202">
        <v>0</v>
      </c>
      <c r="AJ1060" s="202">
        <v>0</v>
      </c>
    </row>
    <row r="1061" spans="2:36">
      <c r="B1061" s="203">
        <v>2180</v>
      </c>
      <c r="C1061" s="207">
        <v>60755</v>
      </c>
      <c r="D1061" s="203" t="s">
        <v>97</v>
      </c>
      <c r="E1061" s="202" t="s">
        <v>1393</v>
      </c>
      <c r="F1061" s="203">
        <v>0</v>
      </c>
      <c r="G1061" s="202"/>
      <c r="H1061" s="202" t="s">
        <v>1392</v>
      </c>
      <c r="I1061" s="202"/>
      <c r="J1061" s="202">
        <v>2005</v>
      </c>
      <c r="K1061" s="202" t="s">
        <v>1255</v>
      </c>
      <c r="L1061" s="202" t="s">
        <v>1255</v>
      </c>
      <c r="M1061" s="202" t="s">
        <v>1391</v>
      </c>
      <c r="N1061" s="206">
        <v>39755</v>
      </c>
      <c r="O1061" s="206">
        <v>39755</v>
      </c>
      <c r="P1061" s="202"/>
      <c r="Q1061" s="203">
        <v>600</v>
      </c>
      <c r="R1061" s="203">
        <v>14040</v>
      </c>
      <c r="S1061" s="204">
        <v>22500</v>
      </c>
      <c r="T1061" s="203">
        <v>14046</v>
      </c>
      <c r="U1061" s="204">
        <v>22500</v>
      </c>
      <c r="V1061" s="204">
        <f t="shared" si="28"/>
        <v>0</v>
      </c>
      <c r="W1061" s="205">
        <v>0</v>
      </c>
      <c r="X1061" s="203">
        <v>51260</v>
      </c>
      <c r="Y1061" s="204">
        <v>0</v>
      </c>
      <c r="Z1061" s="202" t="s">
        <v>1153</v>
      </c>
      <c r="AA1061" s="202" t="s">
        <v>1383</v>
      </c>
      <c r="AB1061" s="202"/>
      <c r="AC1061" s="202">
        <v>9222</v>
      </c>
      <c r="AD1061" s="202" t="s">
        <v>1152</v>
      </c>
      <c r="AE1061" s="202" t="s">
        <v>1153</v>
      </c>
      <c r="AF1061" s="203" t="s">
        <v>1154</v>
      </c>
      <c r="AG1061" s="202"/>
      <c r="AH1061" s="203" t="s">
        <v>1155</v>
      </c>
      <c r="AI1061" s="202">
        <v>0</v>
      </c>
      <c r="AJ1061" s="202">
        <v>0</v>
      </c>
    </row>
    <row r="1062" spans="2:36">
      <c r="B1062" s="203">
        <v>2180</v>
      </c>
      <c r="C1062" s="207">
        <v>60752</v>
      </c>
      <c r="D1062" s="203" t="s">
        <v>97</v>
      </c>
      <c r="E1062" s="202" t="s">
        <v>1390</v>
      </c>
      <c r="F1062" s="203">
        <v>0</v>
      </c>
      <c r="G1062" s="202"/>
      <c r="H1062" s="202" t="s">
        <v>1389</v>
      </c>
      <c r="I1062" s="202"/>
      <c r="J1062" s="202">
        <v>2005</v>
      </c>
      <c r="K1062" s="202" t="s">
        <v>1388</v>
      </c>
      <c r="L1062" s="202" t="s">
        <v>1255</v>
      </c>
      <c r="M1062" s="202" t="s">
        <v>1385</v>
      </c>
      <c r="N1062" s="206">
        <v>39755</v>
      </c>
      <c r="O1062" s="206">
        <v>39755</v>
      </c>
      <c r="P1062" s="202"/>
      <c r="Q1062" s="203">
        <v>300</v>
      </c>
      <c r="R1062" s="203">
        <v>14040</v>
      </c>
      <c r="S1062" s="204">
        <v>13000</v>
      </c>
      <c r="T1062" s="203">
        <v>14046</v>
      </c>
      <c r="U1062" s="204">
        <v>13000</v>
      </c>
      <c r="V1062" s="204">
        <f t="shared" si="28"/>
        <v>0</v>
      </c>
      <c r="W1062" s="205">
        <v>0</v>
      </c>
      <c r="X1062" s="203">
        <v>51260</v>
      </c>
      <c r="Y1062" s="204">
        <v>0</v>
      </c>
      <c r="Z1062" s="202" t="s">
        <v>1153</v>
      </c>
      <c r="AA1062" s="202" t="s">
        <v>1383</v>
      </c>
      <c r="AB1062" s="202"/>
      <c r="AC1062" s="202">
        <v>6035</v>
      </c>
      <c r="AD1062" s="202" t="s">
        <v>1152</v>
      </c>
      <c r="AE1062" s="202" t="s">
        <v>1153</v>
      </c>
      <c r="AF1062" s="203" t="s">
        <v>1154</v>
      </c>
      <c r="AG1062" s="202"/>
      <c r="AH1062" s="203" t="s">
        <v>1155</v>
      </c>
      <c r="AI1062" s="202">
        <v>0</v>
      </c>
      <c r="AJ1062" s="202">
        <v>0</v>
      </c>
    </row>
    <row r="1063" spans="2:36">
      <c r="B1063" s="203">
        <v>2180</v>
      </c>
      <c r="C1063" s="207">
        <v>60721</v>
      </c>
      <c r="D1063" s="203" t="s">
        <v>97</v>
      </c>
      <c r="E1063" s="202" t="s">
        <v>1387</v>
      </c>
      <c r="F1063" s="203">
        <v>0</v>
      </c>
      <c r="G1063" s="202"/>
      <c r="H1063" s="202" t="s">
        <v>1386</v>
      </c>
      <c r="I1063" s="202"/>
      <c r="J1063" s="202">
        <v>2000</v>
      </c>
      <c r="K1063" s="202" t="s">
        <v>1255</v>
      </c>
      <c r="L1063" s="202" t="s">
        <v>1255</v>
      </c>
      <c r="M1063" s="202" t="s">
        <v>1385</v>
      </c>
      <c r="N1063" s="206">
        <v>39755</v>
      </c>
      <c r="O1063" s="206">
        <v>39755</v>
      </c>
      <c r="P1063" s="202"/>
      <c r="Q1063" s="203">
        <v>300</v>
      </c>
      <c r="R1063" s="203">
        <v>14040</v>
      </c>
      <c r="S1063" s="204">
        <v>8500</v>
      </c>
      <c r="T1063" s="203">
        <v>14046</v>
      </c>
      <c r="U1063" s="204">
        <v>8500</v>
      </c>
      <c r="V1063" s="204">
        <f t="shared" si="28"/>
        <v>0</v>
      </c>
      <c r="W1063" s="205">
        <v>0</v>
      </c>
      <c r="X1063" s="203">
        <v>51260</v>
      </c>
      <c r="Y1063" s="204">
        <v>0</v>
      </c>
      <c r="Z1063" s="202" t="s">
        <v>1153</v>
      </c>
      <c r="AA1063" s="202" t="s">
        <v>1383</v>
      </c>
      <c r="AB1063" s="202"/>
      <c r="AC1063" s="202">
        <v>9214</v>
      </c>
      <c r="AD1063" s="202" t="s">
        <v>1152</v>
      </c>
      <c r="AE1063" s="202" t="s">
        <v>1153</v>
      </c>
      <c r="AF1063" s="203" t="s">
        <v>1154</v>
      </c>
      <c r="AG1063" s="202"/>
      <c r="AH1063" s="203" t="s">
        <v>1155</v>
      </c>
      <c r="AI1063" s="202">
        <v>0</v>
      </c>
      <c r="AJ1063" s="202">
        <v>0</v>
      </c>
    </row>
    <row r="1064" spans="2:36">
      <c r="B1064" s="203">
        <v>2180</v>
      </c>
      <c r="C1064" s="207">
        <v>60675</v>
      </c>
      <c r="D1064" s="203" t="s">
        <v>97</v>
      </c>
      <c r="E1064" s="202" t="s">
        <v>1384</v>
      </c>
      <c r="F1064" s="203">
        <v>0</v>
      </c>
      <c r="G1064" s="202"/>
      <c r="H1064" s="202"/>
      <c r="I1064" s="202"/>
      <c r="J1064" s="202">
        <v>0</v>
      </c>
      <c r="K1064" s="202"/>
      <c r="L1064" s="202"/>
      <c r="M1064" s="202"/>
      <c r="N1064" s="206">
        <v>39755</v>
      </c>
      <c r="O1064" s="206">
        <v>39755</v>
      </c>
      <c r="P1064" s="202"/>
      <c r="Q1064" s="203">
        <v>0</v>
      </c>
      <c r="R1064" s="203">
        <v>14000</v>
      </c>
      <c r="S1064" s="204">
        <v>9148000</v>
      </c>
      <c r="T1064" s="203">
        <v>14016</v>
      </c>
      <c r="U1064" s="204">
        <v>0</v>
      </c>
      <c r="V1064" s="204">
        <f t="shared" si="28"/>
        <v>9148000</v>
      </c>
      <c r="W1064" s="205">
        <v>0</v>
      </c>
      <c r="X1064" s="203">
        <v>57260</v>
      </c>
      <c r="Y1064" s="204">
        <v>0</v>
      </c>
      <c r="Z1064" s="202" t="s">
        <v>1153</v>
      </c>
      <c r="AA1064" s="202" t="s">
        <v>1383</v>
      </c>
      <c r="AB1064" s="202"/>
      <c r="AC1064" s="202"/>
      <c r="AD1064" s="202" t="s">
        <v>1152</v>
      </c>
      <c r="AE1064" s="202" t="s">
        <v>1153</v>
      </c>
      <c r="AF1064" s="203" t="s">
        <v>1382</v>
      </c>
      <c r="AG1064" s="202"/>
      <c r="AH1064" s="203" t="s">
        <v>1155</v>
      </c>
      <c r="AI1064" s="202">
        <v>0</v>
      </c>
      <c r="AJ1064" s="202">
        <v>0</v>
      </c>
    </row>
  </sheetData>
  <autoFilter ref="A13:AW13" xr:uid="{00000000-0009-0000-0000-000000000000}"/>
  <mergeCells count="5">
    <mergeCell ref="M9:N9"/>
    <mergeCell ref="M10:N10"/>
    <mergeCell ref="M11:N11"/>
    <mergeCell ref="C10:D10"/>
    <mergeCell ref="F9:J10"/>
  </mergeCells>
  <dataValidations count="1">
    <dataValidation type="list" allowBlank="1" showInputMessage="1" showErrorMessage="1" sqref="S9" xr:uid="{00000000-0002-0000-0000-000000000000}">
      <formula1>"P,C,All"</formula1>
    </dataValidation>
  </dataValidations>
  <pageMargins left="0.2" right="0.2" top="0.75" bottom="0.75" header="0.3" footer="0.3"/>
  <pageSetup scale="30" fitToHeight="3" pageOrder="overThenDown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145"/>
  <sheetViews>
    <sheetView workbookViewId="0"/>
  </sheetViews>
  <sheetFormatPr defaultRowHeight="15"/>
  <cols>
    <col min="1" max="1" width="5.85546875" customWidth="1"/>
    <col min="2" max="2" width="8" customWidth="1"/>
    <col min="3" max="3" width="33.5703125" bestFit="1" customWidth="1"/>
    <col min="4" max="4" width="7.42578125" customWidth="1"/>
    <col min="5" max="6" width="8.7109375" customWidth="1"/>
    <col min="7" max="7" width="5" bestFit="1" customWidth="1"/>
    <col min="8" max="8" width="3.85546875" bestFit="1" customWidth="1"/>
    <col min="9" max="9" width="7.7109375" style="8" bestFit="1" customWidth="1"/>
    <col min="10" max="10" width="8" bestFit="1" customWidth="1"/>
    <col min="11" max="11" width="5.7109375" bestFit="1" customWidth="1"/>
    <col min="12" max="12" width="36" bestFit="1" customWidth="1"/>
    <col min="13" max="15" width="12" bestFit="1" customWidth="1"/>
    <col min="16" max="16" width="21.140625" bestFit="1" customWidth="1"/>
    <col min="17" max="19" width="12" bestFit="1" customWidth="1"/>
    <col min="20" max="20" width="17.28515625" bestFit="1" customWidth="1"/>
    <col min="21" max="21" width="12" bestFit="1" customWidth="1"/>
  </cols>
  <sheetData>
    <row r="1" spans="1:21">
      <c r="A1" s="17" t="s">
        <v>1032</v>
      </c>
      <c r="B1" s="17"/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  <c r="Q1" s="17"/>
      <c r="R1" s="17"/>
      <c r="S1" s="17">
        <v>2018</v>
      </c>
      <c r="T1" s="17" t="s">
        <v>41</v>
      </c>
      <c r="U1" s="17"/>
    </row>
    <row r="2" spans="1:21">
      <c r="A2" s="17" t="s">
        <v>1161</v>
      </c>
      <c r="B2" s="17"/>
      <c r="C2" s="17"/>
      <c r="D2" s="17"/>
      <c r="E2" s="17"/>
      <c r="F2" s="17"/>
      <c r="G2" s="17"/>
      <c r="H2" s="17"/>
      <c r="J2" s="17"/>
      <c r="K2" s="17"/>
      <c r="L2" s="17"/>
      <c r="M2" s="17"/>
      <c r="N2" s="17"/>
      <c r="O2" s="17">
        <v>5</v>
      </c>
      <c r="P2" s="17" t="s">
        <v>1034</v>
      </c>
      <c r="Q2" s="17"/>
      <c r="R2" s="17"/>
      <c r="S2" s="17">
        <v>2019</v>
      </c>
      <c r="T2" s="17" t="s">
        <v>46</v>
      </c>
      <c r="U2" s="17"/>
    </row>
    <row r="3" spans="1:21">
      <c r="A3" s="412" t="e">
        <f>#REF!</f>
        <v>#REF!</v>
      </c>
      <c r="B3" s="412"/>
      <c r="C3" s="412"/>
      <c r="D3" s="17"/>
      <c r="E3" s="17"/>
      <c r="F3" s="17"/>
      <c r="G3" s="17"/>
      <c r="H3" s="17"/>
      <c r="J3" s="17"/>
      <c r="K3" s="17"/>
      <c r="L3" s="17"/>
      <c r="M3" s="17"/>
      <c r="N3" s="17"/>
      <c r="O3" s="17">
        <v>7</v>
      </c>
      <c r="P3" s="17" t="s">
        <v>1035</v>
      </c>
      <c r="Q3" s="17"/>
      <c r="R3" s="17"/>
      <c r="S3" s="17"/>
      <c r="T3" s="17"/>
      <c r="U3" s="17"/>
    </row>
    <row r="5" spans="1:21">
      <c r="A5" s="17"/>
      <c r="B5" s="17"/>
      <c r="C5" s="17"/>
      <c r="D5" s="17"/>
      <c r="E5" s="17"/>
      <c r="F5" s="17"/>
      <c r="G5" s="17"/>
      <c r="H5" s="17"/>
      <c r="J5" s="17"/>
      <c r="K5" s="17"/>
      <c r="L5" s="17"/>
      <c r="M5" s="17"/>
      <c r="N5" s="17"/>
      <c r="O5" s="17">
        <v>2017</v>
      </c>
      <c r="P5" s="17" t="s">
        <v>1036</v>
      </c>
      <c r="Q5" s="17"/>
      <c r="R5" s="17"/>
      <c r="S5" s="17"/>
      <c r="T5" s="17"/>
      <c r="U5" s="17"/>
    </row>
    <row r="6" spans="1:21" ht="12.75" customHeight="1">
      <c r="A6" s="17"/>
      <c r="B6" s="17"/>
      <c r="C6" s="17"/>
      <c r="D6" s="17"/>
      <c r="E6" s="17"/>
      <c r="F6" s="17"/>
      <c r="G6" s="17"/>
      <c r="H6" s="17"/>
      <c r="J6" s="17"/>
      <c r="K6" s="17"/>
      <c r="L6" s="17"/>
      <c r="M6" s="17"/>
      <c r="N6" s="17"/>
      <c r="O6" s="17">
        <v>2018</v>
      </c>
      <c r="P6" s="17" t="s">
        <v>1037</v>
      </c>
      <c r="Q6" s="17"/>
      <c r="R6" s="17"/>
      <c r="S6" s="17"/>
      <c r="T6" s="17"/>
      <c r="U6" s="17"/>
    </row>
    <row r="7" spans="1:21" ht="12.75" customHeight="1">
      <c r="A7" s="17"/>
      <c r="B7" s="17"/>
      <c r="C7" s="17"/>
      <c r="D7" s="17"/>
      <c r="E7" s="17"/>
      <c r="F7" s="17"/>
      <c r="G7" s="17"/>
      <c r="H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9" spans="1:21">
      <c r="A9" s="17"/>
      <c r="B9" s="17"/>
      <c r="C9" s="17"/>
      <c r="D9" s="17"/>
      <c r="E9" s="17"/>
      <c r="F9" s="17"/>
      <c r="G9" s="17"/>
      <c r="H9" s="17"/>
      <c r="J9" s="17"/>
      <c r="K9" s="17"/>
      <c r="L9" s="17"/>
      <c r="M9" s="17"/>
      <c r="N9" s="17"/>
      <c r="O9" s="17"/>
      <c r="P9" s="17"/>
      <c r="Q9" s="17"/>
      <c r="R9" s="17"/>
      <c r="S9" s="17" t="s">
        <v>2</v>
      </c>
      <c r="T9" s="17" t="s">
        <v>3</v>
      </c>
      <c r="U9" s="17"/>
    </row>
    <row r="10" spans="1:21">
      <c r="A10" s="17"/>
      <c r="B10" s="17"/>
      <c r="C10" s="17"/>
      <c r="D10" s="17"/>
      <c r="E10" s="17"/>
      <c r="F10" s="17"/>
      <c r="G10" s="413" t="s">
        <v>51</v>
      </c>
      <c r="H10" s="413"/>
      <c r="I10" s="8" t="s">
        <v>52</v>
      </c>
      <c r="J10" s="17"/>
      <c r="K10" s="17"/>
      <c r="L10" s="17" t="s">
        <v>53</v>
      </c>
      <c r="M10" s="17" t="s">
        <v>54</v>
      </c>
      <c r="N10" s="17"/>
      <c r="O10" s="17"/>
      <c r="P10" s="17"/>
      <c r="Q10" s="17"/>
      <c r="R10" s="17"/>
      <c r="S10" s="17" t="s">
        <v>55</v>
      </c>
      <c r="T10" s="17" t="s">
        <v>55</v>
      </c>
      <c r="U10" s="17"/>
    </row>
    <row r="11" spans="1:21">
      <c r="A11" s="17"/>
      <c r="B11" s="17" t="s">
        <v>445</v>
      </c>
      <c r="C11" s="17"/>
      <c r="D11" s="17"/>
      <c r="E11" s="17"/>
      <c r="F11" s="17"/>
      <c r="G11" s="413" t="s">
        <v>56</v>
      </c>
      <c r="H11" s="413"/>
      <c r="I11" s="8" t="s">
        <v>7</v>
      </c>
      <c r="J11" s="17" t="s">
        <v>443</v>
      </c>
      <c r="K11" s="17" t="s">
        <v>57</v>
      </c>
      <c r="L11" s="17" t="s">
        <v>58</v>
      </c>
      <c r="M11" s="17" t="s">
        <v>58</v>
      </c>
      <c r="N11" s="17" t="s">
        <v>59</v>
      </c>
      <c r="O11" s="17" t="s">
        <v>8</v>
      </c>
      <c r="P11" s="17" t="s">
        <v>60</v>
      </c>
      <c r="Q11" s="17" t="s">
        <v>61</v>
      </c>
      <c r="R11" s="17" t="s">
        <v>896</v>
      </c>
      <c r="S11" s="17" t="s">
        <v>8</v>
      </c>
      <c r="T11" s="17" t="s">
        <v>8</v>
      </c>
      <c r="U11" s="17" t="s">
        <v>4</v>
      </c>
    </row>
    <row r="12" spans="1:21">
      <c r="A12" s="17" t="s">
        <v>63</v>
      </c>
      <c r="B12" s="17" t="s">
        <v>897</v>
      </c>
      <c r="C12" s="17" t="s">
        <v>65</v>
      </c>
      <c r="D12" s="17" t="s">
        <v>66</v>
      </c>
      <c r="E12" s="17" t="s">
        <v>67</v>
      </c>
      <c r="F12" s="17"/>
      <c r="G12" s="17" t="s">
        <v>53</v>
      </c>
      <c r="H12" s="17" t="s">
        <v>68</v>
      </c>
      <c r="I12" s="8" t="s">
        <v>69</v>
      </c>
      <c r="J12" s="17" t="s">
        <v>70</v>
      </c>
      <c r="K12" s="17" t="s">
        <v>71</v>
      </c>
      <c r="L12" s="17" t="s">
        <v>72</v>
      </c>
      <c r="M12" s="17" t="s">
        <v>72</v>
      </c>
      <c r="N12" s="17" t="s">
        <v>6</v>
      </c>
      <c r="O12" s="17" t="s">
        <v>6</v>
      </c>
      <c r="P12" s="17" t="s">
        <v>8</v>
      </c>
      <c r="Q12" s="17" t="s">
        <v>898</v>
      </c>
      <c r="R12" s="17" t="s">
        <v>899</v>
      </c>
      <c r="S12" s="17">
        <f>S1</f>
        <v>2018</v>
      </c>
      <c r="T12" s="17">
        <f>S2</f>
        <v>2019</v>
      </c>
      <c r="U12" s="17" t="s">
        <v>11</v>
      </c>
    </row>
    <row r="13" spans="1:21">
      <c r="A13" s="17"/>
      <c r="B13" s="17" t="s">
        <v>900</v>
      </c>
      <c r="C13" s="17"/>
      <c r="D13" s="17"/>
      <c r="E13" s="17"/>
      <c r="F13" s="17"/>
      <c r="G13" s="17"/>
      <c r="H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</row>
    <row r="14" spans="1:21">
      <c r="A14" s="17" t="s">
        <v>901</v>
      </c>
      <c r="B14" s="17">
        <v>9214</v>
      </c>
      <c r="C14" s="17" t="s">
        <v>902</v>
      </c>
      <c r="D14" s="17"/>
      <c r="E14" s="17"/>
      <c r="F14" s="17"/>
      <c r="G14" s="17">
        <v>2005</v>
      </c>
      <c r="H14" s="17">
        <v>5</v>
      </c>
      <c r="I14" s="8">
        <v>0.33</v>
      </c>
      <c r="J14" s="17" t="s">
        <v>78</v>
      </c>
      <c r="K14" s="17">
        <v>5</v>
      </c>
      <c r="L14" s="17">
        <f>G14+K14</f>
        <v>2010</v>
      </c>
      <c r="M14" s="17">
        <f>+L14+(H14/12)</f>
        <v>2010.4166666666667</v>
      </c>
      <c r="N14" s="17">
        <v>14593.5</v>
      </c>
      <c r="O14" s="17">
        <f>N14-N14*I14</f>
        <v>9777.6450000000004</v>
      </c>
      <c r="P14" s="17">
        <f>O14/K14/12</f>
        <v>162.96074999999999</v>
      </c>
      <c r="Q14" s="17">
        <f>P14*12</f>
        <v>1955.529</v>
      </c>
      <c r="R14" s="17">
        <f>+IF(M14&lt;=$O$6,0,IF(L14&gt;$O$5,Q14,(P14*G14)))</f>
        <v>0</v>
      </c>
      <c r="S14" s="17">
        <f>+IF(R14=0,N14,IF($O$5-G14&lt;1,0,(($O$5-G14)*Q14)))</f>
        <v>14593.5</v>
      </c>
      <c r="T14" s="17">
        <f>+IF(R14=0,S14,S14+R14)</f>
        <v>14593.5</v>
      </c>
      <c r="U14" s="17">
        <f>+IF(R14=0,0,((N14-S14)+(N14-T14))/2)</f>
        <v>0</v>
      </c>
    </row>
    <row r="15" spans="1:21">
      <c r="A15" s="17" t="s">
        <v>901</v>
      </c>
      <c r="B15" s="17">
        <v>9222</v>
      </c>
      <c r="C15" s="17" t="s">
        <v>904</v>
      </c>
      <c r="D15" s="17"/>
      <c r="E15" s="17"/>
      <c r="F15" s="17"/>
      <c r="G15" s="17">
        <v>2008</v>
      </c>
      <c r="H15" s="17">
        <v>2</v>
      </c>
      <c r="I15" s="8">
        <v>0.33</v>
      </c>
      <c r="J15" s="17" t="s">
        <v>78</v>
      </c>
      <c r="K15" s="17">
        <v>5</v>
      </c>
      <c r="L15" s="17">
        <f t="shared" ref="L15:L35" si="0">G15+K15</f>
        <v>2013</v>
      </c>
      <c r="M15" s="17">
        <f t="shared" ref="M15:M35" si="1">+L15+(H15/12)</f>
        <v>2013.1666666666667</v>
      </c>
      <c r="N15" s="17">
        <v>47544.85</v>
      </c>
      <c r="O15" s="17">
        <f t="shared" ref="O15:O35" si="2">N15-N15*I15</f>
        <v>31855.049500000001</v>
      </c>
      <c r="P15" s="17">
        <f t="shared" ref="P15:P35" si="3">O15/K15/12</f>
        <v>530.91749166666671</v>
      </c>
      <c r="Q15" s="17">
        <f t="shared" ref="Q15:Q35" si="4">P15*12</f>
        <v>6371.0099000000009</v>
      </c>
      <c r="R15" s="17">
        <f t="shared" ref="R15:R35" si="5">+IF(M15&lt;=$O$6,0,IF(L15&gt;$O$5,Q15,(P15*G15)))</f>
        <v>0</v>
      </c>
      <c r="S15" s="17">
        <f t="shared" ref="S15:S35" si="6">+IF(R15=0,N15,IF($O$5-G15&lt;1,0,(($O$5-G15)*Q15)))</f>
        <v>47544.85</v>
      </c>
      <c r="T15" s="17">
        <f t="shared" ref="T15:T35" si="7">+IF(R15=0,S15,S15+R15)</f>
        <v>47544.85</v>
      </c>
      <c r="U15" s="17">
        <f t="shared" ref="U15:U35" si="8">+IF(R15=0,0,((N15-S15)+(N15-T15))/2)</f>
        <v>0</v>
      </c>
    </row>
    <row r="16" spans="1:21">
      <c r="A16" s="17"/>
      <c r="B16" s="17"/>
      <c r="C16" s="17" t="s">
        <v>906</v>
      </c>
      <c r="D16" s="17">
        <v>86839</v>
      </c>
      <c r="E16" s="17"/>
      <c r="F16" s="17"/>
      <c r="G16" s="17">
        <v>2008</v>
      </c>
      <c r="H16" s="17">
        <v>11</v>
      </c>
      <c r="I16" s="8">
        <v>0</v>
      </c>
      <c r="J16" s="17" t="s">
        <v>78</v>
      </c>
      <c r="K16" s="17">
        <v>3</v>
      </c>
      <c r="L16" s="17">
        <f t="shared" si="0"/>
        <v>2011</v>
      </c>
      <c r="M16" s="17">
        <f t="shared" si="1"/>
        <v>2011.9166666666667</v>
      </c>
      <c r="N16" s="17">
        <v>1000</v>
      </c>
      <c r="O16" s="17">
        <f t="shared" si="2"/>
        <v>1000</v>
      </c>
      <c r="P16" s="17">
        <f t="shared" si="3"/>
        <v>27.777777777777775</v>
      </c>
      <c r="Q16" s="17">
        <f t="shared" si="4"/>
        <v>333.33333333333331</v>
      </c>
      <c r="R16" s="17">
        <f t="shared" si="5"/>
        <v>0</v>
      </c>
      <c r="S16" s="17">
        <f t="shared" si="6"/>
        <v>1000</v>
      </c>
      <c r="T16" s="17">
        <f t="shared" si="7"/>
        <v>1000</v>
      </c>
      <c r="U16" s="17">
        <f t="shared" si="8"/>
        <v>0</v>
      </c>
    </row>
    <row r="17" spans="2:21">
      <c r="B17" s="17">
        <v>1</v>
      </c>
      <c r="C17" s="17" t="s">
        <v>907</v>
      </c>
      <c r="D17" s="17"/>
      <c r="E17" s="17"/>
      <c r="F17" s="17"/>
      <c r="G17" s="17">
        <v>2009</v>
      </c>
      <c r="H17" s="17">
        <v>5</v>
      </c>
      <c r="I17" s="8">
        <v>0</v>
      </c>
      <c r="J17" s="17" t="s">
        <v>78</v>
      </c>
      <c r="K17" s="17">
        <v>5</v>
      </c>
      <c r="L17" s="17">
        <f t="shared" si="0"/>
        <v>2014</v>
      </c>
      <c r="M17" s="17">
        <f t="shared" si="1"/>
        <v>2014.4166666666667</v>
      </c>
      <c r="N17" s="17">
        <v>789.55</v>
      </c>
      <c r="O17" s="17">
        <f t="shared" si="2"/>
        <v>789.55</v>
      </c>
      <c r="P17" s="17">
        <f t="shared" si="3"/>
        <v>13.159166666666666</v>
      </c>
      <c r="Q17" s="17">
        <f t="shared" si="4"/>
        <v>157.91</v>
      </c>
      <c r="R17" s="17">
        <f t="shared" si="5"/>
        <v>0</v>
      </c>
      <c r="S17" s="17">
        <f t="shared" si="6"/>
        <v>789.55</v>
      </c>
      <c r="T17" s="17">
        <f t="shared" si="7"/>
        <v>789.55</v>
      </c>
      <c r="U17" s="17">
        <f t="shared" si="8"/>
        <v>0</v>
      </c>
    </row>
    <row r="18" spans="2:21">
      <c r="B18" s="17">
        <v>1</v>
      </c>
      <c r="C18" s="17" t="s">
        <v>908</v>
      </c>
      <c r="D18" s="17"/>
      <c r="E18" s="17"/>
      <c r="F18" s="17"/>
      <c r="G18" s="17">
        <v>2009</v>
      </c>
      <c r="H18" s="17">
        <v>10</v>
      </c>
      <c r="I18" s="8">
        <v>0</v>
      </c>
      <c r="J18" s="17" t="s">
        <v>78</v>
      </c>
      <c r="K18" s="17">
        <v>5</v>
      </c>
      <c r="L18" s="17">
        <f t="shared" si="0"/>
        <v>2014</v>
      </c>
      <c r="M18" s="17">
        <f t="shared" si="1"/>
        <v>2014.8333333333333</v>
      </c>
      <c r="N18" s="17">
        <v>3036.35</v>
      </c>
      <c r="O18" s="17">
        <f t="shared" si="2"/>
        <v>3036.35</v>
      </c>
      <c r="P18" s="17">
        <f t="shared" si="3"/>
        <v>50.605833333333329</v>
      </c>
      <c r="Q18" s="17">
        <f t="shared" si="4"/>
        <v>607.27</v>
      </c>
      <c r="R18" s="17">
        <f t="shared" si="5"/>
        <v>0</v>
      </c>
      <c r="S18" s="17">
        <f t="shared" si="6"/>
        <v>3036.35</v>
      </c>
      <c r="T18" s="17">
        <f t="shared" si="7"/>
        <v>3036.35</v>
      </c>
      <c r="U18" s="17">
        <f t="shared" si="8"/>
        <v>0</v>
      </c>
    </row>
    <row r="19" spans="2:21">
      <c r="B19" s="17"/>
      <c r="C19" s="17" t="s">
        <v>909</v>
      </c>
      <c r="D19" s="17">
        <v>82331</v>
      </c>
      <c r="E19" s="17" t="s">
        <v>97</v>
      </c>
      <c r="F19" s="17"/>
      <c r="G19" s="17">
        <v>2011</v>
      </c>
      <c r="H19" s="17">
        <v>3</v>
      </c>
      <c r="I19" s="8">
        <v>0</v>
      </c>
      <c r="J19" s="17" t="s">
        <v>78</v>
      </c>
      <c r="K19" s="17">
        <v>5</v>
      </c>
      <c r="L19" s="17">
        <f t="shared" si="0"/>
        <v>2016</v>
      </c>
      <c r="M19" s="17">
        <f t="shared" si="1"/>
        <v>2016.25</v>
      </c>
      <c r="N19" s="17">
        <v>7305.94</v>
      </c>
      <c r="O19" s="17">
        <f t="shared" si="2"/>
        <v>7305.94</v>
      </c>
      <c r="P19" s="17">
        <f t="shared" si="3"/>
        <v>121.76566666666666</v>
      </c>
      <c r="Q19" s="17">
        <f t="shared" si="4"/>
        <v>1461.1879999999999</v>
      </c>
      <c r="R19" s="17">
        <f t="shared" si="5"/>
        <v>0</v>
      </c>
      <c r="S19" s="17">
        <f t="shared" si="6"/>
        <v>7305.94</v>
      </c>
      <c r="T19" s="17">
        <f t="shared" si="7"/>
        <v>7305.94</v>
      </c>
      <c r="U19" s="17">
        <f t="shared" si="8"/>
        <v>0</v>
      </c>
    </row>
    <row r="20" spans="2:21">
      <c r="B20" s="17"/>
      <c r="C20" s="17" t="s">
        <v>910</v>
      </c>
      <c r="D20" s="17" t="s">
        <v>911</v>
      </c>
      <c r="E20" s="17"/>
      <c r="F20" s="17"/>
      <c r="G20" s="17">
        <v>2011</v>
      </c>
      <c r="H20" s="17">
        <v>3</v>
      </c>
      <c r="I20" s="8">
        <v>0</v>
      </c>
      <c r="J20" s="17" t="s">
        <v>78</v>
      </c>
      <c r="K20" s="17">
        <v>5</v>
      </c>
      <c r="L20" s="17">
        <f t="shared" si="0"/>
        <v>2016</v>
      </c>
      <c r="M20" s="17">
        <f t="shared" si="1"/>
        <v>2016.25</v>
      </c>
      <c r="N20" s="17">
        <f>121878.12+1737.87</f>
        <v>123615.98999999999</v>
      </c>
      <c r="O20" s="17">
        <f t="shared" si="2"/>
        <v>123615.98999999999</v>
      </c>
      <c r="P20" s="17">
        <f t="shared" si="3"/>
        <v>2060.2664999999997</v>
      </c>
      <c r="Q20" s="17">
        <f t="shared" si="4"/>
        <v>24723.197999999997</v>
      </c>
      <c r="R20" s="17">
        <f t="shared" si="5"/>
        <v>0</v>
      </c>
      <c r="S20" s="17">
        <f t="shared" si="6"/>
        <v>123615.98999999999</v>
      </c>
      <c r="T20" s="17">
        <f t="shared" si="7"/>
        <v>123615.98999999999</v>
      </c>
      <c r="U20" s="17">
        <f t="shared" si="8"/>
        <v>0</v>
      </c>
    </row>
    <row r="21" spans="2:21">
      <c r="B21" s="17"/>
      <c r="C21" s="17" t="s">
        <v>912</v>
      </c>
      <c r="D21" s="17">
        <v>84028</v>
      </c>
      <c r="E21" s="17">
        <v>80461</v>
      </c>
      <c r="F21" s="17"/>
      <c r="G21" s="17">
        <v>2011</v>
      </c>
      <c r="H21" s="17">
        <v>3</v>
      </c>
      <c r="I21" s="8">
        <v>0</v>
      </c>
      <c r="J21" s="17" t="s">
        <v>78</v>
      </c>
      <c r="K21" s="17">
        <v>7</v>
      </c>
      <c r="L21" s="17">
        <f t="shared" si="0"/>
        <v>2018</v>
      </c>
      <c r="M21" s="17">
        <f t="shared" si="1"/>
        <v>2018.25</v>
      </c>
      <c r="N21" s="17">
        <v>68923.28</v>
      </c>
      <c r="O21" s="17">
        <f t="shared" si="2"/>
        <v>68923.28</v>
      </c>
      <c r="P21" s="17">
        <f t="shared" si="3"/>
        <v>820.51523809523815</v>
      </c>
      <c r="Q21" s="17">
        <f t="shared" si="4"/>
        <v>9846.1828571428578</v>
      </c>
      <c r="R21" s="17">
        <f t="shared" si="5"/>
        <v>9846.1828571428578</v>
      </c>
      <c r="S21" s="17">
        <f t="shared" si="6"/>
        <v>59077.09714285715</v>
      </c>
      <c r="T21" s="17">
        <f t="shared" si="7"/>
        <v>68923.280000000013</v>
      </c>
      <c r="U21" s="17">
        <f>+IF(R21=0,0,((N21-S21)+(N21-T21))/2)</f>
        <v>4923.0914285714171</v>
      </c>
    </row>
    <row r="22" spans="2:21">
      <c r="B22" s="17"/>
      <c r="C22" s="17" t="s">
        <v>913</v>
      </c>
      <c r="D22" s="17">
        <v>84654</v>
      </c>
      <c r="E22" s="17" t="s">
        <v>97</v>
      </c>
      <c r="F22" s="17"/>
      <c r="G22" s="17">
        <v>2011</v>
      </c>
      <c r="H22" s="17">
        <v>5</v>
      </c>
      <c r="I22" s="8">
        <v>0</v>
      </c>
      <c r="J22" s="17" t="s">
        <v>78</v>
      </c>
      <c r="K22" s="17">
        <v>5</v>
      </c>
      <c r="L22" s="17">
        <f t="shared" si="0"/>
        <v>2016</v>
      </c>
      <c r="M22" s="17">
        <f t="shared" si="1"/>
        <v>2016.4166666666667</v>
      </c>
      <c r="N22" s="17">
        <v>21323.33</v>
      </c>
      <c r="O22" s="17">
        <f t="shared" si="2"/>
        <v>21323.33</v>
      </c>
      <c r="P22" s="17">
        <f t="shared" si="3"/>
        <v>355.38883333333337</v>
      </c>
      <c r="Q22" s="17">
        <f t="shared" si="4"/>
        <v>4264.6660000000002</v>
      </c>
      <c r="R22" s="17">
        <f t="shared" si="5"/>
        <v>0</v>
      </c>
      <c r="S22" s="17">
        <f t="shared" si="6"/>
        <v>21323.33</v>
      </c>
      <c r="T22" s="17">
        <f t="shared" si="7"/>
        <v>21323.33</v>
      </c>
      <c r="U22" s="17">
        <f t="shared" si="8"/>
        <v>0</v>
      </c>
    </row>
    <row r="23" spans="2:21">
      <c r="B23" s="17"/>
      <c r="C23" s="17" t="s">
        <v>914</v>
      </c>
      <c r="D23" s="17">
        <v>114876</v>
      </c>
      <c r="E23" s="17"/>
      <c r="F23" s="17"/>
      <c r="G23" s="17">
        <v>2011</v>
      </c>
      <c r="H23" s="17">
        <v>12</v>
      </c>
      <c r="I23" s="8">
        <v>0</v>
      </c>
      <c r="J23" s="17" t="s">
        <v>78</v>
      </c>
      <c r="K23" s="17">
        <v>5</v>
      </c>
      <c r="L23" s="17">
        <f t="shared" si="0"/>
        <v>2016</v>
      </c>
      <c r="M23" s="17">
        <f t="shared" si="1"/>
        <v>2017</v>
      </c>
      <c r="N23" s="17">
        <v>31190.89</v>
      </c>
      <c r="O23" s="17">
        <f t="shared" si="2"/>
        <v>31190.89</v>
      </c>
      <c r="P23" s="17">
        <f t="shared" si="3"/>
        <v>519.84816666666666</v>
      </c>
      <c r="Q23" s="17">
        <f t="shared" si="4"/>
        <v>6238.1779999999999</v>
      </c>
      <c r="R23" s="17">
        <f t="shared" si="5"/>
        <v>0</v>
      </c>
      <c r="S23" s="17">
        <f t="shared" si="6"/>
        <v>31190.89</v>
      </c>
      <c r="T23" s="17">
        <f t="shared" si="7"/>
        <v>31190.89</v>
      </c>
      <c r="U23" s="17">
        <f t="shared" si="8"/>
        <v>0</v>
      </c>
    </row>
    <row r="24" spans="2:21">
      <c r="B24" s="17"/>
      <c r="C24" s="17" t="s">
        <v>915</v>
      </c>
      <c r="D24" s="17">
        <v>91123</v>
      </c>
      <c r="E24" s="17"/>
      <c r="F24" s="17"/>
      <c r="G24" s="17">
        <v>2012</v>
      </c>
      <c r="H24" s="17">
        <v>2</v>
      </c>
      <c r="I24" s="8">
        <v>0</v>
      </c>
      <c r="J24" s="17" t="s">
        <v>78</v>
      </c>
      <c r="K24" s="17">
        <v>5</v>
      </c>
      <c r="L24" s="17">
        <f t="shared" si="0"/>
        <v>2017</v>
      </c>
      <c r="M24" s="17">
        <f t="shared" si="1"/>
        <v>2017.1666666666667</v>
      </c>
      <c r="N24" s="17">
        <v>804.21</v>
      </c>
      <c r="O24" s="17">
        <f t="shared" si="2"/>
        <v>804.21</v>
      </c>
      <c r="P24" s="17">
        <f t="shared" si="3"/>
        <v>13.403500000000001</v>
      </c>
      <c r="Q24" s="17">
        <f t="shared" si="4"/>
        <v>160.84200000000001</v>
      </c>
      <c r="R24" s="17">
        <f t="shared" si="5"/>
        <v>0</v>
      </c>
      <c r="S24" s="17">
        <f t="shared" si="6"/>
        <v>804.21</v>
      </c>
      <c r="T24" s="17">
        <f t="shared" si="7"/>
        <v>804.21</v>
      </c>
      <c r="U24" s="17">
        <f t="shared" si="8"/>
        <v>0</v>
      </c>
    </row>
    <row r="25" spans="2:21">
      <c r="B25" s="17"/>
      <c r="C25" s="17" t="s">
        <v>916</v>
      </c>
      <c r="D25" s="17" t="s">
        <v>917</v>
      </c>
      <c r="E25" s="17"/>
      <c r="F25" s="17"/>
      <c r="G25" s="17">
        <v>2012</v>
      </c>
      <c r="H25" s="17">
        <v>4</v>
      </c>
      <c r="I25" s="8">
        <v>0</v>
      </c>
      <c r="J25" s="17" t="s">
        <v>78</v>
      </c>
      <c r="K25" s="17">
        <v>5</v>
      </c>
      <c r="L25" s="17">
        <f t="shared" si="0"/>
        <v>2017</v>
      </c>
      <c r="M25" s="17">
        <f t="shared" si="1"/>
        <v>2017.3333333333333</v>
      </c>
      <c r="N25" s="17">
        <f>1046+523</f>
        <v>1569</v>
      </c>
      <c r="O25" s="17">
        <f t="shared" si="2"/>
        <v>1569</v>
      </c>
      <c r="P25" s="17">
        <f t="shared" si="3"/>
        <v>26.150000000000002</v>
      </c>
      <c r="Q25" s="17">
        <f t="shared" si="4"/>
        <v>313.8</v>
      </c>
      <c r="R25" s="17">
        <f t="shared" si="5"/>
        <v>0</v>
      </c>
      <c r="S25" s="17">
        <f t="shared" si="6"/>
        <v>1569</v>
      </c>
      <c r="T25" s="17">
        <f t="shared" si="7"/>
        <v>1569</v>
      </c>
      <c r="U25" s="17">
        <f t="shared" si="8"/>
        <v>0</v>
      </c>
    </row>
    <row r="26" spans="2:21">
      <c r="B26" s="17"/>
      <c r="C26" s="17" t="s">
        <v>918</v>
      </c>
      <c r="D26" s="17">
        <v>95598</v>
      </c>
      <c r="E26" s="17"/>
      <c r="F26" s="17"/>
      <c r="G26" s="17">
        <v>2012</v>
      </c>
      <c r="H26" s="17">
        <v>8</v>
      </c>
      <c r="I26" s="8">
        <v>0</v>
      </c>
      <c r="J26" s="17" t="s">
        <v>78</v>
      </c>
      <c r="K26" s="17">
        <v>8</v>
      </c>
      <c r="L26" s="17">
        <f t="shared" si="0"/>
        <v>2020</v>
      </c>
      <c r="M26" s="17">
        <f t="shared" si="1"/>
        <v>2020.6666666666667</v>
      </c>
      <c r="N26" s="17">
        <v>1078</v>
      </c>
      <c r="O26" s="17">
        <f t="shared" si="2"/>
        <v>1078</v>
      </c>
      <c r="P26" s="17">
        <f t="shared" si="3"/>
        <v>11.229166666666666</v>
      </c>
      <c r="Q26" s="17">
        <f t="shared" si="4"/>
        <v>134.75</v>
      </c>
      <c r="R26" s="17">
        <f t="shared" si="5"/>
        <v>134.75</v>
      </c>
      <c r="S26" s="17">
        <f t="shared" si="6"/>
        <v>673.75</v>
      </c>
      <c r="T26" s="17">
        <f t="shared" si="7"/>
        <v>808.5</v>
      </c>
      <c r="U26" s="17">
        <f>+IF(R26=0,0,((N26-S26)+(N26-T26))/2)</f>
        <v>336.875</v>
      </c>
    </row>
    <row r="27" spans="2:21">
      <c r="B27" s="17">
        <v>2</v>
      </c>
      <c r="C27" s="17" t="s">
        <v>919</v>
      </c>
      <c r="D27" s="17">
        <v>98423</v>
      </c>
      <c r="E27" s="17"/>
      <c r="F27" s="17"/>
      <c r="G27" s="17">
        <v>2012</v>
      </c>
      <c r="H27" s="17">
        <v>11</v>
      </c>
      <c r="I27" s="8">
        <v>0</v>
      </c>
      <c r="J27" s="17" t="s">
        <v>78</v>
      </c>
      <c r="K27" s="17">
        <v>5</v>
      </c>
      <c r="L27" s="17">
        <f t="shared" si="0"/>
        <v>2017</v>
      </c>
      <c r="M27" s="17">
        <f t="shared" si="1"/>
        <v>2017.9166666666667</v>
      </c>
      <c r="N27" s="17">
        <v>11322</v>
      </c>
      <c r="O27" s="17">
        <f t="shared" si="2"/>
        <v>11322</v>
      </c>
      <c r="P27" s="17">
        <f t="shared" si="3"/>
        <v>188.70000000000002</v>
      </c>
      <c r="Q27" s="17">
        <f t="shared" si="4"/>
        <v>2264.4</v>
      </c>
      <c r="R27" s="17">
        <f t="shared" si="5"/>
        <v>0</v>
      </c>
      <c r="S27" s="17">
        <f t="shared" si="6"/>
        <v>11322</v>
      </c>
      <c r="T27" s="17">
        <f t="shared" si="7"/>
        <v>11322</v>
      </c>
      <c r="U27" s="17">
        <f t="shared" si="8"/>
        <v>0</v>
      </c>
    </row>
    <row r="28" spans="2:21">
      <c r="B28" s="17"/>
      <c r="C28" s="17" t="s">
        <v>918</v>
      </c>
      <c r="D28" s="17">
        <v>101995</v>
      </c>
      <c r="E28" s="17"/>
      <c r="F28" s="17"/>
      <c r="G28" s="17">
        <v>2013</v>
      </c>
      <c r="H28" s="17">
        <v>1</v>
      </c>
      <c r="I28" s="8">
        <v>0</v>
      </c>
      <c r="J28" s="17" t="s">
        <v>78</v>
      </c>
      <c r="K28" s="17">
        <v>8</v>
      </c>
      <c r="L28" s="17">
        <f t="shared" si="0"/>
        <v>2021</v>
      </c>
      <c r="M28" s="17">
        <f t="shared" si="1"/>
        <v>2021.0833333333333</v>
      </c>
      <c r="N28" s="17">
        <v>1066</v>
      </c>
      <c r="O28" s="17">
        <f t="shared" si="2"/>
        <v>1066</v>
      </c>
      <c r="P28" s="17">
        <f t="shared" si="3"/>
        <v>11.104166666666666</v>
      </c>
      <c r="Q28" s="17">
        <f t="shared" si="4"/>
        <v>133.25</v>
      </c>
      <c r="R28" s="17">
        <f t="shared" si="5"/>
        <v>133.25</v>
      </c>
      <c r="S28" s="17">
        <f t="shared" si="6"/>
        <v>533</v>
      </c>
      <c r="T28" s="17">
        <f t="shared" si="7"/>
        <v>666.25</v>
      </c>
      <c r="U28" s="17">
        <f t="shared" si="8"/>
        <v>466.375</v>
      </c>
    </row>
    <row r="29" spans="2:21">
      <c r="B29" s="17">
        <v>1</v>
      </c>
      <c r="C29" s="17" t="s">
        <v>920</v>
      </c>
      <c r="D29" s="17">
        <v>115909</v>
      </c>
      <c r="E29" s="17"/>
      <c r="F29" s="17"/>
      <c r="G29" s="17">
        <v>2014</v>
      </c>
      <c r="H29" s="17">
        <v>6</v>
      </c>
      <c r="I29" s="8">
        <v>0</v>
      </c>
      <c r="J29" s="17" t="s">
        <v>78</v>
      </c>
      <c r="K29" s="17">
        <v>5</v>
      </c>
      <c r="L29" s="17">
        <f t="shared" si="0"/>
        <v>2019</v>
      </c>
      <c r="M29" s="17">
        <f t="shared" si="1"/>
        <v>2019.5</v>
      </c>
      <c r="N29" s="17">
        <v>4221.4399999999996</v>
      </c>
      <c r="O29" s="17">
        <f t="shared" si="2"/>
        <v>4221.4399999999996</v>
      </c>
      <c r="P29" s="17">
        <f t="shared" si="3"/>
        <v>70.35733333333333</v>
      </c>
      <c r="Q29" s="17">
        <f t="shared" si="4"/>
        <v>844.28800000000001</v>
      </c>
      <c r="R29" s="17">
        <f t="shared" si="5"/>
        <v>844.28800000000001</v>
      </c>
      <c r="S29" s="17">
        <f t="shared" si="6"/>
        <v>2532.864</v>
      </c>
      <c r="T29" s="17">
        <f t="shared" si="7"/>
        <v>3377.152</v>
      </c>
      <c r="U29" s="17">
        <f t="shared" si="8"/>
        <v>1266.4319999999996</v>
      </c>
    </row>
    <row r="30" spans="2:21">
      <c r="B30" s="17"/>
      <c r="C30" s="17" t="s">
        <v>921</v>
      </c>
      <c r="D30" s="17">
        <v>118539</v>
      </c>
      <c r="E30" s="17"/>
      <c r="F30" s="17"/>
      <c r="G30" s="17">
        <v>2014</v>
      </c>
      <c r="H30" s="17">
        <v>12</v>
      </c>
      <c r="I30" s="8">
        <v>0</v>
      </c>
      <c r="J30" s="17" t="s">
        <v>78</v>
      </c>
      <c r="K30" s="17">
        <v>5</v>
      </c>
      <c r="L30" s="17">
        <f t="shared" si="0"/>
        <v>2019</v>
      </c>
      <c r="M30" s="17">
        <f t="shared" si="1"/>
        <v>2020</v>
      </c>
      <c r="N30" s="17">
        <v>12525.06</v>
      </c>
      <c r="O30" s="17">
        <f t="shared" si="2"/>
        <v>12525.06</v>
      </c>
      <c r="P30" s="17">
        <f t="shared" si="3"/>
        <v>208.75099999999998</v>
      </c>
      <c r="Q30" s="17">
        <f t="shared" si="4"/>
        <v>2505.0119999999997</v>
      </c>
      <c r="R30" s="17">
        <f t="shared" si="5"/>
        <v>2505.0119999999997</v>
      </c>
      <c r="S30" s="17">
        <f t="shared" si="6"/>
        <v>7515.0359999999991</v>
      </c>
      <c r="T30" s="17">
        <f t="shared" si="7"/>
        <v>10020.047999999999</v>
      </c>
      <c r="U30" s="17">
        <f t="shared" si="8"/>
        <v>3757.5180000000005</v>
      </c>
    </row>
    <row r="31" spans="2:21">
      <c r="B31" s="17"/>
      <c r="C31" s="17" t="s">
        <v>922</v>
      </c>
      <c r="D31" s="17">
        <v>118538</v>
      </c>
      <c r="E31" s="17"/>
      <c r="F31" s="17"/>
      <c r="G31" s="17">
        <v>2014</v>
      </c>
      <c r="H31" s="17">
        <v>12</v>
      </c>
      <c r="I31" s="8">
        <v>0</v>
      </c>
      <c r="J31" s="17" t="s">
        <v>78</v>
      </c>
      <c r="K31" s="17">
        <v>5</v>
      </c>
      <c r="L31" s="17">
        <f t="shared" si="0"/>
        <v>2019</v>
      </c>
      <c r="M31" s="17">
        <f t="shared" si="1"/>
        <v>2020</v>
      </c>
      <c r="N31" s="17">
        <v>6310.39</v>
      </c>
      <c r="O31" s="17">
        <f t="shared" si="2"/>
        <v>6310.39</v>
      </c>
      <c r="P31" s="17">
        <f t="shared" si="3"/>
        <v>105.17316666666666</v>
      </c>
      <c r="Q31" s="17">
        <f t="shared" si="4"/>
        <v>1262.078</v>
      </c>
      <c r="R31" s="17">
        <f t="shared" si="5"/>
        <v>1262.078</v>
      </c>
      <c r="S31" s="17">
        <f t="shared" si="6"/>
        <v>3786.2339999999999</v>
      </c>
      <c r="T31" s="17">
        <f t="shared" si="7"/>
        <v>5048.3119999999999</v>
      </c>
      <c r="U31" s="17">
        <f t="shared" si="8"/>
        <v>1893.1170000000004</v>
      </c>
    </row>
    <row r="32" spans="2:21">
      <c r="B32" s="17">
        <v>9214</v>
      </c>
      <c r="C32" s="17" t="s">
        <v>923</v>
      </c>
      <c r="D32" s="17">
        <v>122789</v>
      </c>
      <c r="E32" s="17"/>
      <c r="F32" s="17"/>
      <c r="G32" s="17">
        <v>2015</v>
      </c>
      <c r="H32" s="17">
        <v>5</v>
      </c>
      <c r="I32" s="8">
        <v>0</v>
      </c>
      <c r="J32" s="17" t="s">
        <v>78</v>
      </c>
      <c r="K32" s="17">
        <v>3</v>
      </c>
      <c r="L32" s="17">
        <f t="shared" si="0"/>
        <v>2018</v>
      </c>
      <c r="M32" s="17">
        <f t="shared" si="1"/>
        <v>2018.4166666666667</v>
      </c>
      <c r="N32" s="17">
        <v>11461.68</v>
      </c>
      <c r="O32" s="17">
        <f t="shared" si="2"/>
        <v>11461.68</v>
      </c>
      <c r="P32" s="17">
        <f t="shared" si="3"/>
        <v>318.38</v>
      </c>
      <c r="Q32" s="17">
        <f t="shared" si="4"/>
        <v>3820.56</v>
      </c>
      <c r="R32" s="17">
        <f t="shared" si="5"/>
        <v>3820.56</v>
      </c>
      <c r="S32" s="17">
        <f t="shared" si="6"/>
        <v>7641.12</v>
      </c>
      <c r="T32" s="17">
        <f t="shared" si="7"/>
        <v>11461.68</v>
      </c>
      <c r="U32" s="17">
        <f t="shared" si="8"/>
        <v>1910.2800000000002</v>
      </c>
    </row>
    <row r="33" spans="1:21">
      <c r="A33" s="17"/>
      <c r="B33" s="17">
        <v>7049</v>
      </c>
      <c r="C33" s="17" t="s">
        <v>924</v>
      </c>
      <c r="D33" s="17">
        <v>123428</v>
      </c>
      <c r="E33" s="17"/>
      <c r="F33" s="17"/>
      <c r="G33" s="17">
        <v>2015</v>
      </c>
      <c r="H33" s="17">
        <v>5</v>
      </c>
      <c r="I33" s="8">
        <v>0.33</v>
      </c>
      <c r="J33" s="17" t="s">
        <v>78</v>
      </c>
      <c r="K33" s="17">
        <v>5</v>
      </c>
      <c r="L33" s="17">
        <f t="shared" si="0"/>
        <v>2020</v>
      </c>
      <c r="M33" s="17">
        <f t="shared" si="1"/>
        <v>2020.4166666666667</v>
      </c>
      <c r="N33" s="17">
        <v>31902.34</v>
      </c>
      <c r="O33" s="17">
        <f t="shared" si="2"/>
        <v>21374.567799999997</v>
      </c>
      <c r="P33" s="17">
        <f t="shared" si="3"/>
        <v>356.24279666666661</v>
      </c>
      <c r="Q33" s="17">
        <f t="shared" si="4"/>
        <v>4274.9135599999991</v>
      </c>
      <c r="R33" s="17">
        <f t="shared" si="5"/>
        <v>4274.9135599999991</v>
      </c>
      <c r="S33" s="17">
        <f t="shared" si="6"/>
        <v>8549.8271199999981</v>
      </c>
      <c r="T33" s="17">
        <f t="shared" si="7"/>
        <v>12824.740679999997</v>
      </c>
      <c r="U33" s="17">
        <f t="shared" si="8"/>
        <v>21215.056100000002</v>
      </c>
    </row>
    <row r="34" spans="1:21">
      <c r="A34" s="17"/>
      <c r="B34" s="17">
        <v>6052</v>
      </c>
      <c r="C34" s="17" t="s">
        <v>925</v>
      </c>
      <c r="D34" s="17">
        <v>123432</v>
      </c>
      <c r="E34" s="17"/>
      <c r="F34" s="17"/>
      <c r="G34" s="17">
        <v>2015</v>
      </c>
      <c r="H34" s="17">
        <v>6</v>
      </c>
      <c r="I34" s="8">
        <v>0.33</v>
      </c>
      <c r="J34" s="17" t="s">
        <v>78</v>
      </c>
      <c r="K34" s="17">
        <v>5</v>
      </c>
      <c r="L34" s="17">
        <f t="shared" si="0"/>
        <v>2020</v>
      </c>
      <c r="M34" s="17">
        <f t="shared" si="1"/>
        <v>2020.5</v>
      </c>
      <c r="N34" s="17">
        <v>29540.76</v>
      </c>
      <c r="O34" s="17">
        <f t="shared" si="2"/>
        <v>19792.309199999996</v>
      </c>
      <c r="P34" s="17">
        <f t="shared" si="3"/>
        <v>329.8718199999999</v>
      </c>
      <c r="Q34" s="17">
        <f t="shared" si="4"/>
        <v>3958.461839999999</v>
      </c>
      <c r="R34" s="17">
        <f t="shared" si="5"/>
        <v>3958.461839999999</v>
      </c>
      <c r="S34" s="17">
        <f t="shared" si="6"/>
        <v>7916.9236799999981</v>
      </c>
      <c r="T34" s="17">
        <f t="shared" si="7"/>
        <v>11875.385519999996</v>
      </c>
      <c r="U34" s="17">
        <f t="shared" si="8"/>
        <v>19644.6054</v>
      </c>
    </row>
    <row r="35" spans="1:21">
      <c r="A35" s="17"/>
      <c r="B35" s="17"/>
      <c r="C35" s="17" t="s">
        <v>926</v>
      </c>
      <c r="D35" s="17">
        <v>133011</v>
      </c>
      <c r="E35" s="17"/>
      <c r="F35" s="17"/>
      <c r="G35" s="17">
        <v>2016</v>
      </c>
      <c r="H35" s="17">
        <v>4</v>
      </c>
      <c r="I35" s="8">
        <v>0</v>
      </c>
      <c r="J35" s="17" t="s">
        <v>78</v>
      </c>
      <c r="K35" s="17">
        <v>5</v>
      </c>
      <c r="L35" s="17">
        <f t="shared" si="0"/>
        <v>2021</v>
      </c>
      <c r="M35" s="17">
        <f t="shared" si="1"/>
        <v>2021.3333333333333</v>
      </c>
      <c r="N35" s="17">
        <v>16000</v>
      </c>
      <c r="O35" s="17">
        <f t="shared" si="2"/>
        <v>16000</v>
      </c>
      <c r="P35" s="17">
        <f t="shared" si="3"/>
        <v>266.66666666666669</v>
      </c>
      <c r="Q35" s="17">
        <f t="shared" si="4"/>
        <v>3200</v>
      </c>
      <c r="R35" s="17">
        <f t="shared" si="5"/>
        <v>3200</v>
      </c>
      <c r="S35" s="17">
        <f t="shared" si="6"/>
        <v>3200</v>
      </c>
      <c r="T35" s="17">
        <f t="shared" si="7"/>
        <v>6400</v>
      </c>
      <c r="U35" s="17">
        <f t="shared" si="8"/>
        <v>11200</v>
      </c>
    </row>
    <row r="37" spans="1:21">
      <c r="A37" s="17"/>
      <c r="B37" s="17"/>
      <c r="C37" s="17"/>
      <c r="D37" s="17"/>
      <c r="E37" s="17"/>
      <c r="F37" s="17"/>
      <c r="G37" s="17"/>
      <c r="H37" s="17"/>
      <c r="J37" s="17"/>
      <c r="K37" s="17"/>
      <c r="L37" s="17" t="s">
        <v>927</v>
      </c>
      <c r="M37" s="17"/>
      <c r="N37" s="17">
        <f>SUM(N14:N36)</f>
        <v>447124.56000000006</v>
      </c>
      <c r="O37" s="17">
        <f>SUM(O14:O36)</f>
        <v>406342.68150000006</v>
      </c>
      <c r="P37" s="17">
        <f>SUM(P14:P36)</f>
        <v>6569.2350408730163</v>
      </c>
      <c r="Q37" s="17">
        <f>SUM(Q14:Q36)</f>
        <v>78830.820490476195</v>
      </c>
      <c r="R37" s="17"/>
      <c r="S37" s="17">
        <f>SUM(S14:S36)</f>
        <v>365521.46194285719</v>
      </c>
      <c r="T37" s="17">
        <f>SUM(T14:T36)</f>
        <v>395500.95820000005</v>
      </c>
      <c r="U37" s="17">
        <f>SUM(U14:U36)</f>
        <v>66613.349928571421</v>
      </c>
    </row>
    <row r="39" spans="1:21">
      <c r="A39" s="17"/>
      <c r="B39" s="17" t="s">
        <v>928</v>
      </c>
      <c r="C39" s="17"/>
      <c r="D39" s="17"/>
      <c r="E39" s="17"/>
      <c r="F39" s="17"/>
      <c r="G39" s="17"/>
      <c r="H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>
      <c r="A40" s="17" t="s">
        <v>929</v>
      </c>
      <c r="B40" s="17">
        <v>6035</v>
      </c>
      <c r="C40" s="17" t="s">
        <v>930</v>
      </c>
      <c r="D40" s="17"/>
      <c r="E40" s="17"/>
      <c r="F40" s="17"/>
      <c r="G40" s="17">
        <v>2006</v>
      </c>
      <c r="H40" s="17">
        <v>3</v>
      </c>
      <c r="I40" s="8">
        <v>0.2</v>
      </c>
      <c r="J40" s="17" t="s">
        <v>78</v>
      </c>
      <c r="K40" s="17">
        <v>7</v>
      </c>
      <c r="L40" s="17">
        <f t="shared" ref="L40:L51" si="9">G40+K40</f>
        <v>2013</v>
      </c>
      <c r="M40" s="17">
        <f t="shared" ref="M40:M51" si="10">+L40+(H40/12)</f>
        <v>2013.25</v>
      </c>
      <c r="N40" s="17">
        <v>20450.8</v>
      </c>
      <c r="O40" s="17">
        <f>N40-N40*I40</f>
        <v>16360.64</v>
      </c>
      <c r="P40" s="17">
        <f>O40/K40/12</f>
        <v>194.7695238095238</v>
      </c>
      <c r="Q40" s="17">
        <f t="shared" ref="Q40:Q51" si="11">P40*12</f>
        <v>2337.2342857142858</v>
      </c>
      <c r="R40" s="17">
        <f t="shared" ref="R40:R51" si="12">+IF(M40&lt;=$O$6,0,IF(L40&gt;$O$5,Q40,(P40*G40)))</f>
        <v>0</v>
      </c>
      <c r="S40" s="17">
        <f t="shared" ref="S40:S51" si="13">+IF(R40=0,N40,IF($O$5-G40&lt;1,0,(($O$5-G40)*Q40)))</f>
        <v>20450.8</v>
      </c>
      <c r="T40" s="17">
        <f t="shared" ref="T40:T51" si="14">+IF(R40=0,S40,S40+R40)</f>
        <v>20450.8</v>
      </c>
      <c r="U40" s="17">
        <f>+IF(R40=0,0,((N40-S40)+(N40-T40))/2)</f>
        <v>0</v>
      </c>
    </row>
    <row r="41" spans="1:21">
      <c r="A41" s="17"/>
      <c r="B41" s="17">
        <v>6038</v>
      </c>
      <c r="C41" s="17" t="s">
        <v>932</v>
      </c>
      <c r="D41" s="17">
        <v>180957</v>
      </c>
      <c r="E41" s="17" t="s">
        <v>97</v>
      </c>
      <c r="F41" s="17"/>
      <c r="G41" s="17">
        <v>2008</v>
      </c>
      <c r="H41" s="17">
        <v>11</v>
      </c>
      <c r="I41" s="8">
        <v>0</v>
      </c>
      <c r="J41" s="17" t="s">
        <v>78</v>
      </c>
      <c r="K41" s="17">
        <v>3</v>
      </c>
      <c r="L41" s="17">
        <f>G41+K41</f>
        <v>2011</v>
      </c>
      <c r="M41" s="17">
        <f t="shared" si="10"/>
        <v>2011.9166666666667</v>
      </c>
      <c r="N41" s="17">
        <v>13500</v>
      </c>
      <c r="O41" s="17">
        <f t="shared" ref="O41:O51" si="15">N41-N41*I41</f>
        <v>13500</v>
      </c>
      <c r="P41" s="17">
        <f t="shared" ref="P41:P51" si="16">O41/K41/12</f>
        <v>375</v>
      </c>
      <c r="Q41" s="17">
        <f t="shared" si="11"/>
        <v>4500</v>
      </c>
      <c r="R41" s="17">
        <f t="shared" si="12"/>
        <v>0</v>
      </c>
      <c r="S41" s="17">
        <f t="shared" si="13"/>
        <v>13500</v>
      </c>
      <c r="T41" s="17">
        <f t="shared" si="14"/>
        <v>13500</v>
      </c>
      <c r="U41" s="17">
        <f t="shared" ref="U41:U51" si="17">+IF(R41=0,0,((N41-S41)+(N41-T41))/2)</f>
        <v>0</v>
      </c>
    </row>
    <row r="42" spans="1:21">
      <c r="A42" s="17" t="s">
        <v>929</v>
      </c>
      <c r="B42" s="17">
        <v>6043</v>
      </c>
      <c r="C42" s="17" t="s">
        <v>933</v>
      </c>
      <c r="D42" s="17">
        <v>73834</v>
      </c>
      <c r="E42" s="17" t="s">
        <v>97</v>
      </c>
      <c r="F42" s="17"/>
      <c r="G42" s="17">
        <v>2010</v>
      </c>
      <c r="H42" s="17">
        <v>4</v>
      </c>
      <c r="I42" s="8">
        <v>0.33</v>
      </c>
      <c r="J42" s="17" t="s">
        <v>78</v>
      </c>
      <c r="K42" s="17">
        <v>5</v>
      </c>
      <c r="L42" s="17">
        <f t="shared" si="9"/>
        <v>2015</v>
      </c>
      <c r="M42" s="17">
        <f t="shared" si="10"/>
        <v>2015.3333333333333</v>
      </c>
      <c r="N42" s="17">
        <v>15000</v>
      </c>
      <c r="O42" s="17">
        <f t="shared" si="15"/>
        <v>10050</v>
      </c>
      <c r="P42" s="17">
        <f t="shared" si="16"/>
        <v>167.5</v>
      </c>
      <c r="Q42" s="17">
        <f t="shared" si="11"/>
        <v>2010</v>
      </c>
      <c r="R42" s="17">
        <f t="shared" si="12"/>
        <v>0</v>
      </c>
      <c r="S42" s="17">
        <f t="shared" si="13"/>
        <v>15000</v>
      </c>
      <c r="T42" s="17">
        <f t="shared" si="14"/>
        <v>15000</v>
      </c>
      <c r="U42" s="17">
        <f t="shared" si="17"/>
        <v>0</v>
      </c>
    </row>
    <row r="43" spans="1:21">
      <c r="A43" s="17" t="s">
        <v>929</v>
      </c>
      <c r="B43" s="17">
        <v>6046</v>
      </c>
      <c r="C43" s="17" t="s">
        <v>935</v>
      </c>
      <c r="D43" s="17">
        <v>80669</v>
      </c>
      <c r="E43" s="17" t="s">
        <v>97</v>
      </c>
      <c r="F43" s="17"/>
      <c r="G43" s="17">
        <v>2011</v>
      </c>
      <c r="H43" s="17">
        <v>3</v>
      </c>
      <c r="I43" s="8">
        <v>0.33</v>
      </c>
      <c r="J43" s="17" t="s">
        <v>78</v>
      </c>
      <c r="K43" s="17">
        <v>5</v>
      </c>
      <c r="L43" s="17">
        <f t="shared" si="9"/>
        <v>2016</v>
      </c>
      <c r="M43" s="17">
        <f t="shared" si="10"/>
        <v>2016.25</v>
      </c>
      <c r="N43" s="17">
        <v>20000</v>
      </c>
      <c r="O43" s="17">
        <f t="shared" si="15"/>
        <v>13400</v>
      </c>
      <c r="P43" s="17">
        <f t="shared" si="16"/>
        <v>223.33333333333334</v>
      </c>
      <c r="Q43" s="17">
        <f t="shared" si="11"/>
        <v>2680</v>
      </c>
      <c r="R43" s="17">
        <f t="shared" si="12"/>
        <v>0</v>
      </c>
      <c r="S43" s="17">
        <f t="shared" si="13"/>
        <v>20000</v>
      </c>
      <c r="T43" s="17">
        <f t="shared" si="14"/>
        <v>20000</v>
      </c>
      <c r="U43" s="17">
        <f t="shared" si="17"/>
        <v>0</v>
      </c>
    </row>
    <row r="44" spans="1:21">
      <c r="A44" s="17"/>
      <c r="B44" s="17">
        <v>6048</v>
      </c>
      <c r="C44" s="17" t="s">
        <v>937</v>
      </c>
      <c r="D44" s="17">
        <v>103263</v>
      </c>
      <c r="E44" s="17"/>
      <c r="F44" s="17"/>
      <c r="G44" s="17">
        <v>2013</v>
      </c>
      <c r="H44" s="17">
        <v>4</v>
      </c>
      <c r="I44" s="8">
        <v>0.33</v>
      </c>
      <c r="J44" s="17" t="s">
        <v>78</v>
      </c>
      <c r="K44" s="17">
        <v>5</v>
      </c>
      <c r="L44" s="17">
        <f t="shared" si="9"/>
        <v>2018</v>
      </c>
      <c r="M44" s="17">
        <f t="shared" si="10"/>
        <v>2018.3333333333333</v>
      </c>
      <c r="N44" s="17">
        <v>25233.41</v>
      </c>
      <c r="O44" s="17">
        <f t="shared" si="15"/>
        <v>16906.384699999999</v>
      </c>
      <c r="P44" s="17">
        <f t="shared" si="16"/>
        <v>281.77307833333333</v>
      </c>
      <c r="Q44" s="17">
        <f t="shared" si="11"/>
        <v>3381.2769399999997</v>
      </c>
      <c r="R44" s="17">
        <f t="shared" si="12"/>
        <v>3381.2769399999997</v>
      </c>
      <c r="S44" s="17">
        <f t="shared" si="13"/>
        <v>13525.107759999999</v>
      </c>
      <c r="T44" s="17">
        <f t="shared" si="14"/>
        <v>16906.384699999999</v>
      </c>
      <c r="U44" s="17">
        <f t="shared" si="17"/>
        <v>10017.663770000001</v>
      </c>
    </row>
    <row r="45" spans="1:21">
      <c r="A45" s="17"/>
      <c r="B45" s="17"/>
      <c r="C45" s="17" t="s">
        <v>938</v>
      </c>
      <c r="D45" s="17">
        <v>180202</v>
      </c>
      <c r="E45" s="17"/>
      <c r="F45" s="17"/>
      <c r="G45" s="17">
        <v>2013</v>
      </c>
      <c r="H45" s="17">
        <v>4</v>
      </c>
      <c r="I45" s="8">
        <v>0.33</v>
      </c>
      <c r="J45" s="17" t="s">
        <v>78</v>
      </c>
      <c r="K45" s="17">
        <v>5</v>
      </c>
      <c r="L45" s="17">
        <f>G45+K45</f>
        <v>2018</v>
      </c>
      <c r="M45" s="17">
        <f t="shared" si="10"/>
        <v>2018.3333333333333</v>
      </c>
      <c r="N45" s="17">
        <v>25999.99</v>
      </c>
      <c r="O45" s="17">
        <f t="shared" si="15"/>
        <v>17419.993300000002</v>
      </c>
      <c r="P45" s="17">
        <f t="shared" si="16"/>
        <v>290.3332216666667</v>
      </c>
      <c r="Q45" s="17">
        <f t="shared" si="11"/>
        <v>3483.9986600000002</v>
      </c>
      <c r="R45" s="17">
        <f t="shared" si="12"/>
        <v>3483.9986600000002</v>
      </c>
      <c r="S45" s="17">
        <f t="shared" si="13"/>
        <v>13935.994640000001</v>
      </c>
      <c r="T45" s="17">
        <f t="shared" si="14"/>
        <v>17419.993300000002</v>
      </c>
      <c r="U45" s="17">
        <f t="shared" si="17"/>
        <v>10321.99603</v>
      </c>
    </row>
    <row r="46" spans="1:21">
      <c r="A46" s="17" t="s">
        <v>929</v>
      </c>
      <c r="B46" s="17">
        <v>6049</v>
      </c>
      <c r="C46" s="17" t="s">
        <v>939</v>
      </c>
      <c r="D46" s="17">
        <v>106765</v>
      </c>
      <c r="E46" s="17"/>
      <c r="F46" s="17"/>
      <c r="G46" s="17">
        <v>2013</v>
      </c>
      <c r="H46" s="17">
        <v>8</v>
      </c>
      <c r="I46" s="8">
        <v>0.33</v>
      </c>
      <c r="J46" s="17" t="s">
        <v>78</v>
      </c>
      <c r="K46" s="17">
        <v>5</v>
      </c>
      <c r="L46" s="17">
        <f t="shared" si="9"/>
        <v>2018</v>
      </c>
      <c r="M46" s="17">
        <f t="shared" si="10"/>
        <v>2018.6666666666667</v>
      </c>
      <c r="N46" s="17">
        <v>23110.11</v>
      </c>
      <c r="O46" s="17">
        <f t="shared" si="15"/>
        <v>15483.7737</v>
      </c>
      <c r="P46" s="17">
        <f t="shared" si="16"/>
        <v>258.06289499999997</v>
      </c>
      <c r="Q46" s="17">
        <f t="shared" si="11"/>
        <v>3096.7547399999994</v>
      </c>
      <c r="R46" s="17">
        <f t="shared" si="12"/>
        <v>3096.7547399999994</v>
      </c>
      <c r="S46" s="17">
        <f t="shared" si="13"/>
        <v>12387.018959999998</v>
      </c>
      <c r="T46" s="17">
        <f t="shared" si="14"/>
        <v>15483.773699999998</v>
      </c>
      <c r="U46" s="17">
        <f t="shared" si="17"/>
        <v>9174.7136700000028</v>
      </c>
    </row>
    <row r="47" spans="1:21">
      <c r="A47" s="17" t="s">
        <v>929</v>
      </c>
      <c r="B47" s="17">
        <v>6051</v>
      </c>
      <c r="C47" s="17" t="s">
        <v>940</v>
      </c>
      <c r="D47" s="17">
        <v>119073</v>
      </c>
      <c r="E47" s="17"/>
      <c r="F47" s="17"/>
      <c r="G47" s="17">
        <v>2015</v>
      </c>
      <c r="H47" s="17">
        <v>1</v>
      </c>
      <c r="I47" s="8">
        <v>0.33</v>
      </c>
      <c r="J47" s="17" t="s">
        <v>78</v>
      </c>
      <c r="K47" s="17">
        <v>5</v>
      </c>
      <c r="L47" s="17">
        <f t="shared" si="9"/>
        <v>2020</v>
      </c>
      <c r="M47" s="17">
        <f t="shared" si="10"/>
        <v>2020.0833333333333</v>
      </c>
      <c r="N47" s="17">
        <v>27000</v>
      </c>
      <c r="O47" s="17">
        <f t="shared" si="15"/>
        <v>18090</v>
      </c>
      <c r="P47" s="17">
        <f t="shared" si="16"/>
        <v>301.5</v>
      </c>
      <c r="Q47" s="17">
        <f t="shared" si="11"/>
        <v>3618</v>
      </c>
      <c r="R47" s="17">
        <f t="shared" si="12"/>
        <v>3618</v>
      </c>
      <c r="S47" s="17">
        <f t="shared" si="13"/>
        <v>7236</v>
      </c>
      <c r="T47" s="17">
        <f t="shared" si="14"/>
        <v>10854</v>
      </c>
      <c r="U47" s="17">
        <f t="shared" si="17"/>
        <v>17955</v>
      </c>
    </row>
    <row r="48" spans="1:21">
      <c r="A48" s="17"/>
      <c r="B48" s="17">
        <v>6055</v>
      </c>
      <c r="C48" s="17" t="s">
        <v>941</v>
      </c>
      <c r="D48" s="17">
        <v>128672</v>
      </c>
      <c r="E48" s="17"/>
      <c r="F48" s="17"/>
      <c r="G48" s="17">
        <v>2015</v>
      </c>
      <c r="H48" s="17">
        <v>12</v>
      </c>
      <c r="I48" s="8">
        <v>0.2</v>
      </c>
      <c r="J48" s="17" t="s">
        <v>78</v>
      </c>
      <c r="K48" s="17">
        <v>7</v>
      </c>
      <c r="L48" s="17">
        <f t="shared" si="9"/>
        <v>2022</v>
      </c>
      <c r="M48" s="17">
        <f t="shared" si="10"/>
        <v>2023</v>
      </c>
      <c r="N48" s="17">
        <v>73306.22</v>
      </c>
      <c r="O48" s="17">
        <f t="shared" si="15"/>
        <v>58644.976000000002</v>
      </c>
      <c r="P48" s="17">
        <f t="shared" si="16"/>
        <v>698.1544761904762</v>
      </c>
      <c r="Q48" s="17">
        <f t="shared" si="11"/>
        <v>8377.8537142857149</v>
      </c>
      <c r="R48" s="17">
        <f t="shared" si="12"/>
        <v>8377.8537142857149</v>
      </c>
      <c r="S48" s="17">
        <f t="shared" si="13"/>
        <v>16755.70742857143</v>
      </c>
      <c r="T48" s="17">
        <f t="shared" si="14"/>
        <v>25133.561142857143</v>
      </c>
      <c r="U48" s="17">
        <f t="shared" si="17"/>
        <v>52361.585714285713</v>
      </c>
    </row>
    <row r="49" spans="2:21">
      <c r="B49" s="17"/>
      <c r="C49" s="17" t="s">
        <v>942</v>
      </c>
      <c r="D49" s="17">
        <v>197201</v>
      </c>
      <c r="E49" s="17"/>
      <c r="F49" s="17"/>
      <c r="G49" s="17">
        <v>2018</v>
      </c>
      <c r="H49" s="17">
        <v>5</v>
      </c>
      <c r="J49" s="17" t="s">
        <v>78</v>
      </c>
      <c r="K49" s="17">
        <v>10</v>
      </c>
      <c r="L49" s="17">
        <f t="shared" si="9"/>
        <v>2028</v>
      </c>
      <c r="M49" s="17">
        <f t="shared" si="10"/>
        <v>2028.4166666666667</v>
      </c>
      <c r="N49" s="17">
        <v>86454.44</v>
      </c>
      <c r="O49" s="17">
        <f t="shared" si="15"/>
        <v>86454.44</v>
      </c>
      <c r="P49" s="17">
        <f t="shared" si="16"/>
        <v>720.45366666666666</v>
      </c>
      <c r="Q49" s="17">
        <f t="shared" si="11"/>
        <v>8645.4439999999995</v>
      </c>
      <c r="R49" s="17">
        <f t="shared" si="12"/>
        <v>8645.4439999999995</v>
      </c>
      <c r="S49" s="17">
        <f t="shared" si="13"/>
        <v>0</v>
      </c>
      <c r="T49" s="17">
        <f t="shared" si="14"/>
        <v>8645.4439999999995</v>
      </c>
      <c r="U49" s="17">
        <f t="shared" si="17"/>
        <v>82131.717999999993</v>
      </c>
    </row>
    <row r="50" spans="2:21">
      <c r="B50" s="17"/>
      <c r="C50" s="17" t="s">
        <v>943</v>
      </c>
      <c r="D50" s="17">
        <v>201090</v>
      </c>
      <c r="E50" s="17">
        <v>197201</v>
      </c>
      <c r="F50" s="17"/>
      <c r="G50" s="17">
        <v>2018</v>
      </c>
      <c r="H50" s="17">
        <v>5</v>
      </c>
      <c r="J50" s="17" t="s">
        <v>78</v>
      </c>
      <c r="K50" s="17">
        <v>10</v>
      </c>
      <c r="L50" s="17">
        <f t="shared" si="9"/>
        <v>2028</v>
      </c>
      <c r="M50" s="17">
        <f t="shared" si="10"/>
        <v>2028.4166666666667</v>
      </c>
      <c r="N50" s="17">
        <v>-424</v>
      </c>
      <c r="O50" s="17">
        <f t="shared" si="15"/>
        <v>-424</v>
      </c>
      <c r="P50" s="17">
        <f t="shared" si="16"/>
        <v>-3.5333333333333332</v>
      </c>
      <c r="Q50" s="17">
        <f t="shared" si="11"/>
        <v>-42.4</v>
      </c>
      <c r="R50" s="17">
        <f t="shared" si="12"/>
        <v>-42.4</v>
      </c>
      <c r="S50" s="17">
        <f t="shared" si="13"/>
        <v>0</v>
      </c>
      <c r="T50" s="17">
        <f t="shared" si="14"/>
        <v>-42.4</v>
      </c>
      <c r="U50" s="17">
        <f t="shared" si="17"/>
        <v>-402.8</v>
      </c>
    </row>
    <row r="51" spans="2:21">
      <c r="B51" s="17"/>
      <c r="C51" s="17" t="s">
        <v>944</v>
      </c>
      <c r="D51" s="17">
        <v>199116</v>
      </c>
      <c r="E51" s="17">
        <v>197201</v>
      </c>
      <c r="F51" s="17"/>
      <c r="G51" s="17">
        <v>2018</v>
      </c>
      <c r="H51" s="17">
        <v>6</v>
      </c>
      <c r="J51" s="17" t="s">
        <v>78</v>
      </c>
      <c r="K51" s="17">
        <v>5</v>
      </c>
      <c r="L51" s="17">
        <f t="shared" si="9"/>
        <v>2023</v>
      </c>
      <c r="M51" s="17">
        <f t="shared" si="10"/>
        <v>2023.5</v>
      </c>
      <c r="N51" s="17">
        <v>1453.57</v>
      </c>
      <c r="O51" s="17">
        <f t="shared" si="15"/>
        <v>1453.57</v>
      </c>
      <c r="P51" s="17">
        <f t="shared" si="16"/>
        <v>24.226166666666668</v>
      </c>
      <c r="Q51" s="17">
        <f t="shared" si="11"/>
        <v>290.714</v>
      </c>
      <c r="R51" s="17">
        <f t="shared" si="12"/>
        <v>290.714</v>
      </c>
      <c r="S51" s="17">
        <f t="shared" si="13"/>
        <v>0</v>
      </c>
      <c r="T51" s="17">
        <f t="shared" si="14"/>
        <v>290.714</v>
      </c>
      <c r="U51" s="17">
        <f t="shared" si="17"/>
        <v>1308.213</v>
      </c>
    </row>
    <row r="53" spans="2:21">
      <c r="B53" s="17"/>
      <c r="C53" s="17"/>
      <c r="D53" s="17"/>
      <c r="E53" s="17"/>
      <c r="F53" s="17"/>
      <c r="G53" s="17"/>
      <c r="H53" s="17"/>
      <c r="J53" s="17"/>
      <c r="K53" s="17"/>
      <c r="L53" s="17" t="s">
        <v>946</v>
      </c>
      <c r="M53" s="17"/>
      <c r="N53" s="17">
        <f t="shared" ref="N53:U53" si="18">SUM(N40:N52)</f>
        <v>331084.53999999998</v>
      </c>
      <c r="O53" s="17">
        <f t="shared" si="18"/>
        <v>267339.77770000004</v>
      </c>
      <c r="P53" s="17">
        <f t="shared" si="18"/>
        <v>3531.5730283333337</v>
      </c>
      <c r="Q53" s="17">
        <f t="shared" si="18"/>
        <v>42378.876340000003</v>
      </c>
      <c r="R53" s="17">
        <f t="shared" si="18"/>
        <v>30851.642054285712</v>
      </c>
      <c r="S53" s="17">
        <f t="shared" si="18"/>
        <v>132790.62878857143</v>
      </c>
      <c r="T53" s="17">
        <f t="shared" si="18"/>
        <v>163642.27084285716</v>
      </c>
      <c r="U53" s="17">
        <f t="shared" si="18"/>
        <v>182868.09018428571</v>
      </c>
    </row>
    <row r="56" spans="2:21">
      <c r="B56" s="17" t="s">
        <v>947</v>
      </c>
      <c r="C56" s="17"/>
      <c r="D56" s="17"/>
      <c r="E56" s="17"/>
      <c r="F56" s="17"/>
      <c r="G56" s="17"/>
      <c r="H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</row>
    <row r="57" spans="2:21">
      <c r="B57" s="17"/>
      <c r="C57" s="17" t="s">
        <v>948</v>
      </c>
      <c r="D57" s="17">
        <v>73374</v>
      </c>
      <c r="E57" s="17"/>
      <c r="F57" s="17"/>
      <c r="G57" s="17">
        <v>2010</v>
      </c>
      <c r="H57" s="17">
        <v>3</v>
      </c>
      <c r="I57" s="8">
        <v>0</v>
      </c>
      <c r="J57" s="17" t="s">
        <v>78</v>
      </c>
      <c r="K57" s="17">
        <v>3</v>
      </c>
      <c r="L57" s="17">
        <f t="shared" ref="L57:L95" si="19">G57+K57</f>
        <v>2013</v>
      </c>
      <c r="M57" s="17">
        <f t="shared" ref="M57:M95" si="20">+L57+(H57/12)</f>
        <v>2013.25</v>
      </c>
      <c r="N57" s="17">
        <v>1558.9</v>
      </c>
      <c r="O57" s="17">
        <f t="shared" ref="O57:O95" si="21">N57-N57*I57</f>
        <v>1558.9</v>
      </c>
      <c r="P57" s="17">
        <f t="shared" ref="P57:P95" si="22">O57/K57/12</f>
        <v>43.302777777777777</v>
      </c>
      <c r="Q57" s="17">
        <f t="shared" ref="Q57:Q95" si="23">P57*12</f>
        <v>519.63333333333333</v>
      </c>
      <c r="R57" s="17">
        <f t="shared" ref="R57:R95" si="24">+IF(M57&lt;=$O$6,0,IF(L57&gt;$O$5,Q57,(P57*G57)))</f>
        <v>0</v>
      </c>
      <c r="S57" s="17">
        <f t="shared" ref="S57:S95" si="25">+IF(R57=0,N57,IF($O$5-G57&lt;1,0,(($O$5-G57)*Q57)))</f>
        <v>1558.9</v>
      </c>
      <c r="T57" s="17">
        <f t="shared" ref="T57:T95" si="26">+IF(R57=0,S57,S57+R57)</f>
        <v>1558.9</v>
      </c>
      <c r="U57" s="17">
        <f t="shared" ref="U57:U95" si="27">+IF(R57=0,0,((N57-S57)+(N57-T57))/2)</f>
        <v>0</v>
      </c>
    </row>
    <row r="58" spans="2:21">
      <c r="B58" s="17"/>
      <c r="C58" s="17" t="s">
        <v>949</v>
      </c>
      <c r="D58" s="17">
        <v>72971</v>
      </c>
      <c r="E58" s="17"/>
      <c r="F58" s="17"/>
      <c r="G58" s="17">
        <v>2010</v>
      </c>
      <c r="H58" s="17">
        <v>3</v>
      </c>
      <c r="I58" s="8">
        <v>0</v>
      </c>
      <c r="J58" s="17" t="s">
        <v>78</v>
      </c>
      <c r="K58" s="17">
        <v>3</v>
      </c>
      <c r="L58" s="17">
        <f t="shared" si="19"/>
        <v>2013</v>
      </c>
      <c r="M58" s="17">
        <f t="shared" si="20"/>
        <v>2013.25</v>
      </c>
      <c r="N58" s="17">
        <v>20775</v>
      </c>
      <c r="O58" s="17">
        <f t="shared" si="21"/>
        <v>20775</v>
      </c>
      <c r="P58" s="17">
        <f t="shared" si="22"/>
        <v>577.08333333333337</v>
      </c>
      <c r="Q58" s="17">
        <f t="shared" si="23"/>
        <v>6925</v>
      </c>
      <c r="R58" s="17">
        <f t="shared" si="24"/>
        <v>0</v>
      </c>
      <c r="S58" s="17">
        <f t="shared" si="25"/>
        <v>20775</v>
      </c>
      <c r="T58" s="17">
        <f t="shared" si="26"/>
        <v>20775</v>
      </c>
      <c r="U58" s="17">
        <f t="shared" si="27"/>
        <v>0</v>
      </c>
    </row>
    <row r="59" spans="2:21">
      <c r="B59" s="17">
        <v>3</v>
      </c>
      <c r="C59" s="17" t="s">
        <v>950</v>
      </c>
      <c r="D59" s="17">
        <v>73815</v>
      </c>
      <c r="E59" s="17"/>
      <c r="F59" s="17"/>
      <c r="G59" s="17">
        <v>2010</v>
      </c>
      <c r="H59" s="17">
        <v>4</v>
      </c>
      <c r="I59" s="8">
        <v>0</v>
      </c>
      <c r="J59" s="17" t="s">
        <v>78</v>
      </c>
      <c r="K59" s="17">
        <v>3</v>
      </c>
      <c r="L59" s="17">
        <f t="shared" si="19"/>
        <v>2013</v>
      </c>
      <c r="M59" s="17">
        <f t="shared" si="20"/>
        <v>2013.3333333333333</v>
      </c>
      <c r="N59" s="17">
        <v>2625</v>
      </c>
      <c r="O59" s="17">
        <f t="shared" si="21"/>
        <v>2625</v>
      </c>
      <c r="P59" s="17">
        <f t="shared" si="22"/>
        <v>72.916666666666671</v>
      </c>
      <c r="Q59" s="17">
        <f t="shared" si="23"/>
        <v>875</v>
      </c>
      <c r="R59" s="17">
        <f t="shared" si="24"/>
        <v>0</v>
      </c>
      <c r="S59" s="17">
        <f t="shared" si="25"/>
        <v>2625</v>
      </c>
      <c r="T59" s="17">
        <f t="shared" si="26"/>
        <v>2625</v>
      </c>
      <c r="U59" s="17">
        <f t="shared" si="27"/>
        <v>0</v>
      </c>
    </row>
    <row r="60" spans="2:21">
      <c r="B60" s="17">
        <v>2</v>
      </c>
      <c r="C60" s="17" t="s">
        <v>951</v>
      </c>
      <c r="D60" s="17">
        <v>74451</v>
      </c>
      <c r="E60" s="17"/>
      <c r="F60" s="17"/>
      <c r="G60" s="17">
        <v>2010</v>
      </c>
      <c r="H60" s="17">
        <v>5</v>
      </c>
      <c r="I60" s="8">
        <v>0</v>
      </c>
      <c r="J60" s="17" t="s">
        <v>78</v>
      </c>
      <c r="K60" s="17">
        <v>3</v>
      </c>
      <c r="L60" s="17">
        <f t="shared" si="19"/>
        <v>2013</v>
      </c>
      <c r="M60" s="17">
        <f t="shared" si="20"/>
        <v>2013.4166666666667</v>
      </c>
      <c r="N60" s="17">
        <v>1574.93</v>
      </c>
      <c r="O60" s="17">
        <f t="shared" si="21"/>
        <v>1574.93</v>
      </c>
      <c r="P60" s="17">
        <f t="shared" si="22"/>
        <v>43.74805555555556</v>
      </c>
      <c r="Q60" s="17">
        <f t="shared" si="23"/>
        <v>524.97666666666669</v>
      </c>
      <c r="R60" s="17">
        <f t="shared" si="24"/>
        <v>0</v>
      </c>
      <c r="S60" s="17">
        <f t="shared" si="25"/>
        <v>1574.93</v>
      </c>
      <c r="T60" s="17">
        <f t="shared" si="26"/>
        <v>1574.93</v>
      </c>
      <c r="U60" s="17">
        <f t="shared" si="27"/>
        <v>0</v>
      </c>
    </row>
    <row r="61" spans="2:21">
      <c r="B61" s="17"/>
      <c r="C61" s="17" t="s">
        <v>952</v>
      </c>
      <c r="D61" s="17">
        <v>76637</v>
      </c>
      <c r="E61" s="17"/>
      <c r="F61" s="17"/>
      <c r="G61" s="17">
        <v>2010</v>
      </c>
      <c r="H61" s="17">
        <v>8</v>
      </c>
      <c r="I61" s="8">
        <v>0</v>
      </c>
      <c r="J61" s="17" t="s">
        <v>78</v>
      </c>
      <c r="K61" s="17" t="s">
        <v>953</v>
      </c>
      <c r="L61" s="17">
        <f t="shared" si="19"/>
        <v>2015</v>
      </c>
      <c r="M61" s="17">
        <f t="shared" si="20"/>
        <v>2015.6666666666667</v>
      </c>
      <c r="N61" s="17">
        <v>2684.4</v>
      </c>
      <c r="O61" s="17">
        <f t="shared" si="21"/>
        <v>2684.4</v>
      </c>
      <c r="P61" s="17">
        <f t="shared" si="22"/>
        <v>44.74</v>
      </c>
      <c r="Q61" s="17">
        <f t="shared" si="23"/>
        <v>536.88</v>
      </c>
      <c r="R61" s="17">
        <f t="shared" si="24"/>
        <v>0</v>
      </c>
      <c r="S61" s="17">
        <f t="shared" si="25"/>
        <v>2684.4</v>
      </c>
      <c r="T61" s="17">
        <f t="shared" si="26"/>
        <v>2684.4</v>
      </c>
      <c r="U61" s="17">
        <f t="shared" si="27"/>
        <v>0</v>
      </c>
    </row>
    <row r="62" spans="2:21">
      <c r="B62" s="17"/>
      <c r="C62" s="17" t="s">
        <v>954</v>
      </c>
      <c r="D62" s="17" t="s">
        <v>955</v>
      </c>
      <c r="E62" s="17">
        <v>80468</v>
      </c>
      <c r="F62" s="17"/>
      <c r="G62" s="17">
        <v>2011</v>
      </c>
      <c r="H62" s="17">
        <v>3</v>
      </c>
      <c r="I62" s="8">
        <v>0</v>
      </c>
      <c r="J62" s="17" t="s">
        <v>78</v>
      </c>
      <c r="K62" s="17">
        <v>10</v>
      </c>
      <c r="L62" s="17">
        <f t="shared" si="19"/>
        <v>2021</v>
      </c>
      <c r="M62" s="17">
        <f t="shared" si="20"/>
        <v>2021.25</v>
      </c>
      <c r="N62" s="17">
        <f>188184.69+1695.95+1039.45+1695.95</f>
        <v>192616.04000000004</v>
      </c>
      <c r="O62" s="17">
        <f t="shared" si="21"/>
        <v>192616.04000000004</v>
      </c>
      <c r="P62" s="17">
        <f t="shared" si="22"/>
        <v>1605.1336666666668</v>
      </c>
      <c r="Q62" s="17">
        <f t="shared" si="23"/>
        <v>19261.604000000003</v>
      </c>
      <c r="R62" s="17">
        <f t="shared" si="24"/>
        <v>19261.604000000003</v>
      </c>
      <c r="S62" s="17">
        <f t="shared" si="25"/>
        <v>115569.62400000001</v>
      </c>
      <c r="T62" s="17">
        <f t="shared" si="26"/>
        <v>134831.228</v>
      </c>
      <c r="U62" s="17">
        <f t="shared" si="27"/>
        <v>67415.614000000031</v>
      </c>
    </row>
    <row r="63" spans="2:21">
      <c r="B63" s="17"/>
      <c r="C63" s="17" t="s">
        <v>956</v>
      </c>
      <c r="D63" s="17" t="s">
        <v>957</v>
      </c>
      <c r="E63" s="17">
        <v>80461</v>
      </c>
      <c r="F63" s="17"/>
      <c r="G63" s="17">
        <v>2011</v>
      </c>
      <c r="H63" s="17">
        <v>3</v>
      </c>
      <c r="I63" s="8">
        <v>0</v>
      </c>
      <c r="J63" s="17" t="s">
        <v>78</v>
      </c>
      <c r="K63" s="17">
        <v>5</v>
      </c>
      <c r="L63" s="17">
        <f t="shared" si="19"/>
        <v>2016</v>
      </c>
      <c r="M63" s="17">
        <f t="shared" si="20"/>
        <v>2016.25</v>
      </c>
      <c r="N63" s="17">
        <f>97999.12+3960.18</f>
        <v>101959.29999999999</v>
      </c>
      <c r="O63" s="17">
        <f t="shared" si="21"/>
        <v>101959.29999999999</v>
      </c>
      <c r="P63" s="17">
        <f t="shared" si="22"/>
        <v>1699.3216666666665</v>
      </c>
      <c r="Q63" s="17">
        <f t="shared" si="23"/>
        <v>20391.859999999997</v>
      </c>
      <c r="R63" s="17">
        <f t="shared" si="24"/>
        <v>0</v>
      </c>
      <c r="S63" s="17">
        <f t="shared" si="25"/>
        <v>101959.29999999999</v>
      </c>
      <c r="T63" s="17">
        <f t="shared" si="26"/>
        <v>101959.29999999999</v>
      </c>
      <c r="U63" s="17">
        <f t="shared" si="27"/>
        <v>0</v>
      </c>
    </row>
    <row r="64" spans="2:21">
      <c r="B64" s="17">
        <v>1</v>
      </c>
      <c r="C64" s="17" t="s">
        <v>958</v>
      </c>
      <c r="D64" s="17">
        <v>86524</v>
      </c>
      <c r="E64" s="17"/>
      <c r="F64" s="17"/>
      <c r="G64" s="17">
        <v>2011</v>
      </c>
      <c r="H64" s="17">
        <v>7</v>
      </c>
      <c r="I64" s="8">
        <v>0</v>
      </c>
      <c r="J64" s="17" t="s">
        <v>78</v>
      </c>
      <c r="K64" s="17">
        <v>3</v>
      </c>
      <c r="L64" s="17">
        <f t="shared" si="19"/>
        <v>2014</v>
      </c>
      <c r="M64" s="17">
        <f t="shared" si="20"/>
        <v>2014.5833333333333</v>
      </c>
      <c r="N64" s="17">
        <v>1006.03</v>
      </c>
      <c r="O64" s="17">
        <f t="shared" si="21"/>
        <v>1006.03</v>
      </c>
      <c r="P64" s="17">
        <f t="shared" si="22"/>
        <v>27.945277777777775</v>
      </c>
      <c r="Q64" s="17">
        <f t="shared" si="23"/>
        <v>335.34333333333331</v>
      </c>
      <c r="R64" s="17">
        <f t="shared" si="24"/>
        <v>0</v>
      </c>
      <c r="S64" s="17">
        <f t="shared" si="25"/>
        <v>1006.03</v>
      </c>
      <c r="T64" s="17">
        <f t="shared" si="26"/>
        <v>1006.03</v>
      </c>
      <c r="U64" s="17">
        <f t="shared" si="27"/>
        <v>0</v>
      </c>
    </row>
    <row r="65" spans="2:21">
      <c r="B65" s="17">
        <v>1</v>
      </c>
      <c r="C65" s="17" t="s">
        <v>959</v>
      </c>
      <c r="D65" s="17">
        <v>87203</v>
      </c>
      <c r="E65" s="17"/>
      <c r="F65" s="17"/>
      <c r="G65" s="17">
        <v>2011</v>
      </c>
      <c r="H65" s="17">
        <v>10</v>
      </c>
      <c r="I65" s="8">
        <v>0</v>
      </c>
      <c r="J65" s="17" t="s">
        <v>78</v>
      </c>
      <c r="K65" s="17">
        <v>3</v>
      </c>
      <c r="L65" s="17">
        <f t="shared" si="19"/>
        <v>2014</v>
      </c>
      <c r="M65" s="17">
        <f t="shared" si="20"/>
        <v>2014.8333333333333</v>
      </c>
      <c r="N65" s="17">
        <v>1549.26</v>
      </c>
      <c r="O65" s="17">
        <f t="shared" si="21"/>
        <v>1549.26</v>
      </c>
      <c r="P65" s="17">
        <f t="shared" si="22"/>
        <v>43.034999999999997</v>
      </c>
      <c r="Q65" s="17">
        <f t="shared" si="23"/>
        <v>516.41999999999996</v>
      </c>
      <c r="R65" s="17">
        <f t="shared" si="24"/>
        <v>0</v>
      </c>
      <c r="S65" s="17">
        <f t="shared" si="25"/>
        <v>1549.26</v>
      </c>
      <c r="T65" s="17">
        <f t="shared" si="26"/>
        <v>1549.26</v>
      </c>
      <c r="U65" s="17">
        <f t="shared" si="27"/>
        <v>0</v>
      </c>
    </row>
    <row r="66" spans="2:21">
      <c r="B66" s="17">
        <v>2</v>
      </c>
      <c r="C66" s="17" t="s">
        <v>950</v>
      </c>
      <c r="D66" s="17">
        <v>88248</v>
      </c>
      <c r="E66" s="17"/>
      <c r="F66" s="17"/>
      <c r="G66" s="17">
        <v>2011</v>
      </c>
      <c r="H66" s="17">
        <v>12</v>
      </c>
      <c r="I66" s="8">
        <v>0</v>
      </c>
      <c r="J66" s="17" t="s">
        <v>78</v>
      </c>
      <c r="K66" s="17">
        <v>3</v>
      </c>
      <c r="L66" s="17">
        <f t="shared" si="19"/>
        <v>2014</v>
      </c>
      <c r="M66" s="17">
        <f t="shared" si="20"/>
        <v>2015</v>
      </c>
      <c r="N66" s="17">
        <v>1750</v>
      </c>
      <c r="O66" s="17">
        <f t="shared" si="21"/>
        <v>1750</v>
      </c>
      <c r="P66" s="17">
        <f t="shared" si="22"/>
        <v>48.611111111111114</v>
      </c>
      <c r="Q66" s="17">
        <f t="shared" si="23"/>
        <v>583.33333333333337</v>
      </c>
      <c r="R66" s="17">
        <f t="shared" si="24"/>
        <v>0</v>
      </c>
      <c r="S66" s="17">
        <f t="shared" si="25"/>
        <v>1750</v>
      </c>
      <c r="T66" s="17">
        <f t="shared" si="26"/>
        <v>1750</v>
      </c>
      <c r="U66" s="17">
        <f t="shared" si="27"/>
        <v>0</v>
      </c>
    </row>
    <row r="67" spans="2:21">
      <c r="B67" s="17">
        <v>1</v>
      </c>
      <c r="C67" s="17" t="s">
        <v>960</v>
      </c>
      <c r="D67" s="17">
        <v>90464</v>
      </c>
      <c r="E67" s="17"/>
      <c r="F67" s="17"/>
      <c r="G67" s="17">
        <v>2012</v>
      </c>
      <c r="H67" s="17">
        <v>1</v>
      </c>
      <c r="I67" s="8">
        <v>0</v>
      </c>
      <c r="J67" s="17" t="s">
        <v>78</v>
      </c>
      <c r="K67" s="17">
        <v>5</v>
      </c>
      <c r="L67" s="17">
        <f t="shared" si="19"/>
        <v>2017</v>
      </c>
      <c r="M67" s="17">
        <f t="shared" si="20"/>
        <v>2017.0833333333333</v>
      </c>
      <c r="N67" s="17">
        <v>564.44000000000005</v>
      </c>
      <c r="O67" s="17">
        <f t="shared" si="21"/>
        <v>564.44000000000005</v>
      </c>
      <c r="P67" s="17">
        <f t="shared" si="22"/>
        <v>9.4073333333333338</v>
      </c>
      <c r="Q67" s="17">
        <f t="shared" si="23"/>
        <v>112.88800000000001</v>
      </c>
      <c r="R67" s="17">
        <f t="shared" si="24"/>
        <v>0</v>
      </c>
      <c r="S67" s="17">
        <f t="shared" si="25"/>
        <v>564.44000000000005</v>
      </c>
      <c r="T67" s="17">
        <f t="shared" si="26"/>
        <v>564.44000000000005</v>
      </c>
      <c r="U67" s="17">
        <f t="shared" si="27"/>
        <v>0</v>
      </c>
    </row>
    <row r="68" spans="2:21">
      <c r="B68" s="17">
        <v>1</v>
      </c>
      <c r="C68" s="17" t="s">
        <v>961</v>
      </c>
      <c r="D68" s="17">
        <v>93455</v>
      </c>
      <c r="E68" s="17"/>
      <c r="F68" s="17"/>
      <c r="G68" s="17">
        <v>2012</v>
      </c>
      <c r="H68" s="17">
        <v>4</v>
      </c>
      <c r="I68" s="8">
        <v>0</v>
      </c>
      <c r="J68" s="17" t="s">
        <v>78</v>
      </c>
      <c r="K68" s="17">
        <v>5</v>
      </c>
      <c r="L68" s="17">
        <f t="shared" si="19"/>
        <v>2017</v>
      </c>
      <c r="M68" s="17">
        <f t="shared" si="20"/>
        <v>2017.3333333333333</v>
      </c>
      <c r="N68" s="17">
        <v>743.32</v>
      </c>
      <c r="O68" s="17">
        <f t="shared" si="21"/>
        <v>743.32</v>
      </c>
      <c r="P68" s="17">
        <f t="shared" si="22"/>
        <v>12.388666666666667</v>
      </c>
      <c r="Q68" s="17">
        <f t="shared" si="23"/>
        <v>148.66400000000002</v>
      </c>
      <c r="R68" s="17">
        <f t="shared" si="24"/>
        <v>0</v>
      </c>
      <c r="S68" s="17">
        <f t="shared" si="25"/>
        <v>743.32</v>
      </c>
      <c r="T68" s="17">
        <f t="shared" si="26"/>
        <v>743.32</v>
      </c>
      <c r="U68" s="17">
        <f t="shared" si="27"/>
        <v>0</v>
      </c>
    </row>
    <row r="69" spans="2:21">
      <c r="B69" s="17"/>
      <c r="C69" s="17" t="s">
        <v>962</v>
      </c>
      <c r="D69" s="17">
        <v>103617</v>
      </c>
      <c r="E69" s="17"/>
      <c r="F69" s="17"/>
      <c r="G69" s="17">
        <v>2013</v>
      </c>
      <c r="H69" s="17">
        <v>4</v>
      </c>
      <c r="I69" s="8">
        <v>0</v>
      </c>
      <c r="J69" s="17" t="s">
        <v>78</v>
      </c>
      <c r="K69" s="17">
        <v>3</v>
      </c>
      <c r="L69" s="17">
        <f t="shared" si="19"/>
        <v>2016</v>
      </c>
      <c r="M69" s="17">
        <f t="shared" si="20"/>
        <v>2016.3333333333333</v>
      </c>
      <c r="N69" s="17">
        <v>1019.36</v>
      </c>
      <c r="O69" s="17">
        <f t="shared" si="21"/>
        <v>1019.36</v>
      </c>
      <c r="P69" s="17">
        <f t="shared" si="22"/>
        <v>28.315555555555559</v>
      </c>
      <c r="Q69" s="17">
        <f t="shared" si="23"/>
        <v>339.78666666666669</v>
      </c>
      <c r="R69" s="17">
        <f t="shared" si="24"/>
        <v>0</v>
      </c>
      <c r="S69" s="17">
        <f t="shared" si="25"/>
        <v>1019.36</v>
      </c>
      <c r="T69" s="17">
        <f t="shared" si="26"/>
        <v>1019.36</v>
      </c>
      <c r="U69" s="17">
        <f t="shared" si="27"/>
        <v>0</v>
      </c>
    </row>
    <row r="70" spans="2:21">
      <c r="B70" s="17"/>
      <c r="C70" s="17" t="s">
        <v>963</v>
      </c>
      <c r="D70" s="17">
        <v>105141</v>
      </c>
      <c r="E70" s="17"/>
      <c r="F70" s="17"/>
      <c r="G70" s="17">
        <v>2013</v>
      </c>
      <c r="H70" s="17">
        <v>6</v>
      </c>
      <c r="I70" s="8">
        <v>0</v>
      </c>
      <c r="J70" s="17" t="s">
        <v>78</v>
      </c>
      <c r="K70" s="17">
        <v>3</v>
      </c>
      <c r="L70" s="17">
        <f t="shared" si="19"/>
        <v>2016</v>
      </c>
      <c r="M70" s="17">
        <f t="shared" si="20"/>
        <v>2016.5</v>
      </c>
      <c r="N70" s="17">
        <v>1688.87</v>
      </c>
      <c r="O70" s="17">
        <f t="shared" si="21"/>
        <v>1688.87</v>
      </c>
      <c r="P70" s="17">
        <f t="shared" si="22"/>
        <v>46.913055555555552</v>
      </c>
      <c r="Q70" s="17">
        <f t="shared" si="23"/>
        <v>562.95666666666659</v>
      </c>
      <c r="R70" s="17">
        <f t="shared" si="24"/>
        <v>0</v>
      </c>
      <c r="S70" s="17">
        <f t="shared" si="25"/>
        <v>1688.87</v>
      </c>
      <c r="T70" s="17">
        <f t="shared" si="26"/>
        <v>1688.87</v>
      </c>
      <c r="U70" s="17">
        <f t="shared" si="27"/>
        <v>0</v>
      </c>
    </row>
    <row r="71" spans="2:21">
      <c r="B71" s="17"/>
      <c r="C71" s="17" t="s">
        <v>964</v>
      </c>
      <c r="D71" s="17"/>
      <c r="E71" s="17"/>
      <c r="F71" s="17"/>
      <c r="G71" s="17">
        <v>2013</v>
      </c>
      <c r="H71" s="17">
        <v>8</v>
      </c>
      <c r="I71" s="8">
        <v>0</v>
      </c>
      <c r="J71" s="17" t="s">
        <v>78</v>
      </c>
      <c r="K71" s="17">
        <v>5</v>
      </c>
      <c r="L71" s="17">
        <f t="shared" si="19"/>
        <v>2018</v>
      </c>
      <c r="M71" s="17">
        <f t="shared" si="20"/>
        <v>2018.6666666666667</v>
      </c>
      <c r="N71" s="17">
        <f>538492.81+47300.63</f>
        <v>585793.44000000006</v>
      </c>
      <c r="O71" s="17">
        <f t="shared" si="21"/>
        <v>585793.44000000006</v>
      </c>
      <c r="P71" s="17">
        <f t="shared" si="22"/>
        <v>9763.2240000000002</v>
      </c>
      <c r="Q71" s="17">
        <f t="shared" si="23"/>
        <v>117158.68799999999</v>
      </c>
      <c r="R71" s="17">
        <f t="shared" si="24"/>
        <v>117158.68799999999</v>
      </c>
      <c r="S71" s="17">
        <f t="shared" si="25"/>
        <v>468634.75199999998</v>
      </c>
      <c r="T71" s="17">
        <f t="shared" si="26"/>
        <v>585793.43999999994</v>
      </c>
      <c r="U71" s="17">
        <f t="shared" si="27"/>
        <v>58579.344000000099</v>
      </c>
    </row>
    <row r="72" spans="2:21">
      <c r="B72" s="17">
        <v>2</v>
      </c>
      <c r="C72" s="17" t="s">
        <v>950</v>
      </c>
      <c r="D72" s="17">
        <v>107737</v>
      </c>
      <c r="E72" s="17"/>
      <c r="F72" s="17"/>
      <c r="G72" s="17">
        <v>2013</v>
      </c>
      <c r="H72" s="17">
        <v>9</v>
      </c>
      <c r="I72" s="8">
        <v>0</v>
      </c>
      <c r="J72" s="17" t="s">
        <v>78</v>
      </c>
      <c r="K72" s="17">
        <v>3</v>
      </c>
      <c r="L72" s="17">
        <f t="shared" si="19"/>
        <v>2016</v>
      </c>
      <c r="M72" s="17">
        <f t="shared" si="20"/>
        <v>2016.75</v>
      </c>
      <c r="N72" s="17">
        <v>1904</v>
      </c>
      <c r="O72" s="17">
        <f t="shared" si="21"/>
        <v>1904</v>
      </c>
      <c r="P72" s="17">
        <f t="shared" si="22"/>
        <v>52.888888888888886</v>
      </c>
      <c r="Q72" s="17">
        <f t="shared" si="23"/>
        <v>634.66666666666663</v>
      </c>
      <c r="R72" s="17">
        <f t="shared" si="24"/>
        <v>0</v>
      </c>
      <c r="S72" s="17">
        <f t="shared" si="25"/>
        <v>1904</v>
      </c>
      <c r="T72" s="17">
        <f t="shared" si="26"/>
        <v>1904</v>
      </c>
      <c r="U72" s="17">
        <f t="shared" si="27"/>
        <v>0</v>
      </c>
    </row>
    <row r="73" spans="2:21">
      <c r="B73" s="17"/>
      <c r="C73" s="17" t="s">
        <v>964</v>
      </c>
      <c r="D73" s="17" t="s">
        <v>965</v>
      </c>
      <c r="E73" s="17"/>
      <c r="F73" s="17"/>
      <c r="G73" s="17">
        <v>2013</v>
      </c>
      <c r="H73" s="17">
        <v>10</v>
      </c>
      <c r="I73" s="8">
        <v>0</v>
      </c>
      <c r="J73" s="17" t="s">
        <v>78</v>
      </c>
      <c r="K73" s="17">
        <v>5</v>
      </c>
      <c r="L73" s="17">
        <f t="shared" si="19"/>
        <v>2018</v>
      </c>
      <c r="M73" s="17">
        <f t="shared" si="20"/>
        <v>2018.8333333333333</v>
      </c>
      <c r="N73" s="17">
        <f>614.72+7131.39+503.75+35788.34</f>
        <v>44038.2</v>
      </c>
      <c r="O73" s="17">
        <f t="shared" si="21"/>
        <v>44038.2</v>
      </c>
      <c r="P73" s="17">
        <f t="shared" si="22"/>
        <v>733.96999999999991</v>
      </c>
      <c r="Q73" s="17">
        <f t="shared" si="23"/>
        <v>8807.64</v>
      </c>
      <c r="R73" s="17">
        <f t="shared" si="24"/>
        <v>8807.64</v>
      </c>
      <c r="S73" s="17">
        <f t="shared" si="25"/>
        <v>35230.559999999998</v>
      </c>
      <c r="T73" s="17">
        <f t="shared" si="26"/>
        <v>44038.2</v>
      </c>
      <c r="U73" s="17">
        <f t="shared" si="27"/>
        <v>4403.82</v>
      </c>
    </row>
    <row r="74" spans="2:21">
      <c r="B74" s="17">
        <v>5</v>
      </c>
      <c r="C74" s="17" t="s">
        <v>966</v>
      </c>
      <c r="D74" s="17">
        <v>107879</v>
      </c>
      <c r="E74" s="17"/>
      <c r="F74" s="17"/>
      <c r="G74" s="17">
        <v>2013</v>
      </c>
      <c r="H74" s="17">
        <v>10</v>
      </c>
      <c r="I74" s="8">
        <v>0</v>
      </c>
      <c r="J74" s="17" t="s">
        <v>78</v>
      </c>
      <c r="K74" s="17">
        <v>5</v>
      </c>
      <c r="L74" s="17">
        <f t="shared" si="19"/>
        <v>2018</v>
      </c>
      <c r="M74" s="17">
        <f t="shared" si="20"/>
        <v>2018.8333333333333</v>
      </c>
      <c r="N74" s="17">
        <v>5412.81</v>
      </c>
      <c r="O74" s="17">
        <f t="shared" si="21"/>
        <v>5412.81</v>
      </c>
      <c r="P74" s="17">
        <f t="shared" si="22"/>
        <v>90.21350000000001</v>
      </c>
      <c r="Q74" s="17">
        <f t="shared" si="23"/>
        <v>1082.5620000000001</v>
      </c>
      <c r="R74" s="17">
        <f t="shared" si="24"/>
        <v>1082.5620000000001</v>
      </c>
      <c r="S74" s="17">
        <f t="shared" si="25"/>
        <v>4330.2480000000005</v>
      </c>
      <c r="T74" s="17">
        <f t="shared" si="26"/>
        <v>5412.81</v>
      </c>
      <c r="U74" s="17">
        <f t="shared" si="27"/>
        <v>541.28099999999995</v>
      </c>
    </row>
    <row r="75" spans="2:21">
      <c r="B75" s="17"/>
      <c r="C75" s="17" t="s">
        <v>967</v>
      </c>
      <c r="D75" s="17">
        <v>108970</v>
      </c>
      <c r="E75" s="17"/>
      <c r="F75" s="17"/>
      <c r="G75" s="17">
        <v>2013</v>
      </c>
      <c r="H75" s="17">
        <v>11</v>
      </c>
      <c r="I75" s="8">
        <v>0</v>
      </c>
      <c r="J75" s="17" t="s">
        <v>78</v>
      </c>
      <c r="K75" s="17">
        <v>3</v>
      </c>
      <c r="L75" s="17">
        <f t="shared" si="19"/>
        <v>2016</v>
      </c>
      <c r="M75" s="17">
        <f t="shared" si="20"/>
        <v>2016.9166666666667</v>
      </c>
      <c r="N75" s="17">
        <v>1504.24</v>
      </c>
      <c r="O75" s="17">
        <f t="shared" si="21"/>
        <v>1504.24</v>
      </c>
      <c r="P75" s="17">
        <f t="shared" si="22"/>
        <v>41.784444444444446</v>
      </c>
      <c r="Q75" s="17">
        <f t="shared" si="23"/>
        <v>501.41333333333336</v>
      </c>
      <c r="R75" s="17">
        <f t="shared" si="24"/>
        <v>0</v>
      </c>
      <c r="S75" s="17">
        <f t="shared" si="25"/>
        <v>1504.24</v>
      </c>
      <c r="T75" s="17">
        <f t="shared" si="26"/>
        <v>1504.24</v>
      </c>
      <c r="U75" s="17">
        <f t="shared" si="27"/>
        <v>0</v>
      </c>
    </row>
    <row r="76" spans="2:21">
      <c r="B76" s="17"/>
      <c r="C76" s="17" t="s">
        <v>968</v>
      </c>
      <c r="D76" s="17">
        <v>111095</v>
      </c>
      <c r="E76" s="17"/>
      <c r="F76" s="17"/>
      <c r="G76" s="17">
        <v>2014</v>
      </c>
      <c r="H76" s="17">
        <v>2</v>
      </c>
      <c r="I76" s="8">
        <v>0</v>
      </c>
      <c r="J76" s="17" t="s">
        <v>78</v>
      </c>
      <c r="K76" s="17">
        <v>3</v>
      </c>
      <c r="L76" s="17">
        <f t="shared" si="19"/>
        <v>2017</v>
      </c>
      <c r="M76" s="17">
        <f t="shared" si="20"/>
        <v>2017.1666666666667</v>
      </c>
      <c r="N76" s="17">
        <v>1069.8599999999999</v>
      </c>
      <c r="O76" s="17">
        <f t="shared" si="21"/>
        <v>1069.8599999999999</v>
      </c>
      <c r="P76" s="17">
        <f t="shared" si="22"/>
        <v>29.71833333333333</v>
      </c>
      <c r="Q76" s="17">
        <f t="shared" si="23"/>
        <v>356.61999999999995</v>
      </c>
      <c r="R76" s="17">
        <f t="shared" si="24"/>
        <v>0</v>
      </c>
      <c r="S76" s="17">
        <f t="shared" si="25"/>
        <v>1069.8599999999999</v>
      </c>
      <c r="T76" s="17">
        <f t="shared" si="26"/>
        <v>1069.8599999999999</v>
      </c>
      <c r="U76" s="17">
        <f t="shared" si="27"/>
        <v>0</v>
      </c>
    </row>
    <row r="77" spans="2:21">
      <c r="B77" s="17"/>
      <c r="C77" s="17" t="s">
        <v>968</v>
      </c>
      <c r="D77" s="17">
        <v>112600</v>
      </c>
      <c r="E77" s="17"/>
      <c r="F77" s="17"/>
      <c r="G77" s="17">
        <v>2014</v>
      </c>
      <c r="H77" s="17">
        <v>3</v>
      </c>
      <c r="I77" s="8">
        <v>0</v>
      </c>
      <c r="J77" s="17" t="s">
        <v>78</v>
      </c>
      <c r="K77" s="17">
        <v>3</v>
      </c>
      <c r="L77" s="17">
        <f t="shared" si="19"/>
        <v>2017</v>
      </c>
      <c r="M77" s="17">
        <f t="shared" si="20"/>
        <v>2017.25</v>
      </c>
      <c r="N77" s="17">
        <v>1017.56</v>
      </c>
      <c r="O77" s="17">
        <f t="shared" si="21"/>
        <v>1017.56</v>
      </c>
      <c r="P77" s="17">
        <f t="shared" si="22"/>
        <v>28.265555555555554</v>
      </c>
      <c r="Q77" s="17">
        <f t="shared" si="23"/>
        <v>339.18666666666667</v>
      </c>
      <c r="R77" s="17">
        <f t="shared" si="24"/>
        <v>0</v>
      </c>
      <c r="S77" s="17">
        <f t="shared" si="25"/>
        <v>1017.56</v>
      </c>
      <c r="T77" s="17">
        <f t="shared" si="26"/>
        <v>1017.56</v>
      </c>
      <c r="U77" s="17">
        <f t="shared" si="27"/>
        <v>0</v>
      </c>
    </row>
    <row r="78" spans="2:21">
      <c r="B78" s="17">
        <v>5</v>
      </c>
      <c r="C78" s="17" t="s">
        <v>969</v>
      </c>
      <c r="D78" s="17">
        <v>113271</v>
      </c>
      <c r="E78" s="17"/>
      <c r="F78" s="17"/>
      <c r="G78" s="17">
        <v>2014</v>
      </c>
      <c r="H78" s="17">
        <v>4</v>
      </c>
      <c r="I78" s="8">
        <v>0</v>
      </c>
      <c r="J78" s="17" t="s">
        <v>78</v>
      </c>
      <c r="K78" s="17">
        <v>3</v>
      </c>
      <c r="L78" s="17">
        <f t="shared" si="19"/>
        <v>2017</v>
      </c>
      <c r="M78" s="17">
        <f t="shared" si="20"/>
        <v>2017.3333333333333</v>
      </c>
      <c r="N78" s="17">
        <v>1641.48</v>
      </c>
      <c r="O78" s="17">
        <f t="shared" si="21"/>
        <v>1641.48</v>
      </c>
      <c r="P78" s="17">
        <f t="shared" si="22"/>
        <v>45.596666666666664</v>
      </c>
      <c r="Q78" s="17">
        <f t="shared" si="23"/>
        <v>547.16</v>
      </c>
      <c r="R78" s="17">
        <f t="shared" si="24"/>
        <v>0</v>
      </c>
      <c r="S78" s="17">
        <f t="shared" si="25"/>
        <v>1641.48</v>
      </c>
      <c r="T78" s="17">
        <f t="shared" si="26"/>
        <v>1641.48</v>
      </c>
      <c r="U78" s="17">
        <f t="shared" si="27"/>
        <v>0</v>
      </c>
    </row>
    <row r="79" spans="2:21">
      <c r="B79" s="17">
        <v>30</v>
      </c>
      <c r="C79" s="17" t="s">
        <v>970</v>
      </c>
      <c r="D79" s="17">
        <v>120653</v>
      </c>
      <c r="E79" s="17"/>
      <c r="F79" s="17"/>
      <c r="G79" s="17">
        <v>2015</v>
      </c>
      <c r="H79" s="17">
        <v>2</v>
      </c>
      <c r="I79" s="8">
        <v>0</v>
      </c>
      <c r="J79" s="17" t="s">
        <v>78</v>
      </c>
      <c r="K79" s="17">
        <v>3</v>
      </c>
      <c r="L79" s="17">
        <f t="shared" si="19"/>
        <v>2018</v>
      </c>
      <c r="M79" s="17">
        <f t="shared" si="20"/>
        <v>2018.1666666666667</v>
      </c>
      <c r="N79" s="17">
        <v>9908.6299999999992</v>
      </c>
      <c r="O79" s="17">
        <f t="shared" si="21"/>
        <v>9908.6299999999992</v>
      </c>
      <c r="P79" s="17">
        <f t="shared" si="22"/>
        <v>275.23972222222221</v>
      </c>
      <c r="Q79" s="17">
        <f t="shared" si="23"/>
        <v>3302.8766666666666</v>
      </c>
      <c r="R79" s="17">
        <f t="shared" si="24"/>
        <v>3302.8766666666666</v>
      </c>
      <c r="S79" s="17">
        <f t="shared" si="25"/>
        <v>6605.7533333333331</v>
      </c>
      <c r="T79" s="17">
        <f t="shared" si="26"/>
        <v>9908.6299999999992</v>
      </c>
      <c r="U79" s="17">
        <f t="shared" si="27"/>
        <v>1651.438333333333</v>
      </c>
    </row>
    <row r="80" spans="2:21">
      <c r="B80" s="17">
        <v>6</v>
      </c>
      <c r="C80" s="17" t="s">
        <v>971</v>
      </c>
      <c r="D80" s="17">
        <v>120654</v>
      </c>
      <c r="E80" s="17"/>
      <c r="F80" s="17"/>
      <c r="G80" s="17">
        <v>2015</v>
      </c>
      <c r="H80" s="17">
        <v>2</v>
      </c>
      <c r="I80" s="8">
        <v>0</v>
      </c>
      <c r="J80" s="17" t="s">
        <v>78</v>
      </c>
      <c r="K80" s="17">
        <v>3</v>
      </c>
      <c r="L80" s="17">
        <f t="shared" si="19"/>
        <v>2018</v>
      </c>
      <c r="M80" s="17">
        <f t="shared" si="20"/>
        <v>2018.1666666666667</v>
      </c>
      <c r="N80" s="17">
        <v>4387.54</v>
      </c>
      <c r="O80" s="17">
        <f t="shared" si="21"/>
        <v>4387.54</v>
      </c>
      <c r="P80" s="17">
        <f t="shared" si="22"/>
        <v>121.87611111111111</v>
      </c>
      <c r="Q80" s="17">
        <f t="shared" si="23"/>
        <v>1462.5133333333333</v>
      </c>
      <c r="R80" s="17">
        <f t="shared" si="24"/>
        <v>1462.5133333333333</v>
      </c>
      <c r="S80" s="17">
        <f t="shared" si="25"/>
        <v>2925.0266666666666</v>
      </c>
      <c r="T80" s="17">
        <f t="shared" si="26"/>
        <v>4387.54</v>
      </c>
      <c r="U80" s="17">
        <f t="shared" si="27"/>
        <v>731.25666666666666</v>
      </c>
    </row>
    <row r="81" spans="2:21">
      <c r="B81" s="17">
        <v>1</v>
      </c>
      <c r="C81" s="17" t="s">
        <v>972</v>
      </c>
      <c r="D81" s="17">
        <v>122828</v>
      </c>
      <c r="E81" s="17"/>
      <c r="F81" s="17"/>
      <c r="G81" s="17">
        <v>2015</v>
      </c>
      <c r="H81" s="17">
        <v>5</v>
      </c>
      <c r="I81" s="8">
        <v>0</v>
      </c>
      <c r="J81" s="17" t="s">
        <v>78</v>
      </c>
      <c r="K81" s="17">
        <v>3</v>
      </c>
      <c r="L81" s="17">
        <f t="shared" si="19"/>
        <v>2018</v>
      </c>
      <c r="M81" s="17">
        <f t="shared" si="20"/>
        <v>2018.4166666666667</v>
      </c>
      <c r="N81" s="17">
        <v>1096.6600000000001</v>
      </c>
      <c r="O81" s="17">
        <f t="shared" si="21"/>
        <v>1096.6600000000001</v>
      </c>
      <c r="P81" s="17">
        <f t="shared" si="22"/>
        <v>30.462777777777777</v>
      </c>
      <c r="Q81" s="17">
        <f t="shared" si="23"/>
        <v>365.55333333333334</v>
      </c>
      <c r="R81" s="17">
        <f t="shared" si="24"/>
        <v>365.55333333333334</v>
      </c>
      <c r="S81" s="17">
        <f t="shared" si="25"/>
        <v>731.10666666666668</v>
      </c>
      <c r="T81" s="17">
        <f t="shared" si="26"/>
        <v>1096.6600000000001</v>
      </c>
      <c r="U81" s="17">
        <f t="shared" si="27"/>
        <v>182.7766666666667</v>
      </c>
    </row>
    <row r="82" spans="2:21">
      <c r="B82" s="17">
        <v>1</v>
      </c>
      <c r="C82" s="17" t="s">
        <v>973</v>
      </c>
      <c r="D82" s="17">
        <v>122829</v>
      </c>
      <c r="E82" s="17"/>
      <c r="F82" s="17"/>
      <c r="G82" s="17">
        <v>2015</v>
      </c>
      <c r="H82" s="17">
        <v>5</v>
      </c>
      <c r="I82" s="8">
        <v>0</v>
      </c>
      <c r="J82" s="17" t="s">
        <v>78</v>
      </c>
      <c r="K82" s="17">
        <v>3</v>
      </c>
      <c r="L82" s="17">
        <f t="shared" si="19"/>
        <v>2018</v>
      </c>
      <c r="M82" s="17">
        <f t="shared" si="20"/>
        <v>2018.4166666666667</v>
      </c>
      <c r="N82" s="17">
        <v>1084.92</v>
      </c>
      <c r="O82" s="17">
        <f t="shared" si="21"/>
        <v>1084.92</v>
      </c>
      <c r="P82" s="17">
        <f t="shared" si="22"/>
        <v>30.13666666666667</v>
      </c>
      <c r="Q82" s="17">
        <f t="shared" si="23"/>
        <v>361.64000000000004</v>
      </c>
      <c r="R82" s="17">
        <f t="shared" si="24"/>
        <v>361.64000000000004</v>
      </c>
      <c r="S82" s="17">
        <f t="shared" si="25"/>
        <v>723.28000000000009</v>
      </c>
      <c r="T82" s="17">
        <f t="shared" si="26"/>
        <v>1084.92</v>
      </c>
      <c r="U82" s="17">
        <f t="shared" si="27"/>
        <v>180.82</v>
      </c>
    </row>
    <row r="83" spans="2:21">
      <c r="B83" s="17">
        <v>1</v>
      </c>
      <c r="C83" s="17" t="s">
        <v>971</v>
      </c>
      <c r="D83" s="17">
        <v>122830</v>
      </c>
      <c r="E83" s="17"/>
      <c r="F83" s="17"/>
      <c r="G83" s="17">
        <v>2015</v>
      </c>
      <c r="H83" s="17">
        <v>5</v>
      </c>
      <c r="I83" s="8">
        <v>0</v>
      </c>
      <c r="J83" s="17" t="s">
        <v>78</v>
      </c>
      <c r="K83" s="17">
        <v>3</v>
      </c>
      <c r="L83" s="17">
        <f t="shared" si="19"/>
        <v>2018</v>
      </c>
      <c r="M83" s="17">
        <f t="shared" si="20"/>
        <v>2018.4166666666667</v>
      </c>
      <c r="N83" s="17">
        <v>716.06</v>
      </c>
      <c r="O83" s="17">
        <f t="shared" si="21"/>
        <v>716.06</v>
      </c>
      <c r="P83" s="17">
        <f t="shared" si="22"/>
        <v>19.890555555555554</v>
      </c>
      <c r="Q83" s="17">
        <f t="shared" si="23"/>
        <v>238.68666666666667</v>
      </c>
      <c r="R83" s="17">
        <f t="shared" si="24"/>
        <v>238.68666666666667</v>
      </c>
      <c r="S83" s="17">
        <f t="shared" si="25"/>
        <v>477.37333333333333</v>
      </c>
      <c r="T83" s="17">
        <f t="shared" si="26"/>
        <v>716.06</v>
      </c>
      <c r="U83" s="17">
        <f t="shared" si="27"/>
        <v>119.34333333333331</v>
      </c>
    </row>
    <row r="84" spans="2:21">
      <c r="B84" s="17">
        <v>1</v>
      </c>
      <c r="C84" s="17" t="s">
        <v>972</v>
      </c>
      <c r="D84" s="17">
        <v>124285</v>
      </c>
      <c r="E84" s="17"/>
      <c r="F84" s="17"/>
      <c r="G84" s="17">
        <v>2015</v>
      </c>
      <c r="H84" s="17">
        <v>7</v>
      </c>
      <c r="I84" s="8">
        <v>0</v>
      </c>
      <c r="J84" s="17" t="s">
        <v>78</v>
      </c>
      <c r="K84" s="17">
        <v>3</v>
      </c>
      <c r="L84" s="17">
        <f t="shared" si="19"/>
        <v>2018</v>
      </c>
      <c r="M84" s="17">
        <f t="shared" si="20"/>
        <v>2018.5833333333333</v>
      </c>
      <c r="N84" s="17">
        <v>1034.5999999999999</v>
      </c>
      <c r="O84" s="17">
        <f t="shared" si="21"/>
        <v>1034.5999999999999</v>
      </c>
      <c r="P84" s="17">
        <f t="shared" si="22"/>
        <v>28.738888888888884</v>
      </c>
      <c r="Q84" s="17">
        <f t="shared" si="23"/>
        <v>344.86666666666662</v>
      </c>
      <c r="R84" s="17">
        <f t="shared" si="24"/>
        <v>344.86666666666662</v>
      </c>
      <c r="S84" s="17">
        <f t="shared" si="25"/>
        <v>689.73333333333323</v>
      </c>
      <c r="T84" s="17">
        <f t="shared" si="26"/>
        <v>1034.5999999999999</v>
      </c>
      <c r="U84" s="17">
        <f t="shared" si="27"/>
        <v>172.43333333333334</v>
      </c>
    </row>
    <row r="85" spans="2:21">
      <c r="B85" s="17">
        <v>1</v>
      </c>
      <c r="C85" s="17" t="s">
        <v>974</v>
      </c>
      <c r="D85" s="17">
        <v>128908</v>
      </c>
      <c r="E85" s="17"/>
      <c r="F85" s="17"/>
      <c r="G85" s="17">
        <v>2015</v>
      </c>
      <c r="H85" s="17">
        <v>12</v>
      </c>
      <c r="I85" s="8">
        <v>0</v>
      </c>
      <c r="J85" s="17" t="s">
        <v>78</v>
      </c>
      <c r="K85" s="17">
        <v>3</v>
      </c>
      <c r="L85" s="17">
        <f t="shared" si="19"/>
        <v>2018</v>
      </c>
      <c r="M85" s="17">
        <f t="shared" si="20"/>
        <v>2019</v>
      </c>
      <c r="N85" s="17">
        <v>1087.92</v>
      </c>
      <c r="O85" s="17">
        <f t="shared" si="21"/>
        <v>1087.92</v>
      </c>
      <c r="P85" s="17">
        <f t="shared" si="22"/>
        <v>30.220000000000002</v>
      </c>
      <c r="Q85" s="17">
        <f t="shared" si="23"/>
        <v>362.64000000000004</v>
      </c>
      <c r="R85" s="17">
        <f t="shared" si="24"/>
        <v>362.64000000000004</v>
      </c>
      <c r="S85" s="17">
        <f t="shared" si="25"/>
        <v>725.28000000000009</v>
      </c>
      <c r="T85" s="17">
        <f t="shared" si="26"/>
        <v>1087.92</v>
      </c>
      <c r="U85" s="17">
        <f t="shared" si="27"/>
        <v>181.32</v>
      </c>
    </row>
    <row r="86" spans="2:21">
      <c r="B86" s="17"/>
      <c r="C86" s="17" t="s">
        <v>974</v>
      </c>
      <c r="D86" s="17">
        <v>128909</v>
      </c>
      <c r="E86" s="17"/>
      <c r="F86" s="17"/>
      <c r="G86" s="17">
        <v>2015</v>
      </c>
      <c r="H86" s="17">
        <v>12</v>
      </c>
      <c r="I86" s="8">
        <v>0</v>
      </c>
      <c r="J86" s="17" t="s">
        <v>78</v>
      </c>
      <c r="K86" s="17">
        <v>3</v>
      </c>
      <c r="L86" s="17">
        <f t="shared" si="19"/>
        <v>2018</v>
      </c>
      <c r="M86" s="17">
        <f t="shared" si="20"/>
        <v>2019</v>
      </c>
      <c r="N86" s="17">
        <v>1087.92</v>
      </c>
      <c r="O86" s="17">
        <f t="shared" si="21"/>
        <v>1087.92</v>
      </c>
      <c r="P86" s="17">
        <f t="shared" si="22"/>
        <v>30.220000000000002</v>
      </c>
      <c r="Q86" s="17">
        <f t="shared" si="23"/>
        <v>362.64000000000004</v>
      </c>
      <c r="R86" s="17">
        <f t="shared" si="24"/>
        <v>362.64000000000004</v>
      </c>
      <c r="S86" s="17">
        <f t="shared" si="25"/>
        <v>725.28000000000009</v>
      </c>
      <c r="T86" s="17">
        <f t="shared" si="26"/>
        <v>1087.92</v>
      </c>
      <c r="U86" s="17">
        <f t="shared" si="27"/>
        <v>181.32</v>
      </c>
    </row>
    <row r="87" spans="2:21">
      <c r="B87" s="17"/>
      <c r="C87" s="17" t="s">
        <v>975</v>
      </c>
      <c r="D87" s="17">
        <v>131296</v>
      </c>
      <c r="E87" s="17"/>
      <c r="F87" s="17"/>
      <c r="G87" s="17">
        <v>2016</v>
      </c>
      <c r="H87" s="17">
        <v>3</v>
      </c>
      <c r="I87" s="8">
        <v>0</v>
      </c>
      <c r="J87" s="17" t="s">
        <v>78</v>
      </c>
      <c r="K87" s="17">
        <v>3</v>
      </c>
      <c r="L87" s="17">
        <f t="shared" si="19"/>
        <v>2019</v>
      </c>
      <c r="M87" s="17">
        <f t="shared" si="20"/>
        <v>2019.25</v>
      </c>
      <c r="N87" s="17">
        <v>980.25</v>
      </c>
      <c r="O87" s="17">
        <f t="shared" si="21"/>
        <v>980.25</v>
      </c>
      <c r="P87" s="17">
        <f t="shared" si="22"/>
        <v>27.229166666666668</v>
      </c>
      <c r="Q87" s="17">
        <f t="shared" si="23"/>
        <v>326.75</v>
      </c>
      <c r="R87" s="17">
        <f t="shared" si="24"/>
        <v>326.75</v>
      </c>
      <c r="S87" s="17">
        <f t="shared" si="25"/>
        <v>326.75</v>
      </c>
      <c r="T87" s="17">
        <f t="shared" si="26"/>
        <v>653.5</v>
      </c>
      <c r="U87" s="17">
        <f t="shared" si="27"/>
        <v>490.125</v>
      </c>
    </row>
    <row r="88" spans="2:21">
      <c r="B88" s="17"/>
      <c r="C88" s="17" t="s">
        <v>976</v>
      </c>
      <c r="D88" s="17">
        <v>131546</v>
      </c>
      <c r="E88" s="17"/>
      <c r="F88" s="17"/>
      <c r="G88" s="17">
        <v>2016</v>
      </c>
      <c r="H88" s="17">
        <v>3</v>
      </c>
      <c r="I88" s="8">
        <v>0</v>
      </c>
      <c r="J88" s="17" t="s">
        <v>78</v>
      </c>
      <c r="K88" s="17">
        <v>3</v>
      </c>
      <c r="L88" s="17">
        <f t="shared" si="19"/>
        <v>2019</v>
      </c>
      <c r="M88" s="17">
        <f t="shared" si="20"/>
        <v>2019.25</v>
      </c>
      <c r="N88" s="17">
        <v>155.91</v>
      </c>
      <c r="O88" s="17">
        <f t="shared" si="21"/>
        <v>155.91</v>
      </c>
      <c r="P88" s="17">
        <f t="shared" si="22"/>
        <v>4.3308333333333335</v>
      </c>
      <c r="Q88" s="17">
        <f t="shared" si="23"/>
        <v>51.97</v>
      </c>
      <c r="R88" s="17">
        <f t="shared" si="24"/>
        <v>51.97</v>
      </c>
      <c r="S88" s="17">
        <f t="shared" si="25"/>
        <v>51.97</v>
      </c>
      <c r="T88" s="17">
        <f t="shared" si="26"/>
        <v>103.94</v>
      </c>
      <c r="U88" s="17">
        <f t="shared" si="27"/>
        <v>77.954999999999998</v>
      </c>
    </row>
    <row r="89" spans="2:21">
      <c r="B89" s="17"/>
      <c r="C89" s="17" t="s">
        <v>977</v>
      </c>
      <c r="D89" s="17">
        <v>169369</v>
      </c>
      <c r="E89" s="17"/>
      <c r="F89" s="17"/>
      <c r="G89" s="17">
        <v>2016</v>
      </c>
      <c r="H89" s="17">
        <v>10</v>
      </c>
      <c r="I89" s="8">
        <v>0</v>
      </c>
      <c r="J89" s="17" t="s">
        <v>78</v>
      </c>
      <c r="K89" s="17">
        <v>2</v>
      </c>
      <c r="L89" s="17">
        <f t="shared" si="19"/>
        <v>2018</v>
      </c>
      <c r="M89" s="17">
        <f t="shared" si="20"/>
        <v>2018.8333333333333</v>
      </c>
      <c r="N89" s="17">
        <v>1311.95</v>
      </c>
      <c r="O89" s="17">
        <f t="shared" si="21"/>
        <v>1311.95</v>
      </c>
      <c r="P89" s="17">
        <f t="shared" si="22"/>
        <v>54.664583333333333</v>
      </c>
      <c r="Q89" s="17">
        <f t="shared" si="23"/>
        <v>655.97500000000002</v>
      </c>
      <c r="R89" s="17">
        <f t="shared" si="24"/>
        <v>655.97500000000002</v>
      </c>
      <c r="S89" s="17">
        <f t="shared" si="25"/>
        <v>655.97500000000002</v>
      </c>
      <c r="T89" s="17">
        <f t="shared" si="26"/>
        <v>1311.95</v>
      </c>
      <c r="U89" s="17">
        <f t="shared" si="27"/>
        <v>327.98750000000001</v>
      </c>
    </row>
    <row r="90" spans="2:21">
      <c r="B90" s="17"/>
      <c r="C90" s="17" t="s">
        <v>978</v>
      </c>
      <c r="D90" s="17">
        <v>170306</v>
      </c>
      <c r="E90" s="17"/>
      <c r="F90" s="17"/>
      <c r="G90" s="17">
        <v>2016</v>
      </c>
      <c r="H90" s="17">
        <v>10</v>
      </c>
      <c r="I90" s="8">
        <v>0</v>
      </c>
      <c r="J90" s="17" t="s">
        <v>78</v>
      </c>
      <c r="K90" s="17">
        <v>2</v>
      </c>
      <c r="L90" s="17">
        <f t="shared" si="19"/>
        <v>2018</v>
      </c>
      <c r="M90" s="17">
        <f t="shared" si="20"/>
        <v>2018.8333333333333</v>
      </c>
      <c r="N90" s="17">
        <v>123.9</v>
      </c>
      <c r="O90" s="17">
        <f t="shared" si="21"/>
        <v>123.9</v>
      </c>
      <c r="P90" s="17">
        <f t="shared" si="22"/>
        <v>5.1625000000000005</v>
      </c>
      <c r="Q90" s="17">
        <f t="shared" si="23"/>
        <v>61.95</v>
      </c>
      <c r="R90" s="17">
        <f t="shared" si="24"/>
        <v>61.95</v>
      </c>
      <c r="S90" s="17">
        <f t="shared" si="25"/>
        <v>61.95</v>
      </c>
      <c r="T90" s="17">
        <f t="shared" si="26"/>
        <v>123.9</v>
      </c>
      <c r="U90" s="17">
        <f t="shared" si="27"/>
        <v>30.975000000000001</v>
      </c>
    </row>
    <row r="91" spans="2:21">
      <c r="B91" s="17"/>
      <c r="C91" s="17" t="s">
        <v>979</v>
      </c>
      <c r="D91" s="17">
        <v>179239</v>
      </c>
      <c r="E91" s="17"/>
      <c r="F91" s="17"/>
      <c r="G91" s="17">
        <v>2017</v>
      </c>
      <c r="H91" s="17">
        <v>3</v>
      </c>
      <c r="I91" s="8">
        <v>0</v>
      </c>
      <c r="J91" s="17" t="s">
        <v>78</v>
      </c>
      <c r="K91" s="17">
        <v>3</v>
      </c>
      <c r="L91" s="17">
        <f t="shared" si="19"/>
        <v>2020</v>
      </c>
      <c r="M91" s="17">
        <f t="shared" si="20"/>
        <v>2020.25</v>
      </c>
      <c r="N91" s="17">
        <v>1241.69</v>
      </c>
      <c r="O91" s="17">
        <f t="shared" si="21"/>
        <v>1241.69</v>
      </c>
      <c r="P91" s="17">
        <f t="shared" si="22"/>
        <v>34.491388888888892</v>
      </c>
      <c r="Q91" s="17">
        <f t="shared" si="23"/>
        <v>413.8966666666667</v>
      </c>
      <c r="R91" s="17">
        <f t="shared" si="24"/>
        <v>413.8966666666667</v>
      </c>
      <c r="S91" s="17">
        <f t="shared" si="25"/>
        <v>0</v>
      </c>
      <c r="T91" s="17">
        <f t="shared" si="26"/>
        <v>413.8966666666667</v>
      </c>
      <c r="U91" s="17">
        <f t="shared" si="27"/>
        <v>1034.7416666666668</v>
      </c>
    </row>
    <row r="92" spans="2:21">
      <c r="B92" s="17"/>
      <c r="C92" s="17" t="s">
        <v>980</v>
      </c>
      <c r="D92" s="17">
        <v>179238</v>
      </c>
      <c r="E92" s="17"/>
      <c r="F92" s="17"/>
      <c r="G92" s="17">
        <v>2017</v>
      </c>
      <c r="H92" s="17">
        <v>3</v>
      </c>
      <c r="I92" s="8">
        <v>0</v>
      </c>
      <c r="J92" s="17" t="s">
        <v>78</v>
      </c>
      <c r="K92" s="17">
        <v>3</v>
      </c>
      <c r="L92" s="17">
        <f t="shared" si="19"/>
        <v>2020</v>
      </c>
      <c r="M92" s="17">
        <f t="shared" si="20"/>
        <v>2020.25</v>
      </c>
      <c r="N92" s="17">
        <v>174.34</v>
      </c>
      <c r="O92" s="17">
        <f t="shared" si="21"/>
        <v>174.34</v>
      </c>
      <c r="P92" s="17">
        <f t="shared" si="22"/>
        <v>4.8427777777777781</v>
      </c>
      <c r="Q92" s="17">
        <f t="shared" si="23"/>
        <v>58.113333333333337</v>
      </c>
      <c r="R92" s="17">
        <f t="shared" si="24"/>
        <v>58.113333333333337</v>
      </c>
      <c r="S92" s="17">
        <f t="shared" si="25"/>
        <v>0</v>
      </c>
      <c r="T92" s="17">
        <f t="shared" si="26"/>
        <v>58.113333333333337</v>
      </c>
      <c r="U92" s="17">
        <f t="shared" si="27"/>
        <v>145.28333333333333</v>
      </c>
    </row>
    <row r="93" spans="2:21">
      <c r="B93" s="17"/>
      <c r="C93" s="17" t="s">
        <v>981</v>
      </c>
      <c r="D93" s="17">
        <v>179237</v>
      </c>
      <c r="E93" s="17"/>
      <c r="F93" s="17"/>
      <c r="G93" s="17">
        <v>2017</v>
      </c>
      <c r="H93" s="17">
        <v>3</v>
      </c>
      <c r="I93" s="8">
        <v>0</v>
      </c>
      <c r="J93" s="17" t="s">
        <v>78</v>
      </c>
      <c r="K93" s="17">
        <v>3</v>
      </c>
      <c r="L93" s="17">
        <f t="shared" si="19"/>
        <v>2020</v>
      </c>
      <c r="M93" s="17">
        <f t="shared" si="20"/>
        <v>2020.25</v>
      </c>
      <c r="N93" s="17">
        <v>1021.58</v>
      </c>
      <c r="O93" s="17">
        <f t="shared" si="21"/>
        <v>1021.58</v>
      </c>
      <c r="P93" s="17">
        <f t="shared" si="22"/>
        <v>28.377222222222226</v>
      </c>
      <c r="Q93" s="17">
        <f t="shared" si="23"/>
        <v>340.5266666666667</v>
      </c>
      <c r="R93" s="17">
        <f t="shared" si="24"/>
        <v>340.5266666666667</v>
      </c>
      <c r="S93" s="17">
        <f t="shared" si="25"/>
        <v>0</v>
      </c>
      <c r="T93" s="17">
        <f t="shared" si="26"/>
        <v>340.5266666666667</v>
      </c>
      <c r="U93" s="17">
        <f t="shared" si="27"/>
        <v>851.31666666666661</v>
      </c>
    </row>
    <row r="94" spans="2:21">
      <c r="B94" s="17"/>
      <c r="C94" s="17"/>
      <c r="D94" s="17">
        <v>197532</v>
      </c>
      <c r="E94" s="17"/>
      <c r="F94" s="17"/>
      <c r="G94" s="17">
        <v>2018</v>
      </c>
      <c r="H94" s="17">
        <v>5</v>
      </c>
      <c r="I94" s="8">
        <v>0</v>
      </c>
      <c r="J94" s="17" t="s">
        <v>78</v>
      </c>
      <c r="K94" s="17">
        <v>3</v>
      </c>
      <c r="L94" s="17">
        <f t="shared" si="19"/>
        <v>2021</v>
      </c>
      <c r="M94" s="17">
        <f t="shared" si="20"/>
        <v>2021.4166666666667</v>
      </c>
      <c r="N94" s="17">
        <v>1334.12</v>
      </c>
      <c r="O94" s="17">
        <f t="shared" si="21"/>
        <v>1334.12</v>
      </c>
      <c r="P94" s="17">
        <f t="shared" si="22"/>
        <v>37.058888888888887</v>
      </c>
      <c r="Q94" s="17">
        <f t="shared" si="23"/>
        <v>444.70666666666665</v>
      </c>
      <c r="R94" s="17">
        <f t="shared" si="24"/>
        <v>444.70666666666665</v>
      </c>
      <c r="S94" s="17">
        <f t="shared" si="25"/>
        <v>0</v>
      </c>
      <c r="T94" s="17">
        <f t="shared" si="26"/>
        <v>444.70666666666665</v>
      </c>
      <c r="U94" s="17">
        <f t="shared" si="27"/>
        <v>1111.7666666666664</v>
      </c>
    </row>
    <row r="95" spans="2:21" ht="12" customHeight="1">
      <c r="B95" s="17"/>
      <c r="C95" s="17"/>
      <c r="D95" s="17">
        <v>201179</v>
      </c>
      <c r="E95" s="17"/>
      <c r="F95" s="17"/>
      <c r="G95" s="17">
        <v>2018</v>
      </c>
      <c r="H95" s="17">
        <v>7</v>
      </c>
      <c r="I95" s="8">
        <v>0</v>
      </c>
      <c r="J95" s="17" t="s">
        <v>78</v>
      </c>
      <c r="K95" s="17">
        <v>3</v>
      </c>
      <c r="L95" s="17">
        <f t="shared" si="19"/>
        <v>2021</v>
      </c>
      <c r="M95" s="17">
        <f t="shared" si="20"/>
        <v>2021.5833333333333</v>
      </c>
      <c r="N95" s="17">
        <v>197.45</v>
      </c>
      <c r="O95" s="17">
        <f t="shared" si="21"/>
        <v>197.45</v>
      </c>
      <c r="P95" s="17">
        <f t="shared" si="22"/>
        <v>5.4847222222222216</v>
      </c>
      <c r="Q95" s="17">
        <f t="shared" si="23"/>
        <v>65.816666666666663</v>
      </c>
      <c r="R95" s="17">
        <f t="shared" si="24"/>
        <v>65.816666666666663</v>
      </c>
      <c r="S95" s="17">
        <f t="shared" si="25"/>
        <v>0</v>
      </c>
      <c r="T95" s="17">
        <f t="shared" si="26"/>
        <v>65.816666666666663</v>
      </c>
      <c r="U95" s="17">
        <f t="shared" si="27"/>
        <v>164.54166666666666</v>
      </c>
    </row>
    <row r="97" spans="1:21">
      <c r="A97" s="17"/>
      <c r="B97" s="17"/>
      <c r="C97" s="17"/>
      <c r="D97" s="17"/>
      <c r="E97" s="17"/>
      <c r="F97" s="17"/>
      <c r="G97" s="17"/>
      <c r="H97" s="17"/>
      <c r="J97" s="17"/>
      <c r="K97" s="17"/>
      <c r="L97" s="17" t="s">
        <v>989</v>
      </c>
      <c r="M97" s="17"/>
      <c r="N97" s="17">
        <f t="shared" ref="N97:U97" si="28">SUM(N57:N96)</f>
        <v>1001441.8800000002</v>
      </c>
      <c r="O97" s="17">
        <f t="shared" si="28"/>
        <v>1001441.8800000002</v>
      </c>
      <c r="P97" s="17">
        <f t="shared" si="28"/>
        <v>15856.95036111111</v>
      </c>
      <c r="Q97" s="17">
        <f t="shared" si="28"/>
        <v>190283.40433333343</v>
      </c>
      <c r="R97" s="17">
        <f t="shared" si="28"/>
        <v>155531.61566666677</v>
      </c>
      <c r="S97" s="17">
        <f t="shared" si="28"/>
        <v>785100.61233333324</v>
      </c>
      <c r="T97" s="17">
        <f t="shared" si="28"/>
        <v>940632.228</v>
      </c>
      <c r="U97" s="17">
        <f t="shared" si="28"/>
        <v>138575.45983333344</v>
      </c>
    </row>
    <row r="99" spans="1:21">
      <c r="A99" s="17"/>
      <c r="B99" s="17" t="s">
        <v>990</v>
      </c>
      <c r="C99" s="17"/>
      <c r="D99" s="17"/>
      <c r="E99" s="17"/>
      <c r="F99" s="17"/>
      <c r="G99" s="17"/>
      <c r="H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1" spans="1:21">
      <c r="A101" s="17" t="s">
        <v>901</v>
      </c>
      <c r="B101" s="17"/>
      <c r="C101" s="17" t="s">
        <v>991</v>
      </c>
      <c r="D101" s="17"/>
      <c r="E101" s="17"/>
      <c r="F101" s="17"/>
      <c r="G101" s="17">
        <v>2004</v>
      </c>
      <c r="H101" s="17">
        <v>9</v>
      </c>
      <c r="I101" s="8">
        <v>0</v>
      </c>
      <c r="J101" s="17" t="s">
        <v>78</v>
      </c>
      <c r="K101" s="17">
        <v>20</v>
      </c>
      <c r="L101" s="17">
        <f t="shared" ref="L101:L107" si="29">G101+K101</f>
        <v>2024</v>
      </c>
      <c r="M101" s="17">
        <f t="shared" ref="M101:M107" si="30">+L101+(H101/12)</f>
        <v>2024.75</v>
      </c>
      <c r="N101" s="17">
        <v>40000</v>
      </c>
      <c r="O101" s="17">
        <f t="shared" ref="O101:O107" si="31">N101-N101*I101</f>
        <v>40000</v>
      </c>
      <c r="P101" s="17">
        <f t="shared" ref="P101:P107" si="32">O101/K101/12</f>
        <v>166.66666666666666</v>
      </c>
      <c r="Q101" s="17">
        <f t="shared" ref="Q101:Q107" si="33">P101*12</f>
        <v>2000</v>
      </c>
      <c r="R101" s="17">
        <f t="shared" ref="R101:R107" si="34">+IF(M101&lt;=$O$6,0,IF(L101&gt;$O$5,Q101,(P101*G101)))</f>
        <v>2000</v>
      </c>
      <c r="S101" s="17">
        <f t="shared" ref="S101:S107" si="35">+IF(R101=0,N101,IF($O$5-G101&lt;1,0,(($O$5-G101)*Q101)))</f>
        <v>26000</v>
      </c>
      <c r="T101" s="17">
        <f t="shared" ref="T101:T107" si="36">+IF(R101=0,S101,S101+R101)</f>
        <v>28000</v>
      </c>
      <c r="U101" s="17">
        <f t="shared" ref="U101:U107" si="37">+IF(R101=0,0,((N101-S101)+(N101-T101))/2)</f>
        <v>13000</v>
      </c>
    </row>
    <row r="102" spans="1:21">
      <c r="A102" s="17" t="s">
        <v>901</v>
      </c>
      <c r="B102" s="17"/>
      <c r="C102" s="17" t="s">
        <v>991</v>
      </c>
      <c r="D102" s="17"/>
      <c r="E102" s="17"/>
      <c r="F102" s="17"/>
      <c r="G102" s="17">
        <v>2004</v>
      </c>
      <c r="H102" s="17">
        <v>9</v>
      </c>
      <c r="I102" s="8">
        <v>0</v>
      </c>
      <c r="J102" s="17" t="s">
        <v>78</v>
      </c>
      <c r="K102" s="17">
        <v>20</v>
      </c>
      <c r="L102" s="17">
        <f t="shared" si="29"/>
        <v>2024</v>
      </c>
      <c r="M102" s="17">
        <f t="shared" si="30"/>
        <v>2024.75</v>
      </c>
      <c r="N102" s="17">
        <v>240000</v>
      </c>
      <c r="O102" s="17">
        <f t="shared" si="31"/>
        <v>240000</v>
      </c>
      <c r="P102" s="17">
        <f t="shared" si="32"/>
        <v>1000</v>
      </c>
      <c r="Q102" s="17">
        <f t="shared" si="33"/>
        <v>12000</v>
      </c>
      <c r="R102" s="17">
        <f t="shared" si="34"/>
        <v>12000</v>
      </c>
      <c r="S102" s="17">
        <f t="shared" si="35"/>
        <v>156000</v>
      </c>
      <c r="T102" s="17">
        <f t="shared" si="36"/>
        <v>168000</v>
      </c>
      <c r="U102" s="17">
        <f t="shared" si="37"/>
        <v>78000</v>
      </c>
    </row>
    <row r="103" spans="1:21">
      <c r="A103" s="17" t="s">
        <v>901</v>
      </c>
      <c r="B103" s="17"/>
      <c r="C103" s="17" t="s">
        <v>992</v>
      </c>
      <c r="D103" s="17" t="s">
        <v>993</v>
      </c>
      <c r="E103" s="17">
        <v>80461</v>
      </c>
      <c r="F103" s="17"/>
      <c r="G103" s="17">
        <v>2011</v>
      </c>
      <c r="H103" s="17">
        <v>3</v>
      </c>
      <c r="I103" s="8">
        <v>0</v>
      </c>
      <c r="J103" s="17" t="s">
        <v>78</v>
      </c>
      <c r="K103" s="17">
        <v>20</v>
      </c>
      <c r="L103" s="17">
        <f t="shared" si="29"/>
        <v>2031</v>
      </c>
      <c r="M103" s="17">
        <f t="shared" si="30"/>
        <v>2031.25</v>
      </c>
      <c r="N103" s="17">
        <f>841.06+841.06</f>
        <v>1682.12</v>
      </c>
      <c r="O103" s="17">
        <f t="shared" si="31"/>
        <v>1682.12</v>
      </c>
      <c r="P103" s="17">
        <f t="shared" si="32"/>
        <v>7.0088333333333326</v>
      </c>
      <c r="Q103" s="17">
        <f t="shared" si="33"/>
        <v>84.105999999999995</v>
      </c>
      <c r="R103" s="17">
        <f t="shared" si="34"/>
        <v>84.105999999999995</v>
      </c>
      <c r="S103" s="17">
        <f t="shared" si="35"/>
        <v>504.63599999999997</v>
      </c>
      <c r="T103" s="17">
        <f t="shared" si="36"/>
        <v>588.74199999999996</v>
      </c>
      <c r="U103" s="17">
        <f t="shared" si="37"/>
        <v>1135.431</v>
      </c>
    </row>
    <row r="104" spans="1:21">
      <c r="A104" s="17" t="s">
        <v>901</v>
      </c>
      <c r="B104" s="17"/>
      <c r="C104" s="17" t="s">
        <v>994</v>
      </c>
      <c r="D104" s="17" t="s">
        <v>995</v>
      </c>
      <c r="E104" s="17">
        <v>80461</v>
      </c>
      <c r="F104" s="17"/>
      <c r="G104" s="17">
        <v>2011</v>
      </c>
      <c r="H104" s="17">
        <v>3</v>
      </c>
      <c r="I104" s="8">
        <v>0</v>
      </c>
      <c r="J104" s="17" t="s">
        <v>78</v>
      </c>
      <c r="K104" s="17">
        <v>20</v>
      </c>
      <c r="L104" s="17">
        <f t="shared" si="29"/>
        <v>2031</v>
      </c>
      <c r="M104" s="17">
        <f t="shared" si="30"/>
        <v>2031.25</v>
      </c>
      <c r="N104" s="17">
        <f>5574.14+2711.89</f>
        <v>8286.0300000000007</v>
      </c>
      <c r="O104" s="17">
        <f t="shared" si="31"/>
        <v>8286.0300000000007</v>
      </c>
      <c r="P104" s="17">
        <f t="shared" si="32"/>
        <v>34.525125000000003</v>
      </c>
      <c r="Q104" s="17">
        <f t="shared" si="33"/>
        <v>414.30150000000003</v>
      </c>
      <c r="R104" s="17">
        <f t="shared" si="34"/>
        <v>414.30150000000003</v>
      </c>
      <c r="S104" s="17">
        <f t="shared" si="35"/>
        <v>2485.8090000000002</v>
      </c>
      <c r="T104" s="17">
        <f t="shared" si="36"/>
        <v>2900.1105000000002</v>
      </c>
      <c r="U104" s="17">
        <f t="shared" si="37"/>
        <v>5593.0702500000007</v>
      </c>
    </row>
    <row r="105" spans="1:21">
      <c r="A105" s="17" t="s">
        <v>901</v>
      </c>
      <c r="B105" s="17"/>
      <c r="C105" s="17" t="s">
        <v>996</v>
      </c>
      <c r="D105" s="17">
        <v>82335</v>
      </c>
      <c r="E105" s="17">
        <v>80461</v>
      </c>
      <c r="F105" s="17"/>
      <c r="G105" s="17">
        <v>2011</v>
      </c>
      <c r="H105" s="17">
        <v>3</v>
      </c>
      <c r="I105" s="8">
        <v>0</v>
      </c>
      <c r="J105" s="17" t="s">
        <v>78</v>
      </c>
      <c r="K105" s="17">
        <v>20</v>
      </c>
      <c r="L105" s="17">
        <f t="shared" si="29"/>
        <v>2031</v>
      </c>
      <c r="M105" s="17">
        <f t="shared" si="30"/>
        <v>2031.25</v>
      </c>
      <c r="N105" s="17">
        <v>5668.3</v>
      </c>
      <c r="O105" s="17">
        <f t="shared" si="31"/>
        <v>5668.3</v>
      </c>
      <c r="P105" s="17">
        <f t="shared" si="32"/>
        <v>23.61791666666667</v>
      </c>
      <c r="Q105" s="17">
        <f t="shared" si="33"/>
        <v>283.41500000000002</v>
      </c>
      <c r="R105" s="17">
        <f t="shared" si="34"/>
        <v>283.41500000000002</v>
      </c>
      <c r="S105" s="17">
        <f t="shared" si="35"/>
        <v>1700.4900000000002</v>
      </c>
      <c r="T105" s="17">
        <f t="shared" si="36"/>
        <v>1983.9050000000002</v>
      </c>
      <c r="U105" s="17">
        <f t="shared" si="37"/>
        <v>3826.1025</v>
      </c>
    </row>
    <row r="106" spans="1:21">
      <c r="A106" s="17" t="s">
        <v>901</v>
      </c>
      <c r="B106" s="17"/>
      <c r="C106" s="17" t="s">
        <v>997</v>
      </c>
      <c r="D106" s="17" t="s">
        <v>998</v>
      </c>
      <c r="E106" s="17">
        <v>80461</v>
      </c>
      <c r="F106" s="17"/>
      <c r="G106" s="17">
        <v>2011</v>
      </c>
      <c r="H106" s="17">
        <v>3</v>
      </c>
      <c r="I106" s="8">
        <v>0</v>
      </c>
      <c r="J106" s="17" t="s">
        <v>78</v>
      </c>
      <c r="K106" s="17">
        <v>20</v>
      </c>
      <c r="L106" s="17">
        <f t="shared" si="29"/>
        <v>2031</v>
      </c>
      <c r="M106" s="17">
        <f t="shared" si="30"/>
        <v>2031.25</v>
      </c>
      <c r="N106" s="17">
        <f>31000.84+80823.8+245.11+59592+4618.5+20568.07+6693.53+6062.87</f>
        <v>209604.72</v>
      </c>
      <c r="O106" s="17">
        <f t="shared" si="31"/>
        <v>209604.72</v>
      </c>
      <c r="P106" s="17">
        <f t="shared" si="32"/>
        <v>873.35300000000007</v>
      </c>
      <c r="Q106" s="17">
        <f t="shared" si="33"/>
        <v>10480.236000000001</v>
      </c>
      <c r="R106" s="17">
        <f t="shared" si="34"/>
        <v>10480.236000000001</v>
      </c>
      <c r="S106" s="17">
        <f t="shared" si="35"/>
        <v>62881.416000000005</v>
      </c>
      <c r="T106" s="17">
        <f t="shared" si="36"/>
        <v>73361.652000000002</v>
      </c>
      <c r="U106" s="17">
        <f t="shared" si="37"/>
        <v>141483.18599999999</v>
      </c>
    </row>
    <row r="107" spans="1:21">
      <c r="A107" s="17" t="s">
        <v>901</v>
      </c>
      <c r="B107" s="17"/>
      <c r="C107" s="17" t="s">
        <v>999</v>
      </c>
      <c r="D107" s="17" t="s">
        <v>1000</v>
      </c>
      <c r="E107" s="17">
        <v>80461</v>
      </c>
      <c r="F107" s="17"/>
      <c r="G107" s="17">
        <v>2011</v>
      </c>
      <c r="H107" s="17">
        <v>3</v>
      </c>
      <c r="I107" s="8">
        <v>0</v>
      </c>
      <c r="J107" s="17" t="s">
        <v>78</v>
      </c>
      <c r="K107" s="17">
        <v>10</v>
      </c>
      <c r="L107" s="17">
        <f t="shared" si="29"/>
        <v>2021</v>
      </c>
      <c r="M107" s="17">
        <f t="shared" si="30"/>
        <v>2021.25</v>
      </c>
      <c r="N107" s="17">
        <f>394.57+25.62+247.56+1955.1+1108.85+1867.48+4357.52+196.74+938.88</f>
        <v>11092.32</v>
      </c>
      <c r="O107" s="17">
        <f t="shared" si="31"/>
        <v>11092.32</v>
      </c>
      <c r="P107" s="17">
        <f t="shared" si="32"/>
        <v>92.435999999999993</v>
      </c>
      <c r="Q107" s="17">
        <f t="shared" si="33"/>
        <v>1109.232</v>
      </c>
      <c r="R107" s="17">
        <f t="shared" si="34"/>
        <v>1109.232</v>
      </c>
      <c r="S107" s="17">
        <f t="shared" si="35"/>
        <v>6655.3919999999998</v>
      </c>
      <c r="T107" s="17">
        <f t="shared" si="36"/>
        <v>7764.6239999999998</v>
      </c>
      <c r="U107" s="17">
        <f t="shared" si="37"/>
        <v>3882.3119999999999</v>
      </c>
    </row>
    <row r="109" spans="1:21">
      <c r="A109" s="17"/>
      <c r="B109" s="17"/>
      <c r="C109" s="17"/>
      <c r="D109" s="17"/>
      <c r="E109" s="17"/>
      <c r="F109" s="17"/>
      <c r="G109" s="17"/>
      <c r="H109" s="17"/>
      <c r="J109" s="17"/>
      <c r="K109" s="17"/>
      <c r="L109" s="17" t="s">
        <v>1003</v>
      </c>
      <c r="M109" s="17"/>
      <c r="N109" s="17">
        <f t="shared" ref="N109:U109" si="38">SUM(N101:N108)</f>
        <v>516333.49000000005</v>
      </c>
      <c r="O109" s="17">
        <f t="shared" si="38"/>
        <v>516333.49000000005</v>
      </c>
      <c r="P109" s="17">
        <f t="shared" si="38"/>
        <v>2197.6075416666667</v>
      </c>
      <c r="Q109" s="17">
        <f t="shared" si="38"/>
        <v>26371.290499999999</v>
      </c>
      <c r="R109" s="17">
        <f t="shared" si="38"/>
        <v>26371.290499999999</v>
      </c>
      <c r="S109" s="17">
        <f t="shared" si="38"/>
        <v>256227.74299999999</v>
      </c>
      <c r="T109" s="17">
        <f t="shared" si="38"/>
        <v>282599.03350000002</v>
      </c>
      <c r="U109" s="17">
        <f t="shared" si="38"/>
        <v>246920.10175</v>
      </c>
    </row>
    <row r="111" spans="1:21">
      <c r="A111" s="17"/>
      <c r="B111" s="17" t="s">
        <v>1004</v>
      </c>
      <c r="C111" s="17"/>
      <c r="D111" s="17"/>
      <c r="E111" s="17"/>
      <c r="F111" s="17"/>
      <c r="G111" s="17"/>
      <c r="H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>
      <c r="A112" s="17" t="s">
        <v>1005</v>
      </c>
      <c r="B112" s="17"/>
      <c r="C112" s="17" t="s">
        <v>1006</v>
      </c>
      <c r="D112" s="17" t="s">
        <v>1007</v>
      </c>
      <c r="E112" s="17">
        <v>80461</v>
      </c>
      <c r="F112" s="17"/>
      <c r="G112" s="17">
        <v>2011</v>
      </c>
      <c r="H112" s="17">
        <v>3</v>
      </c>
      <c r="I112" s="8">
        <v>0</v>
      </c>
      <c r="J112" s="17" t="s">
        <v>78</v>
      </c>
      <c r="K112" s="17">
        <v>20</v>
      </c>
      <c r="L112" s="17">
        <f>G112+K112</f>
        <v>2031</v>
      </c>
      <c r="M112" s="17">
        <f>+L112+(H112/12)</f>
        <v>2031.25</v>
      </c>
      <c r="N112" s="17">
        <f>3166.67+673+2240.65+3836.43+6424143.01-114.39+4566.5+20661.47+138250.85+835.05+210612.12+269528.37+118437+71579.83+301+2739.6+45+8499.35-11853.59+5255+553.12+345+216.12+555+5427.5+8571.02+1676.81+2011.12+9964.88+636.67+3673.77+2278.91+2133.77+23372.76</f>
        <v>7334819.3699999973</v>
      </c>
      <c r="O112" s="17">
        <f>N112-N112*I112</f>
        <v>7334819.3699999973</v>
      </c>
      <c r="P112" s="17">
        <f>O112/K112/12</f>
        <v>30561.747374999988</v>
      </c>
      <c r="Q112" s="17">
        <f>P112*12</f>
        <v>366740.96849999984</v>
      </c>
      <c r="R112" s="17">
        <f>+IF(M112&lt;=$O$6,0,IF(L112&gt;$O$5,Q112,(P112*G112)))</f>
        <v>366740.96849999984</v>
      </c>
      <c r="S112" s="17">
        <f>+IF(R112=0,N112,IF($O$5-G112&lt;1,0,(($O$5-G112)*Q112)))</f>
        <v>2200445.8109999988</v>
      </c>
      <c r="T112" s="17">
        <f>+IF(R112=0,S112,S112+R112)</f>
        <v>2567186.7794999988</v>
      </c>
      <c r="U112" s="17">
        <f>+IF(R112=0,0,((N112-S112)+(N112-T112))/2)</f>
        <v>4951003.0747499987</v>
      </c>
    </row>
    <row r="113" spans="1:21">
      <c r="A113" s="17" t="s">
        <v>1005</v>
      </c>
      <c r="B113" s="17"/>
      <c r="C113" s="17" t="s">
        <v>1008</v>
      </c>
      <c r="D113" s="17" t="s">
        <v>1009</v>
      </c>
      <c r="E113" s="17">
        <v>80461</v>
      </c>
      <c r="F113" s="17"/>
      <c r="G113" s="17">
        <v>2011</v>
      </c>
      <c r="H113" s="17">
        <v>3</v>
      </c>
      <c r="I113" s="8">
        <v>0</v>
      </c>
      <c r="J113" s="17" t="s">
        <v>78</v>
      </c>
      <c r="K113" s="17">
        <v>20</v>
      </c>
      <c r="L113" s="17">
        <f>G113+K113</f>
        <v>2031</v>
      </c>
      <c r="M113" s="17">
        <f>+L113+(H113/12)</f>
        <v>2031.25</v>
      </c>
      <c r="N113" s="17">
        <f>8812.86+42012.06+7370.54</f>
        <v>58195.46</v>
      </c>
      <c r="O113" s="17">
        <f>N113-N113*I113</f>
        <v>58195.46</v>
      </c>
      <c r="P113" s="17">
        <f>O113/K113/12</f>
        <v>242.48108333333334</v>
      </c>
      <c r="Q113" s="17">
        <f>P113*12</f>
        <v>2909.7730000000001</v>
      </c>
      <c r="R113" s="17">
        <f>+IF(M113&lt;=$O$6,0,IF(L113&gt;$O$5,Q113,(P113*G113)))</f>
        <v>2909.7730000000001</v>
      </c>
      <c r="S113" s="17">
        <f>+IF(R113=0,N113,IF($O$5-G113&lt;1,0,(($O$5-G113)*Q113)))</f>
        <v>17458.637999999999</v>
      </c>
      <c r="T113" s="17">
        <f>+IF(R113=0,S113,S113+R113)</f>
        <v>20368.411</v>
      </c>
      <c r="U113" s="17">
        <f>+IF(R113=0,0,((N113-S113)+(N113-T113))/2)</f>
        <v>39281.9355</v>
      </c>
    </row>
    <row r="114" spans="1:21">
      <c r="A114" s="17" t="s">
        <v>1005</v>
      </c>
      <c r="B114" s="17"/>
      <c r="C114" s="17" t="s">
        <v>1010</v>
      </c>
      <c r="D114" s="17" t="s">
        <v>1011</v>
      </c>
      <c r="E114" s="17">
        <v>80461</v>
      </c>
      <c r="F114" s="17"/>
      <c r="G114" s="17">
        <v>2011</v>
      </c>
      <c r="H114" s="17">
        <v>3</v>
      </c>
      <c r="I114" s="8">
        <v>0</v>
      </c>
      <c r="J114" s="17" t="s">
        <v>78</v>
      </c>
      <c r="K114" s="17">
        <v>20</v>
      </c>
      <c r="L114" s="17">
        <f>G114+K114</f>
        <v>2031</v>
      </c>
      <c r="M114" s="17">
        <f>+L114+(H114/12)</f>
        <v>2031.25</v>
      </c>
      <c r="N114" s="17">
        <f>8580.16+8580.17</f>
        <v>17160.330000000002</v>
      </c>
      <c r="O114" s="17">
        <f>N114-N114*I114</f>
        <v>17160.330000000002</v>
      </c>
      <c r="P114" s="17">
        <f>O114/K114/12</f>
        <v>71.50137500000001</v>
      </c>
      <c r="Q114" s="17">
        <f>P114*12</f>
        <v>858.01650000000018</v>
      </c>
      <c r="R114" s="17">
        <f>+IF(M114&lt;=$O$6,0,IF(L114&gt;$O$5,Q114,(P114*G114)))</f>
        <v>858.01650000000018</v>
      </c>
      <c r="S114" s="17">
        <f>+IF(R114=0,N114,IF($O$5-G114&lt;1,0,(($O$5-G114)*Q114)))</f>
        <v>5148.0990000000011</v>
      </c>
      <c r="T114" s="17">
        <f>+IF(R114=0,S114,S114+R114)</f>
        <v>6006.1155000000017</v>
      </c>
      <c r="U114" s="17">
        <f>+IF(R114=0,0,((N114-S114)+(N114-T114))/2)</f>
        <v>11583.222750000001</v>
      </c>
    </row>
    <row r="115" spans="1:21">
      <c r="A115" s="17" t="s">
        <v>1005</v>
      </c>
      <c r="B115" s="17"/>
      <c r="C115" s="17" t="s">
        <v>1012</v>
      </c>
      <c r="D115" s="17">
        <v>80941</v>
      </c>
      <c r="E115" s="17">
        <v>80461</v>
      </c>
      <c r="F115" s="17"/>
      <c r="G115" s="17">
        <v>2011</v>
      </c>
      <c r="H115" s="17">
        <v>3</v>
      </c>
      <c r="I115" s="8">
        <v>0</v>
      </c>
      <c r="J115" s="17" t="s">
        <v>78</v>
      </c>
      <c r="K115" s="17">
        <v>20</v>
      </c>
      <c r="L115" s="17">
        <f>G115+K115</f>
        <v>2031</v>
      </c>
      <c r="M115" s="17">
        <f>+L115+(H115/12)</f>
        <v>2031.25</v>
      </c>
      <c r="N115" s="17">
        <v>23823.03</v>
      </c>
      <c r="O115" s="17">
        <f>N115-N115*I115</f>
        <v>23823.03</v>
      </c>
      <c r="P115" s="17">
        <f>O115/K115/12</f>
        <v>99.262625</v>
      </c>
      <c r="Q115" s="17">
        <f>P115*12</f>
        <v>1191.1514999999999</v>
      </c>
      <c r="R115" s="17">
        <f>+IF(M115&lt;=$O$6,0,IF(L115&gt;$O$5,Q115,(P115*G115)))</f>
        <v>1191.1514999999999</v>
      </c>
      <c r="S115" s="17">
        <f>+IF(R115=0,N115,IF($O$5-G115&lt;1,0,(($O$5-G115)*Q115)))</f>
        <v>7146.9089999999997</v>
      </c>
      <c r="T115" s="17">
        <f>+IF(R115=0,S115,S115+R115)</f>
        <v>8338.0604999999996</v>
      </c>
      <c r="U115" s="17">
        <f>+IF(R115=0,0,((N115-S115)+(N115-T115))/2)</f>
        <v>16080.545249999999</v>
      </c>
    </row>
    <row r="117" spans="1:21">
      <c r="A117" s="17"/>
      <c r="B117" s="17"/>
      <c r="C117" s="17"/>
      <c r="D117" s="17"/>
      <c r="E117" s="17"/>
      <c r="F117" s="17"/>
      <c r="G117" s="17"/>
      <c r="H117" s="17"/>
      <c r="J117" s="17"/>
      <c r="K117" s="17"/>
      <c r="L117" s="17" t="s">
        <v>1013</v>
      </c>
      <c r="M117" s="17"/>
      <c r="N117" s="17">
        <f>SUM(N112:N116)</f>
        <v>7433998.1899999976</v>
      </c>
      <c r="O117" s="17">
        <f>SUM(O112:O116)</f>
        <v>7433998.1899999976</v>
      </c>
      <c r="P117" s="17">
        <f>SUM(P112:P116)</f>
        <v>30974.99245833332</v>
      </c>
      <c r="Q117" s="17">
        <f>SUM(Q112:Q116)</f>
        <v>371699.90949999983</v>
      </c>
      <c r="R117" s="17">
        <f>SUM(R107:R116)</f>
        <v>399180.43199999986</v>
      </c>
      <c r="S117" s="17">
        <f>SUM(S112:S116)</f>
        <v>2230199.4569999985</v>
      </c>
      <c r="T117" s="17">
        <f>SUM(T112:T116)</f>
        <v>2601899.3664999986</v>
      </c>
      <c r="U117" s="17">
        <f>SUM(U112:U116)</f>
        <v>5017948.7782499986</v>
      </c>
    </row>
    <row r="119" spans="1:21">
      <c r="A119" s="17"/>
      <c r="B119" s="17" t="s">
        <v>1014</v>
      </c>
      <c r="C119" s="17"/>
      <c r="D119" s="17"/>
      <c r="E119" s="17"/>
      <c r="F119" s="17"/>
      <c r="G119" s="17"/>
      <c r="H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>
      <c r="A120" s="17" t="s">
        <v>255</v>
      </c>
      <c r="B120" s="17"/>
      <c r="C120" s="17" t="s">
        <v>1015</v>
      </c>
      <c r="D120" s="17"/>
      <c r="E120" s="17"/>
      <c r="F120" s="17"/>
      <c r="G120" s="17">
        <v>2005</v>
      </c>
      <c r="H120" s="17">
        <v>8</v>
      </c>
      <c r="I120" s="8">
        <v>0</v>
      </c>
      <c r="J120" s="17" t="s">
        <v>78</v>
      </c>
      <c r="K120" s="17">
        <v>5</v>
      </c>
      <c r="L120" s="17">
        <f>G120+K120</f>
        <v>2010</v>
      </c>
      <c r="M120" s="17">
        <f>+L120+(H120/12)</f>
        <v>2010.6666666666667</v>
      </c>
      <c r="N120" s="17">
        <v>32918.879999999997</v>
      </c>
      <c r="O120" s="17">
        <f>N120-N120*I120</f>
        <v>32918.879999999997</v>
      </c>
      <c r="P120" s="17">
        <f>O120/K120/12</f>
        <v>548.64800000000002</v>
      </c>
      <c r="Q120" s="17">
        <f>P120*12</f>
        <v>6583.7759999999998</v>
      </c>
      <c r="R120" s="17">
        <f>+IF(M120&lt;=$O$6,0,IF(L120&gt;$O$5,Q120,(P120*G120)))</f>
        <v>0</v>
      </c>
      <c r="S120" s="17">
        <f>+IF(R120=0,N120,IF($O$5-G120&lt;1,0,(($O$5-G120)*Q120)))</f>
        <v>32918.879999999997</v>
      </c>
      <c r="T120" s="17">
        <f>+IF(R120=0,S120,S120+R120)</f>
        <v>32918.879999999997</v>
      </c>
      <c r="U120" s="17">
        <f>+IF(R120=0,0,((N120-S120)+(N120-T120))/2)</f>
        <v>0</v>
      </c>
    </row>
    <row r="121" spans="1:21">
      <c r="A121" s="17" t="s">
        <v>255</v>
      </c>
      <c r="B121" s="17"/>
      <c r="C121" s="17" t="s">
        <v>1016</v>
      </c>
      <c r="D121" s="17">
        <v>86834</v>
      </c>
      <c r="E121" s="17"/>
      <c r="F121" s="17"/>
      <c r="G121" s="17">
        <v>2008</v>
      </c>
      <c r="H121" s="17">
        <v>11</v>
      </c>
      <c r="I121" s="8">
        <v>0.33</v>
      </c>
      <c r="J121" s="17" t="s">
        <v>78</v>
      </c>
      <c r="K121" s="17">
        <v>3</v>
      </c>
      <c r="L121" s="17">
        <f>G121+K121</f>
        <v>2011</v>
      </c>
      <c r="M121" s="17">
        <f>+L121+(H121/12)</f>
        <v>2011.9166666666667</v>
      </c>
      <c r="N121" s="17">
        <v>2500</v>
      </c>
      <c r="O121" s="17">
        <f>N121-N121*I121</f>
        <v>1675</v>
      </c>
      <c r="P121" s="17">
        <f>O121/K121/12</f>
        <v>46.527777777777779</v>
      </c>
      <c r="Q121" s="17">
        <f>P121*12</f>
        <v>558.33333333333337</v>
      </c>
      <c r="R121" s="17">
        <f>+IF(M121&lt;=$O$6,0,IF(L121&gt;$O$5,Q121,(P121*G121)))</f>
        <v>0</v>
      </c>
      <c r="S121" s="17">
        <f>+IF(R121=0,N121,IF($O$5-G121&lt;1,0,(($O$5-G121)*Q121)))</f>
        <v>2500</v>
      </c>
      <c r="T121" s="17">
        <f>+IF(R121=0,S121,S121+R121)</f>
        <v>2500</v>
      </c>
      <c r="U121" s="17">
        <f>+IF(R121=0,0,((N121-S121)+(N121-T121))/2)</f>
        <v>0</v>
      </c>
    </row>
    <row r="122" spans="1:21">
      <c r="A122" s="17"/>
      <c r="B122" s="17"/>
      <c r="C122" s="17" t="s">
        <v>1018</v>
      </c>
      <c r="D122" s="17">
        <v>110353</v>
      </c>
      <c r="E122" s="17"/>
      <c r="F122" s="17"/>
      <c r="G122" s="17">
        <v>2013</v>
      </c>
      <c r="H122" s="17">
        <v>11</v>
      </c>
      <c r="I122" s="8">
        <v>0</v>
      </c>
      <c r="J122" s="17" t="s">
        <v>78</v>
      </c>
      <c r="K122" s="17">
        <v>10</v>
      </c>
      <c r="L122" s="17">
        <f>G122+K122</f>
        <v>2023</v>
      </c>
      <c r="M122" s="17">
        <f>+L122+(H122/12)</f>
        <v>2023.9166666666667</v>
      </c>
      <c r="N122" s="17">
        <v>99307.78</v>
      </c>
      <c r="O122" s="17">
        <f>N122-N122*I122</f>
        <v>99307.78</v>
      </c>
      <c r="P122" s="17">
        <f>O122/K122/12</f>
        <v>827.56483333333335</v>
      </c>
      <c r="Q122" s="17">
        <f>P122*12</f>
        <v>9930.7780000000002</v>
      </c>
      <c r="R122" s="17">
        <f>+IF(M122&lt;=$O$6,0,IF(L122&gt;$O$5,Q122,(P122*G122)))</f>
        <v>9930.7780000000002</v>
      </c>
      <c r="S122" s="17">
        <f>+IF(R122=0,N122,IF($O$5-G122&lt;1,0,(($O$5-G122)*Q122)))</f>
        <v>39723.112000000001</v>
      </c>
      <c r="T122" s="17">
        <f>+IF(R122=0,S122,S122+R122)</f>
        <v>49653.89</v>
      </c>
      <c r="U122" s="17">
        <f>+IF(R122=0,0,((N122-S122)+(N122-T122))/2)</f>
        <v>54619.278999999995</v>
      </c>
    </row>
    <row r="124" spans="1:21">
      <c r="A124" s="17"/>
      <c r="B124" s="17"/>
      <c r="C124" s="17"/>
      <c r="D124" s="17"/>
      <c r="E124" s="17"/>
      <c r="F124" s="17"/>
      <c r="G124" s="17"/>
      <c r="H124" s="17"/>
      <c r="J124" s="17"/>
      <c r="K124" s="17"/>
      <c r="L124" s="17" t="s">
        <v>278</v>
      </c>
      <c r="M124" s="17"/>
      <c r="N124" s="17">
        <f>SUM(N120:N123)</f>
        <v>134726.66</v>
      </c>
      <c r="O124" s="17">
        <f>SUM(O120:O123)</f>
        <v>133901.66</v>
      </c>
      <c r="P124" s="17">
        <f>SUM(P120:P123)</f>
        <v>1422.7406111111113</v>
      </c>
      <c r="Q124" s="17">
        <f>SUM(Q120:Q123)</f>
        <v>17072.887333333332</v>
      </c>
      <c r="R124" s="17">
        <f>SUM(R123:R123)</f>
        <v>0</v>
      </c>
      <c r="S124" s="17">
        <f>SUM(S120:S123)</f>
        <v>75141.991999999998</v>
      </c>
      <c r="T124" s="17">
        <f>SUM(T120:T123)</f>
        <v>85072.76999999999</v>
      </c>
      <c r="U124" s="17">
        <f>SUM(U120:U123)</f>
        <v>54619.278999999995</v>
      </c>
    </row>
    <row r="125" spans="1:21">
      <c r="A125" s="17"/>
      <c r="B125" s="17" t="s">
        <v>1020</v>
      </c>
      <c r="C125" s="17"/>
      <c r="D125" s="17"/>
      <c r="E125" s="17"/>
      <c r="F125" s="17"/>
      <c r="G125" s="17"/>
      <c r="H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>
      <c r="A126" s="17"/>
      <c r="B126" s="17"/>
      <c r="C126" s="17" t="s">
        <v>1021</v>
      </c>
      <c r="D126" s="17">
        <v>60675</v>
      </c>
      <c r="E126" s="17"/>
      <c r="F126" s="17"/>
      <c r="G126" s="17">
        <v>2008</v>
      </c>
      <c r="H126" s="17">
        <v>11</v>
      </c>
      <c r="J126" s="17"/>
      <c r="K126" s="17"/>
      <c r="L126" s="17"/>
      <c r="M126" s="17"/>
      <c r="N126" s="17">
        <v>9148000</v>
      </c>
      <c r="O126" s="17"/>
      <c r="P126" s="17"/>
      <c r="Q126" s="17"/>
      <c r="R126" s="17"/>
      <c r="S126" s="17"/>
      <c r="T126" s="17"/>
      <c r="U126" s="17">
        <f>N126</f>
        <v>9148000</v>
      </c>
    </row>
    <row r="128" spans="1:21">
      <c r="A128" s="17"/>
      <c r="B128" s="17"/>
      <c r="C128" s="17"/>
      <c r="D128" s="17"/>
      <c r="E128" s="17"/>
      <c r="F128" s="17"/>
      <c r="G128" s="17"/>
      <c r="H128" s="17"/>
      <c r="J128" s="17"/>
      <c r="K128" s="17"/>
      <c r="L128" s="17" t="s">
        <v>1022</v>
      </c>
      <c r="M128" s="17"/>
      <c r="N128" s="17">
        <f t="shared" ref="N128:U128" si="39">N124+N117+N97+N53+N37+N126+N109</f>
        <v>19012709.319999997</v>
      </c>
      <c r="O128" s="17">
        <f t="shared" si="39"/>
        <v>9759357.6791999992</v>
      </c>
      <c r="P128" s="17">
        <f t="shared" si="39"/>
        <v>60553.099041428555</v>
      </c>
      <c r="Q128" s="17">
        <f t="shared" si="39"/>
        <v>726637.18849714275</v>
      </c>
      <c r="R128" s="17">
        <f t="shared" si="39"/>
        <v>611934.9802209523</v>
      </c>
      <c r="S128" s="17">
        <f t="shared" si="39"/>
        <v>3844981.89506476</v>
      </c>
      <c r="T128" s="17">
        <f t="shared" si="39"/>
        <v>4469346.6270428561</v>
      </c>
      <c r="U128" s="17">
        <f t="shared" si="39"/>
        <v>14855545.058946189</v>
      </c>
    </row>
    <row r="132" spans="1:21">
      <c r="A132" s="17"/>
      <c r="B132" s="17"/>
      <c r="C132" s="17" t="s">
        <v>1023</v>
      </c>
      <c r="D132" s="17"/>
      <c r="E132" s="17"/>
      <c r="F132" s="17"/>
      <c r="G132" s="17"/>
      <c r="H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>
      <c r="A133" s="17" t="s">
        <v>901</v>
      </c>
      <c r="B133" s="17">
        <v>6029</v>
      </c>
      <c r="C133" s="17" t="s">
        <v>1024</v>
      </c>
      <c r="D133" s="17"/>
      <c r="E133" s="17"/>
      <c r="F133" s="17"/>
      <c r="G133" s="17">
        <v>2003</v>
      </c>
      <c r="H133" s="17">
        <v>3</v>
      </c>
      <c r="I133" s="8">
        <v>0.2</v>
      </c>
      <c r="J133" s="17" t="s">
        <v>78</v>
      </c>
      <c r="K133" s="17">
        <v>7</v>
      </c>
      <c r="L133" s="17">
        <f>G133+K133</f>
        <v>2010</v>
      </c>
      <c r="M133" s="17">
        <f>+L133+(H133/12)</f>
        <v>2010.25</v>
      </c>
      <c r="N133" s="17">
        <v>16108.62</v>
      </c>
      <c r="O133" s="17">
        <f>N133-N133*I133</f>
        <v>12886.896000000001</v>
      </c>
      <c r="P133" s="17">
        <f>O133/K133/12</f>
        <v>153.41542857142858</v>
      </c>
      <c r="Q133" s="17">
        <f>P133*12</f>
        <v>1840.9851428571428</v>
      </c>
      <c r="R133" s="17">
        <f>+IF(M133&lt;=$O$6,0,IF(L133&gt;$O$5,Q133,(P133*G133)))</f>
        <v>0</v>
      </c>
      <c r="S133" s="17">
        <f>+IF(R133=0,N133,IF($O$5-G133&lt;1,0,(($O$5-G133)*Q133)))</f>
        <v>16108.62</v>
      </c>
      <c r="T133" s="17">
        <f>+IF(R133=0,S133,S133+R133)</f>
        <v>16108.62</v>
      </c>
      <c r="U133" s="17">
        <f>+IF(R133=0,0,((N133-S133)+(N133-T133))/2)</f>
        <v>0</v>
      </c>
    </row>
    <row r="135" spans="1:21">
      <c r="A135" s="17"/>
      <c r="B135" s="17"/>
      <c r="C135" s="17" t="s">
        <v>1025</v>
      </c>
      <c r="D135" s="17"/>
      <c r="E135" s="17"/>
      <c r="F135" s="17"/>
      <c r="G135" s="17"/>
      <c r="H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>
      <c r="A136" s="17" t="s">
        <v>901</v>
      </c>
      <c r="B136" s="17">
        <v>6033</v>
      </c>
      <c r="C136" s="17" t="s">
        <v>1026</v>
      </c>
      <c r="D136" s="17"/>
      <c r="E136" s="17"/>
      <c r="F136" s="17"/>
      <c r="G136" s="17">
        <v>2005</v>
      </c>
      <c r="H136" s="17">
        <v>10</v>
      </c>
      <c r="I136" s="8">
        <v>0.33</v>
      </c>
      <c r="J136" s="17" t="s">
        <v>78</v>
      </c>
      <c r="K136" s="17">
        <v>5</v>
      </c>
      <c r="L136" s="17">
        <f>G136+K136</f>
        <v>2010</v>
      </c>
      <c r="M136" s="17">
        <f>+L136+(H136/12)</f>
        <v>2010.8333333333333</v>
      </c>
      <c r="N136" s="17">
        <v>2160.1799999999998</v>
      </c>
      <c r="O136" s="17">
        <f>N136-N136*I136</f>
        <v>1447.3206</v>
      </c>
      <c r="P136" s="17">
        <f>O136/K136/12</f>
        <v>24.12201</v>
      </c>
      <c r="Q136" s="17">
        <f>P136*12</f>
        <v>289.46411999999998</v>
      </c>
      <c r="R136" s="17">
        <f>+IF(M136&lt;=$O$6,0,IF(L136&gt;$O$5,Q136,(P136*G136)))</f>
        <v>0</v>
      </c>
      <c r="S136" s="17">
        <f>+IF(R136=0,N136,IF($O$5-G136&lt;1,0,(($O$5-G136)*Q136)))</f>
        <v>2160.1799999999998</v>
      </c>
      <c r="T136" s="17">
        <f>+IF(R136=0,S136,S136+R136)</f>
        <v>2160.1799999999998</v>
      </c>
      <c r="U136" s="17">
        <f>+IF(R136=0,0,((N136-S136)+(N136-T136))/2)</f>
        <v>0</v>
      </c>
    </row>
    <row r="138" spans="1:21">
      <c r="A138" s="17"/>
      <c r="B138" s="17"/>
      <c r="C138" s="17" t="s">
        <v>1027</v>
      </c>
      <c r="D138" s="17"/>
      <c r="E138" s="17"/>
      <c r="F138" s="17"/>
      <c r="G138" s="17"/>
      <c r="H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>
      <c r="A139" s="17"/>
      <c r="B139" s="17">
        <v>6627</v>
      </c>
      <c r="C139" s="17" t="s">
        <v>1028</v>
      </c>
      <c r="D139" s="17">
        <v>103332</v>
      </c>
      <c r="E139" s="17"/>
      <c r="F139" s="17"/>
      <c r="G139" s="17">
        <v>2013</v>
      </c>
      <c r="H139" s="17">
        <v>4</v>
      </c>
      <c r="I139" s="8">
        <v>0.2</v>
      </c>
      <c r="J139" s="17" t="s">
        <v>78</v>
      </c>
      <c r="K139" s="17">
        <v>7</v>
      </c>
      <c r="L139" s="17">
        <f>G139+K139</f>
        <v>2020</v>
      </c>
      <c r="M139" s="17">
        <f>+L139+(H139/12)</f>
        <v>2020.3333333333333</v>
      </c>
      <c r="N139" s="17">
        <v>25999.99</v>
      </c>
      <c r="O139" s="17">
        <f>N139-N139*I139</f>
        <v>20799.992000000002</v>
      </c>
      <c r="P139" s="17">
        <f>O139/K139/12</f>
        <v>247.61895238095238</v>
      </c>
      <c r="Q139" s="17">
        <f>P139*12</f>
        <v>2971.4274285714287</v>
      </c>
      <c r="R139" s="17">
        <f>+IF(M139&lt;=$O$6,0,IF(L139&gt;$O$5,Q139,(P139*G139)))</f>
        <v>2971.4274285714287</v>
      </c>
      <c r="S139" s="17">
        <f>+IF(R139=0,N139,IF($O$5-G139&lt;1,0,(($O$5-G139)*Q139)))</f>
        <v>11885.709714285715</v>
      </c>
      <c r="T139" s="17">
        <f>+IF(R139=0,S139,S139+R139)</f>
        <v>14857.137142857144</v>
      </c>
      <c r="U139" s="17">
        <f>+IF(R139=0,0,((N139-S139)+(N139-T139))/2)</f>
        <v>12628.566571428571</v>
      </c>
    </row>
    <row r="141" spans="1:21">
      <c r="A141" s="17"/>
      <c r="B141" s="17"/>
      <c r="C141" s="17" t="s">
        <v>1029</v>
      </c>
      <c r="D141" s="17"/>
      <c r="E141" s="17"/>
      <c r="F141" s="17"/>
      <c r="G141" s="17"/>
      <c r="H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>
      <c r="A142" s="17" t="s">
        <v>929</v>
      </c>
      <c r="B142" s="17">
        <v>6034</v>
      </c>
      <c r="C142" s="17" t="s">
        <v>1030</v>
      </c>
      <c r="D142" s="17"/>
      <c r="E142" s="17"/>
      <c r="F142" s="17"/>
      <c r="G142" s="17">
        <v>2009</v>
      </c>
      <c r="H142" s="17">
        <v>1</v>
      </c>
      <c r="I142" s="8">
        <v>0</v>
      </c>
      <c r="J142" s="17" t="s">
        <v>78</v>
      </c>
      <c r="K142" s="17">
        <v>3</v>
      </c>
      <c r="L142" s="17">
        <f>G142+K142</f>
        <v>2012</v>
      </c>
      <c r="M142" s="17">
        <f>+L142+(H142/12)</f>
        <v>2012.0833333333333</v>
      </c>
      <c r="N142" s="17">
        <v>4355.1400000000003</v>
      </c>
      <c r="O142" s="17">
        <f>N142-N142*I142</f>
        <v>4355.1400000000003</v>
      </c>
      <c r="P142" s="17">
        <f>O142/K142/12</f>
        <v>120.97611111111111</v>
      </c>
      <c r="Q142" s="17">
        <f>P142*12</f>
        <v>1451.7133333333334</v>
      </c>
      <c r="R142" s="17">
        <f>+IF(M142&lt;=$O$6,0,IF(L142&gt;$O$5,Q142,(P142*G142)))</f>
        <v>0</v>
      </c>
      <c r="S142" s="17">
        <f>+IF(R142=0,N142,IF($O$5-G142&lt;1,0,(($O$5-G142)*Q142)))</f>
        <v>4355.1400000000003</v>
      </c>
      <c r="T142" s="17">
        <f>+IF(R142=0,S142,S142+R142)</f>
        <v>4355.1400000000003</v>
      </c>
      <c r="U142" s="17">
        <f>+IF(R142=0,0,((N142-S142)+(N142-T142))/2)</f>
        <v>0</v>
      </c>
    </row>
    <row r="143" spans="1:21">
      <c r="A143" s="17" t="s">
        <v>929</v>
      </c>
      <c r="B143" s="17">
        <v>6034</v>
      </c>
      <c r="C143" s="17" t="s">
        <v>930</v>
      </c>
      <c r="D143" s="17"/>
      <c r="E143" s="17"/>
      <c r="F143" s="17"/>
      <c r="G143" s="17">
        <v>2006</v>
      </c>
      <c r="H143" s="17">
        <v>3</v>
      </c>
      <c r="I143" s="8">
        <v>0.33</v>
      </c>
      <c r="J143" s="17" t="s">
        <v>78</v>
      </c>
      <c r="K143" s="17">
        <v>5</v>
      </c>
      <c r="L143" s="17">
        <f>G143+K143</f>
        <v>2011</v>
      </c>
      <c r="M143" s="17">
        <f>+L143+(H143/12)</f>
        <v>2011.25</v>
      </c>
      <c r="N143" s="17">
        <v>19888.93</v>
      </c>
      <c r="O143" s="17">
        <f>N143-N143*I143</f>
        <v>13325.5831</v>
      </c>
      <c r="P143" s="17">
        <f>O143/K143/12</f>
        <v>222.09305166666664</v>
      </c>
      <c r="Q143" s="17">
        <f>P143*12</f>
        <v>2665.1166199999998</v>
      </c>
      <c r="R143" s="17">
        <f>+IF(M143&lt;=$O$6,0,IF(L143&gt;$O$5,Q143,(P143*G143)))</f>
        <v>0</v>
      </c>
      <c r="S143" s="17">
        <f>+IF(R143=0,N143,IF($O$5-G143&lt;1,0,(($O$5-G143)*Q143)))</f>
        <v>19888.93</v>
      </c>
      <c r="T143" s="17">
        <f>+IF(R143=0,S143,S143+R143)</f>
        <v>19888.93</v>
      </c>
      <c r="U143" s="17">
        <f>+IF(R143=0,0,((N143-S143)+(N143-T143))/2)</f>
        <v>0</v>
      </c>
    </row>
    <row r="145" spans="3:3">
      <c r="C145" s="17" t="s">
        <v>1031</v>
      </c>
    </row>
  </sheetData>
  <mergeCells count="3">
    <mergeCell ref="A3:C3"/>
    <mergeCell ref="G10:H10"/>
    <mergeCell ref="G11:H11"/>
  </mergeCells>
  <pageMargins left="0.7" right="0.7" top="0.75" bottom="0.75" header="0.3" footer="0.3"/>
  <pageSetup scale="47" fitToHeight="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X74"/>
  <sheetViews>
    <sheetView workbookViewId="0"/>
  </sheetViews>
  <sheetFormatPr defaultRowHeight="15"/>
  <cols>
    <col min="1" max="1" width="29.42578125" style="20" customWidth="1"/>
    <col min="2" max="2" width="13.28515625" style="20" customWidth="1"/>
    <col min="3" max="3" width="14.140625" style="20" customWidth="1"/>
    <col min="4" max="8" width="15.140625" style="20" customWidth="1"/>
    <col min="9" max="9" width="18.7109375" style="20" customWidth="1"/>
    <col min="10" max="10" width="13.85546875" style="21" bestFit="1" customWidth="1"/>
    <col min="11" max="11" width="12.85546875" style="20" bestFit="1" customWidth="1"/>
    <col min="12" max="12" width="14.5703125" style="20" customWidth="1"/>
    <col min="13" max="13" width="12.85546875" style="20" bestFit="1" customWidth="1"/>
    <col min="14" max="14" width="7.42578125" style="20" customWidth="1"/>
    <col min="15" max="15" width="3.85546875" style="20" customWidth="1"/>
    <col min="16" max="16" width="11.5703125" style="20" bestFit="1" customWidth="1"/>
    <col min="17" max="17" width="19.140625" style="20" customWidth="1"/>
    <col min="18" max="18" width="11.5703125" style="20" bestFit="1" customWidth="1"/>
    <col min="19" max="19" width="9.42578125" style="20" bestFit="1" customWidth="1"/>
    <col min="20" max="20" width="23" style="20" bestFit="1" customWidth="1"/>
    <col min="21" max="21" width="12.85546875" style="20" bestFit="1" customWidth="1"/>
    <col min="22" max="22" width="9.42578125" style="20" customWidth="1"/>
    <col min="23" max="23" width="10.85546875" style="20" customWidth="1"/>
    <col min="24" max="16384" width="9.140625" style="20"/>
  </cols>
  <sheetData>
    <row r="1" spans="1:24" ht="15.75" customHeight="1">
      <c r="A1" s="18" t="s">
        <v>0</v>
      </c>
      <c r="B1" s="19"/>
      <c r="J1" s="20"/>
      <c r="K1" s="21"/>
    </row>
    <row r="2" spans="1:24" ht="18.75">
      <c r="A2" s="18" t="s">
        <v>1163</v>
      </c>
      <c r="J2" s="20"/>
      <c r="K2" s="21"/>
    </row>
    <row r="3" spans="1:24">
      <c r="I3" s="22" t="s">
        <v>1164</v>
      </c>
      <c r="J3" s="20"/>
      <c r="K3" s="23"/>
    </row>
    <row r="4" spans="1:24" ht="45" customHeight="1">
      <c r="A4" s="24" t="s">
        <v>1165</v>
      </c>
      <c r="B4" s="24"/>
      <c r="C4" s="25" t="s">
        <v>1166</v>
      </c>
      <c r="D4" s="25" t="s">
        <v>1167</v>
      </c>
      <c r="E4" s="25" t="s">
        <v>1168</v>
      </c>
      <c r="F4" s="25" t="s">
        <v>1169</v>
      </c>
      <c r="G4" s="26" t="s">
        <v>1170</v>
      </c>
      <c r="H4" s="26" t="s">
        <v>36</v>
      </c>
      <c r="I4" s="25" t="str">
        <f>C4</f>
        <v>Reg/ Ft Lewis</v>
      </c>
      <c r="J4" s="25" t="str">
        <f t="shared" ref="J4:M4" si="0">D4</f>
        <v>JBLM Housing</v>
      </c>
      <c r="K4" s="25" t="str">
        <f t="shared" si="0"/>
        <v>JBLM Contract- Garb</v>
      </c>
      <c r="L4" s="25" t="str">
        <f t="shared" si="0"/>
        <v>JBLM Contract-Recycl</v>
      </c>
      <c r="M4" s="25" t="str">
        <f t="shared" si="0"/>
        <v>Non-Reg</v>
      </c>
      <c r="N4" s="27"/>
      <c r="O4" s="27"/>
      <c r="P4" s="25" t="s">
        <v>1171</v>
      </c>
      <c r="Q4" s="25" t="s">
        <v>234</v>
      </c>
      <c r="R4" s="25" t="s">
        <v>221</v>
      </c>
      <c r="S4" s="27"/>
      <c r="T4" s="27"/>
      <c r="U4" s="28"/>
      <c r="V4" s="28"/>
      <c r="W4" s="28"/>
      <c r="X4" s="28"/>
    </row>
    <row r="5" spans="1:24" ht="15" customHeight="1">
      <c r="A5" s="29"/>
      <c r="B5" s="29"/>
      <c r="C5" s="29"/>
      <c r="D5" s="29"/>
      <c r="E5" s="29"/>
      <c r="F5" s="29"/>
      <c r="G5" s="29"/>
      <c r="H5" s="29"/>
      <c r="I5" s="30"/>
      <c r="J5" s="31"/>
      <c r="K5" s="32"/>
      <c r="L5" s="31"/>
      <c r="M5" s="29"/>
      <c r="N5" s="33"/>
      <c r="O5" s="33"/>
      <c r="P5" s="33"/>
      <c r="Q5" s="29"/>
      <c r="R5" s="33"/>
      <c r="S5" s="33"/>
      <c r="T5" s="33"/>
      <c r="U5" s="34"/>
      <c r="V5" s="34"/>
      <c r="W5" s="34"/>
      <c r="X5" s="34"/>
    </row>
    <row r="6" spans="1:24" ht="15" customHeight="1">
      <c r="A6" s="35" t="s">
        <v>1172</v>
      </c>
      <c r="B6" s="29"/>
      <c r="C6" s="36">
        <v>53074.079081691307</v>
      </c>
      <c r="D6" s="37">
        <v>4247.3786222374065</v>
      </c>
      <c r="E6" s="37"/>
      <c r="F6" s="38"/>
      <c r="G6" s="36">
        <v>18771.750933120653</v>
      </c>
      <c r="H6" s="33">
        <f t="shared" ref="H6:H17" si="1">SUM(C6:G6)</f>
        <v>76093.208637049363</v>
      </c>
      <c r="I6" s="39">
        <f>C6/C$19</f>
        <v>0.37193506094033202</v>
      </c>
      <c r="J6" s="40">
        <f>D6/D$19</f>
        <v>0.46160555185796759</v>
      </c>
      <c r="K6" s="40">
        <f>E6/E$19</f>
        <v>0</v>
      </c>
      <c r="L6" s="40">
        <f>F6/F$19</f>
        <v>0</v>
      </c>
      <c r="M6" s="40">
        <f>G6/G$19</f>
        <v>0.33302851641928521</v>
      </c>
      <c r="N6" s="33"/>
      <c r="O6" s="33"/>
      <c r="P6" s="41">
        <f>SUM(C6:D10)/SUM($C$19:$D$19)</f>
        <v>0.42309472664048586</v>
      </c>
      <c r="Q6" s="41">
        <f>SUM(C12:D16)/SUM($C$19:$D$19)</f>
        <v>0.39698001932090066</v>
      </c>
      <c r="R6" s="41">
        <f>SUM(C17:D17)/SUM($C$19:$D$19)</f>
        <v>0.17992525403861342</v>
      </c>
      <c r="S6" s="41">
        <f>SUM(P6:R6)</f>
        <v>1</v>
      </c>
      <c r="T6" s="33"/>
      <c r="U6" s="34"/>
      <c r="V6" s="34"/>
      <c r="W6" s="34"/>
      <c r="X6" s="34"/>
    </row>
    <row r="7" spans="1:24" ht="15" customHeight="1">
      <c r="A7" s="35" t="s">
        <v>1173</v>
      </c>
      <c r="B7" s="29"/>
      <c r="C7" s="36">
        <v>2627.195136812225</v>
      </c>
      <c r="D7" s="37"/>
      <c r="E7" s="37">
        <v>0</v>
      </c>
      <c r="F7" s="38"/>
      <c r="G7" s="36">
        <v>924.2235242718973</v>
      </c>
      <c r="H7" s="33">
        <f t="shared" si="1"/>
        <v>3551.4186610841225</v>
      </c>
      <c r="I7" s="39">
        <f t="shared" ref="I7:M17" si="2">C7/C$19</f>
        <v>1.841098329390476E-2</v>
      </c>
      <c r="J7" s="40">
        <f t="shared" si="2"/>
        <v>0</v>
      </c>
      <c r="K7" s="40">
        <f t="shared" si="2"/>
        <v>0</v>
      </c>
      <c r="L7" s="40">
        <f t="shared" si="2"/>
        <v>0</v>
      </c>
      <c r="M7" s="40">
        <f t="shared" si="2"/>
        <v>1.6396594554480653E-2</v>
      </c>
      <c r="N7" s="33"/>
      <c r="O7" s="33"/>
      <c r="P7" s="41">
        <f>SUM(C6:D11)/SUM($C$6:$D$16)</f>
        <v>0.51592215066260239</v>
      </c>
      <c r="Q7" s="41">
        <f>SUM(C11:D16)/SUM($C$6:$D$16)</f>
        <v>0.48407784933739756</v>
      </c>
      <c r="R7" s="33"/>
      <c r="S7" s="41">
        <f>SUM(P7:R7)</f>
        <v>1</v>
      </c>
      <c r="T7" s="42" t="s">
        <v>1174</v>
      </c>
      <c r="U7" s="34"/>
      <c r="V7" s="34"/>
      <c r="W7" s="34"/>
      <c r="X7" s="34"/>
    </row>
    <row r="8" spans="1:24" ht="15" customHeight="1">
      <c r="A8" s="35" t="s">
        <v>1175</v>
      </c>
      <c r="B8" s="29"/>
      <c r="C8" s="36">
        <v>4145.7499115630071</v>
      </c>
      <c r="D8" s="37"/>
      <c r="E8" s="37">
        <v>602</v>
      </c>
      <c r="F8" s="38"/>
      <c r="G8" s="36">
        <v>1554.5993574924159</v>
      </c>
      <c r="H8" s="33">
        <f t="shared" si="1"/>
        <v>6302.3492690554231</v>
      </c>
      <c r="I8" s="39">
        <f t="shared" si="2"/>
        <v>2.9052783819898283E-2</v>
      </c>
      <c r="J8" s="40">
        <f t="shared" si="2"/>
        <v>0</v>
      </c>
      <c r="K8" s="40">
        <f t="shared" si="2"/>
        <v>0.8737300435413643</v>
      </c>
      <c r="L8" s="40">
        <f t="shared" si="2"/>
        <v>0</v>
      </c>
      <c r="M8" s="40">
        <f t="shared" si="2"/>
        <v>2.7580054705424621E-2</v>
      </c>
      <c r="N8" s="33"/>
      <c r="O8" s="33"/>
      <c r="P8" s="33"/>
      <c r="Q8" s="29"/>
      <c r="R8" s="33"/>
      <c r="S8" s="33"/>
      <c r="T8" s="33"/>
      <c r="U8" s="34"/>
      <c r="V8" s="34"/>
      <c r="W8" s="34"/>
      <c r="X8" s="34"/>
    </row>
    <row r="9" spans="1:24" ht="15" customHeight="1">
      <c r="A9" s="29"/>
      <c r="B9" s="29"/>
      <c r="C9" s="36"/>
      <c r="D9" s="37"/>
      <c r="E9" s="37"/>
      <c r="F9" s="38"/>
      <c r="G9" s="36"/>
      <c r="H9" s="33">
        <f t="shared" si="1"/>
        <v>0</v>
      </c>
      <c r="I9" s="43"/>
      <c r="J9" s="29"/>
      <c r="K9" s="29"/>
      <c r="L9" s="29"/>
      <c r="M9" s="29"/>
      <c r="N9" s="33"/>
      <c r="O9" s="33"/>
      <c r="P9" s="33"/>
      <c r="Q9" s="29"/>
      <c r="R9" s="33"/>
      <c r="S9" s="33"/>
      <c r="T9" s="33"/>
      <c r="U9" s="34"/>
      <c r="V9" s="34"/>
      <c r="W9" s="34"/>
      <c r="X9" s="34"/>
    </row>
    <row r="10" spans="1:24" ht="15" customHeight="1">
      <c r="A10" s="29" t="s">
        <v>1176</v>
      </c>
      <c r="B10" s="29"/>
      <c r="C10" s="36">
        <v>169.04397532007084</v>
      </c>
      <c r="D10" s="37">
        <v>4</v>
      </c>
      <c r="E10" s="37">
        <v>87</v>
      </c>
      <c r="F10" s="38"/>
      <c r="G10" s="36">
        <v>127.09740869583867</v>
      </c>
      <c r="H10" s="33">
        <f t="shared" si="1"/>
        <v>387.14138401590952</v>
      </c>
      <c r="I10" s="39">
        <f t="shared" si="2"/>
        <v>1.184634427014592E-3</v>
      </c>
      <c r="J10" s="40">
        <f t="shared" si="2"/>
        <v>4.3472041738045576E-4</v>
      </c>
      <c r="K10" s="40">
        <f t="shared" si="2"/>
        <v>0.1262699564586357</v>
      </c>
      <c r="L10" s="40">
        <f t="shared" si="2"/>
        <v>0</v>
      </c>
      <c r="M10" s="40">
        <f t="shared" si="2"/>
        <v>2.2548275656070712E-3</v>
      </c>
      <c r="N10" s="33"/>
      <c r="O10" s="33"/>
      <c r="P10" s="33"/>
      <c r="Q10" s="29"/>
      <c r="R10" s="33"/>
      <c r="S10" s="33"/>
      <c r="T10" s="33"/>
      <c r="U10" s="34"/>
      <c r="V10" s="34"/>
      <c r="W10" s="34"/>
      <c r="X10" s="34"/>
    </row>
    <row r="11" spans="1:24" ht="15" customHeight="1">
      <c r="A11" s="29"/>
      <c r="B11" s="29"/>
      <c r="C11" s="36"/>
      <c r="D11" s="37"/>
      <c r="E11" s="37"/>
      <c r="F11" s="38"/>
      <c r="G11" s="36"/>
      <c r="H11" s="33">
        <f t="shared" si="1"/>
        <v>0</v>
      </c>
      <c r="I11" s="43"/>
      <c r="J11" s="29"/>
      <c r="K11" s="29"/>
      <c r="L11" s="29"/>
      <c r="M11" s="29"/>
      <c r="N11" s="33"/>
      <c r="O11" s="33"/>
      <c r="P11" s="33"/>
      <c r="Q11" s="29"/>
      <c r="R11" s="33"/>
      <c r="S11" s="33"/>
      <c r="T11" s="33"/>
      <c r="U11" s="34"/>
      <c r="V11" s="34"/>
      <c r="W11" s="34"/>
      <c r="X11" s="34"/>
    </row>
    <row r="12" spans="1:24" ht="15" customHeight="1">
      <c r="A12" s="29" t="s">
        <v>1177</v>
      </c>
      <c r="B12" s="29"/>
      <c r="C12" s="36">
        <v>52817.183201790649</v>
      </c>
      <c r="D12" s="44">
        <v>4200.4791255752798</v>
      </c>
      <c r="E12" s="37"/>
      <c r="F12" s="38"/>
      <c r="G12" s="36">
        <v>18684.202268184574</v>
      </c>
      <c r="H12" s="33">
        <f t="shared" si="1"/>
        <v>75701.864595550505</v>
      </c>
      <c r="I12" s="39">
        <f t="shared" si="2"/>
        <v>0.37013477374930787</v>
      </c>
      <c r="J12" s="40">
        <f t="shared" si="2"/>
        <v>0.45650850966699436</v>
      </c>
      <c r="K12" s="40">
        <f t="shared" si="2"/>
        <v>0</v>
      </c>
      <c r="L12" s="40">
        <f t="shared" si="2"/>
        <v>0</v>
      </c>
      <c r="M12" s="40">
        <f t="shared" si="2"/>
        <v>0.33147532076364133</v>
      </c>
      <c r="N12" s="33"/>
      <c r="O12" s="33"/>
      <c r="P12" s="33"/>
      <c r="Q12" s="29"/>
      <c r="R12" s="33"/>
      <c r="S12" s="33"/>
      <c r="T12" s="33"/>
      <c r="U12" s="34"/>
      <c r="V12" s="34"/>
      <c r="W12" s="34"/>
      <c r="X12" s="34"/>
    </row>
    <row r="13" spans="1:24" ht="15" customHeight="1">
      <c r="A13" s="35" t="s">
        <v>1178</v>
      </c>
      <c r="B13" s="29"/>
      <c r="C13" s="36">
        <v>2871</v>
      </c>
      <c r="D13" s="37">
        <v>159</v>
      </c>
      <c r="E13" s="37"/>
      <c r="F13" s="38"/>
      <c r="G13" s="36">
        <v>1996</v>
      </c>
      <c r="H13" s="33">
        <f t="shared" si="1"/>
        <v>5026</v>
      </c>
      <c r="I13" s="39">
        <f t="shared" si="2"/>
        <v>2.0119530634080385E-2</v>
      </c>
      <c r="J13" s="40">
        <f t="shared" si="2"/>
        <v>1.7280136590873116E-2</v>
      </c>
      <c r="K13" s="40">
        <f t="shared" si="2"/>
        <v>0</v>
      </c>
      <c r="L13" s="40">
        <f t="shared" si="2"/>
        <v>0</v>
      </c>
      <c r="M13" s="40">
        <f t="shared" si="2"/>
        <v>3.5410917241612265E-2</v>
      </c>
      <c r="N13" s="33"/>
      <c r="O13" s="33"/>
      <c r="P13" s="33"/>
      <c r="Q13" s="29"/>
      <c r="R13" s="33"/>
      <c r="S13" s="33"/>
      <c r="T13" s="33"/>
      <c r="U13" s="34"/>
      <c r="V13" s="34"/>
      <c r="W13" s="34"/>
      <c r="X13" s="34"/>
    </row>
    <row r="14" spans="1:24" ht="15" customHeight="1">
      <c r="A14" s="35" t="s">
        <v>1179</v>
      </c>
      <c r="B14" s="29"/>
      <c r="C14" s="36">
        <v>253</v>
      </c>
      <c r="D14" s="37"/>
      <c r="E14" s="37"/>
      <c r="F14" s="38"/>
      <c r="G14" s="36">
        <v>321</v>
      </c>
      <c r="H14" s="33">
        <f t="shared" si="1"/>
        <v>574</v>
      </c>
      <c r="I14" s="39">
        <f t="shared" si="2"/>
        <v>1.7729854581756662E-3</v>
      </c>
      <c r="J14" s="40">
        <f t="shared" si="2"/>
        <v>0</v>
      </c>
      <c r="K14" s="40">
        <f t="shared" si="2"/>
        <v>0</v>
      </c>
      <c r="L14" s="40">
        <f t="shared" si="2"/>
        <v>0</v>
      </c>
      <c r="M14" s="40">
        <f t="shared" si="2"/>
        <v>5.6948419010809303E-3</v>
      </c>
      <c r="N14" s="33"/>
      <c r="O14" s="33"/>
      <c r="P14" s="33"/>
      <c r="Q14" s="29"/>
      <c r="R14" s="33"/>
      <c r="S14" s="33"/>
      <c r="T14" s="33"/>
      <c r="U14" s="34"/>
      <c r="V14" s="34"/>
      <c r="W14" s="34"/>
      <c r="X14" s="34"/>
    </row>
    <row r="15" spans="1:24" ht="15" customHeight="1">
      <c r="A15" s="29" t="s">
        <v>1180</v>
      </c>
      <c r="B15" s="29"/>
      <c r="C15" s="36"/>
      <c r="D15" s="37"/>
      <c r="E15" s="37"/>
      <c r="F15" s="38">
        <v>37</v>
      </c>
      <c r="G15" s="36">
        <v>1344</v>
      </c>
      <c r="H15" s="33">
        <f t="shared" si="1"/>
        <v>1381</v>
      </c>
      <c r="I15" s="39">
        <f t="shared" si="2"/>
        <v>0</v>
      </c>
      <c r="J15" s="40">
        <f t="shared" si="2"/>
        <v>0</v>
      </c>
      <c r="K15" s="40">
        <f t="shared" si="2"/>
        <v>0</v>
      </c>
      <c r="L15" s="40">
        <f t="shared" si="2"/>
        <v>6.4459930313588848E-2</v>
      </c>
      <c r="M15" s="40">
        <f t="shared" si="2"/>
        <v>2.3843824034432307E-2</v>
      </c>
      <c r="N15" s="33"/>
      <c r="O15" s="33"/>
      <c r="P15" s="33"/>
      <c r="Q15" s="29"/>
      <c r="R15" s="33"/>
      <c r="S15" s="33"/>
      <c r="T15" s="33"/>
      <c r="U15" s="34"/>
      <c r="V15" s="34"/>
      <c r="W15" s="34"/>
      <c r="X15" s="34"/>
    </row>
    <row r="16" spans="1:24" ht="15" customHeight="1">
      <c r="A16" s="29" t="s">
        <v>1181</v>
      </c>
      <c r="B16" s="29"/>
      <c r="C16" s="36"/>
      <c r="D16" s="37"/>
      <c r="E16" s="37"/>
      <c r="F16" s="38">
        <v>491</v>
      </c>
      <c r="G16" s="36">
        <v>967</v>
      </c>
      <c r="H16" s="33">
        <f t="shared" si="1"/>
        <v>1458</v>
      </c>
      <c r="I16" s="39">
        <f t="shared" si="2"/>
        <v>0</v>
      </c>
      <c r="J16" s="40">
        <f t="shared" si="2"/>
        <v>0</v>
      </c>
      <c r="K16" s="40">
        <f t="shared" si="2"/>
        <v>0</v>
      </c>
      <c r="L16" s="40">
        <f t="shared" si="2"/>
        <v>0.85540069686411146</v>
      </c>
      <c r="M16" s="40">
        <f t="shared" si="2"/>
        <v>1.7155489465250029E-2</v>
      </c>
      <c r="N16" s="33"/>
      <c r="O16" s="33"/>
      <c r="P16" s="33"/>
      <c r="Q16" s="29"/>
      <c r="R16" s="33"/>
      <c r="S16" s="33"/>
      <c r="T16" s="33"/>
      <c r="U16" s="34"/>
      <c r="V16" s="34"/>
      <c r="W16" s="34"/>
      <c r="X16" s="34"/>
    </row>
    <row r="17" spans="1:24" ht="15" customHeight="1">
      <c r="A17" s="29" t="s">
        <v>22</v>
      </c>
      <c r="B17" s="29"/>
      <c r="C17" s="36">
        <v>26739.914556962023</v>
      </c>
      <c r="D17" s="37">
        <v>590.45840867992763</v>
      </c>
      <c r="E17" s="37"/>
      <c r="F17" s="38">
        <v>46</v>
      </c>
      <c r="G17" s="36">
        <v>11676.923967365385</v>
      </c>
      <c r="H17" s="33">
        <f t="shared" si="1"/>
        <v>39053.296933007332</v>
      </c>
      <c r="I17" s="39">
        <f t="shared" si="2"/>
        <v>0.18738924767728649</v>
      </c>
      <c r="J17" s="40">
        <f t="shared" si="2"/>
        <v>6.4171081466784463E-2</v>
      </c>
      <c r="K17" s="40">
        <f t="shared" si="2"/>
        <v>0</v>
      </c>
      <c r="L17" s="40">
        <f t="shared" si="2"/>
        <v>8.0139372822299645E-2</v>
      </c>
      <c r="M17" s="40">
        <f t="shared" si="2"/>
        <v>0.20715961334918556</v>
      </c>
      <c r="N17" s="33"/>
      <c r="O17" s="33"/>
      <c r="P17" s="33"/>
      <c r="Q17" s="29"/>
      <c r="R17" s="33"/>
      <c r="S17" s="33"/>
      <c r="T17" s="33"/>
      <c r="U17" s="34"/>
      <c r="V17" s="34"/>
      <c r="W17" s="34"/>
      <c r="X17" s="34"/>
    </row>
    <row r="18" spans="1:24" ht="15" customHeight="1">
      <c r="A18" s="29"/>
      <c r="B18" s="29"/>
      <c r="C18" s="29"/>
      <c r="D18" s="29"/>
      <c r="E18" s="29"/>
      <c r="F18" s="29"/>
      <c r="G18" s="29"/>
      <c r="H18" s="29"/>
      <c r="I18" s="39"/>
      <c r="J18" s="40"/>
      <c r="K18" s="40"/>
      <c r="L18" s="40"/>
      <c r="M18" s="40"/>
      <c r="N18" s="33"/>
      <c r="O18" s="33"/>
      <c r="P18" s="33"/>
      <c r="Q18" s="29"/>
      <c r="R18" s="33"/>
      <c r="S18" s="33"/>
      <c r="T18" s="33"/>
      <c r="U18" s="34"/>
      <c r="V18" s="34"/>
      <c r="W18" s="34"/>
      <c r="X18" s="34"/>
    </row>
    <row r="19" spans="1:24" ht="15" customHeight="1">
      <c r="A19" s="45" t="s">
        <v>1182</v>
      </c>
      <c r="B19" s="45"/>
      <c r="C19" s="46">
        <f>SUM(C6:C17)</f>
        <v>142697.16586413927</v>
      </c>
      <c r="D19" s="46">
        <f>SUM(D6:D17)</f>
        <v>9201.316156492614</v>
      </c>
      <c r="E19" s="46">
        <f>SUM(E6:E17)</f>
        <v>689</v>
      </c>
      <c r="F19" s="46">
        <f>SUM(F6:F17)</f>
        <v>574</v>
      </c>
      <c r="G19" s="46">
        <f t="shared" ref="G19:H19" si="3">SUM(G6:G17)</f>
        <v>56366.797459130765</v>
      </c>
      <c r="H19" s="46">
        <f t="shared" si="3"/>
        <v>209528.27947976268</v>
      </c>
      <c r="I19" s="47">
        <f>SUM(I6:I17)</f>
        <v>1</v>
      </c>
      <c r="J19" s="48">
        <f t="shared" ref="J19:M19" si="4">SUM(J6:J17)</f>
        <v>1</v>
      </c>
      <c r="K19" s="48">
        <f t="shared" si="4"/>
        <v>1</v>
      </c>
      <c r="L19" s="48">
        <f t="shared" si="4"/>
        <v>1</v>
      </c>
      <c r="M19" s="49">
        <f t="shared" si="4"/>
        <v>1</v>
      </c>
      <c r="N19" s="50"/>
      <c r="O19" s="50"/>
      <c r="P19" s="50"/>
      <c r="Q19" s="29"/>
      <c r="R19" s="50"/>
      <c r="S19" s="50"/>
      <c r="T19" s="50"/>
      <c r="U19" s="51"/>
      <c r="V19" s="51"/>
      <c r="W19" s="51"/>
      <c r="X19" s="51"/>
    </row>
    <row r="20" spans="1:24" ht="11.25" customHeight="1">
      <c r="A20" s="29"/>
      <c r="B20" s="29"/>
      <c r="C20" s="29"/>
      <c r="D20" s="29"/>
      <c r="E20" s="29"/>
      <c r="F20" s="29"/>
      <c r="G20" s="29"/>
      <c r="H20" s="38"/>
      <c r="I20" s="43"/>
      <c r="J20" s="29"/>
      <c r="K20" s="38"/>
      <c r="L20" s="29"/>
      <c r="M20" s="29"/>
      <c r="N20" s="29"/>
      <c r="O20" s="29"/>
      <c r="P20" s="29"/>
      <c r="Q20" s="29"/>
      <c r="R20" s="29"/>
      <c r="S20" s="29"/>
      <c r="T20" s="29"/>
    </row>
    <row r="21" spans="1:24" ht="15" customHeight="1">
      <c r="A21" s="35" t="s">
        <v>1183</v>
      </c>
      <c r="B21" s="35"/>
      <c r="C21" s="40">
        <f>C19/$H19</f>
        <v>0.68104012603187392</v>
      </c>
      <c r="D21" s="40">
        <f>D19/$H19</f>
        <v>4.3914435699746797E-2</v>
      </c>
      <c r="E21" s="40">
        <f>E19/$H19</f>
        <v>3.2883389378785366E-3</v>
      </c>
      <c r="F21" s="40">
        <f>F19/$H19</f>
        <v>2.7394870106564298E-3</v>
      </c>
      <c r="G21" s="40">
        <f>G19/$H19</f>
        <v>0.26901761231984422</v>
      </c>
      <c r="H21" s="40">
        <f t="shared" ref="H21:H26" si="5">SUM(C21:G21)</f>
        <v>0.99999999999999989</v>
      </c>
      <c r="I21" s="29"/>
      <c r="J21" s="38"/>
      <c r="K21" s="29"/>
      <c r="L21" s="29"/>
      <c r="M21" s="29"/>
      <c r="N21" s="29"/>
      <c r="O21" s="52"/>
      <c r="P21" s="38"/>
      <c r="Q21" s="29"/>
      <c r="R21" s="29"/>
      <c r="S21" s="29"/>
      <c r="T21" s="29"/>
    </row>
    <row r="22" spans="1:24" ht="15" customHeight="1">
      <c r="A22" s="35" t="s">
        <v>1184</v>
      </c>
      <c r="B22" s="35"/>
      <c r="C22" s="40">
        <f>C12/(G12+C12)</f>
        <v>0.73868754926391711</v>
      </c>
      <c r="D22" s="29"/>
      <c r="E22" s="29"/>
      <c r="F22" s="29"/>
      <c r="G22" s="40">
        <f>1-C22</f>
        <v>0.26131245073608289</v>
      </c>
      <c r="H22" s="40">
        <f t="shared" si="5"/>
        <v>1</v>
      </c>
      <c r="I22" s="29"/>
      <c r="J22" s="29"/>
      <c r="K22" s="38"/>
      <c r="L22" s="29"/>
      <c r="M22" s="29"/>
      <c r="N22" s="29"/>
      <c r="O22" s="52"/>
      <c r="P22" s="38"/>
      <c r="Q22" s="29"/>
      <c r="R22" s="50"/>
      <c r="S22" s="27"/>
      <c r="T22" s="27"/>
      <c r="U22" s="28"/>
      <c r="V22" s="28"/>
      <c r="W22" s="28"/>
      <c r="X22" s="28"/>
    </row>
    <row r="23" spans="1:24" ht="15" customHeight="1">
      <c r="A23" s="35" t="s">
        <v>1185</v>
      </c>
      <c r="B23" s="35"/>
      <c r="C23" s="40">
        <f>(C12+C13)/($H$12+$H$13+$H15)</f>
        <v>0.67822376397600803</v>
      </c>
      <c r="D23" s="40">
        <f>(D12+D13)/($H$12+$H$13+$H15)</f>
        <v>5.3093891226593831E-2</v>
      </c>
      <c r="E23" s="40">
        <f>(E12+E13)/($H$12+$H$13+$H15)</f>
        <v>0</v>
      </c>
      <c r="F23" s="40">
        <f>(F12+F13+F15)/($H$12+$H$13+$H15)</f>
        <v>4.5062125974160697E-4</v>
      </c>
      <c r="G23" s="40">
        <f>(G12+G13+G15)/($H$12+$H$13+$H15)</f>
        <v>0.26823172353765651</v>
      </c>
      <c r="H23" s="40">
        <f t="shared" si="5"/>
        <v>1</v>
      </c>
      <c r="I23" s="29"/>
      <c r="J23" s="29"/>
      <c r="K23" s="38"/>
      <c r="L23" s="29"/>
      <c r="M23" s="29"/>
      <c r="N23" s="29"/>
      <c r="O23" s="52"/>
      <c r="P23" s="38"/>
      <c r="Q23" s="29"/>
      <c r="R23" s="50"/>
      <c r="S23" s="33"/>
      <c r="T23" s="33"/>
      <c r="U23" s="34"/>
      <c r="V23" s="34"/>
      <c r="W23" s="34"/>
      <c r="X23" s="34"/>
    </row>
    <row r="24" spans="1:24" ht="14.25" customHeight="1">
      <c r="A24" s="29" t="s">
        <v>1186</v>
      </c>
      <c r="B24" s="29"/>
      <c r="C24" s="40">
        <f>C17/$H17</f>
        <v>0.68470312769833785</v>
      </c>
      <c r="D24" s="40">
        <f>D17/$H17</f>
        <v>1.5119297346208944E-2</v>
      </c>
      <c r="E24" s="40">
        <f>E17/$H17</f>
        <v>0</v>
      </c>
      <c r="F24" s="40">
        <f>F17/$H17</f>
        <v>1.1778775061913251E-3</v>
      </c>
      <c r="G24" s="40">
        <f>G17/$H17</f>
        <v>0.29899969744926203</v>
      </c>
      <c r="H24" s="40">
        <f t="shared" si="5"/>
        <v>1.0000000000000002</v>
      </c>
      <c r="I24" s="29"/>
      <c r="J24" s="29"/>
      <c r="K24" s="38"/>
      <c r="L24" s="29"/>
      <c r="M24" s="29"/>
      <c r="N24" s="29"/>
      <c r="O24" s="52"/>
      <c r="P24" s="38"/>
      <c r="Q24" s="29"/>
      <c r="R24" s="33"/>
      <c r="S24" s="53"/>
      <c r="T24" s="53"/>
      <c r="U24" s="54"/>
      <c r="V24" s="54"/>
      <c r="W24" s="54"/>
      <c r="X24" s="54"/>
    </row>
    <row r="25" spans="1:24" ht="15" customHeight="1">
      <c r="A25" s="35" t="s">
        <v>1187</v>
      </c>
      <c r="B25" s="35"/>
      <c r="C25" s="55">
        <f>SUM(C12:C13)/SUM($C$12:$G$13)</f>
        <v>0.68982604062166686</v>
      </c>
      <c r="D25" s="29"/>
      <c r="E25" s="29"/>
      <c r="F25" s="29"/>
      <c r="G25" s="55">
        <f>SUM(G12:G13)/SUM($C$12:$G$13)</f>
        <v>0.25617179857033417</v>
      </c>
      <c r="H25" s="56">
        <f t="shared" si="5"/>
        <v>0.94599783919200098</v>
      </c>
      <c r="I25" s="29"/>
      <c r="J25" s="29"/>
      <c r="K25" s="38"/>
      <c r="L25" s="29"/>
      <c r="M25" s="29"/>
      <c r="N25" s="52"/>
      <c r="O25" s="52"/>
      <c r="P25" s="38"/>
      <c r="Q25" s="29"/>
      <c r="R25" s="33"/>
      <c r="S25" s="53"/>
      <c r="T25" s="53"/>
      <c r="U25" s="54"/>
      <c r="V25" s="54"/>
      <c r="W25" s="54"/>
      <c r="X25" s="54"/>
    </row>
    <row r="26" spans="1:24" ht="15" customHeight="1">
      <c r="A26" s="35" t="s">
        <v>1188</v>
      </c>
      <c r="B26" s="35"/>
      <c r="C26" s="55">
        <f>+SUM(C6:C7)/SUM($H$6:$H$7)</f>
        <v>0.69937265209361987</v>
      </c>
      <c r="D26" s="55">
        <f>+SUM(D6:D7)/SUM($H$6:$H$7)</f>
        <v>5.3329129237283099E-2</v>
      </c>
      <c r="E26" s="55">
        <f>+SUM(E6:E7)/SUM($H$6:$H$7)</f>
        <v>0</v>
      </c>
      <c r="F26" s="55">
        <f>+SUM(F6:F7)/SUM($H$6:$H$7)</f>
        <v>0</v>
      </c>
      <c r="G26" s="55">
        <f>+SUM(G6:G7)/SUM($H$6:$H$7)</f>
        <v>0.24729821866909701</v>
      </c>
      <c r="H26" s="40">
        <f t="shared" si="5"/>
        <v>1</v>
      </c>
      <c r="I26" s="29"/>
      <c r="J26" s="40">
        <f>C21+D21</f>
        <v>0.72495456173162076</v>
      </c>
      <c r="K26" s="38"/>
      <c r="L26" s="29"/>
      <c r="M26" s="29"/>
      <c r="N26" s="29"/>
      <c r="O26" s="52"/>
      <c r="P26" s="95">
        <f>(P6+P36)/2</f>
        <v>0.55049403318239865</v>
      </c>
      <c r="Q26" s="95">
        <f t="shared" ref="Q26:R26" si="6">(Q6+Q36)/2</f>
        <v>0.30845025259586295</v>
      </c>
      <c r="R26" s="95">
        <f t="shared" si="6"/>
        <v>0.1410557142217384</v>
      </c>
      <c r="S26" s="53"/>
      <c r="T26" s="53"/>
      <c r="U26" s="54"/>
      <c r="V26" s="54"/>
      <c r="W26" s="54"/>
      <c r="X26" s="54"/>
    </row>
    <row r="27" spans="1:24" ht="15" customHeight="1">
      <c r="A27" s="35" t="s">
        <v>1189</v>
      </c>
      <c r="B27" s="35"/>
      <c r="C27" s="55">
        <f>+C8/($H$8-$E$8)</f>
        <v>0.72727998160891272</v>
      </c>
      <c r="D27" s="55">
        <f>+D8/($H$8-$E$8)</f>
        <v>0</v>
      </c>
      <c r="E27" s="55">
        <v>0</v>
      </c>
      <c r="F27" s="55">
        <f>+F8/$H$8</f>
        <v>0</v>
      </c>
      <c r="G27" s="55">
        <f>+G8/($H$8-$E$8)</f>
        <v>0.27272001839108728</v>
      </c>
      <c r="H27" s="40">
        <f t="shared" ref="H27:H33" si="7">SUM(C27:G27)</f>
        <v>1</v>
      </c>
      <c r="I27" s="29"/>
      <c r="J27" s="40">
        <f>C53+D53</f>
        <v>0.57214824875914061</v>
      </c>
      <c r="K27" s="38">
        <f>(J26+J27)/2</f>
        <v>0.64855140524538069</v>
      </c>
      <c r="L27" s="29"/>
      <c r="M27" s="29"/>
      <c r="N27" s="29"/>
      <c r="O27" s="52"/>
      <c r="P27" s="38">
        <f>P26*$K$28</f>
        <v>144906.62265219944</v>
      </c>
      <c r="Q27" s="38">
        <f t="shared" ref="Q27:R27" si="8">Q26*$K$28</f>
        <v>81193.40386215366</v>
      </c>
      <c r="R27" s="38">
        <f t="shared" si="8"/>
        <v>37130.115717155182</v>
      </c>
      <c r="S27" s="53"/>
      <c r="T27" s="53"/>
      <c r="U27" s="54"/>
      <c r="V27" s="54"/>
      <c r="W27" s="54"/>
      <c r="X27" s="54"/>
    </row>
    <row r="28" spans="1:24" ht="15" customHeight="1">
      <c r="A28" s="35" t="s">
        <v>1190</v>
      </c>
      <c r="B28" s="35"/>
      <c r="C28" s="55">
        <f>+C10/$H$10</f>
        <v>0.43664661619622663</v>
      </c>
      <c r="D28" s="55">
        <f>+D10/$H$10</f>
        <v>1.0332142636127015E-2</v>
      </c>
      <c r="E28" s="55">
        <f>+E10/$H$10</f>
        <v>0.22472410233576254</v>
      </c>
      <c r="F28" s="55">
        <f>+F10/$H$10</f>
        <v>0</v>
      </c>
      <c r="G28" s="55">
        <f>+G10/$H$10</f>
        <v>0.32829713883188372</v>
      </c>
      <c r="H28" s="40">
        <f t="shared" si="7"/>
        <v>0.99999999999999989</v>
      </c>
      <c r="I28" s="29"/>
      <c r="J28" s="29"/>
      <c r="K28" s="38">
        <v>263230.14223150827</v>
      </c>
      <c r="L28" s="29"/>
      <c r="M28" s="29"/>
      <c r="N28" s="29"/>
      <c r="O28" s="52"/>
      <c r="P28" s="38"/>
      <c r="Q28" s="29"/>
      <c r="R28" s="33"/>
      <c r="S28" s="53"/>
      <c r="T28" s="53"/>
      <c r="U28" s="54"/>
      <c r="V28" s="54"/>
      <c r="W28" s="54"/>
      <c r="X28" s="54"/>
    </row>
    <row r="29" spans="1:24" ht="15" customHeight="1">
      <c r="A29" s="35" t="s">
        <v>1191</v>
      </c>
      <c r="B29" s="35"/>
      <c r="C29" s="55">
        <f>+SUM(C12:C13)/SUM($H$12:$H$13)</f>
        <v>0.68982604062166686</v>
      </c>
      <c r="D29" s="55">
        <f>+SUM(D12:D13)/SUM($H$12:$H$13)</f>
        <v>5.4002160807998904E-2</v>
      </c>
      <c r="E29" s="55">
        <f>+SUM(E12:E13)/SUM($H$12:$H$13)</f>
        <v>0</v>
      </c>
      <c r="F29" s="55">
        <f>+SUM(F12:F13)/SUM($H$12:$H$13)</f>
        <v>0</v>
      </c>
      <c r="G29" s="55">
        <f>+SUM(G12:G13)/SUM($H$12:$H$13)</f>
        <v>0.25617179857033417</v>
      </c>
      <c r="H29" s="40">
        <f t="shared" si="7"/>
        <v>1</v>
      </c>
      <c r="I29" s="29"/>
      <c r="J29" s="29"/>
      <c r="K29" s="38"/>
      <c r="L29" s="29"/>
      <c r="M29" s="29"/>
      <c r="N29" s="29"/>
      <c r="O29" s="52"/>
      <c r="P29" s="38"/>
      <c r="Q29" s="29"/>
      <c r="R29" s="33"/>
      <c r="S29" s="53"/>
      <c r="T29" s="53"/>
      <c r="U29" s="54"/>
      <c r="V29" s="54"/>
      <c r="W29" s="54"/>
      <c r="X29" s="54"/>
    </row>
    <row r="30" spans="1:24" ht="15" customHeight="1">
      <c r="A30" s="35" t="s">
        <v>1192</v>
      </c>
      <c r="B30" s="35"/>
      <c r="C30" s="55">
        <f>+C15/$H$15</f>
        <v>0</v>
      </c>
      <c r="D30" s="55">
        <f>+D15/$H$15</f>
        <v>0</v>
      </c>
      <c r="E30" s="55">
        <f>+E15/$H$15</f>
        <v>0</v>
      </c>
      <c r="F30" s="55">
        <f>+F15/$H$15</f>
        <v>2.6792179580014484E-2</v>
      </c>
      <c r="G30" s="55">
        <f>+G15/$H$15</f>
        <v>0.97320782041998555</v>
      </c>
      <c r="H30" s="40">
        <f t="shared" si="7"/>
        <v>1</v>
      </c>
      <c r="I30" s="29"/>
      <c r="J30" s="29"/>
      <c r="K30" s="38"/>
      <c r="L30" s="29"/>
      <c r="M30" s="29"/>
      <c r="N30" s="29"/>
      <c r="O30" s="52"/>
      <c r="P30" s="38"/>
      <c r="Q30" s="29"/>
      <c r="R30" s="33"/>
      <c r="S30" s="53"/>
      <c r="T30" s="53"/>
      <c r="U30" s="54"/>
      <c r="V30" s="54"/>
      <c r="W30" s="54"/>
      <c r="X30" s="54"/>
    </row>
    <row r="31" spans="1:24" ht="15" customHeight="1">
      <c r="A31" s="35" t="s">
        <v>1193</v>
      </c>
      <c r="B31" s="35"/>
      <c r="C31" s="53">
        <f>+C19/SUM($C$19:$D$19,$G$19)</f>
        <v>0.68517021281987278</v>
      </c>
      <c r="D31" s="53">
        <f>+D19/SUM($C$19:$D$19,$G$19)</f>
        <v>4.4180749568421052E-2</v>
      </c>
      <c r="E31" s="29"/>
      <c r="F31" s="29"/>
      <c r="G31" s="53">
        <f>+G19/SUM($C$19:$D$19,$G$19)</f>
        <v>0.27064903761170611</v>
      </c>
      <c r="H31" s="40">
        <f t="shared" si="7"/>
        <v>1</v>
      </c>
      <c r="I31" s="29"/>
      <c r="J31" s="57">
        <f>(C36+D36)/H36</f>
        <v>0.66547353527739783</v>
      </c>
      <c r="K31" s="38"/>
      <c r="L31" s="29"/>
      <c r="M31" s="29"/>
      <c r="N31" s="29"/>
      <c r="O31" s="52"/>
      <c r="P31" s="38"/>
      <c r="Q31" s="29"/>
      <c r="R31" s="33"/>
      <c r="S31" s="53"/>
      <c r="T31" s="53"/>
      <c r="U31" s="54"/>
      <c r="V31" s="54"/>
      <c r="W31" s="54"/>
      <c r="X31" s="54"/>
    </row>
    <row r="32" spans="1:24" ht="15" customHeight="1">
      <c r="A32" s="35" t="s">
        <v>1194</v>
      </c>
      <c r="B32" s="35"/>
      <c r="C32" s="40">
        <f>SUM(C6:C8,C12:C17)/SUM($H$6:$H$8,$H$12:$H$17)</f>
        <v>0.68149252311885433</v>
      </c>
      <c r="D32" s="40">
        <f>SUM(D6:D8,D12:D17)/SUM($H$6:$H$8,$H$12:$H$17)</f>
        <v>4.3976599918290567E-2</v>
      </c>
      <c r="E32" s="40">
        <f>SUM(E6:E8,E12:E17)/SUM($H$6:$H$8,$H$12:$H$17)</f>
        <v>2.8784389598396406E-3</v>
      </c>
      <c r="F32" s="40">
        <f>SUM(F6:F8,F12:F17)/SUM($H$6:$H$8,$H$12:$H$17)</f>
        <v>2.7445580779866343E-3</v>
      </c>
      <c r="G32" s="40">
        <f>SUM(G6:G8,G12:G17)/SUM($H$6:$H$8,$H$12:$H$17)</f>
        <v>0.26890787992502868</v>
      </c>
      <c r="H32" s="40">
        <f t="shared" si="7"/>
        <v>1</v>
      </c>
      <c r="I32" s="29"/>
      <c r="J32" s="29"/>
      <c r="K32" s="38"/>
      <c r="L32" s="29"/>
      <c r="M32" s="29"/>
      <c r="N32" s="29"/>
      <c r="O32" s="52"/>
      <c r="P32" s="38"/>
      <c r="Q32" s="29"/>
      <c r="R32" s="33"/>
      <c r="S32" s="53"/>
      <c r="T32" s="53"/>
      <c r="U32" s="54"/>
      <c r="V32" s="54"/>
      <c r="W32" s="54"/>
      <c r="X32" s="54"/>
    </row>
    <row r="33" spans="1:24" ht="15" customHeight="1">
      <c r="A33" s="35" t="s">
        <v>1195</v>
      </c>
      <c r="B33" s="35"/>
      <c r="C33" s="55">
        <f>SUM(C8,C10,C14,C16)/SUM($H$8,$H$10,$H$14,$H$16)</f>
        <v>0.52374004268117835</v>
      </c>
      <c r="D33" s="55">
        <f>SUM(D8,D10,D14,D16)/SUM($H$8,$H$10,$H$14,$H$16)</f>
        <v>4.5863719392869756E-4</v>
      </c>
      <c r="E33" s="55">
        <f>SUM(E8,E10,E14,E16)/SUM($H$8,$H$10,$H$14,$H$16)</f>
        <v>7.9000256654218157E-2</v>
      </c>
      <c r="F33" s="55">
        <f>SUM(F8,F10,F14,F16)/SUM($H$8,$H$10,$H$14,$H$16)</f>
        <v>5.6297715554747628E-2</v>
      </c>
      <c r="G33" s="55">
        <f>SUM(G8,G10,G14,G16)/SUM($H$8,$H$10,$H$14,$H$16)</f>
        <v>0.34050334791592712</v>
      </c>
      <c r="H33" s="40">
        <f t="shared" si="7"/>
        <v>1</v>
      </c>
      <c r="I33" s="58" t="s">
        <v>1196</v>
      </c>
      <c r="J33" s="29"/>
      <c r="K33" s="38"/>
      <c r="L33" s="29"/>
      <c r="M33" s="29"/>
      <c r="N33" s="29"/>
      <c r="O33" s="29"/>
      <c r="P33" s="38"/>
      <c r="Q33" s="29"/>
      <c r="R33" s="33"/>
      <c r="S33" s="53"/>
      <c r="T33" s="53"/>
      <c r="U33" s="54"/>
      <c r="V33" s="54"/>
      <c r="W33" s="54"/>
      <c r="X33" s="54"/>
    </row>
    <row r="34" spans="1:24" ht="30.75" customHeight="1">
      <c r="A34" s="24" t="s">
        <v>1197</v>
      </c>
      <c r="B34" s="24"/>
      <c r="C34" s="26" t="str">
        <f>C4</f>
        <v>Reg/ Ft Lewis</v>
      </c>
      <c r="D34" s="26" t="str">
        <f t="shared" ref="D34:G34" si="9">D4</f>
        <v>JBLM Housing</v>
      </c>
      <c r="E34" s="25" t="str">
        <f t="shared" si="9"/>
        <v>JBLM Contract- Garb</v>
      </c>
      <c r="F34" s="25" t="str">
        <f t="shared" si="9"/>
        <v>JBLM Contract-Recycl</v>
      </c>
      <c r="G34" s="26" t="str">
        <f t="shared" si="9"/>
        <v>Non-Reg</v>
      </c>
      <c r="H34" s="26" t="s">
        <v>36</v>
      </c>
      <c r="I34" s="25"/>
      <c r="J34" s="25" t="s">
        <v>1198</v>
      </c>
      <c r="K34" s="25" t="str">
        <f t="shared" ref="K34:M34" si="10">E34</f>
        <v>JBLM Contract- Garb</v>
      </c>
      <c r="L34" s="25" t="str">
        <f t="shared" si="10"/>
        <v>JBLM Contract-Recycl</v>
      </c>
      <c r="M34" s="25" t="str">
        <f t="shared" si="10"/>
        <v>Non-Reg</v>
      </c>
      <c r="N34" s="59"/>
      <c r="O34" s="60"/>
      <c r="P34" s="25" t="s">
        <v>1171</v>
      </c>
      <c r="Q34" s="25" t="s">
        <v>234</v>
      </c>
      <c r="R34" s="25" t="s">
        <v>221</v>
      </c>
      <c r="S34" s="27"/>
      <c r="T34" s="53"/>
      <c r="U34" s="54"/>
      <c r="V34" s="54"/>
      <c r="W34" s="54"/>
      <c r="X34" s="54"/>
    </row>
    <row r="35" spans="1:24" ht="9" customHeight="1">
      <c r="A35" s="29"/>
      <c r="B35" s="29"/>
      <c r="C35" s="61"/>
      <c r="D35" s="61"/>
      <c r="E35" s="61"/>
      <c r="F35" s="61"/>
      <c r="G35" s="61"/>
      <c r="H35" s="61"/>
      <c r="I35" s="30"/>
      <c r="J35" s="31"/>
      <c r="K35" s="32"/>
      <c r="L35" s="31"/>
      <c r="M35" s="29"/>
      <c r="N35" s="29"/>
      <c r="O35" s="29"/>
      <c r="P35" s="33"/>
      <c r="Q35" s="29"/>
      <c r="R35" s="33"/>
      <c r="S35" s="33"/>
      <c r="T35" s="53"/>
      <c r="U35" s="54"/>
      <c r="V35" s="54"/>
      <c r="W35" s="54"/>
      <c r="X35" s="54"/>
    </row>
    <row r="36" spans="1:24" ht="15" customHeight="1">
      <c r="A36" s="29" t="s">
        <v>1199</v>
      </c>
      <c r="B36" s="29"/>
      <c r="C36" s="62">
        <v>994.26204854562047</v>
      </c>
      <c r="D36" s="62">
        <v>98.142240794884373</v>
      </c>
      <c r="E36" s="62">
        <v>82.183983912045633</v>
      </c>
      <c r="F36" s="62">
        <v>0</v>
      </c>
      <c r="G36" s="62">
        <v>466.95602780691081</v>
      </c>
      <c r="H36" s="63">
        <f>SUM(C36:G36)</f>
        <v>1641.5443010594613</v>
      </c>
      <c r="I36" s="39"/>
      <c r="J36" s="96">
        <f>(C36+D36)/($H$36-$E$36)</f>
        <v>0.70054642107275933</v>
      </c>
      <c r="K36" s="64"/>
      <c r="L36" s="65"/>
      <c r="M36" s="96">
        <f>(G36)/($H$36-$E$36)</f>
        <v>0.29945357892724078</v>
      </c>
      <c r="N36" s="66">
        <f>SUM(J36:M36)</f>
        <v>1</v>
      </c>
      <c r="O36" s="29"/>
      <c r="P36" s="41">
        <f>SUM(C36:D38)/SUM($C$36:$D$46)</f>
        <v>0.67789333972431143</v>
      </c>
      <c r="Q36" s="41">
        <f>SUM(C40:D42)/SUM($C$36:$D$46)</f>
        <v>0.21992048587082527</v>
      </c>
      <c r="R36" s="41">
        <f>SUM(C46:D46)/SUM($C$36:$D$46)</f>
        <v>0.10218617440486341</v>
      </c>
      <c r="S36" s="41">
        <f>SUM(P36:R36)</f>
        <v>1</v>
      </c>
      <c r="T36" s="53"/>
      <c r="U36" s="54"/>
      <c r="V36" s="54"/>
      <c r="W36" s="54"/>
      <c r="X36" s="54"/>
    </row>
    <row r="37" spans="1:24" ht="9" customHeight="1">
      <c r="A37" s="29"/>
      <c r="B37" s="29"/>
      <c r="C37" s="29"/>
      <c r="D37" s="29"/>
      <c r="E37" s="29"/>
      <c r="F37" s="29"/>
      <c r="G37" s="29"/>
      <c r="H37" s="29"/>
      <c r="I37" s="43"/>
      <c r="J37" s="40"/>
      <c r="K37" s="40"/>
      <c r="L37" s="29"/>
      <c r="M37" s="29"/>
      <c r="N37" s="67"/>
      <c r="O37" s="29"/>
      <c r="P37" s="29"/>
      <c r="Q37" s="29"/>
      <c r="R37" s="50"/>
      <c r="S37" s="68"/>
      <c r="T37" s="68"/>
      <c r="U37" s="69"/>
      <c r="V37" s="69"/>
      <c r="W37" s="69"/>
      <c r="X37" s="69"/>
    </row>
    <row r="38" spans="1:24">
      <c r="A38" s="29" t="s">
        <v>1200</v>
      </c>
      <c r="B38" s="29"/>
      <c r="C38" s="62">
        <v>189.96366451507939</v>
      </c>
      <c r="D38" s="62">
        <v>10.027668585119047</v>
      </c>
      <c r="E38" s="62">
        <v>79.962003553571421</v>
      </c>
      <c r="F38" s="62">
        <v>0</v>
      </c>
      <c r="G38" s="62">
        <v>166.78666384623023</v>
      </c>
      <c r="H38" s="63">
        <f>SUM(C38:G38)</f>
        <v>446.74000050000006</v>
      </c>
      <c r="I38" s="39"/>
      <c r="J38" s="40">
        <f>(C38+D38)/$H$38</f>
        <v>0.44766829224238763</v>
      </c>
      <c r="K38" s="40">
        <f>E38/$H$38</f>
        <v>0.1789900243185665</v>
      </c>
      <c r="L38" s="67">
        <f>F38/$H$38</f>
        <v>0</v>
      </c>
      <c r="M38" s="67">
        <f>G38/$H$38</f>
        <v>0.37334168343904589</v>
      </c>
      <c r="N38" s="67">
        <f>SUM(J38:M38)</f>
        <v>1</v>
      </c>
      <c r="O38" s="29"/>
      <c r="P38" s="29"/>
      <c r="Q38" s="29"/>
      <c r="R38" s="29"/>
      <c r="S38" s="29"/>
      <c r="T38" s="29"/>
    </row>
    <row r="39" spans="1:24" ht="9" customHeight="1">
      <c r="A39" s="29"/>
      <c r="B39" s="29"/>
      <c r="C39" s="29"/>
      <c r="D39" s="29"/>
      <c r="E39" s="29"/>
      <c r="F39" s="29"/>
      <c r="G39" s="29"/>
      <c r="H39" s="29"/>
      <c r="I39" s="43"/>
      <c r="J39" s="40"/>
      <c r="K39" s="40"/>
      <c r="L39" s="29"/>
      <c r="M39" s="29"/>
      <c r="N39" s="67"/>
      <c r="O39" s="29"/>
      <c r="P39" s="29"/>
      <c r="Q39" s="29"/>
      <c r="R39" s="29"/>
      <c r="S39" s="29"/>
      <c r="T39" s="29"/>
    </row>
    <row r="40" spans="1:24" ht="15" customHeight="1">
      <c r="A40" s="29" t="s">
        <v>1201</v>
      </c>
      <c r="B40" s="29"/>
      <c r="C40" s="62">
        <v>359.27880685088991</v>
      </c>
      <c r="D40" s="62">
        <v>6.7784761194666574</v>
      </c>
      <c r="E40" s="62">
        <v>0</v>
      </c>
      <c r="F40" s="62">
        <v>0</v>
      </c>
      <c r="G40" s="62">
        <v>131.98672726045822</v>
      </c>
      <c r="H40" s="63">
        <f>SUM(C40:G40)</f>
        <v>498.04401023081476</v>
      </c>
      <c r="I40" s="39"/>
      <c r="J40" s="40">
        <f>(C40+D40)/$H$40</f>
        <v>0.73498983112096872</v>
      </c>
      <c r="K40" s="40">
        <f>E40/$H$40</f>
        <v>0</v>
      </c>
      <c r="L40" s="67">
        <f>F40/$H$40</f>
        <v>0</v>
      </c>
      <c r="M40" s="67">
        <f>G40/$H$40</f>
        <v>0.26501016887903134</v>
      </c>
      <c r="N40" s="67">
        <f>SUM(J40:M40)</f>
        <v>1</v>
      </c>
      <c r="O40" s="29"/>
      <c r="P40" s="29"/>
      <c r="Q40" s="29"/>
      <c r="R40" s="29"/>
      <c r="S40" s="29"/>
      <c r="T40" s="29"/>
    </row>
    <row r="41" spans="1:24" ht="9" customHeight="1">
      <c r="A41" s="29"/>
      <c r="B41" s="29"/>
      <c r="C41" s="29"/>
      <c r="D41" s="29"/>
      <c r="E41" s="29"/>
      <c r="F41" s="29"/>
      <c r="G41" s="29"/>
      <c r="H41" s="29"/>
      <c r="I41" s="43"/>
      <c r="J41" s="40"/>
      <c r="K41" s="40"/>
      <c r="L41" s="29"/>
      <c r="M41" s="29"/>
      <c r="N41" s="67"/>
      <c r="O41" s="29"/>
      <c r="P41" s="29"/>
      <c r="Q41" s="29"/>
      <c r="R41" s="29"/>
      <c r="S41" s="29"/>
      <c r="T41" s="29"/>
    </row>
    <row r="42" spans="1:24" ht="15" customHeight="1">
      <c r="A42" s="29" t="s">
        <v>1202</v>
      </c>
      <c r="B42" s="29"/>
      <c r="C42" s="62">
        <v>47.853070486418346</v>
      </c>
      <c r="D42" s="62">
        <v>5.3654478663015759</v>
      </c>
      <c r="E42" s="62">
        <v>0</v>
      </c>
      <c r="F42" s="62">
        <v>0</v>
      </c>
      <c r="G42" s="62">
        <v>47.228984288004021</v>
      </c>
      <c r="H42" s="63">
        <f>SUM(C42:G42)</f>
        <v>100.44750264072394</v>
      </c>
      <c r="I42" s="39"/>
      <c r="J42" s="40"/>
      <c r="K42" s="40"/>
      <c r="L42" s="40"/>
      <c r="M42" s="40"/>
      <c r="N42" s="67"/>
      <c r="O42" s="29"/>
      <c r="P42" s="29"/>
      <c r="Q42" s="29"/>
      <c r="R42" s="29"/>
      <c r="S42" s="29"/>
      <c r="T42" s="29"/>
    </row>
    <row r="43" spans="1:24" ht="9" customHeight="1">
      <c r="A43" s="29"/>
      <c r="B43" s="29"/>
      <c r="C43" s="29"/>
      <c r="D43" s="29"/>
      <c r="E43" s="29"/>
      <c r="F43" s="29"/>
      <c r="G43" s="29"/>
      <c r="H43" s="29"/>
      <c r="I43" s="43"/>
      <c r="J43" s="40"/>
      <c r="K43" s="40"/>
      <c r="L43" s="29"/>
      <c r="M43" s="29"/>
      <c r="N43" s="67"/>
      <c r="O43" s="29"/>
      <c r="P43" s="29"/>
      <c r="Q43" s="29"/>
      <c r="R43" s="29"/>
      <c r="S43" s="29"/>
      <c r="T43" s="29"/>
    </row>
    <row r="44" spans="1:24" ht="15" customHeight="1">
      <c r="A44" s="29" t="s">
        <v>1203</v>
      </c>
      <c r="B44" s="29"/>
      <c r="C44" s="62">
        <v>0</v>
      </c>
      <c r="D44" s="62">
        <v>0</v>
      </c>
      <c r="E44" s="62">
        <v>0</v>
      </c>
      <c r="F44" s="62">
        <v>121.84418429392196</v>
      </c>
      <c r="G44" s="62">
        <v>174.09998910841139</v>
      </c>
      <c r="H44" s="63">
        <f>SUM(C44:G44)</f>
        <v>295.94417340233338</v>
      </c>
      <c r="I44" s="39"/>
      <c r="J44" s="40"/>
      <c r="K44" s="40"/>
      <c r="L44" s="40"/>
      <c r="M44" s="40"/>
      <c r="N44" s="67"/>
      <c r="O44" s="29"/>
      <c r="P44" s="29"/>
      <c r="Q44" s="29"/>
      <c r="R44" s="29"/>
      <c r="S44" s="29"/>
      <c r="T44" s="29"/>
    </row>
    <row r="45" spans="1:24" ht="15" customHeight="1">
      <c r="A45" s="29" t="s">
        <v>1204</v>
      </c>
      <c r="B45" s="29"/>
      <c r="C45" s="62"/>
      <c r="D45" s="62"/>
      <c r="E45" s="62"/>
      <c r="F45" s="62"/>
      <c r="G45" s="62"/>
      <c r="H45" s="63">
        <f>SUM(C45:G45)</f>
        <v>0</v>
      </c>
      <c r="I45" s="39"/>
      <c r="J45" s="40"/>
      <c r="K45" s="40"/>
      <c r="L45" s="40"/>
      <c r="M45" s="40"/>
      <c r="N45" s="67"/>
      <c r="O45" s="29"/>
      <c r="P45" s="29"/>
      <c r="Q45" s="29"/>
      <c r="R45" s="29"/>
      <c r="S45" s="29"/>
      <c r="T45" s="29"/>
    </row>
    <row r="46" spans="1:24">
      <c r="A46" s="29" t="s">
        <v>1205</v>
      </c>
      <c r="B46" s="29"/>
      <c r="C46" s="62">
        <v>190.18389158682842</v>
      </c>
      <c r="D46" s="62">
        <v>4.6328395061728394</v>
      </c>
      <c r="E46" s="62">
        <v>0</v>
      </c>
      <c r="F46" s="62">
        <v>0</v>
      </c>
      <c r="G46" s="62">
        <v>106.16995294033198</v>
      </c>
      <c r="H46" s="63">
        <f>SUM(C46:G46)</f>
        <v>300.98668403333323</v>
      </c>
      <c r="I46" s="39"/>
      <c r="J46" s="40">
        <f>(C46+D46)/$H$46</f>
        <v>0.64726029896866133</v>
      </c>
      <c r="K46" s="40">
        <f>E46/$H$46</f>
        <v>0</v>
      </c>
      <c r="L46" s="67">
        <f>F46/$H$46</f>
        <v>0</v>
      </c>
      <c r="M46" s="67">
        <f>G46/$H$46</f>
        <v>0.35273970103133873</v>
      </c>
      <c r="N46" s="67">
        <f>SUM(J46:M46)</f>
        <v>1</v>
      </c>
      <c r="O46" s="29"/>
      <c r="P46" s="29"/>
      <c r="Q46" s="70"/>
      <c r="R46" s="29"/>
      <c r="S46" s="29"/>
      <c r="T46" s="29"/>
    </row>
    <row r="47" spans="1:24" ht="9" customHeight="1">
      <c r="A47" s="29"/>
      <c r="B47" s="29"/>
      <c r="C47" s="29"/>
      <c r="D47" s="29"/>
      <c r="E47" s="29"/>
      <c r="F47" s="29"/>
      <c r="G47" s="29"/>
      <c r="H47" s="29"/>
      <c r="I47" s="43"/>
      <c r="J47" s="40"/>
      <c r="K47" s="40"/>
      <c r="L47" s="29"/>
      <c r="M47" s="29"/>
      <c r="N47" s="67"/>
      <c r="O47" s="29"/>
      <c r="P47" s="29"/>
      <c r="Q47" s="29"/>
      <c r="R47" s="29"/>
      <c r="S47" s="29"/>
      <c r="T47" s="29"/>
    </row>
    <row r="48" spans="1:24" ht="15" customHeight="1">
      <c r="A48" s="29" t="s">
        <v>1206</v>
      </c>
      <c r="B48" s="29"/>
      <c r="C48" s="62">
        <v>34.152761429773086</v>
      </c>
      <c r="D48" s="62">
        <v>6.783895311761829</v>
      </c>
      <c r="E48" s="62">
        <v>12.817307828761498</v>
      </c>
      <c r="F48" s="62">
        <v>0</v>
      </c>
      <c r="G48" s="62">
        <v>66.246035429703596</v>
      </c>
      <c r="H48" s="63">
        <f>SUM(C48:G48)</f>
        <v>120.00000000000001</v>
      </c>
      <c r="I48" s="39"/>
      <c r="J48" s="40"/>
      <c r="K48" s="40"/>
      <c r="L48" s="40"/>
      <c r="M48" s="40"/>
      <c r="N48" s="67"/>
      <c r="O48" s="29"/>
      <c r="P48" s="29"/>
      <c r="Q48" s="29"/>
      <c r="R48" s="29"/>
      <c r="S48" s="29"/>
      <c r="T48" s="29"/>
    </row>
    <row r="49" spans="1:20" ht="9" customHeight="1">
      <c r="A49" s="29"/>
      <c r="B49" s="29"/>
      <c r="C49" s="62"/>
      <c r="D49" s="62"/>
      <c r="E49" s="62"/>
      <c r="F49" s="62"/>
      <c r="G49" s="62"/>
      <c r="H49" s="29"/>
      <c r="I49" s="43"/>
      <c r="J49" s="40"/>
      <c r="K49" s="97"/>
      <c r="L49" s="29"/>
      <c r="M49" s="29"/>
      <c r="N49" s="67"/>
      <c r="O49" s="29"/>
      <c r="P49" s="29"/>
      <c r="Q49" s="29"/>
      <c r="R49" s="29"/>
      <c r="S49" s="29"/>
      <c r="T49" s="29"/>
    </row>
    <row r="50" spans="1:20" ht="47.25" customHeight="1">
      <c r="A50" s="29"/>
      <c r="B50" s="29"/>
      <c r="C50" s="29"/>
      <c r="D50" s="29"/>
      <c r="E50" s="29"/>
      <c r="F50" s="29"/>
      <c r="G50" s="29"/>
      <c r="H50" s="29"/>
      <c r="I50" s="71" t="s">
        <v>1227</v>
      </c>
      <c r="J50" s="98">
        <f>D36/($D$36+$E$36)</f>
        <v>0.54424829751960491</v>
      </c>
      <c r="K50" s="98">
        <f>E36/($D$36+$E$36)</f>
        <v>0.45575170248039504</v>
      </c>
      <c r="L50" s="29"/>
      <c r="M50" s="29"/>
      <c r="N50" s="67">
        <f>SUM(J50:M50)</f>
        <v>1</v>
      </c>
      <c r="O50" s="29"/>
      <c r="P50" s="29"/>
      <c r="Q50" s="29"/>
      <c r="R50" s="29"/>
      <c r="S50" s="29"/>
      <c r="T50" s="29"/>
    </row>
    <row r="51" spans="1:20" ht="15" customHeight="1">
      <c r="A51" s="45" t="s">
        <v>1207</v>
      </c>
      <c r="B51" s="45"/>
      <c r="C51" s="72">
        <f>SUM(C36:C50)</f>
        <v>1815.6942434146097</v>
      </c>
      <c r="D51" s="72">
        <f>SUM(D36:D50)</f>
        <v>131.73056818370634</v>
      </c>
      <c r="E51" s="72">
        <f>SUM(E36:E50)</f>
        <v>174.96329529437855</v>
      </c>
      <c r="F51" s="72">
        <f>SUM(F36:F50)</f>
        <v>121.84418429392196</v>
      </c>
      <c r="G51" s="72">
        <f>SUM(G36:G50)</f>
        <v>1159.4743806800502</v>
      </c>
      <c r="H51" s="73">
        <f t="shared" ref="H51:M51" si="11">SUM(H36:H50)</f>
        <v>3403.706671866667</v>
      </c>
      <c r="I51" s="47">
        <f t="shared" si="11"/>
        <v>0</v>
      </c>
      <c r="J51" s="48">
        <f t="shared" si="11"/>
        <v>3.0747131409243824</v>
      </c>
      <c r="K51" s="48">
        <f t="shared" si="11"/>
        <v>0.63474172679896157</v>
      </c>
      <c r="L51" s="48">
        <f t="shared" si="11"/>
        <v>0</v>
      </c>
      <c r="M51" s="49">
        <f t="shared" si="11"/>
        <v>1.2905451322766568</v>
      </c>
      <c r="N51" s="74"/>
      <c r="O51" s="29"/>
      <c r="P51" s="29"/>
      <c r="Q51" s="29"/>
      <c r="R51" s="29"/>
      <c r="S51" s="29"/>
      <c r="T51" s="29"/>
    </row>
    <row r="52" spans="1:20" ht="9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38"/>
      <c r="L52" s="29"/>
      <c r="M52" s="29"/>
      <c r="N52" s="29"/>
      <c r="O52" s="29"/>
      <c r="P52" s="29"/>
      <c r="Q52" s="29"/>
      <c r="R52" s="29"/>
      <c r="S52" s="29"/>
      <c r="T52" s="29"/>
    </row>
    <row r="53" spans="1:20" ht="15" customHeight="1">
      <c r="A53" s="29" t="s">
        <v>1208</v>
      </c>
      <c r="B53" s="29"/>
      <c r="C53" s="40">
        <f>C51/$H51</f>
        <v>0.53344615692716069</v>
      </c>
      <c r="D53" s="40">
        <f>D51/$H51</f>
        <v>3.8702091831979875E-2</v>
      </c>
      <c r="E53" s="40">
        <f>E51/$H51</f>
        <v>5.1403752485646735E-2</v>
      </c>
      <c r="F53" s="40">
        <f>F51/$H51</f>
        <v>3.5797498445158303E-2</v>
      </c>
      <c r="G53" s="40">
        <f>G51/$H51</f>
        <v>0.34065050031005439</v>
      </c>
      <c r="H53" s="67">
        <f>SUM(C53:G53)</f>
        <v>1</v>
      </c>
      <c r="I53" s="29"/>
      <c r="J53" s="29"/>
      <c r="K53" s="38"/>
      <c r="L53" s="29"/>
      <c r="M53" s="29"/>
      <c r="N53" s="29"/>
      <c r="O53" s="29"/>
      <c r="P53" s="29"/>
      <c r="Q53" s="29"/>
      <c r="R53" s="29"/>
      <c r="S53" s="29"/>
      <c r="T53" s="29"/>
    </row>
    <row r="54" spans="1:20" ht="15" customHeight="1">
      <c r="A54" s="75" t="s">
        <v>1209</v>
      </c>
      <c r="B54" s="29"/>
      <c r="C54" s="41">
        <f>SUM(C36:C46)/SUM($H$36:$H$46)</f>
        <v>0.54253977593318203</v>
      </c>
      <c r="D54" s="41">
        <f>SUM(D36:D46)/SUM($H$36:$H$46)</f>
        <v>3.8050497610651955E-2</v>
      </c>
      <c r="E54" s="41">
        <f>SUM(E36:E46)/SUM($H$36:$H$46)</f>
        <v>4.9378949969804395E-2</v>
      </c>
      <c r="F54" s="41">
        <f>SUM(F36:F46)/SUM($H$36:$H$46)</f>
        <v>3.7105684663562837E-2</v>
      </c>
      <c r="G54" s="41">
        <f>SUM(G36:G46)/SUM($H$36:$H$46)</f>
        <v>0.33292509182279861</v>
      </c>
      <c r="H54" s="67">
        <f>SUM(C54:G54)</f>
        <v>0.99999999999999978</v>
      </c>
      <c r="I54" s="29"/>
      <c r="J54" s="29"/>
      <c r="K54" s="38"/>
      <c r="L54" s="29"/>
      <c r="M54" s="29"/>
      <c r="N54" s="29"/>
      <c r="O54" s="29"/>
      <c r="P54" s="29"/>
      <c r="Q54" s="29"/>
      <c r="R54" s="29"/>
      <c r="S54" s="29"/>
      <c r="T54" s="29"/>
    </row>
    <row r="55" spans="1:20">
      <c r="A55" s="35" t="s">
        <v>1210</v>
      </c>
      <c r="B55" s="29"/>
      <c r="C55" s="41">
        <f>+C51/SUM($C$51:$D$51,$G$51)</f>
        <v>0.58440719542081954</v>
      </c>
      <c r="D55" s="41">
        <f>+D51/SUM($C$51:$D$51,$G$51)</f>
        <v>4.2399369928415684E-2</v>
      </c>
      <c r="E55" s="29"/>
      <c r="F55" s="29"/>
      <c r="G55" s="41">
        <f>+G51/SUM($C$51:$D$51,$G$51)</f>
        <v>0.37319343465076477</v>
      </c>
      <c r="H55" s="67">
        <f>SUM(C55:G55)</f>
        <v>1</v>
      </c>
      <c r="I55" s="29"/>
      <c r="J55" s="38"/>
      <c r="K55" s="29"/>
      <c r="L55" s="29"/>
      <c r="M55" s="29"/>
      <c r="N55" s="29"/>
      <c r="O55" s="29"/>
      <c r="P55" s="29"/>
      <c r="Q55" s="29"/>
      <c r="R55" s="29"/>
      <c r="S55" s="29"/>
      <c r="T55" s="29"/>
    </row>
    <row r="56" spans="1:20">
      <c r="A56" s="35" t="s">
        <v>1211</v>
      </c>
      <c r="B56" s="29"/>
      <c r="C56" s="41">
        <f>SUM(C36:C46)/($H$51-$H$48-$E$36-$F$51-$E$38)</f>
        <v>0.59390328450078966</v>
      </c>
      <c r="D56" s="41">
        <f>SUM(D36:D46)/($H$51-$H$48-$E$36-$F$51-$E$38)</f>
        <v>4.1652827147992927E-2</v>
      </c>
      <c r="E56" s="29"/>
      <c r="F56" s="29"/>
      <c r="G56" s="41">
        <f>SUM(G36:G46)/($H$51-$H$48-$E$36-$F$51-$E$38)</f>
        <v>0.36444388835121733</v>
      </c>
      <c r="H56" s="67">
        <f>SUM(C56:G56)</f>
        <v>0.99999999999999989</v>
      </c>
      <c r="I56" s="29"/>
      <c r="J56" s="38"/>
      <c r="K56" s="29"/>
      <c r="L56" s="29"/>
      <c r="M56" s="29"/>
      <c r="N56" s="29"/>
      <c r="O56" s="29"/>
      <c r="P56" s="29"/>
      <c r="Q56" s="29"/>
      <c r="R56" s="29"/>
      <c r="S56" s="29"/>
      <c r="T56" s="29"/>
    </row>
    <row r="57" spans="1:20" ht="9.75" customHeight="1">
      <c r="A57" s="29"/>
      <c r="B57" s="29"/>
      <c r="C57" s="29"/>
      <c r="D57" s="29"/>
      <c r="E57" s="29"/>
      <c r="F57" s="29"/>
      <c r="G57" s="29"/>
      <c r="H57" s="29"/>
      <c r="I57" s="29"/>
      <c r="J57" s="38"/>
      <c r="K57" s="29"/>
      <c r="L57" s="29"/>
      <c r="M57" s="29"/>
      <c r="N57" s="29"/>
      <c r="O57" s="29"/>
      <c r="P57" s="29"/>
      <c r="Q57" s="29"/>
      <c r="R57" s="29"/>
      <c r="S57" s="29"/>
      <c r="T57" s="29"/>
    </row>
    <row r="58" spans="1:20" ht="15" customHeight="1">
      <c r="A58" s="70" t="s">
        <v>1212</v>
      </c>
      <c r="B58" s="29"/>
      <c r="C58" s="29"/>
      <c r="D58" s="29"/>
      <c r="E58" s="29"/>
      <c r="F58" s="29"/>
      <c r="G58" s="29"/>
      <c r="H58" s="29"/>
      <c r="I58" s="29"/>
      <c r="J58" s="29"/>
      <c r="K58" s="38"/>
      <c r="L58" s="29"/>
      <c r="M58" s="29"/>
      <c r="N58" s="29"/>
      <c r="O58" s="29"/>
      <c r="P58" s="29"/>
      <c r="Q58" s="29"/>
      <c r="R58" s="29"/>
      <c r="S58" s="29"/>
      <c r="T58" s="29"/>
    </row>
    <row r="59" spans="1:20" ht="9.75" customHeight="1" thickBot="1">
      <c r="A59" s="70"/>
      <c r="B59" s="29"/>
      <c r="C59" s="29"/>
      <c r="D59" s="29"/>
      <c r="E59" s="29"/>
      <c r="F59" s="29"/>
      <c r="G59" s="29"/>
      <c r="H59" s="29"/>
      <c r="I59" s="29"/>
      <c r="J59" s="29"/>
      <c r="K59" s="38"/>
      <c r="L59" s="29"/>
      <c r="M59" s="29"/>
      <c r="N59" s="29"/>
      <c r="O59" s="29"/>
      <c r="P59" s="29"/>
      <c r="Q59" s="29"/>
      <c r="R59" s="29"/>
      <c r="S59" s="29"/>
      <c r="T59" s="29"/>
    </row>
    <row r="60" spans="1:20" ht="15" customHeight="1">
      <c r="A60" s="76"/>
      <c r="B60" s="77" t="s">
        <v>1213</v>
      </c>
      <c r="C60" s="78" t="s">
        <v>1214</v>
      </c>
      <c r="D60" s="77" t="s">
        <v>1215</v>
      </c>
      <c r="E60" s="79" t="s">
        <v>1216</v>
      </c>
      <c r="F60" s="80" t="s">
        <v>1171</v>
      </c>
      <c r="G60" s="77" t="s">
        <v>234</v>
      </c>
      <c r="H60" s="79" t="s">
        <v>221</v>
      </c>
      <c r="I60" s="29"/>
      <c r="J60" s="29"/>
      <c r="K60" s="38"/>
      <c r="L60" s="29"/>
      <c r="M60" s="29"/>
      <c r="N60" s="29"/>
      <c r="O60" s="29"/>
      <c r="P60" s="29"/>
      <c r="Q60" s="29"/>
      <c r="R60" s="29"/>
      <c r="S60" s="29"/>
      <c r="T60" s="29"/>
    </row>
    <row r="61" spans="1:20" ht="15" customHeight="1">
      <c r="A61" s="81" t="s">
        <v>1217</v>
      </c>
      <c r="B61" s="82">
        <v>0</v>
      </c>
      <c r="C61" s="82">
        <v>4.2465526699432446E-2</v>
      </c>
      <c r="D61" s="82">
        <v>9.1210131324797078E-2</v>
      </c>
      <c r="E61" s="83">
        <v>0.86632434197577046</v>
      </c>
      <c r="F61" s="84">
        <v>0.93491518926829209</v>
      </c>
      <c r="G61" s="67">
        <v>2.169532487420215E-2</v>
      </c>
      <c r="H61" s="85">
        <v>4.3389485857505683E-2</v>
      </c>
      <c r="I61" s="29"/>
      <c r="J61" s="29"/>
      <c r="K61" s="38"/>
      <c r="L61" s="29"/>
      <c r="M61" s="29"/>
      <c r="N61" s="29"/>
      <c r="O61" s="29"/>
      <c r="P61" s="29"/>
      <c r="Q61" s="29"/>
      <c r="R61" s="29"/>
      <c r="S61" s="29"/>
      <c r="T61" s="29"/>
    </row>
    <row r="62" spans="1:20" ht="15" customHeight="1">
      <c r="A62" s="81" t="s">
        <v>221</v>
      </c>
      <c r="B62" s="82">
        <v>0</v>
      </c>
      <c r="C62" s="82">
        <v>4.5449332656099964E-4</v>
      </c>
      <c r="D62" s="82">
        <v>0.18241536949209011</v>
      </c>
      <c r="E62" s="83">
        <v>0.81713013718134886</v>
      </c>
      <c r="F62" s="86"/>
      <c r="G62" s="29"/>
      <c r="H62" s="87"/>
      <c r="I62" s="29"/>
      <c r="J62" s="29"/>
      <c r="K62" s="38"/>
      <c r="L62" s="29"/>
      <c r="M62" s="29"/>
      <c r="N62" s="29"/>
      <c r="O62" s="29"/>
      <c r="P62" s="29"/>
      <c r="Q62" s="29"/>
      <c r="R62" s="29"/>
      <c r="S62" s="29"/>
      <c r="T62" s="29"/>
    </row>
    <row r="63" spans="1:20" ht="15" customHeight="1">
      <c r="A63" s="81" t="s">
        <v>1218</v>
      </c>
      <c r="B63" s="82">
        <v>9.5501223349842373E-2</v>
      </c>
      <c r="C63" s="82">
        <v>5.5091107214724565E-2</v>
      </c>
      <c r="D63" s="82">
        <v>0.27218596585218191</v>
      </c>
      <c r="E63" s="83">
        <v>0.5772217035832512</v>
      </c>
      <c r="F63" s="86"/>
      <c r="G63" s="29"/>
      <c r="H63" s="87"/>
      <c r="I63" s="29"/>
      <c r="J63" s="29"/>
      <c r="K63" s="38"/>
      <c r="L63" s="29"/>
      <c r="M63" s="29"/>
      <c r="N63" s="29"/>
      <c r="O63" s="29"/>
      <c r="P63" s="29"/>
      <c r="Q63" s="29"/>
      <c r="R63" s="29"/>
      <c r="S63" s="29"/>
      <c r="T63" s="29"/>
    </row>
    <row r="64" spans="1:20" ht="15" customHeight="1">
      <c r="A64" s="88" t="s">
        <v>75</v>
      </c>
      <c r="B64" s="82">
        <v>0.10681089857301249</v>
      </c>
      <c r="C64" s="82">
        <v>5.6532460931348574E-2</v>
      </c>
      <c r="D64" s="82">
        <v>0.28460634524810907</v>
      </c>
      <c r="E64" s="83">
        <v>0.55205029524752991</v>
      </c>
      <c r="F64" s="86"/>
      <c r="G64" s="29"/>
      <c r="H64" s="87"/>
      <c r="I64" s="29"/>
      <c r="J64" s="29"/>
      <c r="K64" s="38"/>
      <c r="L64" s="29"/>
      <c r="M64" s="29"/>
      <c r="N64" s="29"/>
      <c r="O64" s="29"/>
      <c r="P64" s="29"/>
      <c r="Q64" s="29"/>
      <c r="R64" s="29"/>
      <c r="S64" s="29"/>
      <c r="T64" s="29"/>
    </row>
    <row r="65" spans="1:20" ht="15" customHeight="1">
      <c r="A65" s="88" t="s">
        <v>1219</v>
      </c>
      <c r="B65" s="82">
        <v>9.5501223349842373E-2</v>
      </c>
      <c r="C65" s="82">
        <v>5.5091107214724565E-2</v>
      </c>
      <c r="D65" s="82">
        <v>0.27218596585218197</v>
      </c>
      <c r="E65" s="83">
        <v>0.5772217035832512</v>
      </c>
      <c r="F65" s="86"/>
      <c r="G65" s="29"/>
      <c r="H65" s="87"/>
      <c r="I65" s="29"/>
      <c r="J65" s="29"/>
      <c r="K65" s="38"/>
      <c r="L65" s="29"/>
      <c r="M65" s="29"/>
      <c r="N65" s="29"/>
      <c r="O65" s="29"/>
      <c r="P65" s="29"/>
      <c r="Q65" s="29"/>
      <c r="R65" s="29"/>
      <c r="S65" s="29"/>
      <c r="T65" s="29"/>
    </row>
    <row r="66" spans="1:20" ht="15" customHeight="1">
      <c r="A66" s="88" t="s">
        <v>1220</v>
      </c>
      <c r="B66" s="82">
        <v>0</v>
      </c>
      <c r="C66" s="82">
        <v>4.2920020025993447E-2</v>
      </c>
      <c r="D66" s="82">
        <v>0.16730572805807403</v>
      </c>
      <c r="E66" s="83">
        <v>0.78977425191593253</v>
      </c>
      <c r="F66" s="86"/>
      <c r="G66" s="29"/>
      <c r="H66" s="87"/>
      <c r="I66" s="29"/>
      <c r="J66" s="29"/>
      <c r="K66" s="38"/>
      <c r="L66" s="29"/>
      <c r="M66" s="29"/>
      <c r="N66" s="29"/>
      <c r="O66" s="29"/>
      <c r="P66" s="29"/>
      <c r="Q66" s="29"/>
      <c r="R66" s="29"/>
      <c r="S66" s="29"/>
      <c r="T66" s="29"/>
    </row>
    <row r="67" spans="1:20" ht="15" customHeight="1" thickBot="1">
      <c r="A67" s="89"/>
      <c r="B67" s="90"/>
      <c r="C67" s="90"/>
      <c r="D67" s="90"/>
      <c r="E67" s="91"/>
      <c r="F67" s="92"/>
      <c r="G67" s="93"/>
      <c r="H67" s="94"/>
      <c r="I67" s="29"/>
      <c r="J67" s="29"/>
      <c r="K67" s="38"/>
      <c r="L67" s="29"/>
      <c r="M67" s="29"/>
      <c r="N67" s="29"/>
      <c r="O67" s="29"/>
      <c r="P67" s="29"/>
      <c r="Q67" s="29"/>
      <c r="R67" s="29"/>
      <c r="S67" s="29"/>
      <c r="T67" s="29"/>
    </row>
    <row r="68" spans="1:20" ht="15" customHeight="1">
      <c r="A68" s="29"/>
      <c r="B68" s="37"/>
      <c r="C68" s="40"/>
      <c r="D68" s="29"/>
      <c r="E68" s="29"/>
      <c r="F68" s="29"/>
      <c r="G68" s="29"/>
      <c r="H68" s="29"/>
      <c r="I68" s="29"/>
      <c r="J68" s="29"/>
      <c r="K68" s="38"/>
      <c r="L68" s="29"/>
      <c r="M68" s="29"/>
      <c r="N68" s="29"/>
      <c r="O68" s="29"/>
      <c r="P68" s="29"/>
      <c r="Q68" s="29"/>
      <c r="R68" s="29"/>
      <c r="S68" s="29"/>
      <c r="T68" s="29"/>
    </row>
    <row r="69" spans="1:20" ht="15" customHeight="1">
      <c r="A69" s="35"/>
      <c r="B69" s="37"/>
      <c r="C69" s="40"/>
      <c r="D69" s="29"/>
      <c r="E69" s="29"/>
      <c r="F69" s="29"/>
      <c r="G69" s="29"/>
      <c r="H69" s="29"/>
      <c r="I69" s="29"/>
      <c r="J69" s="29"/>
      <c r="K69" s="38"/>
      <c r="L69" s="29"/>
      <c r="M69" s="29"/>
      <c r="N69" s="29"/>
      <c r="O69" s="29"/>
      <c r="P69" s="29"/>
      <c r="Q69" s="29"/>
      <c r="R69" s="29"/>
      <c r="S69" s="29"/>
      <c r="T69" s="29"/>
    </row>
    <row r="70" spans="1:20">
      <c r="I70" s="21"/>
      <c r="J70" s="20"/>
    </row>
    <row r="71" spans="1:20">
      <c r="I71" s="21"/>
      <c r="J71" s="20"/>
    </row>
    <row r="72" spans="1:20">
      <c r="I72" s="21"/>
      <c r="J72" s="20"/>
    </row>
    <row r="73" spans="1:20">
      <c r="I73" s="21"/>
      <c r="J73" s="20"/>
    </row>
    <row r="74" spans="1:20">
      <c r="I74" s="21"/>
      <c r="J74" s="20"/>
    </row>
  </sheetData>
  <pageMargins left="0.25" right="0.25" top="0.75" bottom="0.75" header="0.3" footer="0.3"/>
  <pageSetup scale="48" orientation="landscape" r:id="rId1"/>
  <headerFooter>
    <oddHeader>&amp;C&amp;"-,Bold"CONFIDENTIAL PER WAC 480-07-160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7" tint="0.59999389629810485"/>
    <pageSetUpPr fitToPage="1"/>
  </sheetPr>
  <dimension ref="A1:AW1022"/>
  <sheetViews>
    <sheetView showGridLines="0" topLeftCell="A5" zoomScale="80" zoomScaleNormal="80" workbookViewId="0">
      <pane xSplit="5" ySplit="9" topLeftCell="F53" activePane="bottomRight" state="frozen"/>
      <selection activeCell="B77" sqref="A2:AW77"/>
      <selection pane="topRight" activeCell="B77" sqref="A2:AW77"/>
      <selection pane="bottomLeft" activeCell="B77" sqref="A2:AW77"/>
      <selection pane="bottomRight" activeCell="B77" sqref="A2:AW77"/>
    </sheetView>
  </sheetViews>
  <sheetFormatPr defaultRowHeight="15" outlineLevelCol="1"/>
  <cols>
    <col min="1" max="1" width="3.5703125" style="17" customWidth="1"/>
    <col min="2" max="4" width="9.140625" style="17"/>
    <col min="5" max="5" width="38.42578125" style="17" customWidth="1"/>
    <col min="6" max="6" width="10" style="17" customWidth="1"/>
    <col min="7" max="7" width="10.28515625" style="17" hidden="1" customWidth="1" outlineLevel="1"/>
    <col min="8" max="8" width="13.5703125" style="17" hidden="1" customWidth="1" outlineLevel="1"/>
    <col min="9" max="9" width="10.5703125" style="17" hidden="1" customWidth="1" outlineLevel="1"/>
    <col min="10" max="10" width="9.140625" style="17" hidden="1" customWidth="1" outlineLevel="1"/>
    <col min="11" max="11" width="15.42578125" style="17" hidden="1" customWidth="1" outlineLevel="1"/>
    <col min="12" max="12" width="9.140625" style="17" hidden="1" customWidth="1" outlineLevel="1"/>
    <col min="13" max="13" width="20.28515625" style="17" hidden="1" customWidth="1" outlineLevel="1"/>
    <col min="14" max="14" width="9.140625" style="17" collapsed="1"/>
    <col min="15" max="15" width="9.140625" style="17" customWidth="1" outlineLevel="1"/>
    <col min="16" max="16" width="19.140625" style="17" customWidth="1" outlineLevel="1"/>
    <col min="17" max="17" width="9.140625" style="17" customWidth="1" outlineLevel="1"/>
    <col min="18" max="18" width="9.140625" style="17"/>
    <col min="19" max="19" width="15.42578125" style="17" customWidth="1"/>
    <col min="20" max="20" width="9.42578125" style="17" customWidth="1"/>
    <col min="21" max="22" width="14.42578125" style="17" customWidth="1"/>
    <col min="23" max="23" width="10" style="201" customWidth="1"/>
    <col min="24" max="24" width="9.140625" style="17"/>
    <col min="25" max="25" width="13" style="17" customWidth="1"/>
    <col min="26" max="36" width="9.140625" style="17" hidden="1" customWidth="1" outlineLevel="1"/>
    <col min="37" max="37" width="16.85546875" style="17" customWidth="1" collapsed="1"/>
    <col min="38" max="38" width="21.5703125" style="17" bestFit="1" customWidth="1"/>
    <col min="39" max="39" width="9.85546875" style="17" bestFit="1" customWidth="1"/>
    <col min="40" max="40" width="7.85546875" style="17" bestFit="1" customWidth="1"/>
    <col min="41" max="41" width="14.28515625" style="17" bestFit="1" customWidth="1"/>
    <col min="42" max="42" width="18" style="17" bestFit="1" customWidth="1"/>
    <col min="43" max="43" width="12.7109375" style="17" bestFit="1" customWidth="1"/>
    <col min="44" max="44" width="11.42578125" style="17" bestFit="1" customWidth="1"/>
    <col min="45" max="45" width="13.5703125" style="17" bestFit="1" customWidth="1"/>
    <col min="46" max="46" width="11.42578125" style="17" bestFit="1" customWidth="1"/>
    <col min="47" max="47" width="11.28515625" style="17" bestFit="1" customWidth="1"/>
    <col min="48" max="48" width="23.7109375" style="17" bestFit="1" customWidth="1"/>
    <col min="49" max="49" width="18" style="17" bestFit="1" customWidth="1"/>
    <col min="50" max="16384" width="9.140625" style="17"/>
  </cols>
  <sheetData>
    <row r="1" spans="1:49">
      <c r="B1" s="17" t="s">
        <v>3179</v>
      </c>
      <c r="C1" s="17" t="s">
        <v>3178</v>
      </c>
      <c r="D1" s="17" t="s">
        <v>3177</v>
      </c>
      <c r="E1" s="17" t="s">
        <v>3176</v>
      </c>
      <c r="F1" s="17" t="s">
        <v>3175</v>
      </c>
      <c r="H1" s="17" t="s">
        <v>3174</v>
      </c>
      <c r="I1" s="17" t="s">
        <v>3173</v>
      </c>
      <c r="J1" s="17" t="s">
        <v>3172</v>
      </c>
      <c r="K1" s="17" t="s">
        <v>3171</v>
      </c>
      <c r="L1" s="17" t="s">
        <v>3170</v>
      </c>
      <c r="M1" s="17" t="s">
        <v>3169</v>
      </c>
      <c r="N1" s="17" t="s">
        <v>3168</v>
      </c>
      <c r="O1" s="17" t="s">
        <v>3167</v>
      </c>
      <c r="P1" s="17" t="s">
        <v>3166</v>
      </c>
      <c r="Q1" s="17" t="s">
        <v>3165</v>
      </c>
      <c r="R1" s="17" t="s">
        <v>3164</v>
      </c>
      <c r="S1" s="17" t="s">
        <v>3163</v>
      </c>
      <c r="T1" s="17" t="s">
        <v>3162</v>
      </c>
      <c r="U1" s="17" t="s">
        <v>3161</v>
      </c>
      <c r="W1" s="201" t="s">
        <v>3160</v>
      </c>
      <c r="X1" s="17" t="s">
        <v>3159</v>
      </c>
      <c r="Y1" s="17" t="s">
        <v>3158</v>
      </c>
      <c r="Z1" s="17" t="s">
        <v>3157</v>
      </c>
      <c r="AA1" s="17" t="s">
        <v>3156</v>
      </c>
      <c r="AB1" s="17" t="s">
        <v>3155</v>
      </c>
      <c r="AC1" s="17" t="s">
        <v>3154</v>
      </c>
      <c r="AD1" s="17" t="s">
        <v>3093</v>
      </c>
      <c r="AE1" s="17" t="s">
        <v>3153</v>
      </c>
      <c r="AF1" s="17" t="s">
        <v>3152</v>
      </c>
      <c r="AG1" s="17" t="s">
        <v>3151</v>
      </c>
      <c r="AH1" s="17" t="s">
        <v>3150</v>
      </c>
      <c r="AI1" s="17" t="s">
        <v>3149</v>
      </c>
      <c r="AJ1" s="17" t="s">
        <v>3148</v>
      </c>
    </row>
    <row r="2" spans="1:49">
      <c r="B2" s="203"/>
      <c r="C2" s="207"/>
      <c r="D2" s="203"/>
      <c r="E2" s="202"/>
      <c r="F2" s="203"/>
      <c r="G2" s="202"/>
      <c r="H2" s="202"/>
      <c r="I2" s="202"/>
      <c r="J2" s="202"/>
      <c r="K2" s="202"/>
      <c r="L2" s="202"/>
      <c r="M2" s="202"/>
      <c r="N2" s="206"/>
      <c r="O2" s="206"/>
      <c r="P2" s="202"/>
      <c r="Q2" s="203"/>
      <c r="R2" s="203"/>
      <c r="S2" s="204"/>
      <c r="T2" s="203"/>
      <c r="U2" s="204"/>
      <c r="V2" s="204">
        <f>S2-U2</f>
        <v>0</v>
      </c>
      <c r="W2" s="205"/>
      <c r="X2" s="203"/>
      <c r="Y2" s="204"/>
      <c r="Z2" s="202"/>
      <c r="AA2" s="202"/>
      <c r="AB2" s="202"/>
      <c r="AC2" s="202"/>
      <c r="AD2" s="202"/>
      <c r="AE2" s="202"/>
      <c r="AF2" s="203"/>
      <c r="AG2" s="202"/>
      <c r="AH2" s="203"/>
      <c r="AI2" s="202"/>
      <c r="AJ2" s="202"/>
    </row>
    <row r="3" spans="1:49">
      <c r="B3" s="17" t="str">
        <f ca="1">_xll.ReportRange("FARReport",A14:AJ1023,A1:AJ1,A2:AJ2,_xll.Param($C$9,$C$10,C12,$M$9,$M$10,$M$11,$S$9,M12,$Y$10,$Y$9,S10,S11,CELL("address",$E$6)),TRUE,FALSE)</f>
        <v>OK!: ReportRange Formula OK [jAction{}]</v>
      </c>
      <c r="L3" s="244" t="s">
        <v>3147</v>
      </c>
      <c r="M3" s="243">
        <f ca="1">MONTH(NOW())</f>
        <v>7</v>
      </c>
      <c r="S3" s="17" t="str">
        <f ca="1">_xll.ReportDrill([40]ProjDepr!D3,,_xll.PairGroup(_xll.Pair('FAR 12.2021 - For Lookup'!C9,[40]ProjDepr!D19),_xll.Pair("C:B",[40]ProjDepr!D20),_xll.Pair("C:C",[40]ProjDepr!D21),_xll.Pair("C:V",[40]ProjDepr!D22)),"Projected Depr")</f>
        <v>OK!: ReportDrill 'Projected Depr' Formula OK [jAction{}]</v>
      </c>
      <c r="Y3" s="17" t="str">
        <f ca="1">_xll.jFreezePanes(A14,A5)</f>
        <v xml:space="preserve">&gt; jFreezePanes is ready. </v>
      </c>
      <c r="AB3" s="17" t="str">
        <f ca="1">_xll.jFocus(C9)</f>
        <v xml:space="preserve">&gt; jFocus is ready. </v>
      </c>
    </row>
    <row r="4" spans="1:49">
      <c r="L4" s="244" t="s">
        <v>3146</v>
      </c>
      <c r="M4" s="243">
        <f ca="1">IF(M3=12,YEAR(NOW()),YEAR(NOW()))</f>
        <v>2022</v>
      </c>
      <c r="R4" s="202"/>
      <c r="S4" s="202" t="s">
        <v>3145</v>
      </c>
      <c r="T4" s="202"/>
      <c r="U4" s="202" t="str">
        <f ca="1">_xll.ReportDrill([40]Invoice!$C$2,,_xll.PairGroup(_xll.Pair("C:P",[40]Invoice!$E$7),_xll.Pair("",[40]Invoice!$E$8,"N"),_xll.Pair("",[40]Invoice!$E$9,"n")),"Drill To All Invoices by PO#")</f>
        <v>OK!: ReportDrill 'Drill To All Invoices by PO#' Formula OK [jAction{}]</v>
      </c>
      <c r="V4" s="202"/>
      <c r="W4" s="242"/>
      <c r="X4" s="202" t="str">
        <f ca="1">_xll.ReportDrill([40]Invoice!$C$2,,_xll.PairGroup(_xll.Pair("C:P",[40]Invoice!$E$7),_xll.Pair("",[40]Invoice!$E$8,"N"),_xll.Pair("C:Z",[40]Invoice!$E$9,"n")),"Drill to Invoice by PO# and Invoice #")</f>
        <v>OK!: ReportDrill 'Drill to Invoice by PO# and Invoice #' Formula OK [jAction{}]</v>
      </c>
    </row>
    <row r="5" spans="1:49" s="226" customFormat="1" ht="18.75">
      <c r="B5" s="241" t="s">
        <v>3144</v>
      </c>
      <c r="H5" s="240" t="s">
        <v>3143</v>
      </c>
      <c r="I5" s="239">
        <f>COUNT(C14:C1023)</f>
        <v>1009</v>
      </c>
      <c r="U5" s="246" t="s">
        <v>1363</v>
      </c>
      <c r="V5" s="229"/>
      <c r="AK5" s="226">
        <v>12</v>
      </c>
      <c r="AL5" s="226" t="s">
        <v>45</v>
      </c>
    </row>
    <row r="6" spans="1:49" s="226" customFormat="1">
      <c r="B6" s="239" t="s">
        <v>3142</v>
      </c>
      <c r="E6" s="226" t="s">
        <v>3141</v>
      </c>
      <c r="S6" s="213" t="s">
        <v>3180</v>
      </c>
      <c r="T6" s="251">
        <f>SUM(S36:S80)</f>
        <v>824740.02999999991</v>
      </c>
      <c r="U6" s="245">
        <f>T6-'2180 Deprec'!C124</f>
        <v>0</v>
      </c>
      <c r="W6" s="229"/>
      <c r="AK6" s="226">
        <v>2021</v>
      </c>
      <c r="AL6" s="226" t="s">
        <v>48</v>
      </c>
    </row>
    <row r="7" spans="1:49" s="226" customFormat="1">
      <c r="H7" s="231"/>
      <c r="I7" s="231"/>
      <c r="S7" s="250" t="s">
        <v>3194</v>
      </c>
      <c r="T7" s="251">
        <f>SUM(S14:S35)</f>
        <v>256796.36</v>
      </c>
      <c r="W7" s="229"/>
      <c r="AK7" s="226">
        <v>2021</v>
      </c>
      <c r="AL7" s="226" t="s">
        <v>1037</v>
      </c>
    </row>
    <row r="8" spans="1:49" s="226" customFormat="1">
      <c r="B8" s="239"/>
      <c r="R8" s="231"/>
      <c r="W8" s="229"/>
      <c r="AK8" s="226">
        <f>AK7+(AK5/12)</f>
        <v>2022</v>
      </c>
      <c r="AL8" s="226" t="s">
        <v>50</v>
      </c>
    </row>
    <row r="9" spans="1:49" s="226" customFormat="1">
      <c r="B9" s="231" t="s">
        <v>3140</v>
      </c>
      <c r="C9" s="238" t="s">
        <v>3139</v>
      </c>
      <c r="E9" s="235"/>
      <c r="F9" s="398" t="s">
        <v>3138</v>
      </c>
      <c r="G9" s="398"/>
      <c r="H9" s="398"/>
      <c r="I9" s="398"/>
      <c r="J9" s="398"/>
      <c r="L9" s="231" t="s">
        <v>3137</v>
      </c>
      <c r="M9" s="395"/>
      <c r="N9" s="395"/>
      <c r="O9" s="233" t="s">
        <v>3126</v>
      </c>
      <c r="R9" s="231" t="s">
        <v>3136</v>
      </c>
      <c r="S9" s="237"/>
      <c r="T9" s="235" t="s">
        <v>3135</v>
      </c>
      <c r="W9" s="229"/>
      <c r="X9" s="231" t="s">
        <v>3134</v>
      </c>
      <c r="Y9" s="234"/>
    </row>
    <row r="10" spans="1:49" s="226" customFormat="1">
      <c r="B10" s="231" t="s">
        <v>3133</v>
      </c>
      <c r="C10" s="396" t="s">
        <v>3132</v>
      </c>
      <c r="D10" s="397"/>
      <c r="E10" s="235" t="s">
        <v>3131</v>
      </c>
      <c r="F10" s="398"/>
      <c r="G10" s="398"/>
      <c r="H10" s="398"/>
      <c r="I10" s="398"/>
      <c r="J10" s="398"/>
      <c r="L10" s="231" t="s">
        <v>3130</v>
      </c>
      <c r="M10" s="395"/>
      <c r="N10" s="395"/>
      <c r="O10" s="233" t="s">
        <v>3126</v>
      </c>
      <c r="R10" s="231" t="s">
        <v>3129</v>
      </c>
      <c r="S10" s="236"/>
      <c r="T10" s="235"/>
      <c r="W10" s="229"/>
      <c r="X10" s="231" t="s">
        <v>3128</v>
      </c>
      <c r="Y10" s="234"/>
    </row>
    <row r="11" spans="1:49" s="226" customFormat="1">
      <c r="L11" s="231" t="s">
        <v>3127</v>
      </c>
      <c r="M11" s="395"/>
      <c r="N11" s="395"/>
      <c r="O11" s="233" t="s">
        <v>3126</v>
      </c>
      <c r="R11" s="231" t="s">
        <v>3125</v>
      </c>
      <c r="S11" s="232"/>
      <c r="W11" s="229"/>
    </row>
    <row r="12" spans="1:49" s="226" customFormat="1">
      <c r="B12" s="231" t="s">
        <v>3124</v>
      </c>
      <c r="C12" s="232"/>
      <c r="L12" s="231" t="s">
        <v>3123</v>
      </c>
      <c r="M12" s="230"/>
      <c r="N12" s="230"/>
      <c r="O12" s="226" t="s">
        <v>3121</v>
      </c>
      <c r="R12" s="231" t="s">
        <v>3122</v>
      </c>
      <c r="S12" s="230"/>
      <c r="T12" s="226" t="s">
        <v>3121</v>
      </c>
      <c r="W12" s="229"/>
    </row>
    <row r="13" spans="1:49" s="226" customFormat="1" ht="45.75" thickBot="1">
      <c r="A13" s="227"/>
      <c r="B13" s="227" t="s">
        <v>3120</v>
      </c>
      <c r="C13" s="227" t="s">
        <v>3119</v>
      </c>
      <c r="D13" s="227" t="s">
        <v>3118</v>
      </c>
      <c r="E13" s="227" t="s">
        <v>3117</v>
      </c>
      <c r="F13" s="227" t="s">
        <v>3116</v>
      </c>
      <c r="G13" s="227" t="s">
        <v>3115</v>
      </c>
      <c r="H13" s="227" t="s">
        <v>3114</v>
      </c>
      <c r="I13" s="227" t="s">
        <v>3113</v>
      </c>
      <c r="J13" s="227" t="s">
        <v>3112</v>
      </c>
      <c r="K13" s="227" t="s">
        <v>3111</v>
      </c>
      <c r="L13" s="227" t="s">
        <v>3110</v>
      </c>
      <c r="M13" s="227" t="s">
        <v>3109</v>
      </c>
      <c r="N13" s="227" t="s">
        <v>3108</v>
      </c>
      <c r="O13" s="227" t="s">
        <v>3107</v>
      </c>
      <c r="P13" s="227" t="s">
        <v>3106</v>
      </c>
      <c r="Q13" s="227" t="s">
        <v>3105</v>
      </c>
      <c r="R13" s="227" t="s">
        <v>3104</v>
      </c>
      <c r="S13" s="227" t="s">
        <v>6</v>
      </c>
      <c r="T13" s="227" t="s">
        <v>3103</v>
      </c>
      <c r="U13" s="227" t="s">
        <v>3102</v>
      </c>
      <c r="V13" s="227" t="s">
        <v>3101</v>
      </c>
      <c r="W13" s="228" t="s">
        <v>3100</v>
      </c>
      <c r="X13" s="227" t="s">
        <v>3099</v>
      </c>
      <c r="Y13" s="227" t="s">
        <v>3098</v>
      </c>
      <c r="Z13" s="227" t="s">
        <v>3097</v>
      </c>
      <c r="AA13" s="227" t="s">
        <v>3096</v>
      </c>
      <c r="AB13" s="227" t="s">
        <v>3095</v>
      </c>
      <c r="AC13" s="227" t="s">
        <v>3094</v>
      </c>
      <c r="AD13" s="227" t="s">
        <v>3093</v>
      </c>
      <c r="AE13" s="227" t="s">
        <v>3092</v>
      </c>
      <c r="AF13" s="227" t="s">
        <v>3091</v>
      </c>
      <c r="AG13" s="227" t="s">
        <v>3090</v>
      </c>
      <c r="AH13" s="227" t="s">
        <v>3089</v>
      </c>
      <c r="AI13" s="227" t="s">
        <v>3088</v>
      </c>
      <c r="AJ13" s="227" t="s">
        <v>3087</v>
      </c>
      <c r="AK13" s="247" t="s">
        <v>3181</v>
      </c>
      <c r="AL13" s="248" t="s">
        <v>3182</v>
      </c>
      <c r="AM13" s="247" t="s">
        <v>3183</v>
      </c>
      <c r="AN13" s="247" t="s">
        <v>3184</v>
      </c>
      <c r="AO13" s="247" t="s">
        <v>3185</v>
      </c>
      <c r="AP13" s="247" t="s">
        <v>3186</v>
      </c>
      <c r="AQ13" s="247" t="s">
        <v>3187</v>
      </c>
      <c r="AR13" s="247" t="s">
        <v>3188</v>
      </c>
      <c r="AS13" s="247" t="s">
        <v>3189</v>
      </c>
      <c r="AT13" s="247" t="s">
        <v>3190</v>
      </c>
      <c r="AU13" s="247" t="s">
        <v>3191</v>
      </c>
      <c r="AV13" s="247" t="s">
        <v>3192</v>
      </c>
      <c r="AW13" s="247" t="s">
        <v>3197</v>
      </c>
    </row>
    <row r="14" spans="1:49" s="200" customFormat="1">
      <c r="B14" s="221">
        <v>2180</v>
      </c>
      <c r="C14" s="225">
        <v>270762</v>
      </c>
      <c r="D14" s="221" t="s">
        <v>97</v>
      </c>
      <c r="E14" s="220" t="s">
        <v>3086</v>
      </c>
      <c r="F14" s="221"/>
      <c r="G14" s="220"/>
      <c r="H14" s="220"/>
      <c r="I14" s="220"/>
      <c r="J14" s="220">
        <v>0</v>
      </c>
      <c r="K14" s="220"/>
      <c r="L14" s="220"/>
      <c r="M14" s="220"/>
      <c r="N14" s="224">
        <v>44561</v>
      </c>
      <c r="O14" s="224">
        <v>44561</v>
      </c>
      <c r="P14" s="220" t="s">
        <v>3082</v>
      </c>
      <c r="Q14" s="221">
        <v>500</v>
      </c>
      <c r="R14" s="221">
        <v>14070</v>
      </c>
      <c r="S14" s="222">
        <v>-1808.92</v>
      </c>
      <c r="T14" s="221">
        <v>14076</v>
      </c>
      <c r="U14" s="222">
        <v>0</v>
      </c>
      <c r="V14" s="222">
        <f t="shared" ref="V14:V77" si="0">S14-U14</f>
        <v>-1808.92</v>
      </c>
      <c r="W14" s="223">
        <v>0</v>
      </c>
      <c r="X14" s="221">
        <v>51260</v>
      </c>
      <c r="Y14" s="222">
        <v>0</v>
      </c>
      <c r="Z14" s="220" t="s">
        <v>97</v>
      </c>
      <c r="AA14" s="220"/>
      <c r="AB14" s="220"/>
      <c r="AC14" s="220"/>
      <c r="AD14" s="220" t="s">
        <v>1152</v>
      </c>
      <c r="AE14" s="220" t="s">
        <v>1153</v>
      </c>
      <c r="AF14" s="221" t="s">
        <v>1154</v>
      </c>
      <c r="AG14" s="220"/>
      <c r="AH14" s="221" t="s">
        <v>1155</v>
      </c>
      <c r="AI14" s="220">
        <v>0</v>
      </c>
      <c r="AJ14" s="220">
        <v>0</v>
      </c>
      <c r="AK14" s="252" t="str">
        <f>VLOOKUP(C14,'[41]Asset Addition Form'!B$8:J$71,9,FALSE)</f>
        <v>All</v>
      </c>
      <c r="AL14" s="200" t="s">
        <v>27</v>
      </c>
      <c r="AM14" s="200">
        <f t="shared" ref="AM14:AM35" si="1">MONTH($N14)</f>
        <v>12</v>
      </c>
      <c r="AN14" s="200">
        <f t="shared" ref="AN14:AN35" si="2">YEAR($N14)</f>
        <v>2021</v>
      </c>
      <c r="AO14" s="200">
        <f t="shared" ref="AO14:AO35" si="3">$AN14+($Q14/100)</f>
        <v>2026</v>
      </c>
      <c r="AP14" s="249">
        <f t="shared" ref="AP14:AP35" si="4">$AO14+($AM14/12)</f>
        <v>2027</v>
      </c>
      <c r="AQ14" s="188">
        <f t="shared" ref="AQ14:AQ35" si="5">IFERROR($S14/($Q14/100)/12,0)</f>
        <v>-30.148666666666667</v>
      </c>
      <c r="AR14" s="188">
        <f t="shared" ref="AR14:AR35" si="6">$AQ14*12</f>
        <v>-361.78399999999999</v>
      </c>
      <c r="AS14" s="188">
        <f t="shared" ref="AS14:AS35" si="7">IF($AP14&lt;=$AK$8,0,IF($AO14&gt;$AK$7,$AR14,($AQ14*$AM14)))</f>
        <v>-361.78399999999999</v>
      </c>
      <c r="AT14" s="188">
        <f t="shared" ref="AT14" si="8">IF($AS14=0,$S14,IF($AK$6-AN14&lt;1,0,(($AK$6-$AN14)*AR14)))</f>
        <v>0</v>
      </c>
      <c r="AU14" s="188">
        <f t="shared" ref="AU14:AU35" si="9">IF($AT14=0,$AS14,($AT14+$AS14))</f>
        <v>-361.78399999999999</v>
      </c>
      <c r="AV14" s="188">
        <f t="shared" ref="AV14:AV35" si="10">$S14-$AU14</f>
        <v>-1447.136</v>
      </c>
      <c r="AW14" s="200" t="s">
        <v>3193</v>
      </c>
    </row>
    <row r="15" spans="1:49" s="200" customFormat="1">
      <c r="B15" s="221">
        <v>2180</v>
      </c>
      <c r="C15" s="225">
        <v>270761</v>
      </c>
      <c r="D15" s="221" t="s">
        <v>97</v>
      </c>
      <c r="E15" s="220" t="s">
        <v>3085</v>
      </c>
      <c r="F15" s="221"/>
      <c r="G15" s="220"/>
      <c r="H15" s="220"/>
      <c r="I15" s="220"/>
      <c r="J15" s="220">
        <v>0</v>
      </c>
      <c r="K15" s="220"/>
      <c r="L15" s="220"/>
      <c r="M15" s="220"/>
      <c r="N15" s="224">
        <v>44561</v>
      </c>
      <c r="O15" s="224">
        <v>44561</v>
      </c>
      <c r="P15" s="220" t="s">
        <v>3082</v>
      </c>
      <c r="Q15" s="221">
        <v>500</v>
      </c>
      <c r="R15" s="221">
        <v>14070</v>
      </c>
      <c r="S15" s="222">
        <v>29847.18</v>
      </c>
      <c r="T15" s="221">
        <v>14076</v>
      </c>
      <c r="U15" s="222">
        <v>0</v>
      </c>
      <c r="V15" s="222">
        <f t="shared" si="0"/>
        <v>29847.18</v>
      </c>
      <c r="W15" s="223">
        <v>0</v>
      </c>
      <c r="X15" s="221">
        <v>51260</v>
      </c>
      <c r="Y15" s="222">
        <v>0</v>
      </c>
      <c r="Z15" s="220" t="s">
        <v>97</v>
      </c>
      <c r="AA15" s="220"/>
      <c r="AB15" s="220"/>
      <c r="AC15" s="220"/>
      <c r="AD15" s="220" t="s">
        <v>1152</v>
      </c>
      <c r="AE15" s="220" t="s">
        <v>1153</v>
      </c>
      <c r="AF15" s="221" t="s">
        <v>1154</v>
      </c>
      <c r="AG15" s="220"/>
      <c r="AH15" s="221" t="s">
        <v>1155</v>
      </c>
      <c r="AI15" s="220">
        <v>0</v>
      </c>
      <c r="AJ15" s="220">
        <v>0</v>
      </c>
      <c r="AK15" s="252" t="str">
        <f>VLOOKUP(C15,'[41]Asset Addition Form'!B$8:J$71,9,FALSE)</f>
        <v>All</v>
      </c>
      <c r="AL15" s="200" t="s">
        <v>27</v>
      </c>
      <c r="AM15" s="200">
        <f t="shared" si="1"/>
        <v>12</v>
      </c>
      <c r="AN15" s="200">
        <f t="shared" si="2"/>
        <v>2021</v>
      </c>
      <c r="AO15" s="200">
        <f t="shared" si="3"/>
        <v>2026</v>
      </c>
      <c r="AP15" s="249">
        <f t="shared" si="4"/>
        <v>2027</v>
      </c>
      <c r="AQ15" s="188">
        <f t="shared" si="5"/>
        <v>497.45299999999997</v>
      </c>
      <c r="AR15" s="188">
        <f t="shared" si="6"/>
        <v>5969.4359999999997</v>
      </c>
      <c r="AS15" s="188">
        <f t="shared" si="7"/>
        <v>5969.4359999999997</v>
      </c>
      <c r="AT15" s="188">
        <f t="shared" ref="AT15:AT35" si="11">IF($AS15=0,$S15,IF($AK$6-AN15&lt;1,0,(($AK$6-$AN15)*AR15)))</f>
        <v>0</v>
      </c>
      <c r="AU15" s="188">
        <f t="shared" si="9"/>
        <v>5969.4359999999997</v>
      </c>
      <c r="AV15" s="188">
        <f t="shared" si="10"/>
        <v>23877.743999999999</v>
      </c>
      <c r="AW15" s="200" t="s">
        <v>3193</v>
      </c>
    </row>
    <row r="16" spans="1:49" s="200" customFormat="1">
      <c r="B16" s="221">
        <v>2180</v>
      </c>
      <c r="C16" s="225">
        <v>270730</v>
      </c>
      <c r="D16" s="221" t="s">
        <v>97</v>
      </c>
      <c r="E16" s="220" t="s">
        <v>3084</v>
      </c>
      <c r="F16" s="221"/>
      <c r="G16" s="220"/>
      <c r="H16" s="220"/>
      <c r="I16" s="220"/>
      <c r="J16" s="220">
        <v>0</v>
      </c>
      <c r="K16" s="220"/>
      <c r="L16" s="220"/>
      <c r="M16" s="220"/>
      <c r="N16" s="224">
        <v>44561</v>
      </c>
      <c r="O16" s="224">
        <v>44561</v>
      </c>
      <c r="P16" s="220" t="s">
        <v>3082</v>
      </c>
      <c r="Q16" s="221">
        <v>500</v>
      </c>
      <c r="R16" s="221">
        <v>14070</v>
      </c>
      <c r="S16" s="222">
        <v>198.94</v>
      </c>
      <c r="T16" s="221">
        <v>14076</v>
      </c>
      <c r="U16" s="222">
        <v>0</v>
      </c>
      <c r="V16" s="222">
        <f t="shared" si="0"/>
        <v>198.94</v>
      </c>
      <c r="W16" s="223">
        <v>0</v>
      </c>
      <c r="X16" s="221">
        <v>51260</v>
      </c>
      <c r="Y16" s="222">
        <v>0</v>
      </c>
      <c r="Z16" s="220" t="s">
        <v>97</v>
      </c>
      <c r="AA16" s="220"/>
      <c r="AB16" s="220"/>
      <c r="AC16" s="220"/>
      <c r="AD16" s="220" t="s">
        <v>1152</v>
      </c>
      <c r="AE16" s="220" t="s">
        <v>1153</v>
      </c>
      <c r="AF16" s="221" t="s">
        <v>1154</v>
      </c>
      <c r="AG16" s="220"/>
      <c r="AH16" s="221" t="s">
        <v>1155</v>
      </c>
      <c r="AI16" s="220">
        <v>0</v>
      </c>
      <c r="AJ16" s="220">
        <v>0</v>
      </c>
      <c r="AK16" s="252" t="str">
        <f>VLOOKUP(C16,'[41]Asset Addition Form'!B$8:J$71,9,FALSE)</f>
        <v>All</v>
      </c>
      <c r="AL16" s="200" t="s">
        <v>27</v>
      </c>
      <c r="AM16" s="200">
        <f t="shared" si="1"/>
        <v>12</v>
      </c>
      <c r="AN16" s="200">
        <f t="shared" si="2"/>
        <v>2021</v>
      </c>
      <c r="AO16" s="200">
        <f t="shared" si="3"/>
        <v>2026</v>
      </c>
      <c r="AP16" s="249">
        <f t="shared" si="4"/>
        <v>2027</v>
      </c>
      <c r="AQ16" s="188">
        <f t="shared" si="5"/>
        <v>3.3156666666666665</v>
      </c>
      <c r="AR16" s="188">
        <f t="shared" si="6"/>
        <v>39.787999999999997</v>
      </c>
      <c r="AS16" s="188">
        <f t="shared" si="7"/>
        <v>39.787999999999997</v>
      </c>
      <c r="AT16" s="188">
        <f t="shared" si="11"/>
        <v>0</v>
      </c>
      <c r="AU16" s="188">
        <f t="shared" si="9"/>
        <v>39.787999999999997</v>
      </c>
      <c r="AV16" s="188">
        <f t="shared" si="10"/>
        <v>159.15199999999999</v>
      </c>
      <c r="AW16" s="200" t="s">
        <v>3193</v>
      </c>
    </row>
    <row r="17" spans="2:49" s="200" customFormat="1">
      <c r="B17" s="221">
        <v>2180</v>
      </c>
      <c r="C17" s="225">
        <v>270623</v>
      </c>
      <c r="D17" s="221" t="s">
        <v>97</v>
      </c>
      <c r="E17" s="220" t="s">
        <v>3083</v>
      </c>
      <c r="F17" s="221">
        <v>46</v>
      </c>
      <c r="G17" s="220"/>
      <c r="H17" s="220"/>
      <c r="I17" s="220"/>
      <c r="J17" s="220">
        <v>0</v>
      </c>
      <c r="K17" s="220"/>
      <c r="L17" s="220"/>
      <c r="M17" s="220"/>
      <c r="N17" s="224">
        <v>44561</v>
      </c>
      <c r="O17" s="224">
        <v>44561</v>
      </c>
      <c r="P17" s="220" t="s">
        <v>3082</v>
      </c>
      <c r="Q17" s="221">
        <v>500</v>
      </c>
      <c r="R17" s="221">
        <v>14070</v>
      </c>
      <c r="S17" s="222">
        <v>25497.93</v>
      </c>
      <c r="T17" s="221">
        <v>14076</v>
      </c>
      <c r="U17" s="222">
        <v>0</v>
      </c>
      <c r="V17" s="222">
        <f t="shared" si="0"/>
        <v>25497.93</v>
      </c>
      <c r="W17" s="223">
        <v>0</v>
      </c>
      <c r="X17" s="221">
        <v>51260</v>
      </c>
      <c r="Y17" s="222">
        <v>0</v>
      </c>
      <c r="Z17" s="220" t="s">
        <v>97</v>
      </c>
      <c r="AA17" s="220"/>
      <c r="AB17" s="220"/>
      <c r="AC17" s="220"/>
      <c r="AD17" s="220" t="s">
        <v>1152</v>
      </c>
      <c r="AE17" s="220" t="s">
        <v>1153</v>
      </c>
      <c r="AF17" s="221" t="s">
        <v>1154</v>
      </c>
      <c r="AG17" s="220"/>
      <c r="AH17" s="221" t="s">
        <v>1155</v>
      </c>
      <c r="AI17" s="220">
        <v>0</v>
      </c>
      <c r="AJ17" s="220">
        <v>0</v>
      </c>
      <c r="AK17" s="252" t="str">
        <f>VLOOKUP(C17,'[41]Asset Addition Form'!B$8:J$71,9,FALSE)</f>
        <v>All</v>
      </c>
      <c r="AL17" s="200" t="s">
        <v>27</v>
      </c>
      <c r="AM17" s="200">
        <f t="shared" si="1"/>
        <v>12</v>
      </c>
      <c r="AN17" s="200">
        <f t="shared" si="2"/>
        <v>2021</v>
      </c>
      <c r="AO17" s="200">
        <f t="shared" si="3"/>
        <v>2026</v>
      </c>
      <c r="AP17" s="249">
        <f t="shared" si="4"/>
        <v>2027</v>
      </c>
      <c r="AQ17" s="188">
        <f t="shared" si="5"/>
        <v>424.96550000000002</v>
      </c>
      <c r="AR17" s="188">
        <f t="shared" si="6"/>
        <v>5099.5860000000002</v>
      </c>
      <c r="AS17" s="188">
        <f t="shared" si="7"/>
        <v>5099.5860000000002</v>
      </c>
      <c r="AT17" s="188">
        <f t="shared" si="11"/>
        <v>0</v>
      </c>
      <c r="AU17" s="188">
        <f t="shared" si="9"/>
        <v>5099.5860000000002</v>
      </c>
      <c r="AV17" s="188">
        <f t="shared" si="10"/>
        <v>20398.344000000001</v>
      </c>
      <c r="AW17" s="200" t="s">
        <v>3193</v>
      </c>
    </row>
    <row r="18" spans="2:49" s="200" customFormat="1">
      <c r="B18" s="221">
        <v>2180</v>
      </c>
      <c r="C18" s="225">
        <v>270129</v>
      </c>
      <c r="D18" s="221" t="s">
        <v>97</v>
      </c>
      <c r="E18" s="220" t="s">
        <v>3081</v>
      </c>
      <c r="F18" s="221">
        <v>36</v>
      </c>
      <c r="G18" s="220"/>
      <c r="H18" s="220"/>
      <c r="I18" s="220"/>
      <c r="J18" s="220">
        <v>0</v>
      </c>
      <c r="K18" s="220" t="s">
        <v>2041</v>
      </c>
      <c r="L18" s="220"/>
      <c r="M18" s="220" t="s">
        <v>3054</v>
      </c>
      <c r="N18" s="224">
        <v>44557</v>
      </c>
      <c r="O18" s="224">
        <v>44557</v>
      </c>
      <c r="P18" s="220" t="s">
        <v>3080</v>
      </c>
      <c r="Q18" s="221">
        <v>1200</v>
      </c>
      <c r="R18" s="221">
        <v>14050</v>
      </c>
      <c r="S18" s="222">
        <v>33870.239999999998</v>
      </c>
      <c r="T18" s="221">
        <v>14056</v>
      </c>
      <c r="U18" s="222">
        <v>0</v>
      </c>
      <c r="V18" s="222">
        <f t="shared" si="0"/>
        <v>33870.239999999998</v>
      </c>
      <c r="W18" s="223">
        <v>0</v>
      </c>
      <c r="X18" s="221">
        <v>54260</v>
      </c>
      <c r="Y18" s="222">
        <v>0</v>
      </c>
      <c r="Z18" s="220" t="s">
        <v>97</v>
      </c>
      <c r="AA18" s="220"/>
      <c r="AB18" s="220">
        <v>170486</v>
      </c>
      <c r="AC18" s="220"/>
      <c r="AD18" s="220" t="s">
        <v>1152</v>
      </c>
      <c r="AE18" s="220" t="s">
        <v>1153</v>
      </c>
      <c r="AF18" s="221" t="s">
        <v>1154</v>
      </c>
      <c r="AG18" s="220"/>
      <c r="AH18" s="221" t="s">
        <v>1155</v>
      </c>
      <c r="AI18" s="220">
        <v>0</v>
      </c>
      <c r="AJ18" s="220">
        <v>0</v>
      </c>
      <c r="AK18" s="252" t="str">
        <f>VLOOKUP(C18,'[41]Asset Addition Form'!B$8:J$71,9,FALSE)</f>
        <v>Commercial</v>
      </c>
      <c r="AL18" s="200" t="s">
        <v>16</v>
      </c>
      <c r="AM18" s="200">
        <f t="shared" si="1"/>
        <v>12</v>
      </c>
      <c r="AN18" s="200">
        <f t="shared" si="2"/>
        <v>2021</v>
      </c>
      <c r="AO18" s="200">
        <f t="shared" si="3"/>
        <v>2033</v>
      </c>
      <c r="AP18" s="249">
        <f t="shared" si="4"/>
        <v>2034</v>
      </c>
      <c r="AQ18" s="188">
        <f t="shared" si="5"/>
        <v>235.21</v>
      </c>
      <c r="AR18" s="188">
        <f t="shared" si="6"/>
        <v>2822.52</v>
      </c>
      <c r="AS18" s="188">
        <f t="shared" si="7"/>
        <v>2822.52</v>
      </c>
      <c r="AT18" s="188">
        <f t="shared" si="11"/>
        <v>0</v>
      </c>
      <c r="AU18" s="188">
        <f t="shared" si="9"/>
        <v>2822.52</v>
      </c>
      <c r="AV18" s="188">
        <f t="shared" si="10"/>
        <v>31047.719999999998</v>
      </c>
      <c r="AW18" s="200" t="s">
        <v>3193</v>
      </c>
    </row>
    <row r="19" spans="2:49" s="200" customFormat="1">
      <c r="B19" s="221">
        <v>2180</v>
      </c>
      <c r="C19" s="225">
        <v>270117</v>
      </c>
      <c r="D19" s="221" t="s">
        <v>97</v>
      </c>
      <c r="E19" s="220" t="s">
        <v>3079</v>
      </c>
      <c r="F19" s="221">
        <v>28</v>
      </c>
      <c r="G19" s="220"/>
      <c r="H19" s="220"/>
      <c r="I19" s="220"/>
      <c r="J19" s="220">
        <v>0</v>
      </c>
      <c r="K19" s="220" t="s">
        <v>2041</v>
      </c>
      <c r="L19" s="220"/>
      <c r="M19" s="220" t="s">
        <v>3077</v>
      </c>
      <c r="N19" s="224">
        <v>44557</v>
      </c>
      <c r="O19" s="224">
        <v>44557</v>
      </c>
      <c r="P19" s="220" t="s">
        <v>3076</v>
      </c>
      <c r="Q19" s="221">
        <v>1200</v>
      </c>
      <c r="R19" s="221">
        <v>14050</v>
      </c>
      <c r="S19" s="222">
        <v>25730.880000000001</v>
      </c>
      <c r="T19" s="221">
        <v>14056</v>
      </c>
      <c r="U19" s="222">
        <v>0</v>
      </c>
      <c r="V19" s="222">
        <f t="shared" si="0"/>
        <v>25730.880000000001</v>
      </c>
      <c r="W19" s="223">
        <v>0</v>
      </c>
      <c r="X19" s="221">
        <v>54260</v>
      </c>
      <c r="Y19" s="222">
        <v>0</v>
      </c>
      <c r="Z19" s="220" t="s">
        <v>97</v>
      </c>
      <c r="AA19" s="220"/>
      <c r="AB19" s="220">
        <v>170485</v>
      </c>
      <c r="AC19" s="220"/>
      <c r="AD19" s="220" t="s">
        <v>1152</v>
      </c>
      <c r="AE19" s="220" t="s">
        <v>1153</v>
      </c>
      <c r="AF19" s="221" t="s">
        <v>1154</v>
      </c>
      <c r="AG19" s="220"/>
      <c r="AH19" s="221" t="s">
        <v>1155</v>
      </c>
      <c r="AI19" s="220">
        <v>0</v>
      </c>
      <c r="AJ19" s="220">
        <v>0</v>
      </c>
      <c r="AK19" s="252" t="str">
        <f>VLOOKUP(C19,'[41]Asset Addition Form'!B$8:J$71,9,FALSE)</f>
        <v>Commercial</v>
      </c>
      <c r="AL19" s="200" t="s">
        <v>16</v>
      </c>
      <c r="AM19" s="200">
        <f t="shared" si="1"/>
        <v>12</v>
      </c>
      <c r="AN19" s="200">
        <f t="shared" si="2"/>
        <v>2021</v>
      </c>
      <c r="AO19" s="200">
        <f t="shared" si="3"/>
        <v>2033</v>
      </c>
      <c r="AP19" s="249">
        <f t="shared" si="4"/>
        <v>2034</v>
      </c>
      <c r="AQ19" s="188">
        <f t="shared" si="5"/>
        <v>178.6866666666667</v>
      </c>
      <c r="AR19" s="188">
        <f t="shared" si="6"/>
        <v>2144.2400000000002</v>
      </c>
      <c r="AS19" s="188">
        <f t="shared" si="7"/>
        <v>2144.2400000000002</v>
      </c>
      <c r="AT19" s="188">
        <f t="shared" si="11"/>
        <v>0</v>
      </c>
      <c r="AU19" s="188">
        <f t="shared" si="9"/>
        <v>2144.2400000000002</v>
      </c>
      <c r="AV19" s="188">
        <f t="shared" si="10"/>
        <v>23586.639999999999</v>
      </c>
      <c r="AW19" s="200" t="s">
        <v>3193</v>
      </c>
    </row>
    <row r="20" spans="2:49" s="200" customFormat="1">
      <c r="B20" s="221">
        <v>2180</v>
      </c>
      <c r="C20" s="225">
        <v>270114</v>
      </c>
      <c r="D20" s="221" t="s">
        <v>97</v>
      </c>
      <c r="E20" s="220" t="s">
        <v>3078</v>
      </c>
      <c r="F20" s="221">
        <v>8</v>
      </c>
      <c r="G20" s="220"/>
      <c r="H20" s="220"/>
      <c r="I20" s="220"/>
      <c r="J20" s="220">
        <v>0</v>
      </c>
      <c r="K20" s="220" t="s">
        <v>2041</v>
      </c>
      <c r="L20" s="220"/>
      <c r="M20" s="220" t="s">
        <v>3077</v>
      </c>
      <c r="N20" s="224">
        <v>44557</v>
      </c>
      <c r="O20" s="224">
        <v>44557</v>
      </c>
      <c r="P20" s="220" t="s">
        <v>3076</v>
      </c>
      <c r="Q20" s="221">
        <v>1200</v>
      </c>
      <c r="R20" s="221">
        <v>14050</v>
      </c>
      <c r="S20" s="222">
        <v>7351.68</v>
      </c>
      <c r="T20" s="221">
        <v>14056</v>
      </c>
      <c r="U20" s="222">
        <v>0</v>
      </c>
      <c r="V20" s="222">
        <f t="shared" si="0"/>
        <v>7351.68</v>
      </c>
      <c r="W20" s="223">
        <v>0</v>
      </c>
      <c r="X20" s="221">
        <v>54260</v>
      </c>
      <c r="Y20" s="222">
        <v>0</v>
      </c>
      <c r="Z20" s="220" t="s">
        <v>97</v>
      </c>
      <c r="AA20" s="220"/>
      <c r="AB20" s="220">
        <v>170492</v>
      </c>
      <c r="AC20" s="220"/>
      <c r="AD20" s="220" t="s">
        <v>1152</v>
      </c>
      <c r="AE20" s="220" t="s">
        <v>1153</v>
      </c>
      <c r="AF20" s="221" t="s">
        <v>1154</v>
      </c>
      <c r="AG20" s="220"/>
      <c r="AH20" s="221" t="s">
        <v>1155</v>
      </c>
      <c r="AI20" s="220">
        <v>0</v>
      </c>
      <c r="AJ20" s="220">
        <v>0</v>
      </c>
      <c r="AK20" s="252" t="str">
        <f>VLOOKUP(C20,'[41]Asset Addition Form'!B$8:J$71,9,FALSE)</f>
        <v>Commercial</v>
      </c>
      <c r="AL20" s="200" t="s">
        <v>16</v>
      </c>
      <c r="AM20" s="200">
        <f t="shared" si="1"/>
        <v>12</v>
      </c>
      <c r="AN20" s="200">
        <f t="shared" si="2"/>
        <v>2021</v>
      </c>
      <c r="AO20" s="200">
        <f t="shared" si="3"/>
        <v>2033</v>
      </c>
      <c r="AP20" s="249">
        <f t="shared" si="4"/>
        <v>2034</v>
      </c>
      <c r="AQ20" s="188">
        <f t="shared" si="5"/>
        <v>51.053333333333335</v>
      </c>
      <c r="AR20" s="188">
        <f t="shared" si="6"/>
        <v>612.64</v>
      </c>
      <c r="AS20" s="188">
        <f t="shared" si="7"/>
        <v>612.64</v>
      </c>
      <c r="AT20" s="188">
        <f t="shared" si="11"/>
        <v>0</v>
      </c>
      <c r="AU20" s="188">
        <f t="shared" si="9"/>
        <v>612.64</v>
      </c>
      <c r="AV20" s="188">
        <f t="shared" si="10"/>
        <v>6739.04</v>
      </c>
      <c r="AW20" s="200" t="s">
        <v>3193</v>
      </c>
    </row>
    <row r="21" spans="2:49" s="200" customFormat="1">
      <c r="B21" s="221">
        <v>2180</v>
      </c>
      <c r="C21" s="225">
        <v>266035</v>
      </c>
      <c r="D21" s="221" t="s">
        <v>97</v>
      </c>
      <c r="E21" s="220" t="s">
        <v>3075</v>
      </c>
      <c r="F21" s="221">
        <v>1</v>
      </c>
      <c r="G21" s="220"/>
      <c r="H21" s="220"/>
      <c r="I21" s="220"/>
      <c r="J21" s="220">
        <v>0</v>
      </c>
      <c r="K21" s="220" t="s">
        <v>3066</v>
      </c>
      <c r="L21" s="220"/>
      <c r="M21" s="220"/>
      <c r="N21" s="224">
        <v>44516</v>
      </c>
      <c r="O21" s="224">
        <v>44516</v>
      </c>
      <c r="P21" s="220" t="s">
        <v>3074</v>
      </c>
      <c r="Q21" s="221">
        <v>300</v>
      </c>
      <c r="R21" s="221">
        <v>14110</v>
      </c>
      <c r="S21" s="222">
        <v>1407.06</v>
      </c>
      <c r="T21" s="221">
        <v>14116</v>
      </c>
      <c r="U21" s="222">
        <v>39.090000000000003</v>
      </c>
      <c r="V21" s="222">
        <f t="shared" si="0"/>
        <v>1367.97</v>
      </c>
      <c r="W21" s="223">
        <v>39.090000000000003</v>
      </c>
      <c r="X21" s="221">
        <v>70260</v>
      </c>
      <c r="Y21" s="222">
        <v>39.090000000000003</v>
      </c>
      <c r="Z21" s="220" t="s">
        <v>97</v>
      </c>
      <c r="AA21" s="220"/>
      <c r="AB21" s="220" t="s">
        <v>3073</v>
      </c>
      <c r="AC21" s="220"/>
      <c r="AD21" s="220" t="s">
        <v>1152</v>
      </c>
      <c r="AE21" s="220" t="s">
        <v>1153</v>
      </c>
      <c r="AF21" s="221" t="s">
        <v>1154</v>
      </c>
      <c r="AG21" s="220"/>
      <c r="AH21" s="221" t="s">
        <v>1155</v>
      </c>
      <c r="AI21" s="220">
        <v>0</v>
      </c>
      <c r="AJ21" s="220">
        <v>0</v>
      </c>
      <c r="AK21" s="252" t="str">
        <f>VLOOKUP(C21,'[41]Asset Addition Form'!B$8:J$71,9,FALSE)</f>
        <v>G&amp;A</v>
      </c>
      <c r="AL21" s="200" t="s">
        <v>28</v>
      </c>
      <c r="AM21" s="200">
        <f t="shared" si="1"/>
        <v>11</v>
      </c>
      <c r="AN21" s="200">
        <f t="shared" si="2"/>
        <v>2021</v>
      </c>
      <c r="AO21" s="200">
        <f t="shared" si="3"/>
        <v>2024</v>
      </c>
      <c r="AP21" s="249">
        <f t="shared" si="4"/>
        <v>2024.9166666666667</v>
      </c>
      <c r="AQ21" s="188">
        <f t="shared" si="5"/>
        <v>39.085000000000001</v>
      </c>
      <c r="AR21" s="188">
        <f t="shared" si="6"/>
        <v>469.02</v>
      </c>
      <c r="AS21" s="188">
        <f t="shared" si="7"/>
        <v>469.02</v>
      </c>
      <c r="AT21" s="188">
        <f t="shared" si="11"/>
        <v>0</v>
      </c>
      <c r="AU21" s="188">
        <f t="shared" si="9"/>
        <v>469.02</v>
      </c>
      <c r="AV21" s="188">
        <f t="shared" si="10"/>
        <v>938.04</v>
      </c>
      <c r="AW21" s="200" t="s">
        <v>3193</v>
      </c>
    </row>
    <row r="22" spans="2:49" s="200" customFormat="1">
      <c r="B22" s="221">
        <v>2180</v>
      </c>
      <c r="C22" s="225">
        <v>265456</v>
      </c>
      <c r="D22" s="221" t="s">
        <v>97</v>
      </c>
      <c r="E22" s="220" t="s">
        <v>3072</v>
      </c>
      <c r="F22" s="221">
        <v>1</v>
      </c>
      <c r="G22" s="220"/>
      <c r="H22" s="220"/>
      <c r="I22" s="220"/>
      <c r="J22" s="220">
        <v>0</v>
      </c>
      <c r="K22" s="220"/>
      <c r="L22" s="220"/>
      <c r="M22" s="220"/>
      <c r="N22" s="224">
        <v>44501</v>
      </c>
      <c r="O22" s="224">
        <v>44501</v>
      </c>
      <c r="P22" s="220" t="s">
        <v>3071</v>
      </c>
      <c r="Q22" s="221">
        <v>500</v>
      </c>
      <c r="R22" s="221">
        <v>14070</v>
      </c>
      <c r="S22" s="222">
        <v>539.04999999999995</v>
      </c>
      <c r="T22" s="221">
        <v>14076</v>
      </c>
      <c r="U22" s="222">
        <v>17.97</v>
      </c>
      <c r="V22" s="222">
        <f t="shared" si="0"/>
        <v>521.07999999999993</v>
      </c>
      <c r="W22" s="223">
        <v>17.97</v>
      </c>
      <c r="X22" s="221">
        <v>51260</v>
      </c>
      <c r="Y22" s="222">
        <v>8.98</v>
      </c>
      <c r="Z22" s="220" t="s">
        <v>97</v>
      </c>
      <c r="AA22" s="220"/>
      <c r="AB22" s="220"/>
      <c r="AC22" s="220"/>
      <c r="AD22" s="220" t="s">
        <v>1152</v>
      </c>
      <c r="AE22" s="220" t="s">
        <v>1153</v>
      </c>
      <c r="AF22" s="221" t="s">
        <v>1154</v>
      </c>
      <c r="AG22" s="220"/>
      <c r="AH22" s="221" t="s">
        <v>1155</v>
      </c>
      <c r="AI22" s="220">
        <v>0</v>
      </c>
      <c r="AJ22" s="220">
        <v>0</v>
      </c>
      <c r="AK22" s="252" t="str">
        <f>VLOOKUP(C22,'[41]Asset Addition Form'!B$8:J$71,9,FALSE)</f>
        <v>Commercial</v>
      </c>
      <c r="AL22" s="200" t="s">
        <v>27</v>
      </c>
      <c r="AM22" s="200">
        <f t="shared" si="1"/>
        <v>11</v>
      </c>
      <c r="AN22" s="200">
        <f t="shared" si="2"/>
        <v>2021</v>
      </c>
      <c r="AO22" s="200">
        <f t="shared" si="3"/>
        <v>2026</v>
      </c>
      <c r="AP22" s="249">
        <f t="shared" si="4"/>
        <v>2026.9166666666667</v>
      </c>
      <c r="AQ22" s="188">
        <f t="shared" si="5"/>
        <v>8.9841666666666651</v>
      </c>
      <c r="AR22" s="188">
        <f t="shared" si="6"/>
        <v>107.80999999999997</v>
      </c>
      <c r="AS22" s="188">
        <f t="shared" si="7"/>
        <v>107.80999999999997</v>
      </c>
      <c r="AT22" s="188">
        <f t="shared" si="11"/>
        <v>0</v>
      </c>
      <c r="AU22" s="188">
        <f t="shared" si="9"/>
        <v>107.80999999999997</v>
      </c>
      <c r="AV22" s="188">
        <f t="shared" si="10"/>
        <v>431.24</v>
      </c>
      <c r="AW22" s="200" t="s">
        <v>3193</v>
      </c>
    </row>
    <row r="23" spans="2:49" s="200" customFormat="1">
      <c r="B23" s="221">
        <v>2180</v>
      </c>
      <c r="C23" s="225">
        <v>264760</v>
      </c>
      <c r="D23" s="221" t="s">
        <v>97</v>
      </c>
      <c r="E23" s="220" t="s">
        <v>3070</v>
      </c>
      <c r="F23" s="221">
        <v>2</v>
      </c>
      <c r="G23" s="220"/>
      <c r="H23" s="220"/>
      <c r="I23" s="220"/>
      <c r="J23" s="220">
        <v>0</v>
      </c>
      <c r="K23" s="220" t="s">
        <v>2041</v>
      </c>
      <c r="L23" s="220"/>
      <c r="M23" s="220" t="s">
        <v>1454</v>
      </c>
      <c r="N23" s="224">
        <v>44498</v>
      </c>
      <c r="O23" s="224">
        <v>44498</v>
      </c>
      <c r="P23" s="220" t="s">
        <v>3052</v>
      </c>
      <c r="Q23" s="221">
        <v>1200</v>
      </c>
      <c r="R23" s="221">
        <v>14050</v>
      </c>
      <c r="S23" s="222">
        <v>11960</v>
      </c>
      <c r="T23" s="221">
        <v>14056</v>
      </c>
      <c r="U23" s="222">
        <v>166.11</v>
      </c>
      <c r="V23" s="222">
        <f t="shared" si="0"/>
        <v>11793.89</v>
      </c>
      <c r="W23" s="223">
        <v>166.11</v>
      </c>
      <c r="X23" s="221">
        <v>54260</v>
      </c>
      <c r="Y23" s="222">
        <v>83.05</v>
      </c>
      <c r="Z23" s="220" t="s">
        <v>97</v>
      </c>
      <c r="AA23" s="220"/>
      <c r="AB23" s="220">
        <v>169562</v>
      </c>
      <c r="AC23" s="220"/>
      <c r="AD23" s="220" t="s">
        <v>1152</v>
      </c>
      <c r="AE23" s="220" t="s">
        <v>1153</v>
      </c>
      <c r="AF23" s="221" t="s">
        <v>1154</v>
      </c>
      <c r="AG23" s="220"/>
      <c r="AH23" s="221" t="s">
        <v>1155</v>
      </c>
      <c r="AI23" s="220">
        <v>0</v>
      </c>
      <c r="AJ23" s="220">
        <v>0</v>
      </c>
      <c r="AK23" s="252" t="str">
        <f>VLOOKUP(C23,'[41]Asset Addition Form'!B$8:J$71,9,FALSE)</f>
        <v>Rolloff</v>
      </c>
      <c r="AL23" s="200" t="s">
        <v>18</v>
      </c>
      <c r="AM23" s="200">
        <f t="shared" si="1"/>
        <v>10</v>
      </c>
      <c r="AN23" s="200">
        <f t="shared" si="2"/>
        <v>2021</v>
      </c>
      <c r="AO23" s="200">
        <f t="shared" si="3"/>
        <v>2033</v>
      </c>
      <c r="AP23" s="249">
        <f t="shared" si="4"/>
        <v>2033.8333333333333</v>
      </c>
      <c r="AQ23" s="188">
        <f t="shared" si="5"/>
        <v>83.055555555555557</v>
      </c>
      <c r="AR23" s="188">
        <f t="shared" si="6"/>
        <v>996.66666666666674</v>
      </c>
      <c r="AS23" s="188">
        <f t="shared" si="7"/>
        <v>996.66666666666674</v>
      </c>
      <c r="AT23" s="188">
        <f t="shared" si="11"/>
        <v>0</v>
      </c>
      <c r="AU23" s="188">
        <f t="shared" si="9"/>
        <v>996.66666666666674</v>
      </c>
      <c r="AV23" s="188">
        <f t="shared" si="10"/>
        <v>10963.333333333334</v>
      </c>
      <c r="AW23" s="200" t="s">
        <v>3193</v>
      </c>
    </row>
    <row r="24" spans="2:49" s="200" customFormat="1">
      <c r="B24" s="221">
        <v>2180</v>
      </c>
      <c r="C24" s="225">
        <v>264292</v>
      </c>
      <c r="D24" s="221" t="s">
        <v>97</v>
      </c>
      <c r="E24" s="220" t="s">
        <v>3070</v>
      </c>
      <c r="F24" s="221">
        <v>2</v>
      </c>
      <c r="G24" s="220"/>
      <c r="H24" s="220"/>
      <c r="I24" s="220"/>
      <c r="J24" s="220">
        <v>0</v>
      </c>
      <c r="K24" s="220" t="s">
        <v>2041</v>
      </c>
      <c r="L24" s="220"/>
      <c r="M24" s="220" t="s">
        <v>1454</v>
      </c>
      <c r="N24" s="224">
        <v>44498</v>
      </c>
      <c r="O24" s="224">
        <v>44498</v>
      </c>
      <c r="P24" s="220" t="s">
        <v>3052</v>
      </c>
      <c r="Q24" s="221">
        <v>1200</v>
      </c>
      <c r="R24" s="221">
        <v>14050</v>
      </c>
      <c r="S24" s="222">
        <v>14200</v>
      </c>
      <c r="T24" s="221">
        <v>14056</v>
      </c>
      <c r="U24" s="222">
        <v>197.22</v>
      </c>
      <c r="V24" s="222">
        <f t="shared" si="0"/>
        <v>14002.78</v>
      </c>
      <c r="W24" s="223">
        <v>197.22</v>
      </c>
      <c r="X24" s="221">
        <v>54260</v>
      </c>
      <c r="Y24" s="222">
        <v>98.61</v>
      </c>
      <c r="Z24" s="220" t="s">
        <v>97</v>
      </c>
      <c r="AA24" s="220"/>
      <c r="AB24" s="220">
        <v>168236</v>
      </c>
      <c r="AC24" s="220"/>
      <c r="AD24" s="220" t="s">
        <v>1152</v>
      </c>
      <c r="AE24" s="220" t="s">
        <v>1153</v>
      </c>
      <c r="AF24" s="221" t="s">
        <v>1154</v>
      </c>
      <c r="AG24" s="220"/>
      <c r="AH24" s="221" t="s">
        <v>1155</v>
      </c>
      <c r="AI24" s="220">
        <v>0</v>
      </c>
      <c r="AJ24" s="220">
        <v>0</v>
      </c>
      <c r="AK24" s="252" t="str">
        <f>VLOOKUP(C24,'[41]Asset Addition Form'!B$8:J$71,9,FALSE)</f>
        <v>Rolloff</v>
      </c>
      <c r="AL24" s="200" t="s">
        <v>18</v>
      </c>
      <c r="AM24" s="200">
        <f t="shared" si="1"/>
        <v>10</v>
      </c>
      <c r="AN24" s="200">
        <f t="shared" si="2"/>
        <v>2021</v>
      </c>
      <c r="AO24" s="200">
        <f t="shared" si="3"/>
        <v>2033</v>
      </c>
      <c r="AP24" s="249">
        <f t="shared" si="4"/>
        <v>2033.8333333333333</v>
      </c>
      <c r="AQ24" s="188">
        <f t="shared" si="5"/>
        <v>98.6111111111111</v>
      </c>
      <c r="AR24" s="188">
        <f t="shared" si="6"/>
        <v>1183.3333333333333</v>
      </c>
      <c r="AS24" s="188">
        <f t="shared" si="7"/>
        <v>1183.3333333333333</v>
      </c>
      <c r="AT24" s="188">
        <f t="shared" si="11"/>
        <v>0</v>
      </c>
      <c r="AU24" s="188">
        <f t="shared" si="9"/>
        <v>1183.3333333333333</v>
      </c>
      <c r="AV24" s="188">
        <f t="shared" si="10"/>
        <v>13016.666666666666</v>
      </c>
      <c r="AW24" s="200" t="s">
        <v>3193</v>
      </c>
    </row>
    <row r="25" spans="2:49" s="200" customFormat="1">
      <c r="B25" s="221">
        <v>2180</v>
      </c>
      <c r="C25" s="225">
        <v>263831</v>
      </c>
      <c r="D25" s="221">
        <v>263830</v>
      </c>
      <c r="E25" s="220" t="s">
        <v>3069</v>
      </c>
      <c r="F25" s="221">
        <v>1</v>
      </c>
      <c r="G25" s="220"/>
      <c r="H25" s="220"/>
      <c r="I25" s="220"/>
      <c r="J25" s="220">
        <v>0</v>
      </c>
      <c r="K25" s="220" t="s">
        <v>3068</v>
      </c>
      <c r="L25" s="220"/>
      <c r="M25" s="220"/>
      <c r="N25" s="224">
        <v>44463</v>
      </c>
      <c r="O25" s="224">
        <v>44463</v>
      </c>
      <c r="P25" s="220" t="s">
        <v>3065</v>
      </c>
      <c r="Q25" s="221">
        <v>300</v>
      </c>
      <c r="R25" s="221">
        <v>14110</v>
      </c>
      <c r="S25" s="222">
        <v>262.73</v>
      </c>
      <c r="T25" s="221">
        <v>14116</v>
      </c>
      <c r="U25" s="222">
        <v>21.9</v>
      </c>
      <c r="V25" s="222">
        <f t="shared" si="0"/>
        <v>240.83</v>
      </c>
      <c r="W25" s="223">
        <v>21.9</v>
      </c>
      <c r="X25" s="221">
        <v>70260</v>
      </c>
      <c r="Y25" s="222">
        <v>7.3</v>
      </c>
      <c r="Z25" s="220" t="s">
        <v>97</v>
      </c>
      <c r="AA25" s="220"/>
      <c r="AB25" s="220">
        <v>281824</v>
      </c>
      <c r="AC25" s="220"/>
      <c r="AD25" s="220" t="s">
        <v>1152</v>
      </c>
      <c r="AE25" s="220" t="s">
        <v>1153</v>
      </c>
      <c r="AF25" s="221" t="s">
        <v>1154</v>
      </c>
      <c r="AG25" s="220"/>
      <c r="AH25" s="221" t="s">
        <v>1155</v>
      </c>
      <c r="AI25" s="220">
        <v>0</v>
      </c>
      <c r="AJ25" s="220">
        <v>0</v>
      </c>
      <c r="AK25" s="252" t="str">
        <f>VLOOKUP(C25,'[41]Asset Addition Form'!B$8:J$71,9,FALSE)</f>
        <v>G&amp;A</v>
      </c>
      <c r="AL25" s="200" t="s">
        <v>28</v>
      </c>
      <c r="AM25" s="200">
        <f t="shared" si="1"/>
        <v>9</v>
      </c>
      <c r="AN25" s="200">
        <f t="shared" si="2"/>
        <v>2021</v>
      </c>
      <c r="AO25" s="200">
        <f t="shared" si="3"/>
        <v>2024</v>
      </c>
      <c r="AP25" s="249">
        <f t="shared" si="4"/>
        <v>2024.75</v>
      </c>
      <c r="AQ25" s="188">
        <f t="shared" si="5"/>
        <v>7.298055555555556</v>
      </c>
      <c r="AR25" s="188">
        <f t="shared" si="6"/>
        <v>87.576666666666668</v>
      </c>
      <c r="AS25" s="188">
        <f t="shared" si="7"/>
        <v>87.576666666666668</v>
      </c>
      <c r="AT25" s="188">
        <f t="shared" si="11"/>
        <v>0</v>
      </c>
      <c r="AU25" s="188">
        <f t="shared" si="9"/>
        <v>87.576666666666668</v>
      </c>
      <c r="AV25" s="188">
        <f t="shared" si="10"/>
        <v>175.15333333333336</v>
      </c>
      <c r="AW25" s="200" t="s">
        <v>3193</v>
      </c>
    </row>
    <row r="26" spans="2:49" s="200" customFormat="1">
      <c r="B26" s="221">
        <v>2180</v>
      </c>
      <c r="C26" s="225">
        <v>263830</v>
      </c>
      <c r="D26" s="221" t="s">
        <v>97</v>
      </c>
      <c r="E26" s="220" t="s">
        <v>3067</v>
      </c>
      <c r="F26" s="221">
        <v>1</v>
      </c>
      <c r="G26" s="220"/>
      <c r="H26" s="220"/>
      <c r="I26" s="220"/>
      <c r="J26" s="220">
        <v>0</v>
      </c>
      <c r="K26" s="220" t="s">
        <v>3066</v>
      </c>
      <c r="L26" s="220"/>
      <c r="M26" s="220"/>
      <c r="N26" s="224">
        <v>44463</v>
      </c>
      <c r="O26" s="224">
        <v>44463</v>
      </c>
      <c r="P26" s="220" t="s">
        <v>3065</v>
      </c>
      <c r="Q26" s="221">
        <v>300</v>
      </c>
      <c r="R26" s="221">
        <v>14110</v>
      </c>
      <c r="S26" s="222">
        <v>1173.05</v>
      </c>
      <c r="T26" s="221">
        <v>14116</v>
      </c>
      <c r="U26" s="222">
        <v>97.76</v>
      </c>
      <c r="V26" s="222">
        <f t="shared" si="0"/>
        <v>1075.29</v>
      </c>
      <c r="W26" s="223">
        <v>97.76</v>
      </c>
      <c r="X26" s="221">
        <v>70260</v>
      </c>
      <c r="Y26" s="222">
        <v>32.590000000000003</v>
      </c>
      <c r="Z26" s="220" t="s">
        <v>97</v>
      </c>
      <c r="AA26" s="220"/>
      <c r="AB26" s="220" t="s">
        <v>3064</v>
      </c>
      <c r="AC26" s="220"/>
      <c r="AD26" s="220" t="s">
        <v>1152</v>
      </c>
      <c r="AE26" s="220" t="s">
        <v>1153</v>
      </c>
      <c r="AF26" s="221" t="s">
        <v>1154</v>
      </c>
      <c r="AG26" s="220"/>
      <c r="AH26" s="221" t="s">
        <v>1155</v>
      </c>
      <c r="AI26" s="220">
        <v>0</v>
      </c>
      <c r="AJ26" s="220">
        <v>0</v>
      </c>
      <c r="AK26" s="252" t="str">
        <f>VLOOKUP(C26,'[41]Asset Addition Form'!B$8:J$71,9,FALSE)</f>
        <v>G&amp;A</v>
      </c>
      <c r="AL26" s="200" t="s">
        <v>28</v>
      </c>
      <c r="AM26" s="200">
        <f t="shared" si="1"/>
        <v>9</v>
      </c>
      <c r="AN26" s="200">
        <f t="shared" si="2"/>
        <v>2021</v>
      </c>
      <c r="AO26" s="200">
        <f t="shared" si="3"/>
        <v>2024</v>
      </c>
      <c r="AP26" s="249">
        <f t="shared" si="4"/>
        <v>2024.75</v>
      </c>
      <c r="AQ26" s="188">
        <f t="shared" si="5"/>
        <v>32.584722222222219</v>
      </c>
      <c r="AR26" s="188">
        <f t="shared" si="6"/>
        <v>391.01666666666665</v>
      </c>
      <c r="AS26" s="188">
        <f t="shared" si="7"/>
        <v>391.01666666666665</v>
      </c>
      <c r="AT26" s="188">
        <f t="shared" si="11"/>
        <v>0</v>
      </c>
      <c r="AU26" s="188">
        <f t="shared" si="9"/>
        <v>391.01666666666665</v>
      </c>
      <c r="AV26" s="188">
        <f t="shared" si="10"/>
        <v>782.0333333333333</v>
      </c>
      <c r="AW26" s="200" t="s">
        <v>3193</v>
      </c>
    </row>
    <row r="27" spans="2:49" s="200" customFormat="1">
      <c r="B27" s="221">
        <v>2180</v>
      </c>
      <c r="C27" s="225">
        <v>260012</v>
      </c>
      <c r="D27" s="221" t="s">
        <v>97</v>
      </c>
      <c r="E27" s="220" t="s">
        <v>3063</v>
      </c>
      <c r="F27" s="221">
        <v>7</v>
      </c>
      <c r="G27" s="220"/>
      <c r="H27" s="220"/>
      <c r="I27" s="220"/>
      <c r="J27" s="220">
        <v>0</v>
      </c>
      <c r="K27" s="220" t="s">
        <v>2041</v>
      </c>
      <c r="L27" s="220"/>
      <c r="M27" s="220" t="s">
        <v>3051</v>
      </c>
      <c r="N27" s="224">
        <v>44407</v>
      </c>
      <c r="O27" s="224">
        <v>44407</v>
      </c>
      <c r="P27" s="220" t="s">
        <v>3050</v>
      </c>
      <c r="Q27" s="221">
        <v>1200</v>
      </c>
      <c r="R27" s="221">
        <v>14050</v>
      </c>
      <c r="S27" s="222">
        <v>10682.91</v>
      </c>
      <c r="T27" s="221">
        <v>14056</v>
      </c>
      <c r="U27" s="222">
        <v>370.94</v>
      </c>
      <c r="V27" s="222">
        <f t="shared" si="0"/>
        <v>10311.969999999999</v>
      </c>
      <c r="W27" s="223">
        <v>370.94</v>
      </c>
      <c r="X27" s="221">
        <v>54260</v>
      </c>
      <c r="Y27" s="222">
        <v>74.19</v>
      </c>
      <c r="Z27" s="220" t="s">
        <v>97</v>
      </c>
      <c r="AA27" s="220"/>
      <c r="AB27" s="220">
        <v>167973</v>
      </c>
      <c r="AC27" s="220"/>
      <c r="AD27" s="220" t="s">
        <v>1152</v>
      </c>
      <c r="AE27" s="220" t="s">
        <v>1153</v>
      </c>
      <c r="AF27" s="221" t="s">
        <v>1154</v>
      </c>
      <c r="AG27" s="220"/>
      <c r="AH27" s="221" t="s">
        <v>1155</v>
      </c>
      <c r="AI27" s="220">
        <v>0</v>
      </c>
      <c r="AJ27" s="220">
        <v>0</v>
      </c>
      <c r="AK27" s="252" t="str">
        <f>VLOOKUP(C27,'[41]Asset Addition Form'!B$8:J$71,9,FALSE)</f>
        <v>Commercial</v>
      </c>
      <c r="AL27" s="200" t="s">
        <v>16</v>
      </c>
      <c r="AM27" s="200">
        <f t="shared" si="1"/>
        <v>7</v>
      </c>
      <c r="AN27" s="200">
        <f t="shared" si="2"/>
        <v>2021</v>
      </c>
      <c r="AO27" s="200">
        <f t="shared" si="3"/>
        <v>2033</v>
      </c>
      <c r="AP27" s="249">
        <f t="shared" si="4"/>
        <v>2033.5833333333333</v>
      </c>
      <c r="AQ27" s="188">
        <f t="shared" si="5"/>
        <v>74.186875000000001</v>
      </c>
      <c r="AR27" s="188">
        <f t="shared" si="6"/>
        <v>890.24250000000006</v>
      </c>
      <c r="AS27" s="188">
        <f t="shared" si="7"/>
        <v>890.24250000000006</v>
      </c>
      <c r="AT27" s="188">
        <f t="shared" si="11"/>
        <v>0</v>
      </c>
      <c r="AU27" s="188">
        <f t="shared" si="9"/>
        <v>890.24250000000006</v>
      </c>
      <c r="AV27" s="188">
        <f t="shared" si="10"/>
        <v>9792.6674999999996</v>
      </c>
      <c r="AW27" s="200" t="s">
        <v>3193</v>
      </c>
    </row>
    <row r="28" spans="2:49" s="200" customFormat="1">
      <c r="B28" s="221">
        <v>2180</v>
      </c>
      <c r="C28" s="225">
        <v>260011</v>
      </c>
      <c r="D28" s="221" t="s">
        <v>97</v>
      </c>
      <c r="E28" s="220" t="s">
        <v>3062</v>
      </c>
      <c r="F28" s="221">
        <v>7</v>
      </c>
      <c r="G28" s="220"/>
      <c r="H28" s="220"/>
      <c r="I28" s="220"/>
      <c r="J28" s="220">
        <v>0</v>
      </c>
      <c r="K28" s="220" t="s">
        <v>2041</v>
      </c>
      <c r="L28" s="220"/>
      <c r="M28" s="220" t="s">
        <v>3051</v>
      </c>
      <c r="N28" s="224">
        <v>44407</v>
      </c>
      <c r="O28" s="224">
        <v>44407</v>
      </c>
      <c r="P28" s="220" t="s">
        <v>3050</v>
      </c>
      <c r="Q28" s="221">
        <v>1200</v>
      </c>
      <c r="R28" s="221">
        <v>14050</v>
      </c>
      <c r="S28" s="222">
        <v>10682.91</v>
      </c>
      <c r="T28" s="221">
        <v>14056</v>
      </c>
      <c r="U28" s="222">
        <v>370.94</v>
      </c>
      <c r="V28" s="222">
        <f t="shared" si="0"/>
        <v>10311.969999999999</v>
      </c>
      <c r="W28" s="223">
        <v>370.94</v>
      </c>
      <c r="X28" s="221">
        <v>54260</v>
      </c>
      <c r="Y28" s="222">
        <v>74.19</v>
      </c>
      <c r="Z28" s="220" t="s">
        <v>97</v>
      </c>
      <c r="AA28" s="220"/>
      <c r="AB28" s="220">
        <v>167972</v>
      </c>
      <c r="AC28" s="220"/>
      <c r="AD28" s="220" t="s">
        <v>1152</v>
      </c>
      <c r="AE28" s="220" t="s">
        <v>1153</v>
      </c>
      <c r="AF28" s="221" t="s">
        <v>1154</v>
      </c>
      <c r="AG28" s="220"/>
      <c r="AH28" s="221" t="s">
        <v>1155</v>
      </c>
      <c r="AI28" s="220">
        <v>0</v>
      </c>
      <c r="AJ28" s="220">
        <v>0</v>
      </c>
      <c r="AK28" s="252" t="str">
        <f>VLOOKUP(C28,'[41]Asset Addition Form'!B$8:J$71,9,FALSE)</f>
        <v>Commercial</v>
      </c>
      <c r="AL28" s="200" t="s">
        <v>16</v>
      </c>
      <c r="AM28" s="200">
        <f t="shared" si="1"/>
        <v>7</v>
      </c>
      <c r="AN28" s="200">
        <f t="shared" si="2"/>
        <v>2021</v>
      </c>
      <c r="AO28" s="200">
        <f t="shared" si="3"/>
        <v>2033</v>
      </c>
      <c r="AP28" s="249">
        <f t="shared" si="4"/>
        <v>2033.5833333333333</v>
      </c>
      <c r="AQ28" s="188">
        <f t="shared" si="5"/>
        <v>74.186875000000001</v>
      </c>
      <c r="AR28" s="188">
        <f t="shared" si="6"/>
        <v>890.24250000000006</v>
      </c>
      <c r="AS28" s="188">
        <f t="shared" si="7"/>
        <v>890.24250000000006</v>
      </c>
      <c r="AT28" s="188">
        <f t="shared" si="11"/>
        <v>0</v>
      </c>
      <c r="AU28" s="188">
        <f t="shared" si="9"/>
        <v>890.24250000000006</v>
      </c>
      <c r="AV28" s="188">
        <f t="shared" si="10"/>
        <v>9792.6674999999996</v>
      </c>
      <c r="AW28" s="200" t="s">
        <v>3193</v>
      </c>
    </row>
    <row r="29" spans="2:49" s="200" customFormat="1">
      <c r="B29" s="221">
        <v>2180</v>
      </c>
      <c r="C29" s="225">
        <v>260010</v>
      </c>
      <c r="D29" s="221" t="s">
        <v>97</v>
      </c>
      <c r="E29" s="220" t="s">
        <v>3061</v>
      </c>
      <c r="F29" s="221">
        <v>10</v>
      </c>
      <c r="G29" s="220"/>
      <c r="H29" s="220"/>
      <c r="I29" s="220"/>
      <c r="J29" s="220">
        <v>0</v>
      </c>
      <c r="K29" s="220" t="s">
        <v>2041</v>
      </c>
      <c r="L29" s="220"/>
      <c r="M29" s="220" t="s">
        <v>3059</v>
      </c>
      <c r="N29" s="224">
        <v>44426</v>
      </c>
      <c r="O29" s="224">
        <v>44426</v>
      </c>
      <c r="P29" s="220" t="s">
        <v>3058</v>
      </c>
      <c r="Q29" s="221">
        <v>1200</v>
      </c>
      <c r="R29" s="221">
        <v>14050</v>
      </c>
      <c r="S29" s="222">
        <v>10228.9</v>
      </c>
      <c r="T29" s="221">
        <v>14056</v>
      </c>
      <c r="U29" s="222">
        <v>284.14</v>
      </c>
      <c r="V29" s="222">
        <f t="shared" si="0"/>
        <v>9944.76</v>
      </c>
      <c r="W29" s="223">
        <v>284.14</v>
      </c>
      <c r="X29" s="221">
        <v>54260</v>
      </c>
      <c r="Y29" s="222">
        <v>71.03</v>
      </c>
      <c r="Z29" s="220" t="s">
        <v>97</v>
      </c>
      <c r="AA29" s="220"/>
      <c r="AB29" s="220">
        <v>168293</v>
      </c>
      <c r="AC29" s="220"/>
      <c r="AD29" s="220" t="s">
        <v>1152</v>
      </c>
      <c r="AE29" s="220" t="s">
        <v>1153</v>
      </c>
      <c r="AF29" s="221" t="s">
        <v>1154</v>
      </c>
      <c r="AG29" s="220"/>
      <c r="AH29" s="221" t="s">
        <v>1155</v>
      </c>
      <c r="AI29" s="220">
        <v>0</v>
      </c>
      <c r="AJ29" s="220">
        <v>0</v>
      </c>
      <c r="AK29" s="252" t="str">
        <f>VLOOKUP(C29,'[41]Asset Addition Form'!B$8:J$71,9,FALSE)</f>
        <v>Commercial</v>
      </c>
      <c r="AL29" s="200" t="s">
        <v>16</v>
      </c>
      <c r="AM29" s="200">
        <f t="shared" si="1"/>
        <v>8</v>
      </c>
      <c r="AN29" s="200">
        <f t="shared" si="2"/>
        <v>2021</v>
      </c>
      <c r="AO29" s="200">
        <f t="shared" si="3"/>
        <v>2033</v>
      </c>
      <c r="AP29" s="249">
        <f t="shared" si="4"/>
        <v>2033.6666666666667</v>
      </c>
      <c r="AQ29" s="188">
        <f t="shared" si="5"/>
        <v>71.03402777777778</v>
      </c>
      <c r="AR29" s="188">
        <f t="shared" si="6"/>
        <v>852.4083333333333</v>
      </c>
      <c r="AS29" s="188">
        <f t="shared" si="7"/>
        <v>852.4083333333333</v>
      </c>
      <c r="AT29" s="188">
        <f t="shared" si="11"/>
        <v>0</v>
      </c>
      <c r="AU29" s="188">
        <f t="shared" si="9"/>
        <v>852.4083333333333</v>
      </c>
      <c r="AV29" s="188">
        <f t="shared" si="10"/>
        <v>9376.4916666666668</v>
      </c>
      <c r="AW29" s="200" t="s">
        <v>3193</v>
      </c>
    </row>
    <row r="30" spans="2:49" s="200" customFormat="1">
      <c r="B30" s="221">
        <v>2180</v>
      </c>
      <c r="C30" s="225">
        <v>260009</v>
      </c>
      <c r="D30" s="221" t="s">
        <v>97</v>
      </c>
      <c r="E30" s="220" t="s">
        <v>3061</v>
      </c>
      <c r="F30" s="221">
        <v>7</v>
      </c>
      <c r="G30" s="220"/>
      <c r="H30" s="220"/>
      <c r="I30" s="220"/>
      <c r="J30" s="220">
        <v>0</v>
      </c>
      <c r="K30" s="220" t="s">
        <v>2041</v>
      </c>
      <c r="L30" s="220"/>
      <c r="M30" s="220" t="s">
        <v>3059</v>
      </c>
      <c r="N30" s="224">
        <v>44426</v>
      </c>
      <c r="O30" s="224">
        <v>44426</v>
      </c>
      <c r="P30" s="220" t="s">
        <v>3058</v>
      </c>
      <c r="Q30" s="221">
        <v>1200</v>
      </c>
      <c r="R30" s="221">
        <v>14050</v>
      </c>
      <c r="S30" s="222">
        <v>7160.23</v>
      </c>
      <c r="T30" s="221">
        <v>14056</v>
      </c>
      <c r="U30" s="222">
        <v>198.9</v>
      </c>
      <c r="V30" s="222">
        <f t="shared" si="0"/>
        <v>6961.33</v>
      </c>
      <c r="W30" s="223">
        <v>198.9</v>
      </c>
      <c r="X30" s="221">
        <v>54260</v>
      </c>
      <c r="Y30" s="222">
        <v>49.72</v>
      </c>
      <c r="Z30" s="220" t="s">
        <v>97</v>
      </c>
      <c r="AA30" s="220"/>
      <c r="AB30" s="220">
        <v>168292</v>
      </c>
      <c r="AC30" s="220"/>
      <c r="AD30" s="220" t="s">
        <v>1152</v>
      </c>
      <c r="AE30" s="220" t="s">
        <v>1153</v>
      </c>
      <c r="AF30" s="221" t="s">
        <v>1154</v>
      </c>
      <c r="AG30" s="220"/>
      <c r="AH30" s="221" t="s">
        <v>1155</v>
      </c>
      <c r="AI30" s="220">
        <v>0</v>
      </c>
      <c r="AJ30" s="220">
        <v>0</v>
      </c>
      <c r="AK30" s="252" t="str">
        <f>VLOOKUP(C30,'[41]Asset Addition Form'!B$8:J$71,9,FALSE)</f>
        <v>Commercial</v>
      </c>
      <c r="AL30" s="200" t="s">
        <v>16</v>
      </c>
      <c r="AM30" s="200">
        <f t="shared" si="1"/>
        <v>8</v>
      </c>
      <c r="AN30" s="200">
        <f t="shared" si="2"/>
        <v>2021</v>
      </c>
      <c r="AO30" s="200">
        <f t="shared" si="3"/>
        <v>2033</v>
      </c>
      <c r="AP30" s="249">
        <f t="shared" si="4"/>
        <v>2033.6666666666667</v>
      </c>
      <c r="AQ30" s="188">
        <f t="shared" si="5"/>
        <v>49.723819444444445</v>
      </c>
      <c r="AR30" s="188">
        <f t="shared" si="6"/>
        <v>596.68583333333333</v>
      </c>
      <c r="AS30" s="188">
        <f t="shared" si="7"/>
        <v>596.68583333333333</v>
      </c>
      <c r="AT30" s="188">
        <f t="shared" si="11"/>
        <v>0</v>
      </c>
      <c r="AU30" s="188">
        <f t="shared" si="9"/>
        <v>596.68583333333333</v>
      </c>
      <c r="AV30" s="188">
        <f t="shared" si="10"/>
        <v>6563.5441666666666</v>
      </c>
      <c r="AW30" s="200" t="s">
        <v>3193</v>
      </c>
    </row>
    <row r="31" spans="2:49" s="200" customFormat="1">
      <c r="B31" s="221">
        <v>2180</v>
      </c>
      <c r="C31" s="225">
        <v>260008</v>
      </c>
      <c r="D31" s="221" t="s">
        <v>97</v>
      </c>
      <c r="E31" s="220" t="s">
        <v>3061</v>
      </c>
      <c r="F31" s="221">
        <v>10</v>
      </c>
      <c r="G31" s="220"/>
      <c r="H31" s="220"/>
      <c r="I31" s="220"/>
      <c r="J31" s="220">
        <v>0</v>
      </c>
      <c r="K31" s="220" t="s">
        <v>2041</v>
      </c>
      <c r="L31" s="220"/>
      <c r="M31" s="220" t="s">
        <v>3059</v>
      </c>
      <c r="N31" s="224">
        <v>44426</v>
      </c>
      <c r="O31" s="224">
        <v>44426</v>
      </c>
      <c r="P31" s="220" t="s">
        <v>3058</v>
      </c>
      <c r="Q31" s="221">
        <v>1200</v>
      </c>
      <c r="R31" s="221">
        <v>14050</v>
      </c>
      <c r="S31" s="222">
        <v>10228.9</v>
      </c>
      <c r="T31" s="221">
        <v>14056</v>
      </c>
      <c r="U31" s="222">
        <v>284.14</v>
      </c>
      <c r="V31" s="222">
        <f t="shared" si="0"/>
        <v>9944.76</v>
      </c>
      <c r="W31" s="223">
        <v>284.14</v>
      </c>
      <c r="X31" s="221">
        <v>54260</v>
      </c>
      <c r="Y31" s="222">
        <v>71.03</v>
      </c>
      <c r="Z31" s="220" t="s">
        <v>97</v>
      </c>
      <c r="AA31" s="220"/>
      <c r="AB31" s="220">
        <v>168289</v>
      </c>
      <c r="AC31" s="220"/>
      <c r="AD31" s="220" t="s">
        <v>1152</v>
      </c>
      <c r="AE31" s="220" t="s">
        <v>1153</v>
      </c>
      <c r="AF31" s="221" t="s">
        <v>1154</v>
      </c>
      <c r="AG31" s="220"/>
      <c r="AH31" s="221" t="s">
        <v>1155</v>
      </c>
      <c r="AI31" s="220">
        <v>0</v>
      </c>
      <c r="AJ31" s="220">
        <v>0</v>
      </c>
      <c r="AK31" s="252" t="str">
        <f>VLOOKUP(C31,'[41]Asset Addition Form'!B$8:J$71,9,FALSE)</f>
        <v>Commercial</v>
      </c>
      <c r="AL31" s="200" t="s">
        <v>16</v>
      </c>
      <c r="AM31" s="200">
        <f t="shared" si="1"/>
        <v>8</v>
      </c>
      <c r="AN31" s="200">
        <f t="shared" si="2"/>
        <v>2021</v>
      </c>
      <c r="AO31" s="200">
        <f t="shared" si="3"/>
        <v>2033</v>
      </c>
      <c r="AP31" s="249">
        <f t="shared" si="4"/>
        <v>2033.6666666666667</v>
      </c>
      <c r="AQ31" s="188">
        <f t="shared" si="5"/>
        <v>71.03402777777778</v>
      </c>
      <c r="AR31" s="188">
        <f t="shared" si="6"/>
        <v>852.4083333333333</v>
      </c>
      <c r="AS31" s="188">
        <f t="shared" si="7"/>
        <v>852.4083333333333</v>
      </c>
      <c r="AT31" s="188">
        <f t="shared" si="11"/>
        <v>0</v>
      </c>
      <c r="AU31" s="188">
        <f t="shared" si="9"/>
        <v>852.4083333333333</v>
      </c>
      <c r="AV31" s="188">
        <f t="shared" si="10"/>
        <v>9376.4916666666668</v>
      </c>
      <c r="AW31" s="200" t="s">
        <v>3193</v>
      </c>
    </row>
    <row r="32" spans="2:49" s="200" customFormat="1">
      <c r="B32" s="221">
        <v>2180</v>
      </c>
      <c r="C32" s="225">
        <v>260007</v>
      </c>
      <c r="D32" s="221" t="s">
        <v>97</v>
      </c>
      <c r="E32" s="220" t="s">
        <v>3060</v>
      </c>
      <c r="F32" s="221">
        <v>9</v>
      </c>
      <c r="G32" s="220"/>
      <c r="H32" s="220"/>
      <c r="I32" s="220"/>
      <c r="J32" s="220">
        <v>0</v>
      </c>
      <c r="K32" s="220" t="s">
        <v>2041</v>
      </c>
      <c r="L32" s="220"/>
      <c r="M32" s="220" t="s">
        <v>3059</v>
      </c>
      <c r="N32" s="224">
        <v>44426</v>
      </c>
      <c r="O32" s="224">
        <v>44426</v>
      </c>
      <c r="P32" s="220" t="s">
        <v>3058</v>
      </c>
      <c r="Q32" s="221">
        <v>1200</v>
      </c>
      <c r="R32" s="221">
        <v>14050</v>
      </c>
      <c r="S32" s="222">
        <v>9206.01</v>
      </c>
      <c r="T32" s="221">
        <v>14056</v>
      </c>
      <c r="U32" s="222">
        <v>255.72</v>
      </c>
      <c r="V32" s="222">
        <f t="shared" si="0"/>
        <v>8950.2900000000009</v>
      </c>
      <c r="W32" s="223">
        <v>255.72</v>
      </c>
      <c r="X32" s="221">
        <v>54260</v>
      </c>
      <c r="Y32" s="222">
        <v>63.93</v>
      </c>
      <c r="Z32" s="220" t="s">
        <v>97</v>
      </c>
      <c r="AA32" s="220"/>
      <c r="AB32" s="220">
        <v>168452</v>
      </c>
      <c r="AC32" s="220"/>
      <c r="AD32" s="220" t="s">
        <v>1152</v>
      </c>
      <c r="AE32" s="220" t="s">
        <v>1153</v>
      </c>
      <c r="AF32" s="221" t="s">
        <v>1154</v>
      </c>
      <c r="AG32" s="220"/>
      <c r="AH32" s="221" t="s">
        <v>1155</v>
      </c>
      <c r="AI32" s="220">
        <v>0</v>
      </c>
      <c r="AJ32" s="220">
        <v>0</v>
      </c>
      <c r="AK32" s="252" t="str">
        <f>VLOOKUP(C32,'[41]Asset Addition Form'!B$8:J$71,9,FALSE)</f>
        <v>Commercial</v>
      </c>
      <c r="AL32" s="200" t="s">
        <v>16</v>
      </c>
      <c r="AM32" s="200">
        <f t="shared" si="1"/>
        <v>8</v>
      </c>
      <c r="AN32" s="200">
        <f t="shared" si="2"/>
        <v>2021</v>
      </c>
      <c r="AO32" s="200">
        <f t="shared" si="3"/>
        <v>2033</v>
      </c>
      <c r="AP32" s="249">
        <f t="shared" si="4"/>
        <v>2033.6666666666667</v>
      </c>
      <c r="AQ32" s="188">
        <f t="shared" si="5"/>
        <v>63.930624999999999</v>
      </c>
      <c r="AR32" s="188">
        <f t="shared" si="6"/>
        <v>767.16750000000002</v>
      </c>
      <c r="AS32" s="188">
        <f t="shared" si="7"/>
        <v>767.16750000000002</v>
      </c>
      <c r="AT32" s="188">
        <f t="shared" si="11"/>
        <v>0</v>
      </c>
      <c r="AU32" s="188">
        <f t="shared" si="9"/>
        <v>767.16750000000002</v>
      </c>
      <c r="AV32" s="188">
        <f t="shared" si="10"/>
        <v>8438.8425000000007</v>
      </c>
      <c r="AW32" s="200" t="s">
        <v>3193</v>
      </c>
    </row>
    <row r="33" spans="2:49" s="200" customFormat="1">
      <c r="B33" s="221">
        <v>2180</v>
      </c>
      <c r="C33" s="225">
        <v>260006</v>
      </c>
      <c r="D33" s="221" t="s">
        <v>97</v>
      </c>
      <c r="E33" s="220" t="s">
        <v>3057</v>
      </c>
      <c r="F33" s="221">
        <v>10</v>
      </c>
      <c r="G33" s="220"/>
      <c r="H33" s="220"/>
      <c r="I33" s="220"/>
      <c r="J33" s="220">
        <v>0</v>
      </c>
      <c r="K33" s="220" t="s">
        <v>2041</v>
      </c>
      <c r="L33" s="220"/>
      <c r="M33" s="220" t="s">
        <v>3056</v>
      </c>
      <c r="N33" s="224">
        <v>44438</v>
      </c>
      <c r="O33" s="224">
        <v>44438</v>
      </c>
      <c r="P33" s="220" t="s">
        <v>3055</v>
      </c>
      <c r="Q33" s="221">
        <v>1200</v>
      </c>
      <c r="R33" s="221">
        <v>14050</v>
      </c>
      <c r="S33" s="222">
        <v>8259.7000000000007</v>
      </c>
      <c r="T33" s="221">
        <v>14056</v>
      </c>
      <c r="U33" s="222">
        <v>229.44</v>
      </c>
      <c r="V33" s="222">
        <f t="shared" si="0"/>
        <v>8030.2600000000011</v>
      </c>
      <c r="W33" s="223">
        <v>229.44</v>
      </c>
      <c r="X33" s="221">
        <v>54260</v>
      </c>
      <c r="Y33" s="222">
        <v>57.36</v>
      </c>
      <c r="Z33" s="220" t="s">
        <v>97</v>
      </c>
      <c r="AA33" s="220"/>
      <c r="AB33" s="220">
        <v>168442</v>
      </c>
      <c r="AC33" s="220"/>
      <c r="AD33" s="220" t="s">
        <v>1152</v>
      </c>
      <c r="AE33" s="220" t="s">
        <v>1153</v>
      </c>
      <c r="AF33" s="221" t="s">
        <v>1154</v>
      </c>
      <c r="AG33" s="220"/>
      <c r="AH33" s="221" t="s">
        <v>1155</v>
      </c>
      <c r="AI33" s="220">
        <v>0</v>
      </c>
      <c r="AJ33" s="220">
        <v>0</v>
      </c>
      <c r="AK33" s="252" t="str">
        <f>VLOOKUP(C33,'[41]Asset Addition Form'!B$8:J$71,9,FALSE)</f>
        <v>Commercial</v>
      </c>
      <c r="AL33" s="200" t="s">
        <v>16</v>
      </c>
      <c r="AM33" s="200">
        <f t="shared" si="1"/>
        <v>8</v>
      </c>
      <c r="AN33" s="200">
        <f t="shared" si="2"/>
        <v>2021</v>
      </c>
      <c r="AO33" s="200">
        <f t="shared" si="3"/>
        <v>2033</v>
      </c>
      <c r="AP33" s="249">
        <f t="shared" si="4"/>
        <v>2033.6666666666667</v>
      </c>
      <c r="AQ33" s="188">
        <f t="shared" si="5"/>
        <v>57.359027777777783</v>
      </c>
      <c r="AR33" s="188">
        <f t="shared" si="6"/>
        <v>688.30833333333339</v>
      </c>
      <c r="AS33" s="188">
        <f t="shared" si="7"/>
        <v>688.30833333333339</v>
      </c>
      <c r="AT33" s="188">
        <f t="shared" si="11"/>
        <v>0</v>
      </c>
      <c r="AU33" s="188">
        <f t="shared" si="9"/>
        <v>688.30833333333339</v>
      </c>
      <c r="AV33" s="188">
        <f t="shared" si="10"/>
        <v>7571.3916666666673</v>
      </c>
      <c r="AW33" s="200" t="s">
        <v>3193</v>
      </c>
    </row>
    <row r="34" spans="2:49" s="200" customFormat="1">
      <c r="B34" s="221">
        <v>2180</v>
      </c>
      <c r="C34" s="225">
        <v>260005</v>
      </c>
      <c r="D34" s="221" t="s">
        <v>97</v>
      </c>
      <c r="E34" s="220" t="s">
        <v>3057</v>
      </c>
      <c r="F34" s="221">
        <v>14</v>
      </c>
      <c r="G34" s="220"/>
      <c r="H34" s="220"/>
      <c r="I34" s="220"/>
      <c r="J34" s="220">
        <v>0</v>
      </c>
      <c r="K34" s="220" t="s">
        <v>2041</v>
      </c>
      <c r="L34" s="220"/>
      <c r="M34" s="220" t="s">
        <v>3056</v>
      </c>
      <c r="N34" s="224">
        <v>44438</v>
      </c>
      <c r="O34" s="224">
        <v>44438</v>
      </c>
      <c r="P34" s="220" t="s">
        <v>3055</v>
      </c>
      <c r="Q34" s="221">
        <v>1200</v>
      </c>
      <c r="R34" s="221">
        <v>14050</v>
      </c>
      <c r="S34" s="222">
        <v>11563.58</v>
      </c>
      <c r="T34" s="221">
        <v>14056</v>
      </c>
      <c r="U34" s="222">
        <v>321.20999999999998</v>
      </c>
      <c r="V34" s="222">
        <f t="shared" si="0"/>
        <v>11242.37</v>
      </c>
      <c r="W34" s="223">
        <v>321.20999999999998</v>
      </c>
      <c r="X34" s="221">
        <v>54260</v>
      </c>
      <c r="Y34" s="222">
        <v>80.3</v>
      </c>
      <c r="Z34" s="220" t="s">
        <v>97</v>
      </c>
      <c r="AA34" s="220"/>
      <c r="AB34" s="220">
        <v>168440</v>
      </c>
      <c r="AC34" s="220"/>
      <c r="AD34" s="220" t="s">
        <v>1152</v>
      </c>
      <c r="AE34" s="220" t="s">
        <v>1153</v>
      </c>
      <c r="AF34" s="221" t="s">
        <v>1154</v>
      </c>
      <c r="AG34" s="220"/>
      <c r="AH34" s="221" t="s">
        <v>1155</v>
      </c>
      <c r="AI34" s="220">
        <v>0</v>
      </c>
      <c r="AJ34" s="220">
        <v>0</v>
      </c>
      <c r="AK34" s="252" t="str">
        <f>VLOOKUP(C34,'[41]Asset Addition Form'!B$8:J$71,9,FALSE)</f>
        <v>Commercial</v>
      </c>
      <c r="AL34" s="200" t="s">
        <v>16</v>
      </c>
      <c r="AM34" s="200">
        <f t="shared" si="1"/>
        <v>8</v>
      </c>
      <c r="AN34" s="200">
        <f t="shared" si="2"/>
        <v>2021</v>
      </c>
      <c r="AO34" s="200">
        <f t="shared" si="3"/>
        <v>2033</v>
      </c>
      <c r="AP34" s="249">
        <f t="shared" si="4"/>
        <v>2033.6666666666667</v>
      </c>
      <c r="AQ34" s="188">
        <f t="shared" si="5"/>
        <v>80.302638888888893</v>
      </c>
      <c r="AR34" s="188">
        <f t="shared" si="6"/>
        <v>963.63166666666666</v>
      </c>
      <c r="AS34" s="188">
        <f t="shared" si="7"/>
        <v>963.63166666666666</v>
      </c>
      <c r="AT34" s="188">
        <f t="shared" si="11"/>
        <v>0</v>
      </c>
      <c r="AU34" s="188">
        <f t="shared" si="9"/>
        <v>963.63166666666666</v>
      </c>
      <c r="AV34" s="188">
        <f t="shared" si="10"/>
        <v>10599.948333333334</v>
      </c>
      <c r="AW34" s="200" t="s">
        <v>3193</v>
      </c>
    </row>
    <row r="35" spans="2:49" s="200" customFormat="1">
      <c r="B35" s="221">
        <v>2180</v>
      </c>
      <c r="C35" s="225">
        <v>260004</v>
      </c>
      <c r="D35" s="221" t="s">
        <v>97</v>
      </c>
      <c r="E35" s="220" t="s">
        <v>2807</v>
      </c>
      <c r="F35" s="221">
        <v>36</v>
      </c>
      <c r="G35" s="220"/>
      <c r="H35" s="220"/>
      <c r="I35" s="220"/>
      <c r="J35" s="220">
        <v>0</v>
      </c>
      <c r="K35" s="220" t="s">
        <v>2041</v>
      </c>
      <c r="L35" s="220"/>
      <c r="M35" s="220" t="s">
        <v>3054</v>
      </c>
      <c r="N35" s="224">
        <v>44407</v>
      </c>
      <c r="O35" s="224">
        <v>44407</v>
      </c>
      <c r="P35" s="220" t="s">
        <v>3053</v>
      </c>
      <c r="Q35" s="221">
        <v>1200</v>
      </c>
      <c r="R35" s="221">
        <v>14050</v>
      </c>
      <c r="S35" s="222">
        <v>28553.4</v>
      </c>
      <c r="T35" s="221">
        <v>14056</v>
      </c>
      <c r="U35" s="222">
        <v>991.44</v>
      </c>
      <c r="V35" s="222">
        <f t="shared" si="0"/>
        <v>27561.960000000003</v>
      </c>
      <c r="W35" s="223">
        <v>991.44</v>
      </c>
      <c r="X35" s="221">
        <v>54260</v>
      </c>
      <c r="Y35" s="222">
        <v>198.29</v>
      </c>
      <c r="Z35" s="220" t="s">
        <v>97</v>
      </c>
      <c r="AA35" s="220"/>
      <c r="AB35" s="220">
        <v>167965</v>
      </c>
      <c r="AC35" s="220"/>
      <c r="AD35" s="220" t="s">
        <v>1152</v>
      </c>
      <c r="AE35" s="220" t="s">
        <v>1153</v>
      </c>
      <c r="AF35" s="221" t="s">
        <v>1154</v>
      </c>
      <c r="AG35" s="220"/>
      <c r="AH35" s="221" t="s">
        <v>1155</v>
      </c>
      <c r="AI35" s="220">
        <v>0</v>
      </c>
      <c r="AJ35" s="220">
        <v>0</v>
      </c>
      <c r="AK35" s="252" t="str">
        <f>VLOOKUP(C35,'[41]Asset Addition Form'!B$8:J$71,9,FALSE)</f>
        <v>Commercial</v>
      </c>
      <c r="AL35" s="200" t="s">
        <v>16</v>
      </c>
      <c r="AM35" s="200">
        <f t="shared" si="1"/>
        <v>7</v>
      </c>
      <c r="AN35" s="200">
        <f t="shared" si="2"/>
        <v>2021</v>
      </c>
      <c r="AO35" s="200">
        <f t="shared" si="3"/>
        <v>2033</v>
      </c>
      <c r="AP35" s="249">
        <f t="shared" si="4"/>
        <v>2033.5833333333333</v>
      </c>
      <c r="AQ35" s="188">
        <f t="shared" si="5"/>
        <v>198.28750000000002</v>
      </c>
      <c r="AR35" s="188">
        <f t="shared" si="6"/>
        <v>2379.4500000000003</v>
      </c>
      <c r="AS35" s="188">
        <f t="shared" si="7"/>
        <v>2379.4500000000003</v>
      </c>
      <c r="AT35" s="188">
        <f t="shared" si="11"/>
        <v>0</v>
      </c>
      <c r="AU35" s="188">
        <f t="shared" si="9"/>
        <v>2379.4500000000003</v>
      </c>
      <c r="AV35" s="188">
        <f t="shared" si="10"/>
        <v>26173.95</v>
      </c>
      <c r="AW35" s="200" t="s">
        <v>3193</v>
      </c>
    </row>
    <row r="36" spans="2:49" s="212" customFormat="1">
      <c r="B36" s="214">
        <v>2180</v>
      </c>
      <c r="C36" s="218">
        <v>259382</v>
      </c>
      <c r="D36" s="214" t="s">
        <v>97</v>
      </c>
      <c r="E36" s="213" t="s">
        <v>1364</v>
      </c>
      <c r="F36" s="214">
        <v>2</v>
      </c>
      <c r="G36" s="213"/>
      <c r="H36" s="213"/>
      <c r="I36" s="213"/>
      <c r="J36" s="213">
        <v>0</v>
      </c>
      <c r="K36" s="213" t="s">
        <v>3041</v>
      </c>
      <c r="L36" s="213"/>
      <c r="M36" s="213" t="s">
        <v>1417</v>
      </c>
      <c r="N36" s="217">
        <v>44344</v>
      </c>
      <c r="O36" s="217">
        <v>44344</v>
      </c>
      <c r="P36" s="213" t="s">
        <v>3049</v>
      </c>
      <c r="Q36" s="214">
        <v>1200</v>
      </c>
      <c r="R36" s="214">
        <v>14050</v>
      </c>
      <c r="S36" s="215">
        <v>7578.72</v>
      </c>
      <c r="T36" s="214">
        <v>14056</v>
      </c>
      <c r="U36" s="215">
        <v>368.41</v>
      </c>
      <c r="V36" s="215">
        <f t="shared" si="0"/>
        <v>7210.31</v>
      </c>
      <c r="W36" s="216">
        <v>368.41</v>
      </c>
      <c r="X36" s="214">
        <v>54260</v>
      </c>
      <c r="Y36" s="215">
        <v>52.63</v>
      </c>
      <c r="Z36" s="213" t="s">
        <v>97</v>
      </c>
      <c r="AA36" s="213"/>
      <c r="AB36" s="213">
        <v>103301</v>
      </c>
      <c r="AC36" s="213"/>
      <c r="AD36" s="213" t="s">
        <v>1152</v>
      </c>
      <c r="AE36" s="213" t="s">
        <v>1153</v>
      </c>
      <c r="AF36" s="214" t="s">
        <v>1154</v>
      </c>
      <c r="AG36" s="213"/>
      <c r="AH36" s="214" t="s">
        <v>1155</v>
      </c>
      <c r="AI36" s="213">
        <v>0</v>
      </c>
      <c r="AJ36" s="213">
        <v>0</v>
      </c>
    </row>
    <row r="37" spans="2:49" s="212" customFormat="1">
      <c r="B37" s="214">
        <v>2180</v>
      </c>
      <c r="C37" s="218">
        <v>259374</v>
      </c>
      <c r="D37" s="214" t="s">
        <v>97</v>
      </c>
      <c r="E37" s="213" t="s">
        <v>1365</v>
      </c>
      <c r="F37" s="214">
        <v>4</v>
      </c>
      <c r="G37" s="213"/>
      <c r="H37" s="213"/>
      <c r="I37" s="213"/>
      <c r="J37" s="213">
        <v>0</v>
      </c>
      <c r="K37" s="213" t="s">
        <v>3041</v>
      </c>
      <c r="L37" s="213"/>
      <c r="M37" s="213" t="s">
        <v>1454</v>
      </c>
      <c r="N37" s="217">
        <v>44344</v>
      </c>
      <c r="O37" s="217">
        <v>44344</v>
      </c>
      <c r="P37" s="213" t="s">
        <v>3052</v>
      </c>
      <c r="Q37" s="214">
        <v>1200</v>
      </c>
      <c r="R37" s="214">
        <v>14050</v>
      </c>
      <c r="S37" s="215">
        <v>15157.46</v>
      </c>
      <c r="T37" s="214">
        <v>14056</v>
      </c>
      <c r="U37" s="215">
        <v>736.82</v>
      </c>
      <c r="V37" s="215">
        <f t="shared" si="0"/>
        <v>14420.64</v>
      </c>
      <c r="W37" s="216">
        <v>736.82</v>
      </c>
      <c r="X37" s="214">
        <v>54260</v>
      </c>
      <c r="Y37" s="215">
        <v>105.26</v>
      </c>
      <c r="Z37" s="213" t="s">
        <v>97</v>
      </c>
      <c r="AA37" s="213"/>
      <c r="AB37" s="213">
        <v>103301</v>
      </c>
      <c r="AC37" s="213"/>
      <c r="AD37" s="213" t="s">
        <v>1152</v>
      </c>
      <c r="AE37" s="213" t="s">
        <v>1153</v>
      </c>
      <c r="AF37" s="214" t="s">
        <v>1154</v>
      </c>
      <c r="AG37" s="213"/>
      <c r="AH37" s="214" t="s">
        <v>1155</v>
      </c>
      <c r="AI37" s="213">
        <v>0</v>
      </c>
      <c r="AJ37" s="213">
        <v>0</v>
      </c>
    </row>
    <row r="38" spans="2:49" s="212" customFormat="1">
      <c r="B38" s="214">
        <v>2180</v>
      </c>
      <c r="C38" s="218">
        <v>259368</v>
      </c>
      <c r="D38" s="214" t="s">
        <v>97</v>
      </c>
      <c r="E38" s="213" t="s">
        <v>1366</v>
      </c>
      <c r="F38" s="214">
        <v>9</v>
      </c>
      <c r="G38" s="213"/>
      <c r="H38" s="213"/>
      <c r="I38" s="213"/>
      <c r="J38" s="213">
        <v>0</v>
      </c>
      <c r="K38" s="213" t="s">
        <v>3041</v>
      </c>
      <c r="L38" s="213"/>
      <c r="M38" s="213" t="s">
        <v>1458</v>
      </c>
      <c r="N38" s="217">
        <v>44344</v>
      </c>
      <c r="O38" s="217">
        <v>44344</v>
      </c>
      <c r="P38" s="213" t="s">
        <v>3040</v>
      </c>
      <c r="Q38" s="214">
        <v>1200</v>
      </c>
      <c r="R38" s="214">
        <v>14050</v>
      </c>
      <c r="S38" s="215">
        <v>34104.28</v>
      </c>
      <c r="T38" s="214">
        <v>14056</v>
      </c>
      <c r="U38" s="215">
        <v>1657.85</v>
      </c>
      <c r="V38" s="215">
        <f t="shared" si="0"/>
        <v>32446.43</v>
      </c>
      <c r="W38" s="216">
        <v>1657.85</v>
      </c>
      <c r="X38" s="214">
        <v>54260</v>
      </c>
      <c r="Y38" s="215">
        <v>236.84</v>
      </c>
      <c r="Z38" s="213" t="s">
        <v>97</v>
      </c>
      <c r="AA38" s="213"/>
      <c r="AB38" s="213">
        <v>103301</v>
      </c>
      <c r="AC38" s="213"/>
      <c r="AD38" s="213" t="s">
        <v>1152</v>
      </c>
      <c r="AE38" s="213" t="s">
        <v>1153</v>
      </c>
      <c r="AF38" s="214" t="s">
        <v>1154</v>
      </c>
      <c r="AG38" s="213"/>
      <c r="AH38" s="214" t="s">
        <v>1155</v>
      </c>
      <c r="AI38" s="213">
        <v>0</v>
      </c>
      <c r="AJ38" s="213">
        <v>0</v>
      </c>
    </row>
    <row r="39" spans="2:49" s="212" customFormat="1">
      <c r="B39" s="214">
        <v>2180</v>
      </c>
      <c r="C39" s="218">
        <v>259131</v>
      </c>
      <c r="D39" s="214" t="s">
        <v>97</v>
      </c>
      <c r="E39" s="213" t="s">
        <v>1374</v>
      </c>
      <c r="F39" s="214">
        <v>4</v>
      </c>
      <c r="G39" s="213"/>
      <c r="H39" s="213"/>
      <c r="I39" s="213"/>
      <c r="J39" s="213">
        <v>0</v>
      </c>
      <c r="K39" s="213" t="s">
        <v>2041</v>
      </c>
      <c r="L39" s="213"/>
      <c r="M39" s="213" t="s">
        <v>3051</v>
      </c>
      <c r="N39" s="217">
        <v>44407</v>
      </c>
      <c r="O39" s="217">
        <v>44407</v>
      </c>
      <c r="P39" s="213" t="s">
        <v>3050</v>
      </c>
      <c r="Q39" s="214">
        <v>1200</v>
      </c>
      <c r="R39" s="214">
        <v>14050</v>
      </c>
      <c r="S39" s="215">
        <v>6151.95</v>
      </c>
      <c r="T39" s="214">
        <v>14056</v>
      </c>
      <c r="U39" s="215">
        <v>213.61</v>
      </c>
      <c r="V39" s="215">
        <f t="shared" si="0"/>
        <v>5938.34</v>
      </c>
      <c r="W39" s="216">
        <v>213.61</v>
      </c>
      <c r="X39" s="214">
        <v>54260</v>
      </c>
      <c r="Y39" s="215">
        <v>42.72</v>
      </c>
      <c r="Z39" s="213" t="s">
        <v>97</v>
      </c>
      <c r="AA39" s="213"/>
      <c r="AB39" s="213">
        <v>167971</v>
      </c>
      <c r="AC39" s="213"/>
      <c r="AD39" s="213" t="s">
        <v>1152</v>
      </c>
      <c r="AE39" s="213" t="s">
        <v>1153</v>
      </c>
      <c r="AF39" s="214" t="s">
        <v>1154</v>
      </c>
      <c r="AG39" s="213"/>
      <c r="AH39" s="214" t="s">
        <v>1155</v>
      </c>
      <c r="AI39" s="213">
        <v>0</v>
      </c>
      <c r="AJ39" s="213">
        <v>0</v>
      </c>
    </row>
    <row r="40" spans="2:49" s="212" customFormat="1">
      <c r="B40" s="214">
        <v>2180</v>
      </c>
      <c r="C40" s="218">
        <v>259130</v>
      </c>
      <c r="D40" s="214" t="s">
        <v>97</v>
      </c>
      <c r="E40" s="213" t="s">
        <v>528</v>
      </c>
      <c r="F40" s="214">
        <v>4</v>
      </c>
      <c r="G40" s="213"/>
      <c r="H40" s="213"/>
      <c r="I40" s="213"/>
      <c r="J40" s="213">
        <v>0</v>
      </c>
      <c r="K40" s="213" t="s">
        <v>2041</v>
      </c>
      <c r="L40" s="213"/>
      <c r="M40" s="213" t="s">
        <v>3051</v>
      </c>
      <c r="N40" s="217">
        <v>44407</v>
      </c>
      <c r="O40" s="217">
        <v>44407</v>
      </c>
      <c r="P40" s="213" t="s">
        <v>3050</v>
      </c>
      <c r="Q40" s="214">
        <v>1200</v>
      </c>
      <c r="R40" s="214">
        <v>14050</v>
      </c>
      <c r="S40" s="215">
        <v>6151.95</v>
      </c>
      <c r="T40" s="214">
        <v>14056</v>
      </c>
      <c r="U40" s="215">
        <v>213.61</v>
      </c>
      <c r="V40" s="215">
        <f t="shared" si="0"/>
        <v>5938.34</v>
      </c>
      <c r="W40" s="216">
        <v>213.61</v>
      </c>
      <c r="X40" s="214">
        <v>54260</v>
      </c>
      <c r="Y40" s="215">
        <v>42.72</v>
      </c>
      <c r="Z40" s="213" t="s">
        <v>97</v>
      </c>
      <c r="AA40" s="213"/>
      <c r="AB40" s="213">
        <v>167970</v>
      </c>
      <c r="AC40" s="213"/>
      <c r="AD40" s="213" t="s">
        <v>1152</v>
      </c>
      <c r="AE40" s="213" t="s">
        <v>1153</v>
      </c>
      <c r="AF40" s="214" t="s">
        <v>1154</v>
      </c>
      <c r="AG40" s="213"/>
      <c r="AH40" s="214" t="s">
        <v>1155</v>
      </c>
      <c r="AI40" s="213">
        <v>0</v>
      </c>
      <c r="AJ40" s="213">
        <v>0</v>
      </c>
    </row>
    <row r="41" spans="2:49" s="212" customFormat="1">
      <c r="B41" s="214">
        <v>2180</v>
      </c>
      <c r="C41" s="218">
        <v>259129</v>
      </c>
      <c r="D41" s="214" t="s">
        <v>97</v>
      </c>
      <c r="E41" s="213" t="s">
        <v>528</v>
      </c>
      <c r="F41" s="214">
        <v>4</v>
      </c>
      <c r="G41" s="213"/>
      <c r="H41" s="213"/>
      <c r="I41" s="213"/>
      <c r="J41" s="213">
        <v>0</v>
      </c>
      <c r="K41" s="213" t="s">
        <v>2041</v>
      </c>
      <c r="L41" s="213"/>
      <c r="M41" s="213" t="s">
        <v>3051</v>
      </c>
      <c r="N41" s="217">
        <v>44407</v>
      </c>
      <c r="O41" s="217">
        <v>44407</v>
      </c>
      <c r="P41" s="213" t="s">
        <v>3050</v>
      </c>
      <c r="Q41" s="214">
        <v>1200</v>
      </c>
      <c r="R41" s="214">
        <v>14050</v>
      </c>
      <c r="S41" s="215">
        <v>6151.95</v>
      </c>
      <c r="T41" s="214">
        <v>14056</v>
      </c>
      <c r="U41" s="215">
        <v>213.61</v>
      </c>
      <c r="V41" s="215">
        <f t="shared" si="0"/>
        <v>5938.34</v>
      </c>
      <c r="W41" s="216">
        <v>213.61</v>
      </c>
      <c r="X41" s="214">
        <v>54260</v>
      </c>
      <c r="Y41" s="215">
        <v>42.72</v>
      </c>
      <c r="Z41" s="213" t="s">
        <v>97</v>
      </c>
      <c r="AA41" s="213"/>
      <c r="AB41" s="213">
        <v>167969</v>
      </c>
      <c r="AC41" s="213"/>
      <c r="AD41" s="213" t="s">
        <v>1152</v>
      </c>
      <c r="AE41" s="213" t="s">
        <v>1153</v>
      </c>
      <c r="AF41" s="214" t="s">
        <v>1154</v>
      </c>
      <c r="AG41" s="213"/>
      <c r="AH41" s="214" t="s">
        <v>1155</v>
      </c>
      <c r="AI41" s="213">
        <v>0</v>
      </c>
      <c r="AJ41" s="213">
        <v>0</v>
      </c>
    </row>
    <row r="42" spans="2:49" s="212" customFormat="1">
      <c r="B42" s="214">
        <v>2180</v>
      </c>
      <c r="C42" s="218">
        <v>259128</v>
      </c>
      <c r="D42" s="214" t="s">
        <v>97</v>
      </c>
      <c r="E42" s="213" t="s">
        <v>528</v>
      </c>
      <c r="F42" s="214">
        <v>4</v>
      </c>
      <c r="G42" s="213"/>
      <c r="H42" s="213"/>
      <c r="I42" s="213"/>
      <c r="J42" s="213">
        <v>0</v>
      </c>
      <c r="K42" s="213" t="s">
        <v>2041</v>
      </c>
      <c r="L42" s="213"/>
      <c r="M42" s="213" t="s">
        <v>3051</v>
      </c>
      <c r="N42" s="217">
        <v>44407</v>
      </c>
      <c r="O42" s="217">
        <v>44407</v>
      </c>
      <c r="P42" s="213" t="s">
        <v>3050</v>
      </c>
      <c r="Q42" s="214">
        <v>1200</v>
      </c>
      <c r="R42" s="214">
        <v>14050</v>
      </c>
      <c r="S42" s="215">
        <v>6151.95</v>
      </c>
      <c r="T42" s="214">
        <v>14056</v>
      </c>
      <c r="U42" s="215">
        <v>213.61</v>
      </c>
      <c r="V42" s="215">
        <f t="shared" si="0"/>
        <v>5938.34</v>
      </c>
      <c r="W42" s="216">
        <v>213.61</v>
      </c>
      <c r="X42" s="214">
        <v>54260</v>
      </c>
      <c r="Y42" s="215">
        <v>42.72</v>
      </c>
      <c r="Z42" s="213" t="s">
        <v>97</v>
      </c>
      <c r="AA42" s="213"/>
      <c r="AB42" s="213">
        <v>167968</v>
      </c>
      <c r="AC42" s="213"/>
      <c r="AD42" s="213" t="s">
        <v>1152</v>
      </c>
      <c r="AE42" s="213" t="s">
        <v>1153</v>
      </c>
      <c r="AF42" s="214" t="s">
        <v>1154</v>
      </c>
      <c r="AG42" s="213"/>
      <c r="AH42" s="214" t="s">
        <v>1155</v>
      </c>
      <c r="AI42" s="213">
        <v>0</v>
      </c>
      <c r="AJ42" s="213">
        <v>0</v>
      </c>
    </row>
    <row r="43" spans="2:49" s="212" customFormat="1">
      <c r="B43" s="214">
        <v>2180</v>
      </c>
      <c r="C43" s="218">
        <v>259127</v>
      </c>
      <c r="D43" s="214" t="s">
        <v>97</v>
      </c>
      <c r="E43" s="213" t="s">
        <v>528</v>
      </c>
      <c r="F43" s="214">
        <v>4</v>
      </c>
      <c r="G43" s="213"/>
      <c r="H43" s="213"/>
      <c r="I43" s="213"/>
      <c r="J43" s="213">
        <v>0</v>
      </c>
      <c r="K43" s="213" t="s">
        <v>2041</v>
      </c>
      <c r="L43" s="213"/>
      <c r="M43" s="213" t="s">
        <v>3051</v>
      </c>
      <c r="N43" s="217">
        <v>44407</v>
      </c>
      <c r="O43" s="217">
        <v>44407</v>
      </c>
      <c r="P43" s="213" t="s">
        <v>3050</v>
      </c>
      <c r="Q43" s="214">
        <v>1200</v>
      </c>
      <c r="R43" s="214">
        <v>14050</v>
      </c>
      <c r="S43" s="215">
        <v>6151.95</v>
      </c>
      <c r="T43" s="214">
        <v>14056</v>
      </c>
      <c r="U43" s="215">
        <v>213.61</v>
      </c>
      <c r="V43" s="215">
        <f t="shared" si="0"/>
        <v>5938.34</v>
      </c>
      <c r="W43" s="216">
        <v>213.61</v>
      </c>
      <c r="X43" s="214">
        <v>54260</v>
      </c>
      <c r="Y43" s="215">
        <v>42.72</v>
      </c>
      <c r="Z43" s="213" t="s">
        <v>97</v>
      </c>
      <c r="AA43" s="213"/>
      <c r="AB43" s="213">
        <v>167966</v>
      </c>
      <c r="AC43" s="213"/>
      <c r="AD43" s="213" t="s">
        <v>1152</v>
      </c>
      <c r="AE43" s="213" t="s">
        <v>1153</v>
      </c>
      <c r="AF43" s="214" t="s">
        <v>1154</v>
      </c>
      <c r="AG43" s="213"/>
      <c r="AH43" s="214" t="s">
        <v>1155</v>
      </c>
      <c r="AI43" s="213">
        <v>0</v>
      </c>
      <c r="AJ43" s="213">
        <v>0</v>
      </c>
    </row>
    <row r="44" spans="2:49" s="212" customFormat="1">
      <c r="B44" s="214">
        <v>2180</v>
      </c>
      <c r="C44" s="218">
        <v>259126</v>
      </c>
      <c r="D44" s="214" t="s">
        <v>97</v>
      </c>
      <c r="E44" s="213" t="s">
        <v>528</v>
      </c>
      <c r="F44" s="214">
        <v>2</v>
      </c>
      <c r="G44" s="213"/>
      <c r="H44" s="213"/>
      <c r="I44" s="213"/>
      <c r="J44" s="213">
        <v>0</v>
      </c>
      <c r="K44" s="213" t="s">
        <v>2041</v>
      </c>
      <c r="L44" s="213"/>
      <c r="M44" s="213" t="s">
        <v>3051</v>
      </c>
      <c r="N44" s="217">
        <v>44407</v>
      </c>
      <c r="O44" s="217">
        <v>44407</v>
      </c>
      <c r="P44" s="213" t="s">
        <v>3050</v>
      </c>
      <c r="Q44" s="214">
        <v>1200</v>
      </c>
      <c r="R44" s="214">
        <v>14050</v>
      </c>
      <c r="S44" s="215">
        <v>3052.26</v>
      </c>
      <c r="T44" s="214">
        <v>14056</v>
      </c>
      <c r="U44" s="215">
        <v>105.98</v>
      </c>
      <c r="V44" s="215">
        <f t="shared" si="0"/>
        <v>2946.28</v>
      </c>
      <c r="W44" s="216">
        <v>105.98</v>
      </c>
      <c r="X44" s="214">
        <v>54260</v>
      </c>
      <c r="Y44" s="215">
        <v>21.2</v>
      </c>
      <c r="Z44" s="213" t="s">
        <v>97</v>
      </c>
      <c r="AA44" s="213"/>
      <c r="AB44" s="213">
        <v>167974</v>
      </c>
      <c r="AC44" s="213"/>
      <c r="AD44" s="213" t="s">
        <v>1152</v>
      </c>
      <c r="AE44" s="213" t="s">
        <v>1153</v>
      </c>
      <c r="AF44" s="214" t="s">
        <v>1154</v>
      </c>
      <c r="AG44" s="213"/>
      <c r="AH44" s="214" t="s">
        <v>1155</v>
      </c>
      <c r="AI44" s="213">
        <v>0</v>
      </c>
      <c r="AJ44" s="213">
        <v>0</v>
      </c>
    </row>
    <row r="45" spans="2:49" s="212" customFormat="1">
      <c r="B45" s="214">
        <v>2180</v>
      </c>
      <c r="C45" s="218">
        <v>259125</v>
      </c>
      <c r="D45" s="214" t="s">
        <v>97</v>
      </c>
      <c r="E45" s="213" t="s">
        <v>1367</v>
      </c>
      <c r="F45" s="214">
        <v>2</v>
      </c>
      <c r="G45" s="213"/>
      <c r="H45" s="213"/>
      <c r="I45" s="213"/>
      <c r="J45" s="213">
        <v>0</v>
      </c>
      <c r="K45" s="213" t="s">
        <v>2041</v>
      </c>
      <c r="L45" s="213"/>
      <c r="M45" s="213" t="s">
        <v>1417</v>
      </c>
      <c r="N45" s="217">
        <v>44413</v>
      </c>
      <c r="O45" s="217">
        <v>44413</v>
      </c>
      <c r="P45" s="213" t="s">
        <v>3049</v>
      </c>
      <c r="Q45" s="214">
        <v>1200</v>
      </c>
      <c r="R45" s="214">
        <v>14050</v>
      </c>
      <c r="S45" s="215">
        <v>15900</v>
      </c>
      <c r="T45" s="214">
        <v>14056</v>
      </c>
      <c r="U45" s="215">
        <v>552.08000000000004</v>
      </c>
      <c r="V45" s="215">
        <f t="shared" si="0"/>
        <v>15347.92</v>
      </c>
      <c r="W45" s="216">
        <v>552.08000000000004</v>
      </c>
      <c r="X45" s="214">
        <v>54260</v>
      </c>
      <c r="Y45" s="215">
        <v>110.42</v>
      </c>
      <c r="Z45" s="213" t="s">
        <v>97</v>
      </c>
      <c r="AA45" s="213"/>
      <c r="AB45" s="213">
        <v>168214</v>
      </c>
      <c r="AC45" s="213"/>
      <c r="AD45" s="213" t="s">
        <v>1152</v>
      </c>
      <c r="AE45" s="213" t="s">
        <v>1153</v>
      </c>
      <c r="AF45" s="214" t="s">
        <v>1154</v>
      </c>
      <c r="AG45" s="213"/>
      <c r="AH45" s="214" t="s">
        <v>1155</v>
      </c>
      <c r="AI45" s="213">
        <v>0</v>
      </c>
      <c r="AJ45" s="213">
        <v>0</v>
      </c>
    </row>
    <row r="46" spans="2:49" s="212" customFormat="1">
      <c r="B46" s="214">
        <v>2180</v>
      </c>
      <c r="C46" s="218">
        <v>258991</v>
      </c>
      <c r="D46" s="214" t="s">
        <v>97</v>
      </c>
      <c r="E46" s="213" t="s">
        <v>1368</v>
      </c>
      <c r="F46" s="214">
        <v>10</v>
      </c>
      <c r="G46" s="213"/>
      <c r="H46" s="213"/>
      <c r="I46" s="213"/>
      <c r="J46" s="213">
        <v>0</v>
      </c>
      <c r="K46" s="213" t="s">
        <v>2041</v>
      </c>
      <c r="L46" s="213"/>
      <c r="M46" s="213" t="s">
        <v>1458</v>
      </c>
      <c r="N46" s="217">
        <v>44409</v>
      </c>
      <c r="O46" s="217">
        <v>44409</v>
      </c>
      <c r="P46" s="213" t="s">
        <v>3040</v>
      </c>
      <c r="Q46" s="214">
        <v>1200</v>
      </c>
      <c r="R46" s="214">
        <v>14050</v>
      </c>
      <c r="S46" s="215">
        <v>63900</v>
      </c>
      <c r="T46" s="214">
        <v>14056</v>
      </c>
      <c r="U46" s="215">
        <v>2218.75</v>
      </c>
      <c r="V46" s="215">
        <f t="shared" si="0"/>
        <v>61681.25</v>
      </c>
      <c r="W46" s="216">
        <v>2218.75</v>
      </c>
      <c r="X46" s="214">
        <v>54260</v>
      </c>
      <c r="Y46" s="215">
        <v>443.75</v>
      </c>
      <c r="Z46" s="213" t="s">
        <v>97</v>
      </c>
      <c r="AA46" s="213"/>
      <c r="AB46" s="213">
        <v>168258</v>
      </c>
      <c r="AC46" s="213"/>
      <c r="AD46" s="213" t="s">
        <v>1152</v>
      </c>
      <c r="AE46" s="213" t="s">
        <v>1153</v>
      </c>
      <c r="AF46" s="214" t="s">
        <v>1154</v>
      </c>
      <c r="AG46" s="213"/>
      <c r="AH46" s="214" t="s">
        <v>1155</v>
      </c>
      <c r="AI46" s="213">
        <v>0</v>
      </c>
      <c r="AJ46" s="213">
        <v>0</v>
      </c>
    </row>
    <row r="47" spans="2:49" s="212" customFormat="1">
      <c r="B47" s="214">
        <v>2180</v>
      </c>
      <c r="C47" s="218">
        <v>256225</v>
      </c>
      <c r="D47" s="214" t="s">
        <v>97</v>
      </c>
      <c r="E47" s="213" t="s">
        <v>1372</v>
      </c>
      <c r="F47" s="214">
        <v>702</v>
      </c>
      <c r="G47" s="213"/>
      <c r="H47" s="213"/>
      <c r="I47" s="213"/>
      <c r="J47" s="213">
        <v>0</v>
      </c>
      <c r="K47" s="213" t="s">
        <v>2445</v>
      </c>
      <c r="L47" s="213"/>
      <c r="M47" s="213" t="s">
        <v>2846</v>
      </c>
      <c r="N47" s="217">
        <v>44400</v>
      </c>
      <c r="O47" s="217">
        <v>44400</v>
      </c>
      <c r="P47" s="213" t="s">
        <v>3048</v>
      </c>
      <c r="Q47" s="214">
        <v>700</v>
      </c>
      <c r="R47" s="214">
        <v>14050</v>
      </c>
      <c r="S47" s="215">
        <v>42661.73</v>
      </c>
      <c r="T47" s="214">
        <v>14056</v>
      </c>
      <c r="U47" s="215">
        <v>2539.39</v>
      </c>
      <c r="V47" s="215">
        <f t="shared" si="0"/>
        <v>40122.340000000004</v>
      </c>
      <c r="W47" s="216">
        <v>2539.39</v>
      </c>
      <c r="X47" s="214">
        <v>54260</v>
      </c>
      <c r="Y47" s="215">
        <v>507.88</v>
      </c>
      <c r="Z47" s="213" t="s">
        <v>97</v>
      </c>
      <c r="AA47" s="213"/>
      <c r="AB47" s="213">
        <v>50183186</v>
      </c>
      <c r="AC47" s="213"/>
      <c r="AD47" s="213" t="s">
        <v>1152</v>
      </c>
      <c r="AE47" s="213" t="s">
        <v>1153</v>
      </c>
      <c r="AF47" s="214" t="s">
        <v>1154</v>
      </c>
      <c r="AG47" s="213"/>
      <c r="AH47" s="214" t="s">
        <v>1155</v>
      </c>
      <c r="AI47" s="213">
        <v>0</v>
      </c>
      <c r="AJ47" s="213">
        <v>0</v>
      </c>
    </row>
    <row r="48" spans="2:49" s="212" customFormat="1">
      <c r="B48" s="214">
        <v>2180</v>
      </c>
      <c r="C48" s="218">
        <v>256224</v>
      </c>
      <c r="D48" s="214" t="s">
        <v>97</v>
      </c>
      <c r="E48" s="213" t="s">
        <v>1373</v>
      </c>
      <c r="F48" s="214">
        <v>702</v>
      </c>
      <c r="G48" s="213"/>
      <c r="H48" s="213"/>
      <c r="I48" s="213"/>
      <c r="J48" s="213">
        <v>0</v>
      </c>
      <c r="K48" s="213" t="s">
        <v>2445</v>
      </c>
      <c r="L48" s="213"/>
      <c r="M48" s="213" t="s">
        <v>2846</v>
      </c>
      <c r="N48" s="217">
        <v>44398</v>
      </c>
      <c r="O48" s="217">
        <v>44398</v>
      </c>
      <c r="P48" s="213" t="s">
        <v>3047</v>
      </c>
      <c r="Q48" s="214">
        <v>700</v>
      </c>
      <c r="R48" s="214">
        <v>14050</v>
      </c>
      <c r="S48" s="215">
        <v>42661.73</v>
      </c>
      <c r="T48" s="214">
        <v>14056</v>
      </c>
      <c r="U48" s="215">
        <v>2539.39</v>
      </c>
      <c r="V48" s="215">
        <f t="shared" si="0"/>
        <v>40122.340000000004</v>
      </c>
      <c r="W48" s="216">
        <v>2539.39</v>
      </c>
      <c r="X48" s="214">
        <v>54260</v>
      </c>
      <c r="Y48" s="215">
        <v>507.88</v>
      </c>
      <c r="Z48" s="213" t="s">
        <v>97</v>
      </c>
      <c r="AA48" s="213"/>
      <c r="AB48" s="213">
        <v>50182864</v>
      </c>
      <c r="AC48" s="213"/>
      <c r="AD48" s="213" t="s">
        <v>1152</v>
      </c>
      <c r="AE48" s="213" t="s">
        <v>1153</v>
      </c>
      <c r="AF48" s="214" t="s">
        <v>1154</v>
      </c>
      <c r="AG48" s="213"/>
      <c r="AH48" s="214" t="s">
        <v>1155</v>
      </c>
      <c r="AI48" s="213">
        <v>0</v>
      </c>
      <c r="AJ48" s="213">
        <v>0</v>
      </c>
    </row>
    <row r="49" spans="2:36" s="212" customFormat="1">
      <c r="B49" s="214">
        <v>2180</v>
      </c>
      <c r="C49" s="218">
        <v>256223</v>
      </c>
      <c r="D49" s="214" t="s">
        <v>97</v>
      </c>
      <c r="E49" s="213" t="s">
        <v>1373</v>
      </c>
      <c r="F49" s="214">
        <v>702</v>
      </c>
      <c r="G49" s="213"/>
      <c r="H49" s="213"/>
      <c r="I49" s="213"/>
      <c r="J49" s="213">
        <v>0</v>
      </c>
      <c r="K49" s="213" t="s">
        <v>2445</v>
      </c>
      <c r="L49" s="213"/>
      <c r="M49" s="213" t="s">
        <v>2846</v>
      </c>
      <c r="N49" s="217">
        <v>44397</v>
      </c>
      <c r="O49" s="217">
        <v>44397</v>
      </c>
      <c r="P49" s="213" t="s">
        <v>3047</v>
      </c>
      <c r="Q49" s="214">
        <v>700</v>
      </c>
      <c r="R49" s="214">
        <v>14050</v>
      </c>
      <c r="S49" s="215">
        <v>42661.74</v>
      </c>
      <c r="T49" s="214">
        <v>14056</v>
      </c>
      <c r="U49" s="215">
        <v>2539.39</v>
      </c>
      <c r="V49" s="215">
        <f t="shared" si="0"/>
        <v>40122.35</v>
      </c>
      <c r="W49" s="216">
        <v>2539.39</v>
      </c>
      <c r="X49" s="214">
        <v>54260</v>
      </c>
      <c r="Y49" s="215">
        <v>507.88</v>
      </c>
      <c r="Z49" s="213" t="s">
        <v>97</v>
      </c>
      <c r="AA49" s="213"/>
      <c r="AB49" s="213">
        <v>5018659</v>
      </c>
      <c r="AC49" s="213"/>
      <c r="AD49" s="213" t="s">
        <v>1152</v>
      </c>
      <c r="AE49" s="213" t="s">
        <v>1153</v>
      </c>
      <c r="AF49" s="214" t="s">
        <v>1154</v>
      </c>
      <c r="AG49" s="213"/>
      <c r="AH49" s="214" t="s">
        <v>1155</v>
      </c>
      <c r="AI49" s="213">
        <v>0</v>
      </c>
      <c r="AJ49" s="213">
        <v>0</v>
      </c>
    </row>
    <row r="50" spans="2:36" s="212" customFormat="1">
      <c r="B50" s="214">
        <v>2180</v>
      </c>
      <c r="C50" s="218">
        <v>256222</v>
      </c>
      <c r="D50" s="214" t="s">
        <v>97</v>
      </c>
      <c r="E50" s="213" t="s">
        <v>1370</v>
      </c>
      <c r="F50" s="214">
        <v>702</v>
      </c>
      <c r="G50" s="213"/>
      <c r="H50" s="213"/>
      <c r="I50" s="213"/>
      <c r="J50" s="213">
        <v>0</v>
      </c>
      <c r="K50" s="213" t="s">
        <v>2445</v>
      </c>
      <c r="L50" s="213"/>
      <c r="M50" s="213" t="s">
        <v>2846</v>
      </c>
      <c r="N50" s="217">
        <v>44398</v>
      </c>
      <c r="O50" s="217">
        <v>44398</v>
      </c>
      <c r="P50" s="213" t="s">
        <v>3046</v>
      </c>
      <c r="Q50" s="214">
        <v>700</v>
      </c>
      <c r="R50" s="214">
        <v>14050</v>
      </c>
      <c r="S50" s="215">
        <v>42661.73</v>
      </c>
      <c r="T50" s="214">
        <v>14056</v>
      </c>
      <c r="U50" s="215">
        <v>2539.39</v>
      </c>
      <c r="V50" s="215">
        <f t="shared" si="0"/>
        <v>40122.340000000004</v>
      </c>
      <c r="W50" s="216">
        <v>2539.39</v>
      </c>
      <c r="X50" s="214">
        <v>54260</v>
      </c>
      <c r="Y50" s="215">
        <v>507.88</v>
      </c>
      <c r="Z50" s="213" t="s">
        <v>97</v>
      </c>
      <c r="AA50" s="213"/>
      <c r="AB50" s="213">
        <v>50182864</v>
      </c>
      <c r="AC50" s="213"/>
      <c r="AD50" s="213" t="s">
        <v>1152</v>
      </c>
      <c r="AE50" s="213" t="s">
        <v>1153</v>
      </c>
      <c r="AF50" s="214" t="s">
        <v>1154</v>
      </c>
      <c r="AG50" s="213"/>
      <c r="AH50" s="214" t="s">
        <v>1155</v>
      </c>
      <c r="AI50" s="213">
        <v>0</v>
      </c>
      <c r="AJ50" s="213">
        <v>0</v>
      </c>
    </row>
    <row r="51" spans="2:36" s="212" customFormat="1">
      <c r="B51" s="214">
        <v>2180</v>
      </c>
      <c r="C51" s="218">
        <v>256221</v>
      </c>
      <c r="D51" s="214" t="s">
        <v>97</v>
      </c>
      <c r="E51" s="213" t="s">
        <v>1370</v>
      </c>
      <c r="F51" s="214">
        <v>702</v>
      </c>
      <c r="G51" s="213"/>
      <c r="H51" s="213"/>
      <c r="I51" s="213"/>
      <c r="J51" s="213">
        <v>0</v>
      </c>
      <c r="K51" s="213" t="s">
        <v>2445</v>
      </c>
      <c r="L51" s="213"/>
      <c r="M51" s="213" t="s">
        <v>2846</v>
      </c>
      <c r="N51" s="217">
        <v>44397</v>
      </c>
      <c r="O51" s="217">
        <v>44397</v>
      </c>
      <c r="P51" s="213" t="s">
        <v>3046</v>
      </c>
      <c r="Q51" s="214">
        <v>700</v>
      </c>
      <c r="R51" s="214">
        <v>14050</v>
      </c>
      <c r="S51" s="215">
        <v>42661.74</v>
      </c>
      <c r="T51" s="214">
        <v>14056</v>
      </c>
      <c r="U51" s="215">
        <v>2539.39</v>
      </c>
      <c r="V51" s="215">
        <f t="shared" si="0"/>
        <v>40122.35</v>
      </c>
      <c r="W51" s="216">
        <v>2539.39</v>
      </c>
      <c r="X51" s="214">
        <v>54260</v>
      </c>
      <c r="Y51" s="215">
        <v>507.88</v>
      </c>
      <c r="Z51" s="213" t="s">
        <v>97</v>
      </c>
      <c r="AA51" s="213"/>
      <c r="AB51" s="213">
        <v>5018659</v>
      </c>
      <c r="AC51" s="213"/>
      <c r="AD51" s="213" t="s">
        <v>1152</v>
      </c>
      <c r="AE51" s="213" t="s">
        <v>1153</v>
      </c>
      <c r="AF51" s="214" t="s">
        <v>1154</v>
      </c>
      <c r="AG51" s="213"/>
      <c r="AH51" s="214" t="s">
        <v>1155</v>
      </c>
      <c r="AI51" s="213">
        <v>0</v>
      </c>
      <c r="AJ51" s="213">
        <v>0</v>
      </c>
    </row>
    <row r="52" spans="2:36" s="212" customFormat="1">
      <c r="B52" s="214">
        <v>2180</v>
      </c>
      <c r="C52" s="218">
        <v>255409</v>
      </c>
      <c r="D52" s="214" t="s">
        <v>97</v>
      </c>
      <c r="E52" s="213" t="s">
        <v>1353</v>
      </c>
      <c r="F52" s="214"/>
      <c r="G52" s="213"/>
      <c r="H52" s="213" t="s">
        <v>3045</v>
      </c>
      <c r="I52" s="213"/>
      <c r="J52" s="213">
        <v>2021</v>
      </c>
      <c r="K52" s="213"/>
      <c r="L52" s="213"/>
      <c r="M52" s="213" t="s">
        <v>1385</v>
      </c>
      <c r="N52" s="217">
        <v>44313</v>
      </c>
      <c r="O52" s="217">
        <v>44313</v>
      </c>
      <c r="P52" s="213" t="s">
        <v>3044</v>
      </c>
      <c r="Q52" s="214">
        <v>500</v>
      </c>
      <c r="R52" s="214">
        <v>14040</v>
      </c>
      <c r="S52" s="215">
        <v>25411.4</v>
      </c>
      <c r="T52" s="214">
        <v>14046</v>
      </c>
      <c r="U52" s="215">
        <v>3388.19</v>
      </c>
      <c r="V52" s="215">
        <f t="shared" si="0"/>
        <v>22023.210000000003</v>
      </c>
      <c r="W52" s="216">
        <v>3388.19</v>
      </c>
      <c r="X52" s="214">
        <v>51260</v>
      </c>
      <c r="Y52" s="215">
        <v>423.52</v>
      </c>
      <c r="Z52" s="213" t="s">
        <v>97</v>
      </c>
      <c r="AA52" s="213"/>
      <c r="AB52" s="213"/>
      <c r="AC52" s="213"/>
      <c r="AD52" s="213" t="s">
        <v>1152</v>
      </c>
      <c r="AE52" s="213" t="s">
        <v>1153</v>
      </c>
      <c r="AF52" s="214" t="s">
        <v>1154</v>
      </c>
      <c r="AG52" s="213"/>
      <c r="AH52" s="214" t="s">
        <v>1155</v>
      </c>
      <c r="AI52" s="213">
        <v>0</v>
      </c>
      <c r="AJ52" s="213">
        <v>0</v>
      </c>
    </row>
    <row r="53" spans="2:36" s="212" customFormat="1">
      <c r="B53" s="214">
        <v>2180</v>
      </c>
      <c r="C53" s="218">
        <v>254935</v>
      </c>
      <c r="D53" s="214" t="s">
        <v>97</v>
      </c>
      <c r="E53" s="213" t="s">
        <v>1358</v>
      </c>
      <c r="F53" s="214">
        <v>1</v>
      </c>
      <c r="G53" s="213"/>
      <c r="H53" s="213"/>
      <c r="I53" s="213"/>
      <c r="J53" s="213">
        <v>0</v>
      </c>
      <c r="K53" s="213" t="s">
        <v>1429</v>
      </c>
      <c r="L53" s="213"/>
      <c r="M53" s="213"/>
      <c r="N53" s="217">
        <v>44335</v>
      </c>
      <c r="O53" s="217">
        <v>44335</v>
      </c>
      <c r="P53" s="213" t="s">
        <v>3043</v>
      </c>
      <c r="Q53" s="214">
        <v>300</v>
      </c>
      <c r="R53" s="214">
        <v>14110</v>
      </c>
      <c r="S53" s="215">
        <v>1044.8399999999999</v>
      </c>
      <c r="T53" s="214">
        <v>14116</v>
      </c>
      <c r="U53" s="215">
        <v>203.16</v>
      </c>
      <c r="V53" s="215">
        <f t="shared" si="0"/>
        <v>841.68</v>
      </c>
      <c r="W53" s="216">
        <v>203.16</v>
      </c>
      <c r="X53" s="214">
        <v>70260</v>
      </c>
      <c r="Y53" s="215">
        <v>29.02</v>
      </c>
      <c r="Z53" s="213" t="s">
        <v>97</v>
      </c>
      <c r="AA53" s="213"/>
      <c r="AB53" s="213" t="s">
        <v>3042</v>
      </c>
      <c r="AC53" s="213"/>
      <c r="AD53" s="213" t="s">
        <v>1152</v>
      </c>
      <c r="AE53" s="213" t="s">
        <v>1153</v>
      </c>
      <c r="AF53" s="214" t="s">
        <v>1154</v>
      </c>
      <c r="AG53" s="213"/>
      <c r="AH53" s="214" t="s">
        <v>1155</v>
      </c>
      <c r="AI53" s="213">
        <v>0</v>
      </c>
      <c r="AJ53" s="213">
        <v>0</v>
      </c>
    </row>
    <row r="54" spans="2:36" s="212" customFormat="1">
      <c r="B54" s="214">
        <v>2180</v>
      </c>
      <c r="C54" s="218">
        <v>254454</v>
      </c>
      <c r="D54" s="214" t="s">
        <v>97</v>
      </c>
      <c r="E54" s="213" t="s">
        <v>1369</v>
      </c>
      <c r="F54" s="214">
        <v>1</v>
      </c>
      <c r="G54" s="213"/>
      <c r="H54" s="213"/>
      <c r="I54" s="213"/>
      <c r="J54" s="213">
        <v>0</v>
      </c>
      <c r="K54" s="213" t="s">
        <v>3041</v>
      </c>
      <c r="L54" s="213"/>
      <c r="M54" s="213" t="s">
        <v>1458</v>
      </c>
      <c r="N54" s="217">
        <v>44344</v>
      </c>
      <c r="O54" s="217">
        <v>44344</v>
      </c>
      <c r="P54" s="213" t="s">
        <v>3040</v>
      </c>
      <c r="Q54" s="214">
        <v>1200</v>
      </c>
      <c r="R54" s="214">
        <v>14050</v>
      </c>
      <c r="S54" s="215">
        <v>4004.92</v>
      </c>
      <c r="T54" s="214">
        <v>14056</v>
      </c>
      <c r="U54" s="215">
        <v>194.68</v>
      </c>
      <c r="V54" s="215">
        <f t="shared" si="0"/>
        <v>3810.2400000000002</v>
      </c>
      <c r="W54" s="216">
        <v>194.68</v>
      </c>
      <c r="X54" s="214">
        <v>54260</v>
      </c>
      <c r="Y54" s="215">
        <v>27.81</v>
      </c>
      <c r="Z54" s="213" t="s">
        <v>97</v>
      </c>
      <c r="AA54" s="213"/>
      <c r="AB54" s="213">
        <v>103302</v>
      </c>
      <c r="AC54" s="213"/>
      <c r="AD54" s="213" t="s">
        <v>1152</v>
      </c>
      <c r="AE54" s="213" t="s">
        <v>1153</v>
      </c>
      <c r="AF54" s="214" t="s">
        <v>1154</v>
      </c>
      <c r="AG54" s="213"/>
      <c r="AH54" s="214" t="s">
        <v>1155</v>
      </c>
      <c r="AI54" s="213">
        <v>0</v>
      </c>
      <c r="AJ54" s="213">
        <v>0</v>
      </c>
    </row>
    <row r="55" spans="2:36" s="212" customFormat="1">
      <c r="B55" s="214">
        <v>2180</v>
      </c>
      <c r="C55" s="218">
        <v>253027</v>
      </c>
      <c r="D55" s="214" t="s">
        <v>97</v>
      </c>
      <c r="E55" s="213" t="s">
        <v>1354</v>
      </c>
      <c r="F55" s="214">
        <v>1</v>
      </c>
      <c r="G55" s="213"/>
      <c r="H55" s="213"/>
      <c r="I55" s="213"/>
      <c r="J55" s="213">
        <v>0</v>
      </c>
      <c r="K55" s="213" t="s">
        <v>3035</v>
      </c>
      <c r="L55" s="213"/>
      <c r="M55" s="213"/>
      <c r="N55" s="217">
        <v>44333</v>
      </c>
      <c r="O55" s="217">
        <v>44333</v>
      </c>
      <c r="P55" s="213" t="s">
        <v>3038</v>
      </c>
      <c r="Q55" s="214">
        <v>300</v>
      </c>
      <c r="R55" s="214">
        <v>14110</v>
      </c>
      <c r="S55" s="215">
        <v>415.32</v>
      </c>
      <c r="T55" s="214">
        <v>14116</v>
      </c>
      <c r="U55" s="215">
        <v>80.760000000000005</v>
      </c>
      <c r="V55" s="215">
        <f t="shared" si="0"/>
        <v>334.56</v>
      </c>
      <c r="W55" s="216">
        <v>80.760000000000005</v>
      </c>
      <c r="X55" s="214">
        <v>70260</v>
      </c>
      <c r="Y55" s="215">
        <v>11.54</v>
      </c>
      <c r="Z55" s="213" t="s">
        <v>97</v>
      </c>
      <c r="AA55" s="213"/>
      <c r="AB55" s="213" t="s">
        <v>3039</v>
      </c>
      <c r="AC55" s="213"/>
      <c r="AD55" s="213" t="s">
        <v>1152</v>
      </c>
      <c r="AE55" s="213" t="s">
        <v>1153</v>
      </c>
      <c r="AF55" s="214" t="s">
        <v>1154</v>
      </c>
      <c r="AG55" s="213"/>
      <c r="AH55" s="214" t="s">
        <v>1155</v>
      </c>
      <c r="AI55" s="213">
        <v>0</v>
      </c>
      <c r="AJ55" s="213">
        <v>0</v>
      </c>
    </row>
    <row r="56" spans="2:36" s="212" customFormat="1">
      <c r="B56" s="214">
        <v>2180</v>
      </c>
      <c r="C56" s="218">
        <v>253026</v>
      </c>
      <c r="D56" s="214" t="s">
        <v>97</v>
      </c>
      <c r="E56" s="213" t="s">
        <v>1355</v>
      </c>
      <c r="F56" s="214">
        <v>1</v>
      </c>
      <c r="G56" s="213"/>
      <c r="H56" s="213"/>
      <c r="I56" s="213"/>
      <c r="J56" s="213">
        <v>0</v>
      </c>
      <c r="K56" s="213" t="s">
        <v>1429</v>
      </c>
      <c r="L56" s="213"/>
      <c r="M56" s="213"/>
      <c r="N56" s="217">
        <v>44333</v>
      </c>
      <c r="O56" s="217">
        <v>44333</v>
      </c>
      <c r="P56" s="213" t="s">
        <v>3038</v>
      </c>
      <c r="Q56" s="214">
        <v>300</v>
      </c>
      <c r="R56" s="214">
        <v>14110</v>
      </c>
      <c r="S56" s="215">
        <v>1079.8599999999999</v>
      </c>
      <c r="T56" s="214">
        <v>14116</v>
      </c>
      <c r="U56" s="215">
        <v>209.97</v>
      </c>
      <c r="V56" s="215">
        <f t="shared" si="0"/>
        <v>869.88999999999987</v>
      </c>
      <c r="W56" s="216">
        <v>209.97</v>
      </c>
      <c r="X56" s="214">
        <v>70260</v>
      </c>
      <c r="Y56" s="215">
        <v>30</v>
      </c>
      <c r="Z56" s="213" t="s">
        <v>97</v>
      </c>
      <c r="AA56" s="213"/>
      <c r="AB56" s="213" t="s">
        <v>3037</v>
      </c>
      <c r="AC56" s="213"/>
      <c r="AD56" s="213" t="s">
        <v>1152</v>
      </c>
      <c r="AE56" s="213" t="s">
        <v>1153</v>
      </c>
      <c r="AF56" s="214" t="s">
        <v>1154</v>
      </c>
      <c r="AG56" s="213"/>
      <c r="AH56" s="214" t="s">
        <v>1155</v>
      </c>
      <c r="AI56" s="213">
        <v>0</v>
      </c>
      <c r="AJ56" s="213">
        <v>0</v>
      </c>
    </row>
    <row r="57" spans="2:36" s="212" customFormat="1">
      <c r="B57" s="214">
        <v>2180</v>
      </c>
      <c r="C57" s="218">
        <v>253025</v>
      </c>
      <c r="D57" s="214" t="s">
        <v>97</v>
      </c>
      <c r="E57" s="213" t="s">
        <v>1356</v>
      </c>
      <c r="F57" s="214">
        <v>1</v>
      </c>
      <c r="G57" s="213"/>
      <c r="H57" s="213"/>
      <c r="I57" s="213"/>
      <c r="J57" s="213">
        <v>0</v>
      </c>
      <c r="K57" s="213" t="s">
        <v>1429</v>
      </c>
      <c r="L57" s="213"/>
      <c r="M57" s="213"/>
      <c r="N57" s="217">
        <v>44330</v>
      </c>
      <c r="O57" s="217">
        <v>44330</v>
      </c>
      <c r="P57" s="213" t="s">
        <v>3034</v>
      </c>
      <c r="Q57" s="214">
        <v>300</v>
      </c>
      <c r="R57" s="214">
        <v>14110</v>
      </c>
      <c r="S57" s="215">
        <v>1079.8599999999999</v>
      </c>
      <c r="T57" s="214">
        <v>14116</v>
      </c>
      <c r="U57" s="215">
        <v>239.97</v>
      </c>
      <c r="V57" s="215">
        <f t="shared" si="0"/>
        <v>839.88999999999987</v>
      </c>
      <c r="W57" s="216">
        <v>239.97</v>
      </c>
      <c r="X57" s="214">
        <v>70260</v>
      </c>
      <c r="Y57" s="215">
        <v>30</v>
      </c>
      <c r="Z57" s="213" t="s">
        <v>97</v>
      </c>
      <c r="AA57" s="213"/>
      <c r="AB57" s="213" t="s">
        <v>3036</v>
      </c>
      <c r="AC57" s="213"/>
      <c r="AD57" s="213" t="s">
        <v>1152</v>
      </c>
      <c r="AE57" s="213" t="s">
        <v>1153</v>
      </c>
      <c r="AF57" s="214" t="s">
        <v>1154</v>
      </c>
      <c r="AG57" s="213"/>
      <c r="AH57" s="214" t="s">
        <v>1155</v>
      </c>
      <c r="AI57" s="213">
        <v>0</v>
      </c>
      <c r="AJ57" s="213">
        <v>0</v>
      </c>
    </row>
    <row r="58" spans="2:36" s="212" customFormat="1">
      <c r="B58" s="214">
        <v>2180</v>
      </c>
      <c r="C58" s="218">
        <v>252759</v>
      </c>
      <c r="D58" s="214" t="s">
        <v>97</v>
      </c>
      <c r="E58" s="213" t="s">
        <v>1357</v>
      </c>
      <c r="F58" s="214">
        <v>1</v>
      </c>
      <c r="G58" s="213"/>
      <c r="H58" s="213"/>
      <c r="I58" s="213"/>
      <c r="J58" s="213">
        <v>0</v>
      </c>
      <c r="K58" s="213" t="s">
        <v>3035</v>
      </c>
      <c r="L58" s="213"/>
      <c r="M58" s="213"/>
      <c r="N58" s="217">
        <v>44332</v>
      </c>
      <c r="O58" s="217">
        <v>44332</v>
      </c>
      <c r="P58" s="213" t="s">
        <v>3034</v>
      </c>
      <c r="Q58" s="214">
        <v>300</v>
      </c>
      <c r="R58" s="214">
        <v>14110</v>
      </c>
      <c r="S58" s="215">
        <v>153.35</v>
      </c>
      <c r="T58" s="214">
        <v>14116</v>
      </c>
      <c r="U58" s="215">
        <v>29.82</v>
      </c>
      <c r="V58" s="215">
        <f t="shared" si="0"/>
        <v>123.53</v>
      </c>
      <c r="W58" s="216">
        <v>29.82</v>
      </c>
      <c r="X58" s="214">
        <v>70260</v>
      </c>
      <c r="Y58" s="215">
        <v>4.26</v>
      </c>
      <c r="Z58" s="213" t="s">
        <v>97</v>
      </c>
      <c r="AA58" s="213"/>
      <c r="AB58" s="213" t="s">
        <v>3033</v>
      </c>
      <c r="AC58" s="213"/>
      <c r="AD58" s="213" t="s">
        <v>1152</v>
      </c>
      <c r="AE58" s="213" t="s">
        <v>1153</v>
      </c>
      <c r="AF58" s="214" t="s">
        <v>1154</v>
      </c>
      <c r="AG58" s="213"/>
      <c r="AH58" s="214" t="s">
        <v>1155</v>
      </c>
      <c r="AI58" s="213">
        <v>0</v>
      </c>
      <c r="AJ58" s="213">
        <v>0</v>
      </c>
    </row>
    <row r="59" spans="2:36" s="212" customFormat="1">
      <c r="B59" s="214">
        <v>2180</v>
      </c>
      <c r="C59" s="218">
        <v>250767</v>
      </c>
      <c r="D59" s="214">
        <v>250394</v>
      </c>
      <c r="E59" s="213" t="s">
        <v>1359</v>
      </c>
      <c r="F59" s="214"/>
      <c r="G59" s="213"/>
      <c r="H59" s="213"/>
      <c r="I59" s="213"/>
      <c r="J59" s="213">
        <v>0</v>
      </c>
      <c r="K59" s="213"/>
      <c r="L59" s="213"/>
      <c r="M59" s="213" t="s">
        <v>1158</v>
      </c>
      <c r="N59" s="217">
        <v>41989</v>
      </c>
      <c r="O59" s="217">
        <v>41989</v>
      </c>
      <c r="P59" s="213" t="s">
        <v>3032</v>
      </c>
      <c r="Q59" s="214">
        <v>300</v>
      </c>
      <c r="R59" s="214">
        <v>14030</v>
      </c>
      <c r="S59" s="215">
        <v>8558.68</v>
      </c>
      <c r="T59" s="214">
        <v>14036</v>
      </c>
      <c r="U59" s="215">
        <v>8558.68</v>
      </c>
      <c r="V59" s="215">
        <f t="shared" si="0"/>
        <v>0</v>
      </c>
      <c r="W59" s="216">
        <v>0</v>
      </c>
      <c r="X59" s="214">
        <v>51260</v>
      </c>
      <c r="Y59" s="215">
        <v>0</v>
      </c>
      <c r="Z59" s="213" t="s">
        <v>97</v>
      </c>
      <c r="AA59" s="213"/>
      <c r="AB59" s="213">
        <v>51433</v>
      </c>
      <c r="AC59" s="213"/>
      <c r="AD59" s="213" t="s">
        <v>1152</v>
      </c>
      <c r="AE59" s="213" t="s">
        <v>1153</v>
      </c>
      <c r="AF59" s="214" t="s">
        <v>1154</v>
      </c>
      <c r="AG59" s="219">
        <v>44286</v>
      </c>
      <c r="AH59" s="214" t="s">
        <v>1155</v>
      </c>
      <c r="AI59" s="213">
        <v>0</v>
      </c>
      <c r="AJ59" s="213">
        <v>8558.68</v>
      </c>
    </row>
    <row r="60" spans="2:36" s="212" customFormat="1">
      <c r="B60" s="214">
        <v>2180</v>
      </c>
      <c r="C60" s="218">
        <v>250766</v>
      </c>
      <c r="D60" s="214">
        <v>250394</v>
      </c>
      <c r="E60" s="213" t="s">
        <v>1360</v>
      </c>
      <c r="F60" s="214">
        <v>0</v>
      </c>
      <c r="G60" s="213"/>
      <c r="H60" s="213" t="s">
        <v>3030</v>
      </c>
      <c r="I60" s="213"/>
      <c r="J60" s="213">
        <v>1995</v>
      </c>
      <c r="K60" s="213"/>
      <c r="L60" s="213"/>
      <c r="M60" s="213" t="s">
        <v>1447</v>
      </c>
      <c r="N60" s="217">
        <v>39936</v>
      </c>
      <c r="O60" s="217">
        <v>39936</v>
      </c>
      <c r="P60" s="213" t="s">
        <v>3031</v>
      </c>
      <c r="Q60" s="214">
        <v>300</v>
      </c>
      <c r="R60" s="214">
        <v>14040</v>
      </c>
      <c r="S60" s="215">
        <v>14259.78</v>
      </c>
      <c r="T60" s="214">
        <v>14046</v>
      </c>
      <c r="U60" s="215">
        <v>14259.78</v>
      </c>
      <c r="V60" s="215">
        <f t="shared" si="0"/>
        <v>0</v>
      </c>
      <c r="W60" s="216">
        <v>0</v>
      </c>
      <c r="X60" s="214">
        <v>51260</v>
      </c>
      <c r="Y60" s="215">
        <v>0</v>
      </c>
      <c r="Z60" s="213" t="s">
        <v>97</v>
      </c>
      <c r="AA60" s="213"/>
      <c r="AB60" s="213">
        <v>54422</v>
      </c>
      <c r="AC60" s="213">
        <v>7388</v>
      </c>
      <c r="AD60" s="213" t="s">
        <v>1152</v>
      </c>
      <c r="AE60" s="213" t="s">
        <v>1153</v>
      </c>
      <c r="AF60" s="214" t="s">
        <v>1154</v>
      </c>
      <c r="AG60" s="219">
        <v>44286</v>
      </c>
      <c r="AH60" s="214" t="s">
        <v>1155</v>
      </c>
      <c r="AI60" s="213">
        <v>0</v>
      </c>
      <c r="AJ60" s="213">
        <v>14259.78</v>
      </c>
    </row>
    <row r="61" spans="2:36" s="212" customFormat="1">
      <c r="B61" s="214">
        <v>2180</v>
      </c>
      <c r="C61" s="218">
        <v>250394</v>
      </c>
      <c r="D61" s="214" t="s">
        <v>97</v>
      </c>
      <c r="E61" s="213" t="s">
        <v>1361</v>
      </c>
      <c r="F61" s="214">
        <v>0</v>
      </c>
      <c r="G61" s="213"/>
      <c r="H61" s="213" t="s">
        <v>3030</v>
      </c>
      <c r="I61" s="213"/>
      <c r="J61" s="213">
        <v>1995</v>
      </c>
      <c r="K61" s="213" t="s">
        <v>3029</v>
      </c>
      <c r="L61" s="213" t="s">
        <v>1255</v>
      </c>
      <c r="M61" s="213" t="s">
        <v>3028</v>
      </c>
      <c r="N61" s="217">
        <v>39755</v>
      </c>
      <c r="O61" s="217">
        <v>39755</v>
      </c>
      <c r="P61" s="213"/>
      <c r="Q61" s="214">
        <v>300</v>
      </c>
      <c r="R61" s="214">
        <v>14030</v>
      </c>
      <c r="S61" s="215">
        <v>2500</v>
      </c>
      <c r="T61" s="214">
        <v>14036</v>
      </c>
      <c r="U61" s="215">
        <v>2500</v>
      </c>
      <c r="V61" s="215">
        <f t="shared" si="0"/>
        <v>0</v>
      </c>
      <c r="W61" s="216">
        <v>0</v>
      </c>
      <c r="X61" s="214">
        <v>51260</v>
      </c>
      <c r="Y61" s="215">
        <v>0</v>
      </c>
      <c r="Z61" s="213" t="s">
        <v>1153</v>
      </c>
      <c r="AA61" s="213" t="s">
        <v>1383</v>
      </c>
      <c r="AB61" s="213"/>
      <c r="AC61" s="213">
        <v>7388</v>
      </c>
      <c r="AD61" s="213" t="s">
        <v>1152</v>
      </c>
      <c r="AE61" s="213" t="s">
        <v>1153</v>
      </c>
      <c r="AF61" s="214" t="s">
        <v>1154</v>
      </c>
      <c r="AG61" s="219">
        <v>44286</v>
      </c>
      <c r="AH61" s="214" t="s">
        <v>1155</v>
      </c>
      <c r="AI61" s="213">
        <v>0</v>
      </c>
      <c r="AJ61" s="213">
        <v>2500</v>
      </c>
    </row>
    <row r="62" spans="2:36" s="212" customFormat="1">
      <c r="B62" s="214">
        <v>2180</v>
      </c>
      <c r="C62" s="218">
        <v>247911</v>
      </c>
      <c r="D62" s="214" t="s">
        <v>97</v>
      </c>
      <c r="E62" s="213" t="s">
        <v>1375</v>
      </c>
      <c r="F62" s="214">
        <v>36</v>
      </c>
      <c r="G62" s="213"/>
      <c r="H62" s="213"/>
      <c r="I62" s="213"/>
      <c r="J62" s="213">
        <v>0</v>
      </c>
      <c r="K62" s="213" t="s">
        <v>1549</v>
      </c>
      <c r="L62" s="213"/>
      <c r="M62" s="213" t="s">
        <v>1456</v>
      </c>
      <c r="N62" s="217">
        <v>44251</v>
      </c>
      <c r="O62" s="217">
        <v>44251</v>
      </c>
      <c r="P62" s="213" t="s">
        <v>3027</v>
      </c>
      <c r="Q62" s="214">
        <v>1200</v>
      </c>
      <c r="R62" s="214">
        <v>14050</v>
      </c>
      <c r="S62" s="215">
        <v>34292.36</v>
      </c>
      <c r="T62" s="214">
        <v>14056</v>
      </c>
      <c r="U62" s="215">
        <v>2381.41</v>
      </c>
      <c r="V62" s="215">
        <f t="shared" si="0"/>
        <v>31910.95</v>
      </c>
      <c r="W62" s="216">
        <v>2381.41</v>
      </c>
      <c r="X62" s="214">
        <v>54260</v>
      </c>
      <c r="Y62" s="215">
        <v>238.14</v>
      </c>
      <c r="Z62" s="213" t="s">
        <v>97</v>
      </c>
      <c r="AA62" s="213"/>
      <c r="AB62" s="213" t="s">
        <v>3022</v>
      </c>
      <c r="AC62" s="213"/>
      <c r="AD62" s="213" t="s">
        <v>1152</v>
      </c>
      <c r="AE62" s="213" t="s">
        <v>1153</v>
      </c>
      <c r="AF62" s="214" t="s">
        <v>1154</v>
      </c>
      <c r="AG62" s="213"/>
      <c r="AH62" s="214" t="s">
        <v>1155</v>
      </c>
      <c r="AI62" s="213">
        <v>0</v>
      </c>
      <c r="AJ62" s="213">
        <v>0</v>
      </c>
    </row>
    <row r="63" spans="2:36" s="212" customFormat="1">
      <c r="B63" s="214">
        <v>2180</v>
      </c>
      <c r="C63" s="218">
        <v>247910</v>
      </c>
      <c r="D63" s="214" t="s">
        <v>97</v>
      </c>
      <c r="E63" s="213" t="s">
        <v>1376</v>
      </c>
      <c r="F63" s="214">
        <v>36</v>
      </c>
      <c r="G63" s="213"/>
      <c r="H63" s="213"/>
      <c r="I63" s="213"/>
      <c r="J63" s="213">
        <v>0</v>
      </c>
      <c r="K63" s="213" t="s">
        <v>1549</v>
      </c>
      <c r="L63" s="213"/>
      <c r="M63" s="213" t="s">
        <v>1464</v>
      </c>
      <c r="N63" s="217">
        <v>44251</v>
      </c>
      <c r="O63" s="217">
        <v>44251</v>
      </c>
      <c r="P63" s="213" t="s">
        <v>3026</v>
      </c>
      <c r="Q63" s="214">
        <v>1200</v>
      </c>
      <c r="R63" s="214">
        <v>14050</v>
      </c>
      <c r="S63" s="215">
        <v>27960</v>
      </c>
      <c r="T63" s="214">
        <v>14056</v>
      </c>
      <c r="U63" s="215">
        <v>1941.67</v>
      </c>
      <c r="V63" s="215">
        <f t="shared" si="0"/>
        <v>26018.33</v>
      </c>
      <c r="W63" s="216">
        <v>1941.67</v>
      </c>
      <c r="X63" s="214">
        <v>54260</v>
      </c>
      <c r="Y63" s="215">
        <v>194.17</v>
      </c>
      <c r="Z63" s="213" t="s">
        <v>97</v>
      </c>
      <c r="AA63" s="213"/>
      <c r="AB63" s="213" t="s">
        <v>3022</v>
      </c>
      <c r="AC63" s="213"/>
      <c r="AD63" s="213" t="s">
        <v>1152</v>
      </c>
      <c r="AE63" s="213" t="s">
        <v>1153</v>
      </c>
      <c r="AF63" s="214" t="s">
        <v>1154</v>
      </c>
      <c r="AG63" s="213"/>
      <c r="AH63" s="214" t="s">
        <v>1155</v>
      </c>
      <c r="AI63" s="213">
        <v>0</v>
      </c>
      <c r="AJ63" s="213">
        <v>0</v>
      </c>
    </row>
    <row r="64" spans="2:36" s="212" customFormat="1">
      <c r="B64" s="214">
        <v>2180</v>
      </c>
      <c r="C64" s="218">
        <v>247909</v>
      </c>
      <c r="D64" s="214" t="s">
        <v>97</v>
      </c>
      <c r="E64" s="213" t="s">
        <v>1377</v>
      </c>
      <c r="F64" s="214">
        <v>36</v>
      </c>
      <c r="G64" s="213"/>
      <c r="H64" s="213"/>
      <c r="I64" s="213"/>
      <c r="J64" s="213">
        <v>0</v>
      </c>
      <c r="K64" s="213" t="s">
        <v>1549</v>
      </c>
      <c r="L64" s="213"/>
      <c r="M64" s="213" t="s">
        <v>1701</v>
      </c>
      <c r="N64" s="217">
        <v>44251</v>
      </c>
      <c r="O64" s="217">
        <v>44251</v>
      </c>
      <c r="P64" s="213" t="s">
        <v>3025</v>
      </c>
      <c r="Q64" s="214">
        <v>1200</v>
      </c>
      <c r="R64" s="214">
        <v>14050</v>
      </c>
      <c r="S64" s="215">
        <v>25205</v>
      </c>
      <c r="T64" s="214">
        <v>14056</v>
      </c>
      <c r="U64" s="215">
        <v>1750.35</v>
      </c>
      <c r="V64" s="215">
        <f t="shared" si="0"/>
        <v>23454.65</v>
      </c>
      <c r="W64" s="216">
        <v>1750.35</v>
      </c>
      <c r="X64" s="214">
        <v>54260</v>
      </c>
      <c r="Y64" s="215">
        <v>175.03</v>
      </c>
      <c r="Z64" s="213" t="s">
        <v>97</v>
      </c>
      <c r="AA64" s="213"/>
      <c r="AB64" s="213" t="s">
        <v>3022</v>
      </c>
      <c r="AC64" s="213"/>
      <c r="AD64" s="213" t="s">
        <v>1152</v>
      </c>
      <c r="AE64" s="213" t="s">
        <v>1153</v>
      </c>
      <c r="AF64" s="214" t="s">
        <v>1154</v>
      </c>
      <c r="AG64" s="213"/>
      <c r="AH64" s="214" t="s">
        <v>1155</v>
      </c>
      <c r="AI64" s="213">
        <v>0</v>
      </c>
      <c r="AJ64" s="213">
        <v>0</v>
      </c>
    </row>
    <row r="65" spans="2:36" s="212" customFormat="1">
      <c r="B65" s="214">
        <v>2180</v>
      </c>
      <c r="C65" s="218">
        <v>247908</v>
      </c>
      <c r="D65" s="214" t="s">
        <v>97</v>
      </c>
      <c r="E65" s="213" t="s">
        <v>1378</v>
      </c>
      <c r="F65" s="214">
        <v>60</v>
      </c>
      <c r="G65" s="213"/>
      <c r="H65" s="213"/>
      <c r="I65" s="213"/>
      <c r="J65" s="213">
        <v>0</v>
      </c>
      <c r="K65" s="213" t="s">
        <v>1549</v>
      </c>
      <c r="L65" s="213"/>
      <c r="M65" s="213" t="s">
        <v>1421</v>
      </c>
      <c r="N65" s="217">
        <v>44251</v>
      </c>
      <c r="O65" s="217">
        <v>44251</v>
      </c>
      <c r="P65" s="213" t="s">
        <v>3024</v>
      </c>
      <c r="Q65" s="214">
        <v>1200</v>
      </c>
      <c r="R65" s="214">
        <v>14050</v>
      </c>
      <c r="S65" s="215">
        <v>37615</v>
      </c>
      <c r="T65" s="214">
        <v>14056</v>
      </c>
      <c r="U65" s="215">
        <v>2612.14</v>
      </c>
      <c r="V65" s="215">
        <f t="shared" si="0"/>
        <v>35002.86</v>
      </c>
      <c r="W65" s="216">
        <v>2612.14</v>
      </c>
      <c r="X65" s="214">
        <v>54260</v>
      </c>
      <c r="Y65" s="215">
        <v>261.20999999999998</v>
      </c>
      <c r="Z65" s="213" t="s">
        <v>97</v>
      </c>
      <c r="AA65" s="213"/>
      <c r="AB65" s="213" t="s">
        <v>3022</v>
      </c>
      <c r="AC65" s="213"/>
      <c r="AD65" s="213" t="s">
        <v>1152</v>
      </c>
      <c r="AE65" s="213" t="s">
        <v>1153</v>
      </c>
      <c r="AF65" s="214" t="s">
        <v>1154</v>
      </c>
      <c r="AG65" s="213"/>
      <c r="AH65" s="214" t="s">
        <v>1155</v>
      </c>
      <c r="AI65" s="213">
        <v>0</v>
      </c>
      <c r="AJ65" s="213">
        <v>0</v>
      </c>
    </row>
    <row r="66" spans="2:36" s="212" customFormat="1">
      <c r="B66" s="214">
        <v>2180</v>
      </c>
      <c r="C66" s="218">
        <v>247907</v>
      </c>
      <c r="D66" s="214" t="s">
        <v>97</v>
      </c>
      <c r="E66" s="213" t="s">
        <v>1379</v>
      </c>
      <c r="F66" s="214">
        <v>24</v>
      </c>
      <c r="G66" s="213"/>
      <c r="H66" s="213"/>
      <c r="I66" s="213"/>
      <c r="J66" s="213">
        <v>0</v>
      </c>
      <c r="K66" s="213" t="s">
        <v>1549</v>
      </c>
      <c r="L66" s="213"/>
      <c r="M66" s="213" t="s">
        <v>1573</v>
      </c>
      <c r="N66" s="217">
        <v>44251</v>
      </c>
      <c r="O66" s="217">
        <v>44251</v>
      </c>
      <c r="P66" s="213" t="s">
        <v>3023</v>
      </c>
      <c r="Q66" s="214">
        <v>1200</v>
      </c>
      <c r="R66" s="214">
        <v>14050</v>
      </c>
      <c r="S66" s="215">
        <v>13026</v>
      </c>
      <c r="T66" s="214">
        <v>14056</v>
      </c>
      <c r="U66" s="215">
        <v>904.58</v>
      </c>
      <c r="V66" s="215">
        <f t="shared" si="0"/>
        <v>12121.42</v>
      </c>
      <c r="W66" s="216">
        <v>904.58</v>
      </c>
      <c r="X66" s="214">
        <v>54260</v>
      </c>
      <c r="Y66" s="215">
        <v>90.46</v>
      </c>
      <c r="Z66" s="213" t="s">
        <v>97</v>
      </c>
      <c r="AA66" s="213"/>
      <c r="AB66" s="213" t="s">
        <v>3022</v>
      </c>
      <c r="AC66" s="213"/>
      <c r="AD66" s="213" t="s">
        <v>1152</v>
      </c>
      <c r="AE66" s="213" t="s">
        <v>1153</v>
      </c>
      <c r="AF66" s="214" t="s">
        <v>1154</v>
      </c>
      <c r="AG66" s="213"/>
      <c r="AH66" s="214" t="s">
        <v>1155</v>
      </c>
      <c r="AI66" s="213">
        <v>0</v>
      </c>
      <c r="AJ66" s="213">
        <v>0</v>
      </c>
    </row>
    <row r="67" spans="2:36" s="212" customFormat="1">
      <c r="B67" s="214">
        <v>2180</v>
      </c>
      <c r="C67" s="218">
        <v>246797</v>
      </c>
      <c r="D67" s="214" t="s">
        <v>97</v>
      </c>
      <c r="E67" s="213" t="s">
        <v>1371</v>
      </c>
      <c r="F67" s="214">
        <v>702</v>
      </c>
      <c r="G67" s="213"/>
      <c r="H67" s="213"/>
      <c r="I67" s="213"/>
      <c r="J67" s="213">
        <v>0</v>
      </c>
      <c r="K67" s="213" t="s">
        <v>2445</v>
      </c>
      <c r="L67" s="213"/>
      <c r="M67" s="213" t="s">
        <v>2846</v>
      </c>
      <c r="N67" s="217">
        <v>44197</v>
      </c>
      <c r="O67" s="217">
        <v>44197</v>
      </c>
      <c r="P67" s="213" t="s">
        <v>3018</v>
      </c>
      <c r="Q67" s="214">
        <v>700</v>
      </c>
      <c r="R67" s="214">
        <v>14050</v>
      </c>
      <c r="S67" s="215">
        <v>32640.34</v>
      </c>
      <c r="T67" s="214">
        <v>14056</v>
      </c>
      <c r="U67" s="215">
        <v>4662.91</v>
      </c>
      <c r="V67" s="215">
        <f t="shared" si="0"/>
        <v>27977.43</v>
      </c>
      <c r="W67" s="216">
        <v>4662.91</v>
      </c>
      <c r="X67" s="214">
        <v>54260</v>
      </c>
      <c r="Y67" s="215">
        <v>388.58</v>
      </c>
      <c r="Z67" s="213" t="s">
        <v>97</v>
      </c>
      <c r="AA67" s="213"/>
      <c r="AB67" s="213">
        <v>50149660</v>
      </c>
      <c r="AC67" s="213"/>
      <c r="AD67" s="213" t="s">
        <v>1152</v>
      </c>
      <c r="AE67" s="213" t="s">
        <v>1153</v>
      </c>
      <c r="AF67" s="214" t="s">
        <v>1154</v>
      </c>
      <c r="AG67" s="213"/>
      <c r="AH67" s="214" t="s">
        <v>1155</v>
      </c>
      <c r="AI67" s="213">
        <v>0</v>
      </c>
      <c r="AJ67" s="213">
        <v>0</v>
      </c>
    </row>
    <row r="68" spans="2:36" s="212" customFormat="1">
      <c r="B68" s="214">
        <v>2180</v>
      </c>
      <c r="C68" s="218">
        <v>246796</v>
      </c>
      <c r="D68" s="214" t="s">
        <v>97</v>
      </c>
      <c r="E68" s="213" t="s">
        <v>1372</v>
      </c>
      <c r="F68" s="214">
        <v>702</v>
      </c>
      <c r="G68" s="213"/>
      <c r="H68" s="213"/>
      <c r="I68" s="213"/>
      <c r="J68" s="213">
        <v>0</v>
      </c>
      <c r="K68" s="213" t="s">
        <v>2445</v>
      </c>
      <c r="L68" s="213"/>
      <c r="M68" s="213" t="s">
        <v>2846</v>
      </c>
      <c r="N68" s="217">
        <v>44197</v>
      </c>
      <c r="O68" s="217">
        <v>44197</v>
      </c>
      <c r="P68" s="213" t="s">
        <v>3017</v>
      </c>
      <c r="Q68" s="214">
        <v>500</v>
      </c>
      <c r="R68" s="214">
        <v>14050</v>
      </c>
      <c r="S68" s="215">
        <v>32640.35</v>
      </c>
      <c r="T68" s="214">
        <v>14056</v>
      </c>
      <c r="U68" s="215">
        <v>6528.07</v>
      </c>
      <c r="V68" s="215">
        <f t="shared" si="0"/>
        <v>26112.28</v>
      </c>
      <c r="W68" s="216">
        <v>6528.07</v>
      </c>
      <c r="X68" s="214">
        <v>54260</v>
      </c>
      <c r="Y68" s="215">
        <v>544.01</v>
      </c>
      <c r="Z68" s="213" t="s">
        <v>97</v>
      </c>
      <c r="AA68" s="213"/>
      <c r="AB68" s="213">
        <v>50149660</v>
      </c>
      <c r="AC68" s="213"/>
      <c r="AD68" s="213" t="s">
        <v>1152</v>
      </c>
      <c r="AE68" s="213" t="s">
        <v>1153</v>
      </c>
      <c r="AF68" s="214" t="s">
        <v>1154</v>
      </c>
      <c r="AG68" s="213"/>
      <c r="AH68" s="214" t="s">
        <v>1155</v>
      </c>
      <c r="AI68" s="213">
        <v>0</v>
      </c>
      <c r="AJ68" s="213">
        <v>0</v>
      </c>
    </row>
    <row r="69" spans="2:36" s="212" customFormat="1">
      <c r="B69" s="214">
        <v>2180</v>
      </c>
      <c r="C69" s="218">
        <v>246795</v>
      </c>
      <c r="D69" s="214" t="s">
        <v>97</v>
      </c>
      <c r="E69" s="213" t="s">
        <v>637</v>
      </c>
      <c r="F69" s="214">
        <v>936</v>
      </c>
      <c r="G69" s="213"/>
      <c r="H69" s="213"/>
      <c r="I69" s="213"/>
      <c r="J69" s="213">
        <v>0</v>
      </c>
      <c r="K69" s="213" t="s">
        <v>2445</v>
      </c>
      <c r="L69" s="213"/>
      <c r="M69" s="213" t="s">
        <v>2846</v>
      </c>
      <c r="N69" s="217">
        <v>44221</v>
      </c>
      <c r="O69" s="217">
        <v>44221</v>
      </c>
      <c r="P69" s="213" t="s">
        <v>3015</v>
      </c>
      <c r="Q69" s="214">
        <v>700</v>
      </c>
      <c r="R69" s="214">
        <v>14050</v>
      </c>
      <c r="S69" s="215">
        <v>38405.230000000003</v>
      </c>
      <c r="T69" s="214">
        <v>14056</v>
      </c>
      <c r="U69" s="215">
        <v>5029.26</v>
      </c>
      <c r="V69" s="215">
        <f t="shared" si="0"/>
        <v>33375.97</v>
      </c>
      <c r="W69" s="216">
        <v>5029.26</v>
      </c>
      <c r="X69" s="214">
        <v>54260</v>
      </c>
      <c r="Y69" s="215">
        <v>457.21</v>
      </c>
      <c r="Z69" s="213" t="s">
        <v>97</v>
      </c>
      <c r="AA69" s="213"/>
      <c r="AB69" s="213">
        <v>50149227</v>
      </c>
      <c r="AC69" s="213"/>
      <c r="AD69" s="213" t="s">
        <v>1152</v>
      </c>
      <c r="AE69" s="213" t="s">
        <v>1153</v>
      </c>
      <c r="AF69" s="214" t="s">
        <v>1154</v>
      </c>
      <c r="AG69" s="213"/>
      <c r="AH69" s="214" t="s">
        <v>1155</v>
      </c>
      <c r="AI69" s="213">
        <v>0</v>
      </c>
      <c r="AJ69" s="213">
        <v>0</v>
      </c>
    </row>
    <row r="70" spans="2:36" s="212" customFormat="1">
      <c r="B70" s="214">
        <v>2180</v>
      </c>
      <c r="C70" s="218">
        <v>246436</v>
      </c>
      <c r="D70" s="214">
        <v>241233</v>
      </c>
      <c r="E70" s="213" t="s">
        <v>1352</v>
      </c>
      <c r="F70" s="214"/>
      <c r="G70" s="213"/>
      <c r="H70" s="213"/>
      <c r="I70" s="213"/>
      <c r="J70" s="213">
        <v>2020</v>
      </c>
      <c r="K70" s="213" t="s">
        <v>3013</v>
      </c>
      <c r="L70" s="213" t="s">
        <v>3013</v>
      </c>
      <c r="M70" s="213" t="s">
        <v>1447</v>
      </c>
      <c r="N70" s="217">
        <v>44197</v>
      </c>
      <c r="O70" s="217">
        <v>44197</v>
      </c>
      <c r="P70" s="213" t="s">
        <v>3021</v>
      </c>
      <c r="Q70" s="214">
        <v>1000</v>
      </c>
      <c r="R70" s="214">
        <v>14040</v>
      </c>
      <c r="S70" s="215">
        <v>1065.8599999999999</v>
      </c>
      <c r="T70" s="214">
        <v>14046</v>
      </c>
      <c r="U70" s="215">
        <v>106.58</v>
      </c>
      <c r="V70" s="215">
        <f t="shared" si="0"/>
        <v>959.27999999999986</v>
      </c>
      <c r="W70" s="216">
        <v>106.58</v>
      </c>
      <c r="X70" s="214">
        <v>51260</v>
      </c>
      <c r="Y70" s="215">
        <v>8.8800000000000008</v>
      </c>
      <c r="Z70" s="213" t="s">
        <v>97</v>
      </c>
      <c r="AA70" s="213"/>
      <c r="AB70" s="213" t="s">
        <v>3019</v>
      </c>
      <c r="AC70" s="213"/>
      <c r="AD70" s="213" t="s">
        <v>1152</v>
      </c>
      <c r="AE70" s="213" t="s">
        <v>1153</v>
      </c>
      <c r="AF70" s="214" t="s">
        <v>1154</v>
      </c>
      <c r="AG70" s="213"/>
      <c r="AH70" s="214" t="s">
        <v>1155</v>
      </c>
      <c r="AI70" s="213">
        <v>0</v>
      </c>
      <c r="AJ70" s="213">
        <v>0</v>
      </c>
    </row>
    <row r="71" spans="2:36" s="212" customFormat="1">
      <c r="B71" s="214">
        <v>2180</v>
      </c>
      <c r="C71" s="218">
        <v>246435</v>
      </c>
      <c r="D71" s="214">
        <v>242812</v>
      </c>
      <c r="E71" s="213" t="s">
        <v>1351</v>
      </c>
      <c r="F71" s="214"/>
      <c r="G71" s="213"/>
      <c r="H71" s="213"/>
      <c r="I71" s="213"/>
      <c r="J71" s="213">
        <v>2020</v>
      </c>
      <c r="K71" s="213" t="s">
        <v>3013</v>
      </c>
      <c r="L71" s="213" t="s">
        <v>3013</v>
      </c>
      <c r="M71" s="213" t="s">
        <v>1447</v>
      </c>
      <c r="N71" s="217">
        <v>44197</v>
      </c>
      <c r="O71" s="217">
        <v>44197</v>
      </c>
      <c r="P71" s="213" t="s">
        <v>3012</v>
      </c>
      <c r="Q71" s="214">
        <v>1000</v>
      </c>
      <c r="R71" s="214">
        <v>14040</v>
      </c>
      <c r="S71" s="215">
        <v>895.37</v>
      </c>
      <c r="T71" s="214">
        <v>14046</v>
      </c>
      <c r="U71" s="215">
        <v>89.54</v>
      </c>
      <c r="V71" s="215">
        <f t="shared" si="0"/>
        <v>805.83</v>
      </c>
      <c r="W71" s="216">
        <v>89.54</v>
      </c>
      <c r="X71" s="214">
        <v>51260</v>
      </c>
      <c r="Y71" s="215">
        <v>7.46</v>
      </c>
      <c r="Z71" s="213" t="s">
        <v>97</v>
      </c>
      <c r="AA71" s="213"/>
      <c r="AB71" s="213" t="s">
        <v>3019</v>
      </c>
      <c r="AC71" s="213"/>
      <c r="AD71" s="213" t="s">
        <v>1152</v>
      </c>
      <c r="AE71" s="213" t="s">
        <v>1153</v>
      </c>
      <c r="AF71" s="214" t="s">
        <v>1154</v>
      </c>
      <c r="AG71" s="213"/>
      <c r="AH71" s="214" t="s">
        <v>1155</v>
      </c>
      <c r="AI71" s="213">
        <v>0</v>
      </c>
      <c r="AJ71" s="213">
        <v>0</v>
      </c>
    </row>
    <row r="72" spans="2:36" s="212" customFormat="1">
      <c r="B72" s="214">
        <v>2180</v>
      </c>
      <c r="C72" s="218">
        <v>246434</v>
      </c>
      <c r="D72" s="214">
        <v>240180</v>
      </c>
      <c r="E72" s="213" t="s">
        <v>1350</v>
      </c>
      <c r="F72" s="214"/>
      <c r="G72" s="213"/>
      <c r="H72" s="213"/>
      <c r="I72" s="213"/>
      <c r="J72" s="213">
        <v>0</v>
      </c>
      <c r="K72" s="213" t="s">
        <v>3020</v>
      </c>
      <c r="L72" s="213"/>
      <c r="M72" s="213" t="s">
        <v>1447</v>
      </c>
      <c r="N72" s="217">
        <v>44197</v>
      </c>
      <c r="O72" s="217">
        <v>44197</v>
      </c>
      <c r="P72" s="213" t="s">
        <v>3011</v>
      </c>
      <c r="Q72" s="214">
        <v>1000</v>
      </c>
      <c r="R72" s="214">
        <v>14040</v>
      </c>
      <c r="S72" s="215">
        <v>857.37</v>
      </c>
      <c r="T72" s="214">
        <v>14046</v>
      </c>
      <c r="U72" s="215">
        <v>85.74</v>
      </c>
      <c r="V72" s="215">
        <f t="shared" si="0"/>
        <v>771.63</v>
      </c>
      <c r="W72" s="216">
        <v>85.74</v>
      </c>
      <c r="X72" s="214">
        <v>51260</v>
      </c>
      <c r="Y72" s="215">
        <v>7.14</v>
      </c>
      <c r="Z72" s="213" t="s">
        <v>97</v>
      </c>
      <c r="AA72" s="213"/>
      <c r="AB72" s="213" t="s">
        <v>3019</v>
      </c>
      <c r="AC72" s="213"/>
      <c r="AD72" s="213" t="s">
        <v>1152</v>
      </c>
      <c r="AE72" s="213" t="s">
        <v>1153</v>
      </c>
      <c r="AF72" s="214" t="s">
        <v>1154</v>
      </c>
      <c r="AG72" s="213"/>
      <c r="AH72" s="214" t="s">
        <v>1155</v>
      </c>
      <c r="AI72" s="213">
        <v>0</v>
      </c>
      <c r="AJ72" s="213">
        <v>0</v>
      </c>
    </row>
    <row r="73" spans="2:36" s="212" customFormat="1">
      <c r="B73" s="214">
        <v>2180</v>
      </c>
      <c r="C73" s="218">
        <v>246133</v>
      </c>
      <c r="D73" s="214" t="s">
        <v>97</v>
      </c>
      <c r="E73" s="213" t="s">
        <v>1370</v>
      </c>
      <c r="F73" s="214">
        <v>702</v>
      </c>
      <c r="G73" s="213"/>
      <c r="H73" s="213"/>
      <c r="I73" s="213"/>
      <c r="J73" s="213">
        <v>0</v>
      </c>
      <c r="K73" s="213" t="s">
        <v>2445</v>
      </c>
      <c r="L73" s="213"/>
      <c r="M73" s="213" t="s">
        <v>2846</v>
      </c>
      <c r="N73" s="217">
        <v>44221</v>
      </c>
      <c r="O73" s="217">
        <v>44221</v>
      </c>
      <c r="P73" s="213" t="s">
        <v>3018</v>
      </c>
      <c r="Q73" s="214">
        <v>700</v>
      </c>
      <c r="R73" s="214">
        <v>14050</v>
      </c>
      <c r="S73" s="215">
        <v>32640.34</v>
      </c>
      <c r="T73" s="214">
        <v>14056</v>
      </c>
      <c r="U73" s="215">
        <v>4274.33</v>
      </c>
      <c r="V73" s="215">
        <f t="shared" si="0"/>
        <v>28366.010000000002</v>
      </c>
      <c r="W73" s="216">
        <v>4274.33</v>
      </c>
      <c r="X73" s="214">
        <v>54260</v>
      </c>
      <c r="Y73" s="215">
        <v>388.58</v>
      </c>
      <c r="Z73" s="213" t="s">
        <v>97</v>
      </c>
      <c r="AA73" s="213"/>
      <c r="AB73" s="213">
        <v>50147728</v>
      </c>
      <c r="AC73" s="213"/>
      <c r="AD73" s="213" t="s">
        <v>1152</v>
      </c>
      <c r="AE73" s="213" t="s">
        <v>1153</v>
      </c>
      <c r="AF73" s="214" t="s">
        <v>1154</v>
      </c>
      <c r="AG73" s="213"/>
      <c r="AH73" s="214" t="s">
        <v>1155</v>
      </c>
      <c r="AI73" s="213">
        <v>0</v>
      </c>
      <c r="AJ73" s="213">
        <v>0</v>
      </c>
    </row>
    <row r="74" spans="2:36" s="212" customFormat="1">
      <c r="B74" s="214">
        <v>2180</v>
      </c>
      <c r="C74" s="218">
        <v>246132</v>
      </c>
      <c r="D74" s="214" t="s">
        <v>97</v>
      </c>
      <c r="E74" s="213" t="s">
        <v>1372</v>
      </c>
      <c r="F74" s="214">
        <v>702</v>
      </c>
      <c r="G74" s="213"/>
      <c r="H74" s="213"/>
      <c r="I74" s="213"/>
      <c r="J74" s="213">
        <v>0</v>
      </c>
      <c r="K74" s="213" t="s">
        <v>2445</v>
      </c>
      <c r="L74" s="213"/>
      <c r="M74" s="213" t="s">
        <v>2846</v>
      </c>
      <c r="N74" s="217">
        <v>44221</v>
      </c>
      <c r="O74" s="217">
        <v>44221</v>
      </c>
      <c r="P74" s="213" t="s">
        <v>3017</v>
      </c>
      <c r="Q74" s="214">
        <v>700</v>
      </c>
      <c r="R74" s="214">
        <v>14050</v>
      </c>
      <c r="S74" s="215">
        <v>32640.34</v>
      </c>
      <c r="T74" s="214">
        <v>14056</v>
      </c>
      <c r="U74" s="215">
        <v>4274.33</v>
      </c>
      <c r="V74" s="215">
        <f t="shared" si="0"/>
        <v>28366.010000000002</v>
      </c>
      <c r="W74" s="216">
        <v>4274.33</v>
      </c>
      <c r="X74" s="214">
        <v>54260</v>
      </c>
      <c r="Y74" s="215">
        <v>388.58</v>
      </c>
      <c r="Z74" s="213" t="s">
        <v>97</v>
      </c>
      <c r="AA74" s="213"/>
      <c r="AB74" s="213">
        <v>50147728</v>
      </c>
      <c r="AC74" s="213"/>
      <c r="AD74" s="213" t="s">
        <v>1152</v>
      </c>
      <c r="AE74" s="213" t="s">
        <v>1153</v>
      </c>
      <c r="AF74" s="214" t="s">
        <v>1154</v>
      </c>
      <c r="AG74" s="213"/>
      <c r="AH74" s="214" t="s">
        <v>1155</v>
      </c>
      <c r="AI74" s="213">
        <v>0</v>
      </c>
      <c r="AJ74" s="213">
        <v>0</v>
      </c>
    </row>
    <row r="75" spans="2:36" s="212" customFormat="1">
      <c r="B75" s="214">
        <v>2180</v>
      </c>
      <c r="C75" s="218">
        <v>246131</v>
      </c>
      <c r="D75" s="214" t="s">
        <v>97</v>
      </c>
      <c r="E75" s="213" t="s">
        <v>1373</v>
      </c>
      <c r="F75" s="214">
        <v>702</v>
      </c>
      <c r="G75" s="213"/>
      <c r="H75" s="213"/>
      <c r="I75" s="213"/>
      <c r="J75" s="213">
        <v>0</v>
      </c>
      <c r="K75" s="213" t="s">
        <v>2445</v>
      </c>
      <c r="L75" s="213"/>
      <c r="M75" s="213" t="s">
        <v>2846</v>
      </c>
      <c r="N75" s="217">
        <v>44218</v>
      </c>
      <c r="O75" s="217">
        <v>44218</v>
      </c>
      <c r="P75" s="213" t="s">
        <v>3016</v>
      </c>
      <c r="Q75" s="214">
        <v>700</v>
      </c>
      <c r="R75" s="214">
        <v>14050</v>
      </c>
      <c r="S75" s="215">
        <v>32640.34</v>
      </c>
      <c r="T75" s="214">
        <v>14056</v>
      </c>
      <c r="U75" s="215">
        <v>4274.33</v>
      </c>
      <c r="V75" s="215">
        <f t="shared" si="0"/>
        <v>28366.010000000002</v>
      </c>
      <c r="W75" s="216">
        <v>4274.33</v>
      </c>
      <c r="X75" s="214">
        <v>54260</v>
      </c>
      <c r="Y75" s="215">
        <v>388.58</v>
      </c>
      <c r="Z75" s="213" t="s">
        <v>97</v>
      </c>
      <c r="AA75" s="213"/>
      <c r="AB75" s="213">
        <v>50147142</v>
      </c>
      <c r="AC75" s="213"/>
      <c r="AD75" s="213" t="s">
        <v>1152</v>
      </c>
      <c r="AE75" s="213" t="s">
        <v>1153</v>
      </c>
      <c r="AF75" s="214" t="s">
        <v>1154</v>
      </c>
      <c r="AG75" s="213"/>
      <c r="AH75" s="214" t="s">
        <v>1155</v>
      </c>
      <c r="AI75" s="213">
        <v>0</v>
      </c>
      <c r="AJ75" s="213">
        <v>0</v>
      </c>
    </row>
    <row r="76" spans="2:36" s="212" customFormat="1">
      <c r="B76" s="214">
        <v>2180</v>
      </c>
      <c r="C76" s="218">
        <v>246130</v>
      </c>
      <c r="D76" s="214" t="s">
        <v>97</v>
      </c>
      <c r="E76" s="213" t="s">
        <v>637</v>
      </c>
      <c r="F76" s="214">
        <v>936</v>
      </c>
      <c r="G76" s="213"/>
      <c r="H76" s="213"/>
      <c r="I76" s="213"/>
      <c r="J76" s="213">
        <v>0</v>
      </c>
      <c r="K76" s="213" t="s">
        <v>2445</v>
      </c>
      <c r="L76" s="213"/>
      <c r="M76" s="213" t="s">
        <v>2846</v>
      </c>
      <c r="N76" s="217">
        <v>44221</v>
      </c>
      <c r="O76" s="217">
        <v>44221</v>
      </c>
      <c r="P76" s="213" t="s">
        <v>3015</v>
      </c>
      <c r="Q76" s="214">
        <v>700</v>
      </c>
      <c r="R76" s="214">
        <v>14050</v>
      </c>
      <c r="S76" s="215">
        <v>38405.24</v>
      </c>
      <c r="T76" s="214">
        <v>14056</v>
      </c>
      <c r="U76" s="215">
        <v>5029.26</v>
      </c>
      <c r="V76" s="215">
        <f t="shared" si="0"/>
        <v>33375.979999999996</v>
      </c>
      <c r="W76" s="216">
        <v>5029.26</v>
      </c>
      <c r="X76" s="214">
        <v>54260</v>
      </c>
      <c r="Y76" s="215">
        <v>457.21</v>
      </c>
      <c r="Z76" s="213" t="s">
        <v>97</v>
      </c>
      <c r="AA76" s="213"/>
      <c r="AB76" s="213">
        <v>50147728</v>
      </c>
      <c r="AC76" s="213"/>
      <c r="AD76" s="213" t="s">
        <v>1152</v>
      </c>
      <c r="AE76" s="213" t="s">
        <v>1153</v>
      </c>
      <c r="AF76" s="214" t="s">
        <v>1154</v>
      </c>
      <c r="AG76" s="213"/>
      <c r="AH76" s="214" t="s">
        <v>1155</v>
      </c>
      <c r="AI76" s="213">
        <v>0</v>
      </c>
      <c r="AJ76" s="213">
        <v>0</v>
      </c>
    </row>
    <row r="77" spans="2:36" s="212" customFormat="1">
      <c r="B77" s="214">
        <v>2180</v>
      </c>
      <c r="C77" s="218">
        <v>245707</v>
      </c>
      <c r="D77" s="214">
        <v>242813</v>
      </c>
      <c r="E77" s="213" t="s">
        <v>1277</v>
      </c>
      <c r="F77" s="214"/>
      <c r="G77" s="213"/>
      <c r="H77" s="213"/>
      <c r="I77" s="213"/>
      <c r="J77" s="213">
        <v>2020</v>
      </c>
      <c r="K77" s="213" t="s">
        <v>3013</v>
      </c>
      <c r="L77" s="213" t="s">
        <v>3013</v>
      </c>
      <c r="M77" s="213" t="s">
        <v>1447</v>
      </c>
      <c r="N77" s="217">
        <v>44197</v>
      </c>
      <c r="O77" s="217">
        <v>44197</v>
      </c>
      <c r="P77" s="213" t="s">
        <v>3014</v>
      </c>
      <c r="Q77" s="214">
        <v>1000</v>
      </c>
      <c r="R77" s="214">
        <v>14040</v>
      </c>
      <c r="S77" s="215">
        <v>480.92</v>
      </c>
      <c r="T77" s="214">
        <v>14046</v>
      </c>
      <c r="U77" s="215">
        <v>48.09</v>
      </c>
      <c r="V77" s="215">
        <f t="shared" si="0"/>
        <v>432.83000000000004</v>
      </c>
      <c r="W77" s="216">
        <v>48.09</v>
      </c>
      <c r="X77" s="214">
        <v>51260</v>
      </c>
      <c r="Y77" s="215">
        <v>4.01</v>
      </c>
      <c r="Z77" s="213" t="s">
        <v>97</v>
      </c>
      <c r="AA77" s="213"/>
      <c r="AB77" s="213">
        <v>980</v>
      </c>
      <c r="AC77" s="213"/>
      <c r="AD77" s="213" t="s">
        <v>1152</v>
      </c>
      <c r="AE77" s="213" t="s">
        <v>1153</v>
      </c>
      <c r="AF77" s="214" t="s">
        <v>1154</v>
      </c>
      <c r="AG77" s="213"/>
      <c r="AH77" s="214" t="s">
        <v>1155</v>
      </c>
      <c r="AI77" s="213">
        <v>0</v>
      </c>
      <c r="AJ77" s="213">
        <v>0</v>
      </c>
    </row>
    <row r="78" spans="2:36" s="212" customFormat="1">
      <c r="B78" s="214">
        <v>2180</v>
      </c>
      <c r="C78" s="218">
        <v>245706</v>
      </c>
      <c r="D78" s="214">
        <v>242812</v>
      </c>
      <c r="E78" s="213" t="s">
        <v>1277</v>
      </c>
      <c r="F78" s="214"/>
      <c r="G78" s="213"/>
      <c r="H78" s="213"/>
      <c r="I78" s="213"/>
      <c r="J78" s="213">
        <v>2020</v>
      </c>
      <c r="K78" s="213" t="s">
        <v>3013</v>
      </c>
      <c r="L78" s="213" t="s">
        <v>3013</v>
      </c>
      <c r="M78" s="213" t="s">
        <v>1447</v>
      </c>
      <c r="N78" s="217">
        <v>44197</v>
      </c>
      <c r="O78" s="217">
        <v>44197</v>
      </c>
      <c r="P78" s="213" t="s">
        <v>3012</v>
      </c>
      <c r="Q78" s="214">
        <v>1000</v>
      </c>
      <c r="R78" s="214">
        <v>14040</v>
      </c>
      <c r="S78" s="215">
        <v>480.92</v>
      </c>
      <c r="T78" s="214">
        <v>14046</v>
      </c>
      <c r="U78" s="215">
        <v>48.09</v>
      </c>
      <c r="V78" s="215">
        <f t="shared" ref="V78:V141" si="12">S78-U78</f>
        <v>432.83000000000004</v>
      </c>
      <c r="W78" s="216">
        <v>48.09</v>
      </c>
      <c r="X78" s="214">
        <v>51260</v>
      </c>
      <c r="Y78" s="215">
        <v>4.01</v>
      </c>
      <c r="Z78" s="213" t="s">
        <v>97</v>
      </c>
      <c r="AA78" s="213"/>
      <c r="AB78" s="213">
        <v>981</v>
      </c>
      <c r="AC78" s="213"/>
      <c r="AD78" s="213" t="s">
        <v>1152</v>
      </c>
      <c r="AE78" s="213" t="s">
        <v>1153</v>
      </c>
      <c r="AF78" s="214" t="s">
        <v>1154</v>
      </c>
      <c r="AG78" s="213"/>
      <c r="AH78" s="214" t="s">
        <v>1155</v>
      </c>
      <c r="AI78" s="213">
        <v>0</v>
      </c>
      <c r="AJ78" s="213">
        <v>0</v>
      </c>
    </row>
    <row r="79" spans="2:36" s="212" customFormat="1">
      <c r="B79" s="214">
        <v>2180</v>
      </c>
      <c r="C79" s="218">
        <v>245703</v>
      </c>
      <c r="D79" s="214">
        <v>240182</v>
      </c>
      <c r="E79" s="213" t="s">
        <v>1349</v>
      </c>
      <c r="F79" s="214"/>
      <c r="G79" s="213"/>
      <c r="H79" s="213"/>
      <c r="I79" s="213"/>
      <c r="J79" s="213">
        <v>0</v>
      </c>
      <c r="K79" s="213" t="s">
        <v>2744</v>
      </c>
      <c r="L79" s="213"/>
      <c r="M79" s="213" t="s">
        <v>1447</v>
      </c>
      <c r="N79" s="217">
        <v>44197</v>
      </c>
      <c r="O79" s="217">
        <v>44197</v>
      </c>
      <c r="P79" s="213" t="s">
        <v>3001</v>
      </c>
      <c r="Q79" s="214">
        <v>1000</v>
      </c>
      <c r="R79" s="214">
        <v>14040</v>
      </c>
      <c r="S79" s="215">
        <v>191.75</v>
      </c>
      <c r="T79" s="214">
        <v>14046</v>
      </c>
      <c r="U79" s="215">
        <v>19.18</v>
      </c>
      <c r="V79" s="215">
        <f t="shared" si="12"/>
        <v>172.57</v>
      </c>
      <c r="W79" s="216">
        <v>19.18</v>
      </c>
      <c r="X79" s="214">
        <v>51260</v>
      </c>
      <c r="Y79" s="215">
        <v>1.6</v>
      </c>
      <c r="Z79" s="213" t="s">
        <v>97</v>
      </c>
      <c r="AA79" s="213"/>
      <c r="AB79" s="213">
        <v>930</v>
      </c>
      <c r="AC79" s="213"/>
      <c r="AD79" s="213" t="s">
        <v>1152</v>
      </c>
      <c r="AE79" s="213" t="s">
        <v>1153</v>
      </c>
      <c r="AF79" s="214" t="s">
        <v>1154</v>
      </c>
      <c r="AG79" s="213"/>
      <c r="AH79" s="214" t="s">
        <v>1155</v>
      </c>
      <c r="AI79" s="213">
        <v>0</v>
      </c>
      <c r="AJ79" s="213">
        <v>0</v>
      </c>
    </row>
    <row r="80" spans="2:36" s="212" customFormat="1">
      <c r="B80" s="214">
        <v>2180</v>
      </c>
      <c r="C80" s="218">
        <v>245702</v>
      </c>
      <c r="D80" s="214">
        <v>240180</v>
      </c>
      <c r="E80" s="213" t="s">
        <v>1309</v>
      </c>
      <c r="F80" s="214"/>
      <c r="G80" s="213"/>
      <c r="H80" s="213"/>
      <c r="I80" s="213"/>
      <c r="J80" s="213">
        <v>0</v>
      </c>
      <c r="K80" s="213" t="s">
        <v>2744</v>
      </c>
      <c r="L80" s="213"/>
      <c r="M80" s="213" t="s">
        <v>1447</v>
      </c>
      <c r="N80" s="217">
        <v>44197</v>
      </c>
      <c r="O80" s="217">
        <v>44197</v>
      </c>
      <c r="P80" s="213" t="s">
        <v>3011</v>
      </c>
      <c r="Q80" s="214">
        <v>1000</v>
      </c>
      <c r="R80" s="214">
        <v>14040</v>
      </c>
      <c r="S80" s="215">
        <v>388.15</v>
      </c>
      <c r="T80" s="214">
        <v>14046</v>
      </c>
      <c r="U80" s="215">
        <v>38.82</v>
      </c>
      <c r="V80" s="215">
        <f t="shared" si="12"/>
        <v>349.33</v>
      </c>
      <c r="W80" s="216">
        <v>38.82</v>
      </c>
      <c r="X80" s="214">
        <v>51260</v>
      </c>
      <c r="Y80" s="215">
        <v>3.23</v>
      </c>
      <c r="Z80" s="213" t="s">
        <v>97</v>
      </c>
      <c r="AA80" s="213"/>
      <c r="AB80" s="213">
        <v>929</v>
      </c>
      <c r="AC80" s="213"/>
      <c r="AD80" s="213" t="s">
        <v>1152</v>
      </c>
      <c r="AE80" s="213" t="s">
        <v>1153</v>
      </c>
      <c r="AF80" s="214" t="s">
        <v>1154</v>
      </c>
      <c r="AG80" s="213"/>
      <c r="AH80" s="214" t="s">
        <v>1155</v>
      </c>
      <c r="AI80" s="213">
        <v>0</v>
      </c>
      <c r="AJ80" s="213">
        <v>0</v>
      </c>
    </row>
    <row r="81" spans="2:36">
      <c r="B81" s="203">
        <v>2180</v>
      </c>
      <c r="C81" s="207">
        <v>244572</v>
      </c>
      <c r="D81" s="203">
        <v>240181</v>
      </c>
      <c r="E81" s="202" t="s">
        <v>1309</v>
      </c>
      <c r="F81" s="203"/>
      <c r="G81" s="202"/>
      <c r="H81" s="202"/>
      <c r="I81" s="202"/>
      <c r="J81" s="202">
        <v>0</v>
      </c>
      <c r="K81" s="202" t="s">
        <v>2744</v>
      </c>
      <c r="L81" s="202"/>
      <c r="M81" s="202" t="s">
        <v>1447</v>
      </c>
      <c r="N81" s="206">
        <v>44186</v>
      </c>
      <c r="O81" s="206">
        <v>44186</v>
      </c>
      <c r="P81" s="202" t="s">
        <v>2998</v>
      </c>
      <c r="Q81" s="203">
        <v>1000</v>
      </c>
      <c r="R81" s="203">
        <v>14040</v>
      </c>
      <c r="S81" s="204">
        <v>388.15</v>
      </c>
      <c r="T81" s="203">
        <v>14046</v>
      </c>
      <c r="U81" s="204">
        <v>38.82</v>
      </c>
      <c r="V81" s="204">
        <f t="shared" si="12"/>
        <v>349.33</v>
      </c>
      <c r="W81" s="205">
        <v>38.82</v>
      </c>
      <c r="X81" s="203">
        <v>51260</v>
      </c>
      <c r="Y81" s="204">
        <v>3.23</v>
      </c>
      <c r="Z81" s="202" t="s">
        <v>97</v>
      </c>
      <c r="AA81" s="202"/>
      <c r="AB81" s="202">
        <v>982</v>
      </c>
      <c r="AC81" s="202"/>
      <c r="AD81" s="202" t="s">
        <v>1152</v>
      </c>
      <c r="AE81" s="202" t="s">
        <v>1153</v>
      </c>
      <c r="AF81" s="203" t="s">
        <v>1154</v>
      </c>
      <c r="AG81" s="202"/>
      <c r="AH81" s="203" t="s">
        <v>1155</v>
      </c>
      <c r="AI81" s="202">
        <v>0</v>
      </c>
      <c r="AJ81" s="202">
        <v>0</v>
      </c>
    </row>
    <row r="82" spans="2:36">
      <c r="B82" s="203">
        <v>2180</v>
      </c>
      <c r="C82" s="207">
        <v>243461</v>
      </c>
      <c r="D82" s="203" t="s">
        <v>97</v>
      </c>
      <c r="E82" s="202" t="s">
        <v>1310</v>
      </c>
      <c r="F82" s="203">
        <v>116</v>
      </c>
      <c r="G82" s="202"/>
      <c r="H82" s="202"/>
      <c r="I82" s="202"/>
      <c r="J82" s="202">
        <v>0</v>
      </c>
      <c r="K82" s="202" t="s">
        <v>3010</v>
      </c>
      <c r="L82" s="202"/>
      <c r="M82" s="202"/>
      <c r="N82" s="206">
        <v>44104</v>
      </c>
      <c r="O82" s="206">
        <v>44104</v>
      </c>
      <c r="P82" s="202" t="s">
        <v>2977</v>
      </c>
      <c r="Q82" s="203">
        <v>100</v>
      </c>
      <c r="R82" s="203">
        <v>14110</v>
      </c>
      <c r="S82" s="204">
        <v>80766.149999999994</v>
      </c>
      <c r="T82" s="203">
        <v>14116</v>
      </c>
      <c r="U82" s="204">
        <v>80766.149999999994</v>
      </c>
      <c r="V82" s="204">
        <f t="shared" si="12"/>
        <v>0</v>
      </c>
      <c r="W82" s="205">
        <v>60574.61</v>
      </c>
      <c r="X82" s="203">
        <v>70260</v>
      </c>
      <c r="Y82" s="204">
        <v>0</v>
      </c>
      <c r="Z82" s="202" t="s">
        <v>97</v>
      </c>
      <c r="AA82" s="202"/>
      <c r="AB82" s="202">
        <v>227639</v>
      </c>
      <c r="AC82" s="202"/>
      <c r="AD82" s="202" t="s">
        <v>1152</v>
      </c>
      <c r="AE82" s="202" t="s">
        <v>1153</v>
      </c>
      <c r="AF82" s="203" t="s">
        <v>1154</v>
      </c>
      <c r="AG82" s="202"/>
      <c r="AH82" s="203" t="s">
        <v>1155</v>
      </c>
      <c r="AI82" s="202">
        <v>0</v>
      </c>
      <c r="AJ82" s="202">
        <v>0</v>
      </c>
    </row>
    <row r="83" spans="2:36">
      <c r="B83" s="203">
        <v>2180</v>
      </c>
      <c r="C83" s="207">
        <v>243344</v>
      </c>
      <c r="D83" s="203" t="s">
        <v>97</v>
      </c>
      <c r="E83" s="202" t="s">
        <v>1308</v>
      </c>
      <c r="F83" s="203">
        <v>25</v>
      </c>
      <c r="G83" s="202"/>
      <c r="H83" s="202"/>
      <c r="I83" s="202"/>
      <c r="J83" s="202">
        <v>0</v>
      </c>
      <c r="K83" s="202" t="s">
        <v>2041</v>
      </c>
      <c r="L83" s="202"/>
      <c r="M83" s="202" t="s">
        <v>1456</v>
      </c>
      <c r="N83" s="206">
        <v>44151</v>
      </c>
      <c r="O83" s="206">
        <v>44151</v>
      </c>
      <c r="P83" s="202" t="s">
        <v>3009</v>
      </c>
      <c r="Q83" s="203">
        <v>1200</v>
      </c>
      <c r="R83" s="203">
        <v>14050</v>
      </c>
      <c r="S83" s="204">
        <v>23362.87</v>
      </c>
      <c r="T83" s="203">
        <v>14056</v>
      </c>
      <c r="U83" s="204">
        <v>2109.15</v>
      </c>
      <c r="V83" s="204">
        <f t="shared" si="12"/>
        <v>21253.719999999998</v>
      </c>
      <c r="W83" s="205">
        <v>1946.91</v>
      </c>
      <c r="X83" s="203">
        <v>54260</v>
      </c>
      <c r="Y83" s="204">
        <v>162.24</v>
      </c>
      <c r="Z83" s="202" t="s">
        <v>97</v>
      </c>
      <c r="AA83" s="202"/>
      <c r="AB83" s="202">
        <v>163262</v>
      </c>
      <c r="AC83" s="202"/>
      <c r="AD83" s="202" t="s">
        <v>1152</v>
      </c>
      <c r="AE83" s="202" t="s">
        <v>1153</v>
      </c>
      <c r="AF83" s="203" t="s">
        <v>1154</v>
      </c>
      <c r="AG83" s="202"/>
      <c r="AH83" s="203" t="s">
        <v>1155</v>
      </c>
      <c r="AI83" s="202">
        <v>0</v>
      </c>
      <c r="AJ83" s="202">
        <v>0</v>
      </c>
    </row>
    <row r="84" spans="2:36">
      <c r="B84" s="203">
        <v>2180</v>
      </c>
      <c r="C84" s="207">
        <v>243343</v>
      </c>
      <c r="D84" s="203" t="s">
        <v>97</v>
      </c>
      <c r="E84" s="202" t="s">
        <v>1307</v>
      </c>
      <c r="F84" s="203">
        <v>25</v>
      </c>
      <c r="G84" s="202"/>
      <c r="H84" s="202"/>
      <c r="I84" s="202"/>
      <c r="J84" s="202">
        <v>0</v>
      </c>
      <c r="K84" s="202" t="s">
        <v>2041</v>
      </c>
      <c r="L84" s="202"/>
      <c r="M84" s="202" t="s">
        <v>1573</v>
      </c>
      <c r="N84" s="206">
        <v>44151</v>
      </c>
      <c r="O84" s="206">
        <v>44151</v>
      </c>
      <c r="P84" s="202" t="s">
        <v>3008</v>
      </c>
      <c r="Q84" s="203">
        <v>1200</v>
      </c>
      <c r="R84" s="203">
        <v>14050</v>
      </c>
      <c r="S84" s="204">
        <v>14482.25</v>
      </c>
      <c r="T84" s="203">
        <v>14056</v>
      </c>
      <c r="U84" s="204">
        <v>1307.43</v>
      </c>
      <c r="V84" s="204">
        <f t="shared" si="12"/>
        <v>13174.82</v>
      </c>
      <c r="W84" s="205">
        <v>1206.8599999999999</v>
      </c>
      <c r="X84" s="203">
        <v>54260</v>
      </c>
      <c r="Y84" s="204">
        <v>100.57</v>
      </c>
      <c r="Z84" s="202" t="s">
        <v>97</v>
      </c>
      <c r="AA84" s="202"/>
      <c r="AB84" s="202">
        <v>163258</v>
      </c>
      <c r="AC84" s="202"/>
      <c r="AD84" s="202" t="s">
        <v>1152</v>
      </c>
      <c r="AE84" s="202" t="s">
        <v>1153</v>
      </c>
      <c r="AF84" s="203" t="s">
        <v>1154</v>
      </c>
      <c r="AG84" s="202"/>
      <c r="AH84" s="203" t="s">
        <v>1155</v>
      </c>
      <c r="AI84" s="202">
        <v>0</v>
      </c>
      <c r="AJ84" s="202">
        <v>0</v>
      </c>
    </row>
    <row r="85" spans="2:36">
      <c r="B85" s="203">
        <v>2180</v>
      </c>
      <c r="C85" s="207">
        <v>242813</v>
      </c>
      <c r="D85" s="203" t="s">
        <v>97</v>
      </c>
      <c r="E85" s="202" t="s">
        <v>1274</v>
      </c>
      <c r="F85" s="203"/>
      <c r="G85" s="202"/>
      <c r="H85" s="202" t="s">
        <v>3007</v>
      </c>
      <c r="I85" s="202"/>
      <c r="J85" s="202">
        <v>2020</v>
      </c>
      <c r="K85" s="202" t="s">
        <v>1406</v>
      </c>
      <c r="L85" s="202" t="s">
        <v>2413</v>
      </c>
      <c r="M85" s="202" t="s">
        <v>1404</v>
      </c>
      <c r="N85" s="206">
        <v>44151</v>
      </c>
      <c r="O85" s="206">
        <v>44151</v>
      </c>
      <c r="P85" s="202" t="s">
        <v>3006</v>
      </c>
      <c r="Q85" s="203">
        <v>1000</v>
      </c>
      <c r="R85" s="203">
        <v>14040</v>
      </c>
      <c r="S85" s="204">
        <v>366754.67</v>
      </c>
      <c r="T85" s="203">
        <v>14046</v>
      </c>
      <c r="U85" s="204">
        <v>39731.760000000002</v>
      </c>
      <c r="V85" s="204">
        <f t="shared" si="12"/>
        <v>327022.90999999997</v>
      </c>
      <c r="W85" s="205">
        <v>36675.47</v>
      </c>
      <c r="X85" s="203">
        <v>51260</v>
      </c>
      <c r="Y85" s="204">
        <v>3056.29</v>
      </c>
      <c r="Z85" s="202" t="s">
        <v>97</v>
      </c>
      <c r="AA85" s="202"/>
      <c r="AB85" s="202"/>
      <c r="AC85" s="202">
        <v>3715</v>
      </c>
      <c r="AD85" s="202" t="s">
        <v>1152</v>
      </c>
      <c r="AE85" s="202" t="s">
        <v>1153</v>
      </c>
      <c r="AF85" s="203" t="s">
        <v>1154</v>
      </c>
      <c r="AG85" s="202"/>
      <c r="AH85" s="203" t="s">
        <v>1155</v>
      </c>
      <c r="AI85" s="202">
        <v>0</v>
      </c>
      <c r="AJ85" s="202">
        <v>0</v>
      </c>
    </row>
    <row r="86" spans="2:36">
      <c r="B86" s="203">
        <v>2180</v>
      </c>
      <c r="C86" s="207">
        <v>242812</v>
      </c>
      <c r="D86" s="203" t="s">
        <v>97</v>
      </c>
      <c r="E86" s="202" t="s">
        <v>1274</v>
      </c>
      <c r="F86" s="203"/>
      <c r="G86" s="202"/>
      <c r="H86" s="202" t="s">
        <v>3005</v>
      </c>
      <c r="I86" s="202"/>
      <c r="J86" s="202">
        <v>2020</v>
      </c>
      <c r="K86" s="202" t="s">
        <v>1406</v>
      </c>
      <c r="L86" s="202" t="s">
        <v>2413</v>
      </c>
      <c r="M86" s="202" t="s">
        <v>1404</v>
      </c>
      <c r="N86" s="206">
        <v>44167</v>
      </c>
      <c r="O86" s="206">
        <v>44167</v>
      </c>
      <c r="P86" s="202" t="s">
        <v>3004</v>
      </c>
      <c r="Q86" s="203">
        <v>1000</v>
      </c>
      <c r="R86" s="203">
        <v>14040</v>
      </c>
      <c r="S86" s="204">
        <v>366754.67</v>
      </c>
      <c r="T86" s="203">
        <v>14046</v>
      </c>
      <c r="U86" s="204">
        <v>39731.760000000002</v>
      </c>
      <c r="V86" s="204">
        <f t="shared" si="12"/>
        <v>327022.90999999997</v>
      </c>
      <c r="W86" s="205">
        <v>36675.47</v>
      </c>
      <c r="X86" s="203">
        <v>51260</v>
      </c>
      <c r="Y86" s="204">
        <v>3056.29</v>
      </c>
      <c r="Z86" s="202" t="s">
        <v>97</v>
      </c>
      <c r="AA86" s="202"/>
      <c r="AB86" s="202"/>
      <c r="AC86" s="202">
        <v>3713</v>
      </c>
      <c r="AD86" s="202" t="s">
        <v>1152</v>
      </c>
      <c r="AE86" s="202" t="s">
        <v>1153</v>
      </c>
      <c r="AF86" s="203" t="s">
        <v>1154</v>
      </c>
      <c r="AG86" s="202"/>
      <c r="AH86" s="203" t="s">
        <v>1155</v>
      </c>
      <c r="AI86" s="202">
        <v>0</v>
      </c>
      <c r="AJ86" s="202">
        <v>0</v>
      </c>
    </row>
    <row r="87" spans="2:36">
      <c r="B87" s="203">
        <v>2180</v>
      </c>
      <c r="C87" s="207">
        <v>242721</v>
      </c>
      <c r="D87" s="203" t="s">
        <v>97</v>
      </c>
      <c r="E87" s="202" t="s">
        <v>1306</v>
      </c>
      <c r="F87" s="203">
        <v>60</v>
      </c>
      <c r="G87" s="202"/>
      <c r="H87" s="202"/>
      <c r="I87" s="202"/>
      <c r="J87" s="202">
        <v>0</v>
      </c>
      <c r="K87" s="202" t="s">
        <v>2041</v>
      </c>
      <c r="L87" s="202"/>
      <c r="M87" s="202" t="s">
        <v>1421</v>
      </c>
      <c r="N87" s="206">
        <v>44151</v>
      </c>
      <c r="O87" s="206">
        <v>44151</v>
      </c>
      <c r="P87" s="202" t="s">
        <v>3003</v>
      </c>
      <c r="Q87" s="203">
        <v>1200</v>
      </c>
      <c r="R87" s="203">
        <v>14050</v>
      </c>
      <c r="S87" s="204">
        <v>37052.699999999997</v>
      </c>
      <c r="T87" s="203">
        <v>14056</v>
      </c>
      <c r="U87" s="204">
        <v>3345.04</v>
      </c>
      <c r="V87" s="204">
        <f t="shared" si="12"/>
        <v>33707.659999999996</v>
      </c>
      <c r="W87" s="205">
        <v>3087.73</v>
      </c>
      <c r="X87" s="203">
        <v>54260</v>
      </c>
      <c r="Y87" s="204">
        <v>257.31</v>
      </c>
      <c r="Z87" s="202" t="s">
        <v>97</v>
      </c>
      <c r="AA87" s="202"/>
      <c r="AB87" s="202">
        <v>163260</v>
      </c>
      <c r="AC87" s="202"/>
      <c r="AD87" s="202" t="s">
        <v>1152</v>
      </c>
      <c r="AE87" s="202" t="s">
        <v>1153</v>
      </c>
      <c r="AF87" s="203" t="s">
        <v>1154</v>
      </c>
      <c r="AG87" s="202"/>
      <c r="AH87" s="203" t="s">
        <v>1155</v>
      </c>
      <c r="AI87" s="202">
        <v>0</v>
      </c>
      <c r="AJ87" s="202">
        <v>0</v>
      </c>
    </row>
    <row r="88" spans="2:36">
      <c r="B88" s="203">
        <v>2180</v>
      </c>
      <c r="C88" s="207">
        <v>242359</v>
      </c>
      <c r="D88" s="203">
        <v>240182</v>
      </c>
      <c r="E88" s="202" t="s">
        <v>3002</v>
      </c>
      <c r="F88" s="203"/>
      <c r="G88" s="202"/>
      <c r="H88" s="202"/>
      <c r="I88" s="202"/>
      <c r="J88" s="202">
        <v>0</v>
      </c>
      <c r="K88" s="202" t="s">
        <v>2999</v>
      </c>
      <c r="L88" s="202"/>
      <c r="M88" s="202" t="s">
        <v>1447</v>
      </c>
      <c r="N88" s="206">
        <v>44145</v>
      </c>
      <c r="O88" s="206">
        <v>44145</v>
      </c>
      <c r="P88" s="202" t="s">
        <v>3001</v>
      </c>
      <c r="Q88" s="203">
        <v>1000</v>
      </c>
      <c r="R88" s="203">
        <v>14040</v>
      </c>
      <c r="S88" s="204">
        <v>1276.8800000000001</v>
      </c>
      <c r="T88" s="203">
        <v>14046</v>
      </c>
      <c r="U88" s="204">
        <v>148.96</v>
      </c>
      <c r="V88" s="204">
        <f t="shared" si="12"/>
        <v>1127.92</v>
      </c>
      <c r="W88" s="205">
        <v>127.68</v>
      </c>
      <c r="X88" s="203">
        <v>51260</v>
      </c>
      <c r="Y88" s="204">
        <v>10.64</v>
      </c>
      <c r="Z88" s="202" t="s">
        <v>97</v>
      </c>
      <c r="AA88" s="202"/>
      <c r="AB88" s="202" t="s">
        <v>2997</v>
      </c>
      <c r="AC88" s="202"/>
      <c r="AD88" s="202" t="s">
        <v>1152</v>
      </c>
      <c r="AE88" s="202" t="s">
        <v>1153</v>
      </c>
      <c r="AF88" s="203" t="s">
        <v>1154</v>
      </c>
      <c r="AG88" s="202"/>
      <c r="AH88" s="203" t="s">
        <v>1155</v>
      </c>
      <c r="AI88" s="202">
        <v>0</v>
      </c>
      <c r="AJ88" s="202">
        <v>0</v>
      </c>
    </row>
    <row r="89" spans="2:36">
      <c r="B89" s="203">
        <v>2180</v>
      </c>
      <c r="C89" s="207">
        <v>242358</v>
      </c>
      <c r="D89" s="203">
        <v>240181</v>
      </c>
      <c r="E89" s="202" t="s">
        <v>3000</v>
      </c>
      <c r="F89" s="203"/>
      <c r="G89" s="202"/>
      <c r="H89" s="202"/>
      <c r="I89" s="202"/>
      <c r="J89" s="202">
        <v>0</v>
      </c>
      <c r="K89" s="202" t="s">
        <v>2999</v>
      </c>
      <c r="L89" s="202"/>
      <c r="M89" s="202" t="s">
        <v>1447</v>
      </c>
      <c r="N89" s="206">
        <v>44145</v>
      </c>
      <c r="O89" s="206">
        <v>44145</v>
      </c>
      <c r="P89" s="202" t="s">
        <v>2998</v>
      </c>
      <c r="Q89" s="203">
        <v>1000</v>
      </c>
      <c r="R89" s="203">
        <v>14040</v>
      </c>
      <c r="S89" s="204">
        <v>992.55</v>
      </c>
      <c r="T89" s="203">
        <v>14046</v>
      </c>
      <c r="U89" s="204">
        <v>115.8</v>
      </c>
      <c r="V89" s="204">
        <f t="shared" si="12"/>
        <v>876.75</v>
      </c>
      <c r="W89" s="205">
        <v>99.26</v>
      </c>
      <c r="X89" s="203">
        <v>51260</v>
      </c>
      <c r="Y89" s="204">
        <v>8.27</v>
      </c>
      <c r="Z89" s="202" t="s">
        <v>97</v>
      </c>
      <c r="AA89" s="202"/>
      <c r="AB89" s="202" t="s">
        <v>2997</v>
      </c>
      <c r="AC89" s="202"/>
      <c r="AD89" s="202" t="s">
        <v>1152</v>
      </c>
      <c r="AE89" s="202" t="s">
        <v>1153</v>
      </c>
      <c r="AF89" s="203" t="s">
        <v>1154</v>
      </c>
      <c r="AG89" s="202"/>
      <c r="AH89" s="203" t="s">
        <v>1155</v>
      </c>
      <c r="AI89" s="202">
        <v>0</v>
      </c>
      <c r="AJ89" s="202">
        <v>0</v>
      </c>
    </row>
    <row r="90" spans="2:36">
      <c r="B90" s="203">
        <v>2180</v>
      </c>
      <c r="C90" s="207">
        <v>241521</v>
      </c>
      <c r="D90" s="203">
        <v>240180</v>
      </c>
      <c r="E90" s="202" t="s">
        <v>2996</v>
      </c>
      <c r="F90" s="203"/>
      <c r="G90" s="202"/>
      <c r="H90" s="202" t="s">
        <v>2981</v>
      </c>
      <c r="I90" s="202"/>
      <c r="J90" s="202">
        <v>2020</v>
      </c>
      <c r="K90" s="202"/>
      <c r="L90" s="202"/>
      <c r="M90" s="202" t="s">
        <v>1447</v>
      </c>
      <c r="N90" s="206">
        <v>44104</v>
      </c>
      <c r="O90" s="206">
        <v>44104</v>
      </c>
      <c r="P90" s="202" t="s">
        <v>2979</v>
      </c>
      <c r="Q90" s="203">
        <v>1000</v>
      </c>
      <c r="R90" s="203">
        <v>14040</v>
      </c>
      <c r="S90" s="204">
        <v>115328.73</v>
      </c>
      <c r="T90" s="203">
        <v>14046</v>
      </c>
      <c r="U90" s="204">
        <v>14416.08</v>
      </c>
      <c r="V90" s="204">
        <f t="shared" si="12"/>
        <v>100912.65</v>
      </c>
      <c r="W90" s="205">
        <v>11532.86</v>
      </c>
      <c r="X90" s="203">
        <v>51260</v>
      </c>
      <c r="Y90" s="204">
        <v>961.07</v>
      </c>
      <c r="Z90" s="202" t="s">
        <v>97</v>
      </c>
      <c r="AA90" s="202"/>
      <c r="AB90" s="202"/>
      <c r="AC90" s="202"/>
      <c r="AD90" s="202" t="s">
        <v>1152</v>
      </c>
      <c r="AE90" s="202" t="s">
        <v>1153</v>
      </c>
      <c r="AF90" s="203" t="s">
        <v>1154</v>
      </c>
      <c r="AG90" s="202"/>
      <c r="AH90" s="203" t="s">
        <v>1155</v>
      </c>
      <c r="AI90" s="202">
        <v>0</v>
      </c>
      <c r="AJ90" s="202">
        <v>0</v>
      </c>
    </row>
    <row r="91" spans="2:36">
      <c r="B91" s="203">
        <v>2180</v>
      </c>
      <c r="C91" s="207">
        <v>241233</v>
      </c>
      <c r="D91" s="203" t="s">
        <v>97</v>
      </c>
      <c r="E91" s="202" t="s">
        <v>1271</v>
      </c>
      <c r="F91" s="203"/>
      <c r="G91" s="202"/>
      <c r="H91" s="202" t="s">
        <v>2995</v>
      </c>
      <c r="I91" s="202"/>
      <c r="J91" s="202">
        <v>2021</v>
      </c>
      <c r="K91" s="202" t="s">
        <v>1406</v>
      </c>
      <c r="L91" s="202" t="s">
        <v>2875</v>
      </c>
      <c r="M91" s="202" t="s">
        <v>1824</v>
      </c>
      <c r="N91" s="206">
        <v>44106</v>
      </c>
      <c r="O91" s="206">
        <v>44106</v>
      </c>
      <c r="P91" s="202" t="s">
        <v>2994</v>
      </c>
      <c r="Q91" s="203">
        <v>1000</v>
      </c>
      <c r="R91" s="203">
        <v>14040</v>
      </c>
      <c r="S91" s="204">
        <v>269224.42</v>
      </c>
      <c r="T91" s="203">
        <v>14046</v>
      </c>
      <c r="U91" s="204">
        <v>33653.050000000003</v>
      </c>
      <c r="V91" s="204">
        <f t="shared" si="12"/>
        <v>235571.37</v>
      </c>
      <c r="W91" s="205">
        <v>26922.44</v>
      </c>
      <c r="X91" s="203">
        <v>51260</v>
      </c>
      <c r="Y91" s="204">
        <v>2243.54</v>
      </c>
      <c r="Z91" s="202" t="s">
        <v>97</v>
      </c>
      <c r="AA91" s="202"/>
      <c r="AB91" s="202"/>
      <c r="AC91" s="202">
        <v>4095</v>
      </c>
      <c r="AD91" s="202" t="s">
        <v>1152</v>
      </c>
      <c r="AE91" s="202" t="s">
        <v>1153</v>
      </c>
      <c r="AF91" s="203" t="s">
        <v>1154</v>
      </c>
      <c r="AG91" s="202"/>
      <c r="AH91" s="203" t="s">
        <v>1155</v>
      </c>
      <c r="AI91" s="202">
        <v>0</v>
      </c>
      <c r="AJ91" s="202">
        <v>0</v>
      </c>
    </row>
    <row r="92" spans="2:36">
      <c r="B92" s="203">
        <v>2180</v>
      </c>
      <c r="C92" s="207">
        <v>240918</v>
      </c>
      <c r="D92" s="203" t="s">
        <v>97</v>
      </c>
      <c r="E92" s="202" t="s">
        <v>1302</v>
      </c>
      <c r="F92" s="203">
        <v>94</v>
      </c>
      <c r="G92" s="202"/>
      <c r="H92" s="202"/>
      <c r="I92" s="202"/>
      <c r="J92" s="202">
        <v>0</v>
      </c>
      <c r="K92" s="202" t="s">
        <v>2993</v>
      </c>
      <c r="L92" s="202"/>
      <c r="M92" s="202"/>
      <c r="N92" s="206">
        <v>44109</v>
      </c>
      <c r="O92" s="206">
        <v>44109</v>
      </c>
      <c r="P92" s="202" t="s">
        <v>2992</v>
      </c>
      <c r="Q92" s="203">
        <v>500</v>
      </c>
      <c r="R92" s="203">
        <v>14070</v>
      </c>
      <c r="S92" s="204">
        <v>96643.61</v>
      </c>
      <c r="T92" s="203">
        <v>14076</v>
      </c>
      <c r="U92" s="204">
        <v>24160.9</v>
      </c>
      <c r="V92" s="204">
        <f t="shared" si="12"/>
        <v>72482.709999999992</v>
      </c>
      <c r="W92" s="205">
        <v>19328.72</v>
      </c>
      <c r="X92" s="203">
        <v>51260</v>
      </c>
      <c r="Y92" s="204">
        <v>1610.73</v>
      </c>
      <c r="Z92" s="202" t="s">
        <v>97</v>
      </c>
      <c r="AA92" s="202"/>
      <c r="AB92" s="202">
        <v>5312892</v>
      </c>
      <c r="AC92" s="202"/>
      <c r="AD92" s="202" t="s">
        <v>1152</v>
      </c>
      <c r="AE92" s="202" t="s">
        <v>1153</v>
      </c>
      <c r="AF92" s="203" t="s">
        <v>1154</v>
      </c>
      <c r="AG92" s="202"/>
      <c r="AH92" s="203" t="s">
        <v>1155</v>
      </c>
      <c r="AI92" s="202">
        <v>0</v>
      </c>
      <c r="AJ92" s="202">
        <v>0</v>
      </c>
    </row>
    <row r="93" spans="2:36">
      <c r="B93" s="203">
        <v>2180</v>
      </c>
      <c r="C93" s="207">
        <v>240795</v>
      </c>
      <c r="D93" s="203" t="s">
        <v>97</v>
      </c>
      <c r="E93" s="202" t="s">
        <v>1301</v>
      </c>
      <c r="F93" s="203">
        <v>130</v>
      </c>
      <c r="G93" s="202"/>
      <c r="H93" s="202"/>
      <c r="I93" s="202"/>
      <c r="J93" s="202">
        <v>0</v>
      </c>
      <c r="K93" s="202" t="s">
        <v>2991</v>
      </c>
      <c r="L93" s="202"/>
      <c r="M93" s="202"/>
      <c r="N93" s="206">
        <v>44135</v>
      </c>
      <c r="O93" s="206">
        <v>44135</v>
      </c>
      <c r="P93" s="202" t="s">
        <v>2990</v>
      </c>
      <c r="Q93" s="203">
        <v>100</v>
      </c>
      <c r="R93" s="203">
        <v>14110</v>
      </c>
      <c r="S93" s="204">
        <v>12469.38</v>
      </c>
      <c r="T93" s="203">
        <v>14116</v>
      </c>
      <c r="U93" s="204">
        <v>12469.38</v>
      </c>
      <c r="V93" s="204">
        <f t="shared" si="12"/>
        <v>0</v>
      </c>
      <c r="W93" s="205">
        <v>10391.15</v>
      </c>
      <c r="X93" s="203">
        <v>70260</v>
      </c>
      <c r="Y93" s="204">
        <v>0</v>
      </c>
      <c r="Z93" s="202" t="s">
        <v>97</v>
      </c>
      <c r="AA93" s="202"/>
      <c r="AB93" s="202">
        <v>61512</v>
      </c>
      <c r="AC93" s="202"/>
      <c r="AD93" s="202" t="s">
        <v>1152</v>
      </c>
      <c r="AE93" s="202" t="s">
        <v>1153</v>
      </c>
      <c r="AF93" s="203" t="s">
        <v>1154</v>
      </c>
      <c r="AG93" s="202"/>
      <c r="AH93" s="203" t="s">
        <v>1155</v>
      </c>
      <c r="AI93" s="202">
        <v>0</v>
      </c>
      <c r="AJ93" s="202">
        <v>0</v>
      </c>
    </row>
    <row r="94" spans="2:36">
      <c r="B94" s="203">
        <v>2180</v>
      </c>
      <c r="C94" s="207">
        <v>240725</v>
      </c>
      <c r="D94" s="203" t="s">
        <v>97</v>
      </c>
      <c r="E94" s="202" t="s">
        <v>2989</v>
      </c>
      <c r="F94" s="203"/>
      <c r="G94" s="202"/>
      <c r="H94" s="202"/>
      <c r="I94" s="202"/>
      <c r="J94" s="202">
        <v>0</v>
      </c>
      <c r="K94" s="202" t="s">
        <v>1429</v>
      </c>
      <c r="L94" s="202"/>
      <c r="M94" s="202"/>
      <c r="N94" s="206">
        <v>44134</v>
      </c>
      <c r="O94" s="206">
        <v>44134</v>
      </c>
      <c r="P94" s="202" t="s">
        <v>2986</v>
      </c>
      <c r="Q94" s="203">
        <v>300</v>
      </c>
      <c r="R94" s="203">
        <v>14110</v>
      </c>
      <c r="S94" s="204">
        <v>401.48</v>
      </c>
      <c r="T94" s="203">
        <v>14116</v>
      </c>
      <c r="U94" s="204">
        <v>156.13999999999999</v>
      </c>
      <c r="V94" s="204">
        <f t="shared" si="12"/>
        <v>245.34000000000003</v>
      </c>
      <c r="W94" s="205">
        <v>133.83000000000001</v>
      </c>
      <c r="X94" s="203">
        <v>70260</v>
      </c>
      <c r="Y94" s="204">
        <v>11.15</v>
      </c>
      <c r="Z94" s="202" t="s">
        <v>97</v>
      </c>
      <c r="AA94" s="202"/>
      <c r="AB94" s="202">
        <v>2192741</v>
      </c>
      <c r="AC94" s="202"/>
      <c r="AD94" s="202" t="s">
        <v>1152</v>
      </c>
      <c r="AE94" s="202" t="s">
        <v>1153</v>
      </c>
      <c r="AF94" s="203" t="s">
        <v>1154</v>
      </c>
      <c r="AG94" s="202"/>
      <c r="AH94" s="203" t="s">
        <v>1155</v>
      </c>
      <c r="AI94" s="202">
        <v>0</v>
      </c>
      <c r="AJ94" s="202">
        <v>0</v>
      </c>
    </row>
    <row r="95" spans="2:36">
      <c r="B95" s="203">
        <v>2180</v>
      </c>
      <c r="C95" s="207">
        <v>240724</v>
      </c>
      <c r="D95" s="203" t="s">
        <v>97</v>
      </c>
      <c r="E95" s="202" t="s">
        <v>2988</v>
      </c>
      <c r="F95" s="203"/>
      <c r="G95" s="202"/>
      <c r="H95" s="202"/>
      <c r="I95" s="202"/>
      <c r="J95" s="202">
        <v>0</v>
      </c>
      <c r="K95" s="202" t="s">
        <v>1429</v>
      </c>
      <c r="L95" s="202"/>
      <c r="M95" s="202"/>
      <c r="N95" s="206">
        <v>44104</v>
      </c>
      <c r="O95" s="206">
        <v>44104</v>
      </c>
      <c r="P95" s="202" t="s">
        <v>2986</v>
      </c>
      <c r="Q95" s="203">
        <v>300</v>
      </c>
      <c r="R95" s="203">
        <v>14110</v>
      </c>
      <c r="S95" s="204">
        <v>401.49</v>
      </c>
      <c r="T95" s="203">
        <v>14116</v>
      </c>
      <c r="U95" s="204">
        <v>167.28</v>
      </c>
      <c r="V95" s="204">
        <f t="shared" si="12"/>
        <v>234.21</v>
      </c>
      <c r="W95" s="205">
        <v>133.83000000000001</v>
      </c>
      <c r="X95" s="203">
        <v>70260</v>
      </c>
      <c r="Y95" s="204">
        <v>11.15</v>
      </c>
      <c r="Z95" s="202" t="s">
        <v>97</v>
      </c>
      <c r="AA95" s="202"/>
      <c r="AB95" s="202">
        <v>2192741</v>
      </c>
      <c r="AC95" s="202"/>
      <c r="AD95" s="202" t="s">
        <v>1152</v>
      </c>
      <c r="AE95" s="202" t="s">
        <v>1153</v>
      </c>
      <c r="AF95" s="203" t="s">
        <v>1154</v>
      </c>
      <c r="AG95" s="202"/>
      <c r="AH95" s="203" t="s">
        <v>1155</v>
      </c>
      <c r="AI95" s="202">
        <v>0</v>
      </c>
      <c r="AJ95" s="202">
        <v>0</v>
      </c>
    </row>
    <row r="96" spans="2:36">
      <c r="B96" s="203">
        <v>2180</v>
      </c>
      <c r="C96" s="207">
        <v>240723</v>
      </c>
      <c r="D96" s="203" t="s">
        <v>97</v>
      </c>
      <c r="E96" s="202" t="s">
        <v>2987</v>
      </c>
      <c r="F96" s="203"/>
      <c r="G96" s="202"/>
      <c r="H96" s="202"/>
      <c r="I96" s="202"/>
      <c r="J96" s="202">
        <v>0</v>
      </c>
      <c r="K96" s="202" t="s">
        <v>1429</v>
      </c>
      <c r="L96" s="202"/>
      <c r="M96" s="202"/>
      <c r="N96" s="206">
        <v>44134</v>
      </c>
      <c r="O96" s="206">
        <v>44134</v>
      </c>
      <c r="P96" s="202" t="s">
        <v>2986</v>
      </c>
      <c r="Q96" s="203">
        <v>300</v>
      </c>
      <c r="R96" s="203">
        <v>14110</v>
      </c>
      <c r="S96" s="204">
        <v>401.48</v>
      </c>
      <c r="T96" s="203">
        <v>14116</v>
      </c>
      <c r="U96" s="204">
        <v>156.13999999999999</v>
      </c>
      <c r="V96" s="204">
        <f t="shared" si="12"/>
        <v>245.34000000000003</v>
      </c>
      <c r="W96" s="205">
        <v>133.83000000000001</v>
      </c>
      <c r="X96" s="203">
        <v>70260</v>
      </c>
      <c r="Y96" s="204">
        <v>11.15</v>
      </c>
      <c r="Z96" s="202" t="s">
        <v>97</v>
      </c>
      <c r="AA96" s="202"/>
      <c r="AB96" s="202">
        <v>2192741</v>
      </c>
      <c r="AC96" s="202"/>
      <c r="AD96" s="202" t="s">
        <v>1152</v>
      </c>
      <c r="AE96" s="202" t="s">
        <v>1153</v>
      </c>
      <c r="AF96" s="203" t="s">
        <v>1154</v>
      </c>
      <c r="AG96" s="202"/>
      <c r="AH96" s="203" t="s">
        <v>1155</v>
      </c>
      <c r="AI96" s="202">
        <v>0</v>
      </c>
      <c r="AJ96" s="202">
        <v>0</v>
      </c>
    </row>
    <row r="97" spans="2:36">
      <c r="B97" s="203">
        <v>2180</v>
      </c>
      <c r="C97" s="207">
        <v>240182</v>
      </c>
      <c r="D97" s="203" t="s">
        <v>97</v>
      </c>
      <c r="E97" s="202" t="s">
        <v>1271</v>
      </c>
      <c r="F97" s="203"/>
      <c r="G97" s="202"/>
      <c r="H97" s="202" t="s">
        <v>2985</v>
      </c>
      <c r="I97" s="202"/>
      <c r="J97" s="202">
        <v>2021</v>
      </c>
      <c r="K97" s="202" t="s">
        <v>1406</v>
      </c>
      <c r="L97" s="202" t="s">
        <v>2875</v>
      </c>
      <c r="M97" s="202" t="s">
        <v>1824</v>
      </c>
      <c r="N97" s="206">
        <v>44110</v>
      </c>
      <c r="O97" s="206">
        <v>44110</v>
      </c>
      <c r="P97" s="202" t="s">
        <v>2984</v>
      </c>
      <c r="Q97" s="203">
        <v>1000</v>
      </c>
      <c r="R97" s="203">
        <v>14040</v>
      </c>
      <c r="S97" s="204">
        <v>223888.25</v>
      </c>
      <c r="T97" s="203">
        <v>14046</v>
      </c>
      <c r="U97" s="204">
        <v>27986.04</v>
      </c>
      <c r="V97" s="204">
        <f t="shared" si="12"/>
        <v>195902.21</v>
      </c>
      <c r="W97" s="205">
        <v>22388.83</v>
      </c>
      <c r="X97" s="203">
        <v>51260</v>
      </c>
      <c r="Y97" s="204">
        <v>1865.74</v>
      </c>
      <c r="Z97" s="202" t="s">
        <v>97</v>
      </c>
      <c r="AA97" s="202"/>
      <c r="AB97" s="202"/>
      <c r="AC97" s="202">
        <v>4094</v>
      </c>
      <c r="AD97" s="202" t="s">
        <v>1152</v>
      </c>
      <c r="AE97" s="202" t="s">
        <v>1153</v>
      </c>
      <c r="AF97" s="203" t="s">
        <v>1154</v>
      </c>
      <c r="AG97" s="202"/>
      <c r="AH97" s="203" t="s">
        <v>1155</v>
      </c>
      <c r="AI97" s="202">
        <v>0</v>
      </c>
      <c r="AJ97" s="202">
        <v>0</v>
      </c>
    </row>
    <row r="98" spans="2:36">
      <c r="B98" s="203">
        <v>2180</v>
      </c>
      <c r="C98" s="207">
        <v>240181</v>
      </c>
      <c r="D98" s="203" t="s">
        <v>97</v>
      </c>
      <c r="E98" s="202" t="s">
        <v>1297</v>
      </c>
      <c r="F98" s="203"/>
      <c r="G98" s="202"/>
      <c r="H98" s="202" t="s">
        <v>2983</v>
      </c>
      <c r="I98" s="202"/>
      <c r="J98" s="202">
        <v>2020</v>
      </c>
      <c r="K98" s="202" t="s">
        <v>1406</v>
      </c>
      <c r="L98" s="202" t="s">
        <v>2980</v>
      </c>
      <c r="M98" s="202" t="s">
        <v>1394</v>
      </c>
      <c r="N98" s="206">
        <v>44109</v>
      </c>
      <c r="O98" s="206">
        <v>44109</v>
      </c>
      <c r="P98" s="202" t="s">
        <v>2982</v>
      </c>
      <c r="Q98" s="203">
        <v>1000</v>
      </c>
      <c r="R98" s="203">
        <v>14040</v>
      </c>
      <c r="S98" s="204">
        <v>304666.09999999998</v>
      </c>
      <c r="T98" s="203">
        <v>14046</v>
      </c>
      <c r="U98" s="204">
        <v>38083.26</v>
      </c>
      <c r="V98" s="204">
        <f t="shared" si="12"/>
        <v>266582.83999999997</v>
      </c>
      <c r="W98" s="205">
        <v>30466.61</v>
      </c>
      <c r="X98" s="203">
        <v>51260</v>
      </c>
      <c r="Y98" s="204">
        <v>2538.88</v>
      </c>
      <c r="Z98" s="202" t="s">
        <v>97</v>
      </c>
      <c r="AA98" s="202"/>
      <c r="AB98" s="202"/>
      <c r="AC98" s="202">
        <v>1090</v>
      </c>
      <c r="AD98" s="202" t="s">
        <v>1152</v>
      </c>
      <c r="AE98" s="202" t="s">
        <v>1153</v>
      </c>
      <c r="AF98" s="203" t="s">
        <v>1154</v>
      </c>
      <c r="AG98" s="202"/>
      <c r="AH98" s="203" t="s">
        <v>1155</v>
      </c>
      <c r="AI98" s="202">
        <v>0</v>
      </c>
      <c r="AJ98" s="202">
        <v>0</v>
      </c>
    </row>
    <row r="99" spans="2:36">
      <c r="B99" s="203">
        <v>2180</v>
      </c>
      <c r="C99" s="207">
        <v>240180</v>
      </c>
      <c r="D99" s="203" t="s">
        <v>97</v>
      </c>
      <c r="E99" s="202" t="s">
        <v>1297</v>
      </c>
      <c r="F99" s="203"/>
      <c r="G99" s="202"/>
      <c r="H99" s="202" t="s">
        <v>2981</v>
      </c>
      <c r="I99" s="202"/>
      <c r="J99" s="202">
        <v>2020</v>
      </c>
      <c r="K99" s="202" t="s">
        <v>1406</v>
      </c>
      <c r="L99" s="202" t="s">
        <v>2980</v>
      </c>
      <c r="M99" s="202" t="s">
        <v>1394</v>
      </c>
      <c r="N99" s="206">
        <v>44104</v>
      </c>
      <c r="O99" s="206">
        <v>44104</v>
      </c>
      <c r="P99" s="202" t="s">
        <v>2979</v>
      </c>
      <c r="Q99" s="203">
        <v>1000</v>
      </c>
      <c r="R99" s="203">
        <v>14040</v>
      </c>
      <c r="S99" s="204">
        <v>189337.37</v>
      </c>
      <c r="T99" s="203">
        <v>14046</v>
      </c>
      <c r="U99" s="204">
        <v>23667.18</v>
      </c>
      <c r="V99" s="204">
        <f t="shared" si="12"/>
        <v>165670.19</v>
      </c>
      <c r="W99" s="205">
        <v>18933.740000000002</v>
      </c>
      <c r="X99" s="203">
        <v>51260</v>
      </c>
      <c r="Y99" s="204">
        <v>1577.81</v>
      </c>
      <c r="Z99" s="202" t="s">
        <v>97</v>
      </c>
      <c r="AA99" s="202"/>
      <c r="AB99" s="202"/>
      <c r="AC99" s="202">
        <v>1091</v>
      </c>
      <c r="AD99" s="202" t="s">
        <v>1152</v>
      </c>
      <c r="AE99" s="202" t="s">
        <v>1153</v>
      </c>
      <c r="AF99" s="203" t="s">
        <v>1154</v>
      </c>
      <c r="AG99" s="202"/>
      <c r="AH99" s="203" t="s">
        <v>1155</v>
      </c>
      <c r="AI99" s="202">
        <v>0</v>
      </c>
      <c r="AJ99" s="202">
        <v>0</v>
      </c>
    </row>
    <row r="100" spans="2:36">
      <c r="B100" s="203">
        <v>2180</v>
      </c>
      <c r="C100" s="207">
        <v>239506</v>
      </c>
      <c r="D100" s="203" t="s">
        <v>97</v>
      </c>
      <c r="E100" s="202" t="s">
        <v>1296</v>
      </c>
      <c r="F100" s="203"/>
      <c r="G100" s="202"/>
      <c r="H100" s="202"/>
      <c r="I100" s="202"/>
      <c r="J100" s="202">
        <v>0</v>
      </c>
      <c r="K100" s="202" t="s">
        <v>2978</v>
      </c>
      <c r="L100" s="202"/>
      <c r="M100" s="202"/>
      <c r="N100" s="206">
        <v>44104</v>
      </c>
      <c r="O100" s="206">
        <v>44104</v>
      </c>
      <c r="P100" s="202" t="s">
        <v>2977</v>
      </c>
      <c r="Q100" s="203">
        <v>100</v>
      </c>
      <c r="R100" s="203">
        <v>14110</v>
      </c>
      <c r="S100" s="204">
        <v>25147.040000000001</v>
      </c>
      <c r="T100" s="203">
        <v>14116</v>
      </c>
      <c r="U100" s="204">
        <v>25147.040000000001</v>
      </c>
      <c r="V100" s="204">
        <f t="shared" si="12"/>
        <v>0</v>
      </c>
      <c r="W100" s="205">
        <v>18860.28</v>
      </c>
      <c r="X100" s="203">
        <v>70260</v>
      </c>
      <c r="Y100" s="204">
        <v>0</v>
      </c>
      <c r="Z100" s="202" t="s">
        <v>97</v>
      </c>
      <c r="AA100" s="202"/>
      <c r="AB100" s="202" t="s">
        <v>2976</v>
      </c>
      <c r="AC100" s="202"/>
      <c r="AD100" s="202" t="s">
        <v>1152</v>
      </c>
      <c r="AE100" s="202" t="s">
        <v>1153</v>
      </c>
      <c r="AF100" s="203" t="s">
        <v>1154</v>
      </c>
      <c r="AG100" s="202"/>
      <c r="AH100" s="203" t="s">
        <v>1155</v>
      </c>
      <c r="AI100" s="202">
        <v>0</v>
      </c>
      <c r="AJ100" s="202">
        <v>0</v>
      </c>
    </row>
    <row r="101" spans="2:36">
      <c r="B101" s="203">
        <v>2180</v>
      </c>
      <c r="C101" s="207">
        <v>237476</v>
      </c>
      <c r="D101" s="203" t="s">
        <v>97</v>
      </c>
      <c r="E101" s="202" t="s">
        <v>2974</v>
      </c>
      <c r="F101" s="203">
        <v>702</v>
      </c>
      <c r="G101" s="202"/>
      <c r="H101" s="202"/>
      <c r="I101" s="202"/>
      <c r="J101" s="202">
        <v>0</v>
      </c>
      <c r="K101" s="202" t="s">
        <v>2445</v>
      </c>
      <c r="L101" s="202"/>
      <c r="M101" s="202" t="s">
        <v>2846</v>
      </c>
      <c r="N101" s="206">
        <v>44085</v>
      </c>
      <c r="O101" s="206">
        <v>44085</v>
      </c>
      <c r="P101" s="202" t="s">
        <v>2975</v>
      </c>
      <c r="Q101" s="203">
        <v>700</v>
      </c>
      <c r="R101" s="203">
        <v>14050</v>
      </c>
      <c r="S101" s="204">
        <v>30338.49</v>
      </c>
      <c r="T101" s="203">
        <v>14056</v>
      </c>
      <c r="U101" s="204">
        <v>5778.76</v>
      </c>
      <c r="V101" s="204">
        <f t="shared" si="12"/>
        <v>24559.730000000003</v>
      </c>
      <c r="W101" s="205">
        <v>4334.07</v>
      </c>
      <c r="X101" s="203">
        <v>54260</v>
      </c>
      <c r="Y101" s="204">
        <v>361.17</v>
      </c>
      <c r="Z101" s="202" t="s">
        <v>97</v>
      </c>
      <c r="AA101" s="202"/>
      <c r="AB101" s="202">
        <v>50121318</v>
      </c>
      <c r="AC101" s="202"/>
      <c r="AD101" s="202" t="s">
        <v>1152</v>
      </c>
      <c r="AE101" s="202" t="s">
        <v>1153</v>
      </c>
      <c r="AF101" s="203" t="s">
        <v>1154</v>
      </c>
      <c r="AG101" s="202"/>
      <c r="AH101" s="203" t="s">
        <v>1155</v>
      </c>
      <c r="AI101" s="202">
        <v>0</v>
      </c>
      <c r="AJ101" s="202">
        <v>0</v>
      </c>
    </row>
    <row r="102" spans="2:36">
      <c r="B102" s="203">
        <v>2180</v>
      </c>
      <c r="C102" s="207">
        <v>237475</v>
      </c>
      <c r="D102" s="203" t="s">
        <v>97</v>
      </c>
      <c r="E102" s="202" t="s">
        <v>2974</v>
      </c>
      <c r="F102" s="203">
        <v>702</v>
      </c>
      <c r="G102" s="202"/>
      <c r="H102" s="202"/>
      <c r="I102" s="202"/>
      <c r="J102" s="202">
        <v>0</v>
      </c>
      <c r="K102" s="202" t="s">
        <v>2445</v>
      </c>
      <c r="L102" s="202"/>
      <c r="M102" s="202" t="s">
        <v>2846</v>
      </c>
      <c r="N102" s="206">
        <v>44085</v>
      </c>
      <c r="O102" s="206">
        <v>44085</v>
      </c>
      <c r="P102" s="202" t="s">
        <v>2973</v>
      </c>
      <c r="Q102" s="203">
        <v>700</v>
      </c>
      <c r="R102" s="203">
        <v>14050</v>
      </c>
      <c r="S102" s="204">
        <v>30338.49</v>
      </c>
      <c r="T102" s="203">
        <v>14056</v>
      </c>
      <c r="U102" s="204">
        <v>5778.76</v>
      </c>
      <c r="V102" s="204">
        <f t="shared" si="12"/>
        <v>24559.730000000003</v>
      </c>
      <c r="W102" s="205">
        <v>4334.07</v>
      </c>
      <c r="X102" s="203">
        <v>54260</v>
      </c>
      <c r="Y102" s="204">
        <v>361.17</v>
      </c>
      <c r="Z102" s="202" t="s">
        <v>97</v>
      </c>
      <c r="AA102" s="202"/>
      <c r="AB102" s="202">
        <v>50121318</v>
      </c>
      <c r="AC102" s="202"/>
      <c r="AD102" s="202" t="s">
        <v>1152</v>
      </c>
      <c r="AE102" s="202" t="s">
        <v>1153</v>
      </c>
      <c r="AF102" s="203" t="s">
        <v>1154</v>
      </c>
      <c r="AG102" s="202"/>
      <c r="AH102" s="203" t="s">
        <v>1155</v>
      </c>
      <c r="AI102" s="202">
        <v>0</v>
      </c>
      <c r="AJ102" s="202">
        <v>0</v>
      </c>
    </row>
    <row r="103" spans="2:36">
      <c r="B103" s="203">
        <v>2180</v>
      </c>
      <c r="C103" s="207">
        <v>237474</v>
      </c>
      <c r="D103" s="203" t="s">
        <v>97</v>
      </c>
      <c r="E103" s="202" t="s">
        <v>1294</v>
      </c>
      <c r="F103" s="203">
        <v>702</v>
      </c>
      <c r="G103" s="202"/>
      <c r="H103" s="202"/>
      <c r="I103" s="202"/>
      <c r="J103" s="202">
        <v>0</v>
      </c>
      <c r="K103" s="202" t="s">
        <v>2445</v>
      </c>
      <c r="L103" s="202"/>
      <c r="M103" s="202" t="s">
        <v>2846</v>
      </c>
      <c r="N103" s="206">
        <v>44084</v>
      </c>
      <c r="O103" s="206">
        <v>44084</v>
      </c>
      <c r="P103" s="202" t="s">
        <v>2973</v>
      </c>
      <c r="Q103" s="203">
        <v>700</v>
      </c>
      <c r="R103" s="203">
        <v>14050</v>
      </c>
      <c r="S103" s="204">
        <v>30338.48</v>
      </c>
      <c r="T103" s="203">
        <v>14056</v>
      </c>
      <c r="U103" s="204">
        <v>5778.76</v>
      </c>
      <c r="V103" s="204">
        <f t="shared" si="12"/>
        <v>24559.72</v>
      </c>
      <c r="W103" s="205">
        <v>4334.07</v>
      </c>
      <c r="X103" s="203">
        <v>54260</v>
      </c>
      <c r="Y103" s="204">
        <v>361.17</v>
      </c>
      <c r="Z103" s="202" t="s">
        <v>97</v>
      </c>
      <c r="AA103" s="202"/>
      <c r="AB103" s="202">
        <v>50121155</v>
      </c>
      <c r="AC103" s="202"/>
      <c r="AD103" s="202" t="s">
        <v>1152</v>
      </c>
      <c r="AE103" s="202" t="s">
        <v>1153</v>
      </c>
      <c r="AF103" s="203" t="s">
        <v>1154</v>
      </c>
      <c r="AG103" s="202"/>
      <c r="AH103" s="203" t="s">
        <v>1155</v>
      </c>
      <c r="AI103" s="202">
        <v>0</v>
      </c>
      <c r="AJ103" s="202">
        <v>0</v>
      </c>
    </row>
    <row r="104" spans="2:36">
      <c r="B104" s="203">
        <v>2180</v>
      </c>
      <c r="C104" s="207">
        <v>237473</v>
      </c>
      <c r="D104" s="203" t="s">
        <v>97</v>
      </c>
      <c r="E104" s="202" t="s">
        <v>1293</v>
      </c>
      <c r="F104" s="203">
        <v>702</v>
      </c>
      <c r="G104" s="202"/>
      <c r="H104" s="202"/>
      <c r="I104" s="202"/>
      <c r="J104" s="202">
        <v>0</v>
      </c>
      <c r="K104" s="202" t="s">
        <v>2445</v>
      </c>
      <c r="L104" s="202"/>
      <c r="M104" s="202" t="s">
        <v>2846</v>
      </c>
      <c r="N104" s="206">
        <v>44088</v>
      </c>
      <c r="O104" s="206">
        <v>44088</v>
      </c>
      <c r="P104" s="202" t="s">
        <v>2972</v>
      </c>
      <c r="Q104" s="203">
        <v>700</v>
      </c>
      <c r="R104" s="203">
        <v>14050</v>
      </c>
      <c r="S104" s="204">
        <v>30338.49</v>
      </c>
      <c r="T104" s="203">
        <v>14056</v>
      </c>
      <c r="U104" s="204">
        <v>5778.76</v>
      </c>
      <c r="V104" s="204">
        <f t="shared" si="12"/>
        <v>24559.730000000003</v>
      </c>
      <c r="W104" s="205">
        <v>4334.07</v>
      </c>
      <c r="X104" s="203">
        <v>54260</v>
      </c>
      <c r="Y104" s="204">
        <v>361.17</v>
      </c>
      <c r="Z104" s="202" t="s">
        <v>97</v>
      </c>
      <c r="AA104" s="202"/>
      <c r="AB104" s="202">
        <v>50121823</v>
      </c>
      <c r="AC104" s="202"/>
      <c r="AD104" s="202" t="s">
        <v>1152</v>
      </c>
      <c r="AE104" s="202" t="s">
        <v>1153</v>
      </c>
      <c r="AF104" s="203" t="s">
        <v>1154</v>
      </c>
      <c r="AG104" s="202"/>
      <c r="AH104" s="203" t="s">
        <v>1155</v>
      </c>
      <c r="AI104" s="202">
        <v>0</v>
      </c>
      <c r="AJ104" s="202">
        <v>0</v>
      </c>
    </row>
    <row r="105" spans="2:36">
      <c r="B105" s="203">
        <v>2180</v>
      </c>
      <c r="C105" s="207">
        <v>237472</v>
      </c>
      <c r="D105" s="203" t="s">
        <v>97</v>
      </c>
      <c r="E105" s="202" t="s">
        <v>1292</v>
      </c>
      <c r="F105" s="203">
        <v>702</v>
      </c>
      <c r="G105" s="202"/>
      <c r="H105" s="202"/>
      <c r="I105" s="202"/>
      <c r="J105" s="202">
        <v>0</v>
      </c>
      <c r="K105" s="202" t="s">
        <v>2445</v>
      </c>
      <c r="L105" s="202"/>
      <c r="M105" s="202" t="s">
        <v>2846</v>
      </c>
      <c r="N105" s="206">
        <v>44082</v>
      </c>
      <c r="O105" s="206">
        <v>44082</v>
      </c>
      <c r="P105" s="202" t="s">
        <v>2972</v>
      </c>
      <c r="Q105" s="203">
        <v>700</v>
      </c>
      <c r="R105" s="203">
        <v>14050</v>
      </c>
      <c r="S105" s="204">
        <v>30338.49</v>
      </c>
      <c r="T105" s="203">
        <v>14056</v>
      </c>
      <c r="U105" s="204">
        <v>5778.76</v>
      </c>
      <c r="V105" s="204">
        <f t="shared" si="12"/>
        <v>24559.730000000003</v>
      </c>
      <c r="W105" s="205">
        <v>4334.07</v>
      </c>
      <c r="X105" s="203">
        <v>54260</v>
      </c>
      <c r="Y105" s="204">
        <v>361.17</v>
      </c>
      <c r="Z105" s="202" t="s">
        <v>97</v>
      </c>
      <c r="AA105" s="202"/>
      <c r="AB105" s="202">
        <v>50120778</v>
      </c>
      <c r="AC105" s="202"/>
      <c r="AD105" s="202" t="s">
        <v>1152</v>
      </c>
      <c r="AE105" s="202" t="s">
        <v>1153</v>
      </c>
      <c r="AF105" s="203" t="s">
        <v>1154</v>
      </c>
      <c r="AG105" s="202"/>
      <c r="AH105" s="203" t="s">
        <v>1155</v>
      </c>
      <c r="AI105" s="202">
        <v>0</v>
      </c>
      <c r="AJ105" s="202">
        <v>0</v>
      </c>
    </row>
    <row r="106" spans="2:36">
      <c r="B106" s="203">
        <v>2180</v>
      </c>
      <c r="C106" s="207">
        <v>237471</v>
      </c>
      <c r="D106" s="203" t="s">
        <v>97</v>
      </c>
      <c r="E106" s="202" t="s">
        <v>2971</v>
      </c>
      <c r="F106" s="203">
        <v>936</v>
      </c>
      <c r="G106" s="202"/>
      <c r="H106" s="202"/>
      <c r="I106" s="202"/>
      <c r="J106" s="202">
        <v>0</v>
      </c>
      <c r="K106" s="202" t="s">
        <v>2445</v>
      </c>
      <c r="L106" s="202"/>
      <c r="M106" s="202" t="s">
        <v>2846</v>
      </c>
      <c r="N106" s="206">
        <v>44085</v>
      </c>
      <c r="O106" s="206">
        <v>44085</v>
      </c>
      <c r="P106" s="202" t="s">
        <v>2970</v>
      </c>
      <c r="Q106" s="203">
        <v>700</v>
      </c>
      <c r="R106" s="203">
        <v>14050</v>
      </c>
      <c r="S106" s="204">
        <v>34722.25</v>
      </c>
      <c r="T106" s="203">
        <v>14056</v>
      </c>
      <c r="U106" s="204">
        <v>6613.76</v>
      </c>
      <c r="V106" s="204">
        <f t="shared" si="12"/>
        <v>28108.489999999998</v>
      </c>
      <c r="W106" s="205">
        <v>4960.32</v>
      </c>
      <c r="X106" s="203">
        <v>54260</v>
      </c>
      <c r="Y106" s="204">
        <v>413.36</v>
      </c>
      <c r="Z106" s="202" t="s">
        <v>97</v>
      </c>
      <c r="AA106" s="202"/>
      <c r="AB106" s="202">
        <v>50121318</v>
      </c>
      <c r="AC106" s="202"/>
      <c r="AD106" s="202" t="s">
        <v>1152</v>
      </c>
      <c r="AE106" s="202" t="s">
        <v>1153</v>
      </c>
      <c r="AF106" s="203" t="s">
        <v>1154</v>
      </c>
      <c r="AG106" s="202"/>
      <c r="AH106" s="203" t="s">
        <v>1155</v>
      </c>
      <c r="AI106" s="202">
        <v>0</v>
      </c>
      <c r="AJ106" s="202">
        <v>0</v>
      </c>
    </row>
    <row r="107" spans="2:36">
      <c r="B107" s="203">
        <v>2180</v>
      </c>
      <c r="C107" s="207">
        <v>237470</v>
      </c>
      <c r="D107" s="203" t="s">
        <v>97</v>
      </c>
      <c r="E107" s="202" t="s">
        <v>1290</v>
      </c>
      <c r="F107" s="203">
        <v>702</v>
      </c>
      <c r="G107" s="202"/>
      <c r="H107" s="202"/>
      <c r="I107" s="202"/>
      <c r="J107" s="202">
        <v>0</v>
      </c>
      <c r="K107" s="202" t="s">
        <v>2445</v>
      </c>
      <c r="L107" s="202"/>
      <c r="M107" s="202" t="s">
        <v>2846</v>
      </c>
      <c r="N107" s="206">
        <v>44067</v>
      </c>
      <c r="O107" s="206">
        <v>44067</v>
      </c>
      <c r="P107" s="202" t="s">
        <v>2969</v>
      </c>
      <c r="Q107" s="203">
        <v>700</v>
      </c>
      <c r="R107" s="203">
        <v>14050</v>
      </c>
      <c r="S107" s="204">
        <v>30031.57</v>
      </c>
      <c r="T107" s="203">
        <v>14056</v>
      </c>
      <c r="U107" s="204">
        <v>5720.31</v>
      </c>
      <c r="V107" s="204">
        <f t="shared" si="12"/>
        <v>24311.26</v>
      </c>
      <c r="W107" s="205">
        <v>4290.2299999999996</v>
      </c>
      <c r="X107" s="203">
        <v>54260</v>
      </c>
      <c r="Y107" s="204">
        <v>357.52</v>
      </c>
      <c r="Z107" s="202" t="s">
        <v>97</v>
      </c>
      <c r="AA107" s="202"/>
      <c r="AB107" s="202">
        <v>50117732</v>
      </c>
      <c r="AC107" s="202"/>
      <c r="AD107" s="202" t="s">
        <v>1152</v>
      </c>
      <c r="AE107" s="202" t="s">
        <v>1153</v>
      </c>
      <c r="AF107" s="203" t="s">
        <v>1154</v>
      </c>
      <c r="AG107" s="202"/>
      <c r="AH107" s="203" t="s">
        <v>1155</v>
      </c>
      <c r="AI107" s="202">
        <v>0</v>
      </c>
      <c r="AJ107" s="202">
        <v>0</v>
      </c>
    </row>
    <row r="108" spans="2:36">
      <c r="B108" s="203">
        <v>2180</v>
      </c>
      <c r="C108" s="207">
        <v>237326</v>
      </c>
      <c r="D108" s="203" t="s">
        <v>97</v>
      </c>
      <c r="E108" s="202" t="s">
        <v>1288</v>
      </c>
      <c r="F108" s="203">
        <v>702</v>
      </c>
      <c r="G108" s="202"/>
      <c r="H108" s="202"/>
      <c r="I108" s="202" t="s">
        <v>1147</v>
      </c>
      <c r="J108" s="202">
        <v>0</v>
      </c>
      <c r="K108" s="202" t="s">
        <v>2445</v>
      </c>
      <c r="L108" s="202"/>
      <c r="M108" s="202" t="s">
        <v>2846</v>
      </c>
      <c r="N108" s="206">
        <v>44071</v>
      </c>
      <c r="O108" s="206">
        <v>44071</v>
      </c>
      <c r="P108" s="202" t="s">
        <v>2964</v>
      </c>
      <c r="Q108" s="203">
        <v>700</v>
      </c>
      <c r="R108" s="203">
        <v>14050</v>
      </c>
      <c r="S108" s="204">
        <v>30031.57</v>
      </c>
      <c r="T108" s="203">
        <v>14056</v>
      </c>
      <c r="U108" s="204">
        <v>5720.31</v>
      </c>
      <c r="V108" s="204">
        <f t="shared" si="12"/>
        <v>24311.26</v>
      </c>
      <c r="W108" s="205">
        <v>4290.2299999999996</v>
      </c>
      <c r="X108" s="203">
        <v>54260</v>
      </c>
      <c r="Y108" s="204">
        <v>357.52</v>
      </c>
      <c r="Z108" s="202" t="s">
        <v>97</v>
      </c>
      <c r="AA108" s="202"/>
      <c r="AB108" s="202">
        <v>50118619</v>
      </c>
      <c r="AC108" s="202"/>
      <c r="AD108" s="202" t="s">
        <v>1152</v>
      </c>
      <c r="AE108" s="202" t="s">
        <v>1153</v>
      </c>
      <c r="AF108" s="203" t="s">
        <v>1154</v>
      </c>
      <c r="AG108" s="202"/>
      <c r="AH108" s="203" t="s">
        <v>1155</v>
      </c>
      <c r="AI108" s="202">
        <v>0</v>
      </c>
      <c r="AJ108" s="202">
        <v>0</v>
      </c>
    </row>
    <row r="109" spans="2:36">
      <c r="B109" s="203">
        <v>2180</v>
      </c>
      <c r="C109" s="207">
        <v>237325</v>
      </c>
      <c r="D109" s="203" t="s">
        <v>97</v>
      </c>
      <c r="E109" s="202" t="s">
        <v>2968</v>
      </c>
      <c r="F109" s="203">
        <v>702</v>
      </c>
      <c r="G109" s="202"/>
      <c r="H109" s="202"/>
      <c r="I109" s="202" t="s">
        <v>1147</v>
      </c>
      <c r="J109" s="202">
        <v>0</v>
      </c>
      <c r="K109" s="202" t="s">
        <v>2445</v>
      </c>
      <c r="L109" s="202"/>
      <c r="M109" s="202" t="s">
        <v>2846</v>
      </c>
      <c r="N109" s="206">
        <v>44069</v>
      </c>
      <c r="O109" s="206">
        <v>44069</v>
      </c>
      <c r="P109" s="202" t="s">
        <v>2967</v>
      </c>
      <c r="Q109" s="203">
        <v>700</v>
      </c>
      <c r="R109" s="203">
        <v>14050</v>
      </c>
      <c r="S109" s="204">
        <v>30031.58</v>
      </c>
      <c r="T109" s="203">
        <v>14056</v>
      </c>
      <c r="U109" s="204">
        <v>5720.31</v>
      </c>
      <c r="V109" s="204">
        <f t="shared" si="12"/>
        <v>24311.27</v>
      </c>
      <c r="W109" s="205">
        <v>4290.2299999999996</v>
      </c>
      <c r="X109" s="203">
        <v>54260</v>
      </c>
      <c r="Y109" s="204">
        <v>357.52</v>
      </c>
      <c r="Z109" s="202" t="s">
        <v>97</v>
      </c>
      <c r="AA109" s="202"/>
      <c r="AB109" s="202">
        <v>50118384</v>
      </c>
      <c r="AC109" s="202"/>
      <c r="AD109" s="202" t="s">
        <v>1152</v>
      </c>
      <c r="AE109" s="202" t="s">
        <v>1153</v>
      </c>
      <c r="AF109" s="203" t="s">
        <v>1154</v>
      </c>
      <c r="AG109" s="202"/>
      <c r="AH109" s="203" t="s">
        <v>1155</v>
      </c>
      <c r="AI109" s="202">
        <v>0</v>
      </c>
      <c r="AJ109" s="202">
        <v>0</v>
      </c>
    </row>
    <row r="110" spans="2:36">
      <c r="B110" s="203">
        <v>2180</v>
      </c>
      <c r="C110" s="207">
        <v>236902</v>
      </c>
      <c r="D110" s="203">
        <v>233852</v>
      </c>
      <c r="E110" s="202" t="s">
        <v>1285</v>
      </c>
      <c r="F110" s="203"/>
      <c r="G110" s="202"/>
      <c r="H110" s="202"/>
      <c r="I110" s="202"/>
      <c r="J110" s="202">
        <v>0</v>
      </c>
      <c r="K110" s="202" t="s">
        <v>2902</v>
      </c>
      <c r="L110" s="202"/>
      <c r="M110" s="202" t="s">
        <v>1447</v>
      </c>
      <c r="N110" s="206">
        <v>43998</v>
      </c>
      <c r="O110" s="206">
        <v>43998</v>
      </c>
      <c r="P110" s="202" t="s">
        <v>2954</v>
      </c>
      <c r="Q110" s="203">
        <v>1000</v>
      </c>
      <c r="R110" s="203">
        <v>14040</v>
      </c>
      <c r="S110" s="204">
        <v>612.34</v>
      </c>
      <c r="T110" s="203">
        <v>14046</v>
      </c>
      <c r="U110" s="204">
        <v>91.84</v>
      </c>
      <c r="V110" s="204">
        <f t="shared" si="12"/>
        <v>520.5</v>
      </c>
      <c r="W110" s="205">
        <v>61.22</v>
      </c>
      <c r="X110" s="203">
        <v>51260</v>
      </c>
      <c r="Y110" s="204">
        <v>5.0999999999999996</v>
      </c>
      <c r="Z110" s="202" t="s">
        <v>97</v>
      </c>
      <c r="AA110" s="202"/>
      <c r="AB110" s="202">
        <v>111797421</v>
      </c>
      <c r="AC110" s="202"/>
      <c r="AD110" s="202" t="s">
        <v>1152</v>
      </c>
      <c r="AE110" s="202" t="s">
        <v>1153</v>
      </c>
      <c r="AF110" s="203" t="s">
        <v>1154</v>
      </c>
      <c r="AG110" s="202"/>
      <c r="AH110" s="203" t="s">
        <v>1155</v>
      </c>
      <c r="AI110" s="202">
        <v>0</v>
      </c>
      <c r="AJ110" s="202">
        <v>0</v>
      </c>
    </row>
    <row r="111" spans="2:36">
      <c r="B111" s="203">
        <v>2180</v>
      </c>
      <c r="C111" s="207">
        <v>236901</v>
      </c>
      <c r="D111" s="203">
        <v>233677</v>
      </c>
      <c r="E111" s="202" t="s">
        <v>2966</v>
      </c>
      <c r="F111" s="203"/>
      <c r="G111" s="202"/>
      <c r="H111" s="202"/>
      <c r="I111" s="202"/>
      <c r="J111" s="202">
        <v>0</v>
      </c>
      <c r="K111" s="202" t="s">
        <v>2902</v>
      </c>
      <c r="L111" s="202"/>
      <c r="M111" s="202" t="s">
        <v>1447</v>
      </c>
      <c r="N111" s="206">
        <v>43998</v>
      </c>
      <c r="O111" s="206">
        <v>43998</v>
      </c>
      <c r="P111" s="202" t="s">
        <v>2953</v>
      </c>
      <c r="Q111" s="203">
        <v>1000</v>
      </c>
      <c r="R111" s="203">
        <v>14040</v>
      </c>
      <c r="S111" s="204">
        <v>506.76</v>
      </c>
      <c r="T111" s="203">
        <v>14046</v>
      </c>
      <c r="U111" s="204">
        <v>76.02</v>
      </c>
      <c r="V111" s="204">
        <f t="shared" si="12"/>
        <v>430.74</v>
      </c>
      <c r="W111" s="205">
        <v>50.68</v>
      </c>
      <c r="X111" s="203">
        <v>51260</v>
      </c>
      <c r="Y111" s="204">
        <v>4.22</v>
      </c>
      <c r="Z111" s="202" t="s">
        <v>97</v>
      </c>
      <c r="AA111" s="202"/>
      <c r="AB111" s="202">
        <v>111797421</v>
      </c>
      <c r="AC111" s="202"/>
      <c r="AD111" s="202" t="s">
        <v>1152</v>
      </c>
      <c r="AE111" s="202" t="s">
        <v>1153</v>
      </c>
      <c r="AF111" s="203" t="s">
        <v>1154</v>
      </c>
      <c r="AG111" s="202"/>
      <c r="AH111" s="203" t="s">
        <v>1155</v>
      </c>
      <c r="AI111" s="202">
        <v>0</v>
      </c>
      <c r="AJ111" s="202">
        <v>0</v>
      </c>
    </row>
    <row r="112" spans="2:36">
      <c r="B112" s="203">
        <v>2180</v>
      </c>
      <c r="C112" s="207">
        <v>236900</v>
      </c>
      <c r="D112" s="203">
        <v>233676</v>
      </c>
      <c r="E112" s="202" t="s">
        <v>2965</v>
      </c>
      <c r="F112" s="203"/>
      <c r="G112" s="202"/>
      <c r="H112" s="202"/>
      <c r="I112" s="202"/>
      <c r="J112" s="202">
        <v>0</v>
      </c>
      <c r="K112" s="202" t="s">
        <v>2902</v>
      </c>
      <c r="L112" s="202"/>
      <c r="M112" s="202" t="s">
        <v>1447</v>
      </c>
      <c r="N112" s="206">
        <v>43990</v>
      </c>
      <c r="O112" s="206">
        <v>43990</v>
      </c>
      <c r="P112" s="202" t="s">
        <v>2952</v>
      </c>
      <c r="Q112" s="203">
        <v>1000</v>
      </c>
      <c r="R112" s="203">
        <v>14040</v>
      </c>
      <c r="S112" s="204">
        <v>506.75</v>
      </c>
      <c r="T112" s="203">
        <v>14046</v>
      </c>
      <c r="U112" s="204">
        <v>80.239999999999995</v>
      </c>
      <c r="V112" s="204">
        <f t="shared" si="12"/>
        <v>426.51</v>
      </c>
      <c r="W112" s="205">
        <v>50.68</v>
      </c>
      <c r="X112" s="203">
        <v>51260</v>
      </c>
      <c r="Y112" s="204">
        <v>4.22</v>
      </c>
      <c r="Z112" s="202" t="s">
        <v>97</v>
      </c>
      <c r="AA112" s="202"/>
      <c r="AB112" s="202">
        <v>111797421</v>
      </c>
      <c r="AC112" s="202"/>
      <c r="AD112" s="202" t="s">
        <v>1152</v>
      </c>
      <c r="AE112" s="202" t="s">
        <v>1153</v>
      </c>
      <c r="AF112" s="203" t="s">
        <v>1154</v>
      </c>
      <c r="AG112" s="202"/>
      <c r="AH112" s="203" t="s">
        <v>1155</v>
      </c>
      <c r="AI112" s="202">
        <v>0</v>
      </c>
      <c r="AJ112" s="202">
        <v>0</v>
      </c>
    </row>
    <row r="113" spans="2:36">
      <c r="B113" s="203">
        <v>2180</v>
      </c>
      <c r="C113" s="207">
        <v>236850</v>
      </c>
      <c r="D113" s="203" t="s">
        <v>97</v>
      </c>
      <c r="E113" s="202" t="s">
        <v>1284</v>
      </c>
      <c r="F113" s="203">
        <v>351</v>
      </c>
      <c r="G113" s="202"/>
      <c r="H113" s="202"/>
      <c r="I113" s="202"/>
      <c r="J113" s="202">
        <v>0</v>
      </c>
      <c r="K113" s="202" t="s">
        <v>2445</v>
      </c>
      <c r="L113" s="202"/>
      <c r="M113" s="202" t="s">
        <v>2846</v>
      </c>
      <c r="N113" s="206">
        <v>44071</v>
      </c>
      <c r="O113" s="206">
        <v>44071</v>
      </c>
      <c r="P113" s="202" t="s">
        <v>2964</v>
      </c>
      <c r="Q113" s="203">
        <v>700</v>
      </c>
      <c r="R113" s="203">
        <v>14050</v>
      </c>
      <c r="S113" s="204">
        <v>15015.3</v>
      </c>
      <c r="T113" s="203">
        <v>14056</v>
      </c>
      <c r="U113" s="204">
        <v>2860.06</v>
      </c>
      <c r="V113" s="204">
        <f t="shared" si="12"/>
        <v>12155.24</v>
      </c>
      <c r="W113" s="205">
        <v>2145.04</v>
      </c>
      <c r="X113" s="203">
        <v>54260</v>
      </c>
      <c r="Y113" s="204">
        <v>178.75</v>
      </c>
      <c r="Z113" s="202" t="s">
        <v>97</v>
      </c>
      <c r="AA113" s="202"/>
      <c r="AB113" s="202">
        <v>50118828</v>
      </c>
      <c r="AC113" s="202"/>
      <c r="AD113" s="202" t="s">
        <v>1152</v>
      </c>
      <c r="AE113" s="202" t="s">
        <v>1153</v>
      </c>
      <c r="AF113" s="203" t="s">
        <v>1154</v>
      </c>
      <c r="AG113" s="202"/>
      <c r="AH113" s="203" t="s">
        <v>1155</v>
      </c>
      <c r="AI113" s="202">
        <v>0</v>
      </c>
      <c r="AJ113" s="202">
        <v>0</v>
      </c>
    </row>
    <row r="114" spans="2:36">
      <c r="B114" s="203">
        <v>2180</v>
      </c>
      <c r="C114" s="207">
        <v>236849</v>
      </c>
      <c r="D114" s="203" t="s">
        <v>97</v>
      </c>
      <c r="E114" s="202" t="s">
        <v>2963</v>
      </c>
      <c r="F114" s="203">
        <v>468</v>
      </c>
      <c r="G114" s="202"/>
      <c r="H114" s="202"/>
      <c r="I114" s="202"/>
      <c r="J114" s="202">
        <v>0</v>
      </c>
      <c r="K114" s="202" t="s">
        <v>2445</v>
      </c>
      <c r="L114" s="202"/>
      <c r="M114" s="202" t="s">
        <v>2846</v>
      </c>
      <c r="N114" s="206">
        <v>44072</v>
      </c>
      <c r="O114" s="206">
        <v>44072</v>
      </c>
      <c r="P114" s="202" t="s">
        <v>2962</v>
      </c>
      <c r="Q114" s="203">
        <v>700</v>
      </c>
      <c r="R114" s="203">
        <v>14050</v>
      </c>
      <c r="S114" s="204">
        <v>17157</v>
      </c>
      <c r="T114" s="203">
        <v>14056</v>
      </c>
      <c r="U114" s="204">
        <v>3268</v>
      </c>
      <c r="V114" s="204">
        <f t="shared" si="12"/>
        <v>13889</v>
      </c>
      <c r="W114" s="205">
        <v>2451</v>
      </c>
      <c r="X114" s="203">
        <v>54260</v>
      </c>
      <c r="Y114" s="204">
        <v>204.25</v>
      </c>
      <c r="Z114" s="202" t="s">
        <v>97</v>
      </c>
      <c r="AA114" s="202"/>
      <c r="AB114" s="202">
        <v>50118828</v>
      </c>
      <c r="AC114" s="202"/>
      <c r="AD114" s="202" t="s">
        <v>1152</v>
      </c>
      <c r="AE114" s="202" t="s">
        <v>1153</v>
      </c>
      <c r="AF114" s="203" t="s">
        <v>1154</v>
      </c>
      <c r="AG114" s="202"/>
      <c r="AH114" s="203" t="s">
        <v>1155</v>
      </c>
      <c r="AI114" s="202">
        <v>0</v>
      </c>
      <c r="AJ114" s="202">
        <v>0</v>
      </c>
    </row>
    <row r="115" spans="2:36">
      <c r="B115" s="203">
        <v>2180</v>
      </c>
      <c r="C115" s="207">
        <v>235267</v>
      </c>
      <c r="D115" s="203">
        <v>232601</v>
      </c>
      <c r="E115" s="202" t="s">
        <v>1282</v>
      </c>
      <c r="F115" s="203"/>
      <c r="G115" s="202"/>
      <c r="H115" s="202"/>
      <c r="I115" s="202"/>
      <c r="J115" s="202">
        <v>0</v>
      </c>
      <c r="K115" s="202" t="s">
        <v>2902</v>
      </c>
      <c r="L115" s="202"/>
      <c r="M115" s="202" t="s">
        <v>1447</v>
      </c>
      <c r="N115" s="206">
        <v>43970</v>
      </c>
      <c r="O115" s="206">
        <v>43970</v>
      </c>
      <c r="P115" s="202" t="s">
        <v>2935</v>
      </c>
      <c r="Q115" s="203">
        <v>1000</v>
      </c>
      <c r="R115" s="203">
        <v>14040</v>
      </c>
      <c r="S115" s="204">
        <v>573.48</v>
      </c>
      <c r="T115" s="203">
        <v>14046</v>
      </c>
      <c r="U115" s="204">
        <v>90.8</v>
      </c>
      <c r="V115" s="204">
        <f t="shared" si="12"/>
        <v>482.68</v>
      </c>
      <c r="W115" s="205">
        <v>57.35</v>
      </c>
      <c r="X115" s="203">
        <v>51260</v>
      </c>
      <c r="Y115" s="204">
        <v>4.78</v>
      </c>
      <c r="Z115" s="202" t="s">
        <v>97</v>
      </c>
      <c r="AA115" s="202"/>
      <c r="AB115" s="202">
        <v>110264098</v>
      </c>
      <c r="AC115" s="202"/>
      <c r="AD115" s="202" t="s">
        <v>1152</v>
      </c>
      <c r="AE115" s="202" t="s">
        <v>1153</v>
      </c>
      <c r="AF115" s="203" t="s">
        <v>1154</v>
      </c>
      <c r="AG115" s="202"/>
      <c r="AH115" s="203" t="s">
        <v>1155</v>
      </c>
      <c r="AI115" s="202">
        <v>0</v>
      </c>
      <c r="AJ115" s="202">
        <v>0</v>
      </c>
    </row>
    <row r="116" spans="2:36">
      <c r="B116" s="203">
        <v>2180</v>
      </c>
      <c r="C116" s="207">
        <v>235266</v>
      </c>
      <c r="D116" s="203">
        <v>233675</v>
      </c>
      <c r="E116" s="202" t="s">
        <v>1281</v>
      </c>
      <c r="F116" s="203"/>
      <c r="G116" s="202"/>
      <c r="H116" s="202"/>
      <c r="I116" s="202"/>
      <c r="J116" s="202">
        <v>0</v>
      </c>
      <c r="K116" s="202" t="s">
        <v>2902</v>
      </c>
      <c r="L116" s="202"/>
      <c r="M116" s="202" t="s">
        <v>1447</v>
      </c>
      <c r="N116" s="206">
        <v>43990</v>
      </c>
      <c r="O116" s="206">
        <v>43990</v>
      </c>
      <c r="P116" s="202" t="s">
        <v>2951</v>
      </c>
      <c r="Q116" s="203">
        <v>1000</v>
      </c>
      <c r="R116" s="203">
        <v>14040</v>
      </c>
      <c r="S116" s="204">
        <v>470.96</v>
      </c>
      <c r="T116" s="203">
        <v>14046</v>
      </c>
      <c r="U116" s="204">
        <v>74.569999999999993</v>
      </c>
      <c r="V116" s="204">
        <f t="shared" si="12"/>
        <v>396.39</v>
      </c>
      <c r="W116" s="205">
        <v>47.1</v>
      </c>
      <c r="X116" s="203">
        <v>51260</v>
      </c>
      <c r="Y116" s="204">
        <v>3.92</v>
      </c>
      <c r="Z116" s="202" t="s">
        <v>97</v>
      </c>
      <c r="AA116" s="202"/>
      <c r="AB116" s="202">
        <v>110264098</v>
      </c>
      <c r="AC116" s="202"/>
      <c r="AD116" s="202" t="s">
        <v>1152</v>
      </c>
      <c r="AE116" s="202" t="s">
        <v>1153</v>
      </c>
      <c r="AF116" s="203" t="s">
        <v>1154</v>
      </c>
      <c r="AG116" s="202"/>
      <c r="AH116" s="203" t="s">
        <v>1155</v>
      </c>
      <c r="AI116" s="202">
        <v>0</v>
      </c>
      <c r="AJ116" s="202">
        <v>0</v>
      </c>
    </row>
    <row r="117" spans="2:36">
      <c r="B117" s="203">
        <v>2180</v>
      </c>
      <c r="C117" s="207">
        <v>235265</v>
      </c>
      <c r="D117" s="203">
        <v>233674</v>
      </c>
      <c r="E117" s="202" t="s">
        <v>2961</v>
      </c>
      <c r="F117" s="203"/>
      <c r="G117" s="202"/>
      <c r="H117" s="202"/>
      <c r="I117" s="202"/>
      <c r="J117" s="202">
        <v>0</v>
      </c>
      <c r="K117" s="202" t="s">
        <v>2902</v>
      </c>
      <c r="L117" s="202"/>
      <c r="M117" s="202" t="s">
        <v>1447</v>
      </c>
      <c r="N117" s="206">
        <v>43978</v>
      </c>
      <c r="O117" s="206">
        <v>43978</v>
      </c>
      <c r="P117" s="202" t="s">
        <v>2950</v>
      </c>
      <c r="Q117" s="203">
        <v>1000</v>
      </c>
      <c r="R117" s="203">
        <v>14040</v>
      </c>
      <c r="S117" s="204">
        <v>470.96</v>
      </c>
      <c r="T117" s="203">
        <v>14046</v>
      </c>
      <c r="U117" s="204">
        <v>74.569999999999993</v>
      </c>
      <c r="V117" s="204">
        <f t="shared" si="12"/>
        <v>396.39</v>
      </c>
      <c r="W117" s="205">
        <v>47.1</v>
      </c>
      <c r="X117" s="203">
        <v>51260</v>
      </c>
      <c r="Y117" s="204">
        <v>3.92</v>
      </c>
      <c r="Z117" s="202" t="s">
        <v>97</v>
      </c>
      <c r="AA117" s="202"/>
      <c r="AB117" s="202">
        <v>110264098</v>
      </c>
      <c r="AC117" s="202"/>
      <c r="AD117" s="202" t="s">
        <v>1152</v>
      </c>
      <c r="AE117" s="202" t="s">
        <v>1153</v>
      </c>
      <c r="AF117" s="203" t="s">
        <v>1154</v>
      </c>
      <c r="AG117" s="202"/>
      <c r="AH117" s="203" t="s">
        <v>1155</v>
      </c>
      <c r="AI117" s="202">
        <v>0</v>
      </c>
      <c r="AJ117" s="202">
        <v>0</v>
      </c>
    </row>
    <row r="118" spans="2:36">
      <c r="B118" s="203">
        <v>2180</v>
      </c>
      <c r="C118" s="207">
        <v>235264</v>
      </c>
      <c r="D118" s="203">
        <v>232994</v>
      </c>
      <c r="E118" s="202" t="s">
        <v>2960</v>
      </c>
      <c r="F118" s="203"/>
      <c r="G118" s="202"/>
      <c r="H118" s="202"/>
      <c r="I118" s="202"/>
      <c r="J118" s="202">
        <v>0</v>
      </c>
      <c r="K118" s="202" t="s">
        <v>2902</v>
      </c>
      <c r="L118" s="202"/>
      <c r="M118" s="202" t="s">
        <v>1447</v>
      </c>
      <c r="N118" s="206">
        <v>43978</v>
      </c>
      <c r="O118" s="206">
        <v>43978</v>
      </c>
      <c r="P118" s="202" t="s">
        <v>2949</v>
      </c>
      <c r="Q118" s="203">
        <v>1000</v>
      </c>
      <c r="R118" s="203">
        <v>14040</v>
      </c>
      <c r="S118" s="204">
        <v>470.96</v>
      </c>
      <c r="T118" s="203">
        <v>14046</v>
      </c>
      <c r="U118" s="204">
        <v>74.569999999999993</v>
      </c>
      <c r="V118" s="204">
        <f t="shared" si="12"/>
        <v>396.39</v>
      </c>
      <c r="W118" s="205">
        <v>47.1</v>
      </c>
      <c r="X118" s="203">
        <v>51260</v>
      </c>
      <c r="Y118" s="204">
        <v>3.92</v>
      </c>
      <c r="Z118" s="202" t="s">
        <v>97</v>
      </c>
      <c r="AA118" s="202"/>
      <c r="AB118" s="202">
        <v>110264098</v>
      </c>
      <c r="AC118" s="202"/>
      <c r="AD118" s="202" t="s">
        <v>1152</v>
      </c>
      <c r="AE118" s="202" t="s">
        <v>1153</v>
      </c>
      <c r="AF118" s="203" t="s">
        <v>1154</v>
      </c>
      <c r="AG118" s="202"/>
      <c r="AH118" s="203" t="s">
        <v>1155</v>
      </c>
      <c r="AI118" s="202">
        <v>0</v>
      </c>
      <c r="AJ118" s="202">
        <v>0</v>
      </c>
    </row>
    <row r="119" spans="2:36">
      <c r="B119" s="203">
        <v>2180</v>
      </c>
      <c r="C119" s="207">
        <v>235101</v>
      </c>
      <c r="D119" s="203" t="s">
        <v>97</v>
      </c>
      <c r="E119" s="202" t="s">
        <v>1271</v>
      </c>
      <c r="F119" s="203"/>
      <c r="G119" s="202"/>
      <c r="H119" s="202" t="s">
        <v>2959</v>
      </c>
      <c r="I119" s="202"/>
      <c r="J119" s="202">
        <v>2021</v>
      </c>
      <c r="K119" s="202" t="s">
        <v>1406</v>
      </c>
      <c r="L119" s="202" t="s">
        <v>2875</v>
      </c>
      <c r="M119" s="202" t="s">
        <v>1824</v>
      </c>
      <c r="N119" s="206">
        <v>44028</v>
      </c>
      <c r="O119" s="206">
        <v>44028</v>
      </c>
      <c r="P119" s="202" t="s">
        <v>2958</v>
      </c>
      <c r="Q119" s="203">
        <v>1000</v>
      </c>
      <c r="R119" s="203">
        <v>14040</v>
      </c>
      <c r="S119" s="204">
        <v>223888.3</v>
      </c>
      <c r="T119" s="203">
        <v>14046</v>
      </c>
      <c r="U119" s="204">
        <v>31717.51</v>
      </c>
      <c r="V119" s="204">
        <f t="shared" si="12"/>
        <v>192170.78999999998</v>
      </c>
      <c r="W119" s="205">
        <v>22388.83</v>
      </c>
      <c r="X119" s="203">
        <v>51260</v>
      </c>
      <c r="Y119" s="204">
        <v>1865.74</v>
      </c>
      <c r="Z119" s="202" t="s">
        <v>97</v>
      </c>
      <c r="AA119" s="202"/>
      <c r="AB119" s="202"/>
      <c r="AC119" s="202">
        <v>4093</v>
      </c>
      <c r="AD119" s="202" t="s">
        <v>1152</v>
      </c>
      <c r="AE119" s="202" t="s">
        <v>1153</v>
      </c>
      <c r="AF119" s="203" t="s">
        <v>1154</v>
      </c>
      <c r="AG119" s="202"/>
      <c r="AH119" s="203" t="s">
        <v>1155</v>
      </c>
      <c r="AI119" s="202">
        <v>0</v>
      </c>
      <c r="AJ119" s="202">
        <v>0</v>
      </c>
    </row>
    <row r="120" spans="2:36">
      <c r="B120" s="203">
        <v>2180</v>
      </c>
      <c r="C120" s="207">
        <v>235100</v>
      </c>
      <c r="D120" s="203" t="s">
        <v>97</v>
      </c>
      <c r="E120" s="202" t="s">
        <v>1274</v>
      </c>
      <c r="F120" s="203"/>
      <c r="G120" s="202"/>
      <c r="H120" s="202" t="s">
        <v>2957</v>
      </c>
      <c r="I120" s="202"/>
      <c r="J120" s="202">
        <v>2020</v>
      </c>
      <c r="K120" s="202" t="s">
        <v>1406</v>
      </c>
      <c r="L120" s="202" t="s">
        <v>2883</v>
      </c>
      <c r="M120" s="202" t="s">
        <v>1404</v>
      </c>
      <c r="N120" s="206">
        <v>44028</v>
      </c>
      <c r="O120" s="206">
        <v>44028</v>
      </c>
      <c r="P120" s="202" t="s">
        <v>2956</v>
      </c>
      <c r="Q120" s="203">
        <v>1000</v>
      </c>
      <c r="R120" s="203">
        <v>14040</v>
      </c>
      <c r="S120" s="204">
        <v>368682.05</v>
      </c>
      <c r="T120" s="203">
        <v>14046</v>
      </c>
      <c r="U120" s="204">
        <v>52229.96</v>
      </c>
      <c r="V120" s="204">
        <f t="shared" si="12"/>
        <v>316452.08999999997</v>
      </c>
      <c r="W120" s="205">
        <v>36868.21</v>
      </c>
      <c r="X120" s="203">
        <v>51260</v>
      </c>
      <c r="Y120" s="204">
        <v>3072.35</v>
      </c>
      <c r="Z120" s="202" t="s">
        <v>97</v>
      </c>
      <c r="AA120" s="202"/>
      <c r="AB120" s="202"/>
      <c r="AC120" s="202">
        <v>3711</v>
      </c>
      <c r="AD120" s="202" t="s">
        <v>1152</v>
      </c>
      <c r="AE120" s="202" t="s">
        <v>1153</v>
      </c>
      <c r="AF120" s="203" t="s">
        <v>1154</v>
      </c>
      <c r="AG120" s="202"/>
      <c r="AH120" s="203" t="s">
        <v>1155</v>
      </c>
      <c r="AI120" s="202">
        <v>0</v>
      </c>
      <c r="AJ120" s="202">
        <v>0</v>
      </c>
    </row>
    <row r="121" spans="2:36">
      <c r="B121" s="203">
        <v>2180</v>
      </c>
      <c r="C121" s="207">
        <v>234062</v>
      </c>
      <c r="D121" s="203">
        <v>233852</v>
      </c>
      <c r="E121" s="202" t="s">
        <v>2955</v>
      </c>
      <c r="F121" s="203"/>
      <c r="G121" s="202"/>
      <c r="H121" s="202"/>
      <c r="I121" s="202"/>
      <c r="J121" s="202">
        <v>0</v>
      </c>
      <c r="K121" s="202" t="s">
        <v>2744</v>
      </c>
      <c r="L121" s="202"/>
      <c r="M121" s="202" t="s">
        <v>1447</v>
      </c>
      <c r="N121" s="206">
        <v>43998</v>
      </c>
      <c r="O121" s="206">
        <v>43998</v>
      </c>
      <c r="P121" s="202" t="s">
        <v>2954</v>
      </c>
      <c r="Q121" s="203">
        <v>1000</v>
      </c>
      <c r="R121" s="203">
        <v>14040</v>
      </c>
      <c r="S121" s="204">
        <v>191.75</v>
      </c>
      <c r="T121" s="203">
        <v>14046</v>
      </c>
      <c r="U121" s="204">
        <v>28.77</v>
      </c>
      <c r="V121" s="204">
        <f t="shared" si="12"/>
        <v>162.97999999999999</v>
      </c>
      <c r="W121" s="205">
        <v>19.18</v>
      </c>
      <c r="X121" s="203">
        <v>51260</v>
      </c>
      <c r="Y121" s="204">
        <v>1.6</v>
      </c>
      <c r="Z121" s="202" t="s">
        <v>97</v>
      </c>
      <c r="AA121" s="202"/>
      <c r="AB121" s="202">
        <v>859</v>
      </c>
      <c r="AC121" s="202"/>
      <c r="AD121" s="202" t="s">
        <v>1152</v>
      </c>
      <c r="AE121" s="202" t="s">
        <v>1153</v>
      </c>
      <c r="AF121" s="203" t="s">
        <v>1154</v>
      </c>
      <c r="AG121" s="202"/>
      <c r="AH121" s="203" t="s">
        <v>1155</v>
      </c>
      <c r="AI121" s="202">
        <v>0</v>
      </c>
      <c r="AJ121" s="202">
        <v>0</v>
      </c>
    </row>
    <row r="122" spans="2:36">
      <c r="B122" s="203">
        <v>2180</v>
      </c>
      <c r="C122" s="207">
        <v>234061</v>
      </c>
      <c r="D122" s="203">
        <v>233677</v>
      </c>
      <c r="E122" s="202" t="s">
        <v>1277</v>
      </c>
      <c r="F122" s="203"/>
      <c r="G122" s="202"/>
      <c r="H122" s="202"/>
      <c r="I122" s="202"/>
      <c r="J122" s="202">
        <v>0</v>
      </c>
      <c r="K122" s="202" t="s">
        <v>2744</v>
      </c>
      <c r="L122" s="202"/>
      <c r="M122" s="202" t="s">
        <v>1447</v>
      </c>
      <c r="N122" s="206">
        <v>43998</v>
      </c>
      <c r="O122" s="206">
        <v>43998</v>
      </c>
      <c r="P122" s="202" t="s">
        <v>2953</v>
      </c>
      <c r="Q122" s="203">
        <v>1000</v>
      </c>
      <c r="R122" s="203">
        <v>14040</v>
      </c>
      <c r="S122" s="204">
        <v>480.92</v>
      </c>
      <c r="T122" s="203">
        <v>14046</v>
      </c>
      <c r="U122" s="204">
        <v>72.14</v>
      </c>
      <c r="V122" s="204">
        <f t="shared" si="12"/>
        <v>408.78000000000003</v>
      </c>
      <c r="W122" s="205">
        <v>48.09</v>
      </c>
      <c r="X122" s="203">
        <v>51260</v>
      </c>
      <c r="Y122" s="204">
        <v>4.01</v>
      </c>
      <c r="Z122" s="202" t="s">
        <v>97</v>
      </c>
      <c r="AA122" s="202"/>
      <c r="AB122" s="202">
        <v>858</v>
      </c>
      <c r="AC122" s="202"/>
      <c r="AD122" s="202" t="s">
        <v>1152</v>
      </c>
      <c r="AE122" s="202" t="s">
        <v>1153</v>
      </c>
      <c r="AF122" s="203" t="s">
        <v>1154</v>
      </c>
      <c r="AG122" s="202"/>
      <c r="AH122" s="203" t="s">
        <v>1155</v>
      </c>
      <c r="AI122" s="202">
        <v>0</v>
      </c>
      <c r="AJ122" s="202">
        <v>0</v>
      </c>
    </row>
    <row r="123" spans="2:36">
      <c r="B123" s="203">
        <v>2180</v>
      </c>
      <c r="C123" s="207">
        <v>234060</v>
      </c>
      <c r="D123" s="203">
        <v>233676</v>
      </c>
      <c r="E123" s="202" t="s">
        <v>1277</v>
      </c>
      <c r="F123" s="203"/>
      <c r="G123" s="202"/>
      <c r="H123" s="202"/>
      <c r="I123" s="202"/>
      <c r="J123" s="202">
        <v>0</v>
      </c>
      <c r="K123" s="202" t="s">
        <v>2744</v>
      </c>
      <c r="L123" s="202"/>
      <c r="M123" s="202" t="s">
        <v>1447</v>
      </c>
      <c r="N123" s="206">
        <v>43990</v>
      </c>
      <c r="O123" s="206">
        <v>43990</v>
      </c>
      <c r="P123" s="202" t="s">
        <v>2952</v>
      </c>
      <c r="Q123" s="203">
        <v>1000</v>
      </c>
      <c r="R123" s="203">
        <v>14040</v>
      </c>
      <c r="S123" s="204">
        <v>480.92</v>
      </c>
      <c r="T123" s="203">
        <v>14046</v>
      </c>
      <c r="U123" s="204">
        <v>76.14</v>
      </c>
      <c r="V123" s="204">
        <f t="shared" si="12"/>
        <v>404.78000000000003</v>
      </c>
      <c r="W123" s="205">
        <v>48.09</v>
      </c>
      <c r="X123" s="203">
        <v>51260</v>
      </c>
      <c r="Y123" s="204">
        <v>4.01</v>
      </c>
      <c r="Z123" s="202" t="s">
        <v>97</v>
      </c>
      <c r="AA123" s="202"/>
      <c r="AB123" s="202">
        <v>853</v>
      </c>
      <c r="AC123" s="202"/>
      <c r="AD123" s="202" t="s">
        <v>1152</v>
      </c>
      <c r="AE123" s="202" t="s">
        <v>1153</v>
      </c>
      <c r="AF123" s="203" t="s">
        <v>1154</v>
      </c>
      <c r="AG123" s="202"/>
      <c r="AH123" s="203" t="s">
        <v>1155</v>
      </c>
      <c r="AI123" s="202">
        <v>0</v>
      </c>
      <c r="AJ123" s="202">
        <v>0</v>
      </c>
    </row>
    <row r="124" spans="2:36">
      <c r="B124" s="203">
        <v>2180</v>
      </c>
      <c r="C124" s="207">
        <v>234059</v>
      </c>
      <c r="D124" s="203">
        <v>233675</v>
      </c>
      <c r="E124" s="202" t="s">
        <v>1277</v>
      </c>
      <c r="F124" s="203"/>
      <c r="G124" s="202"/>
      <c r="H124" s="202"/>
      <c r="I124" s="202"/>
      <c r="J124" s="202">
        <v>0</v>
      </c>
      <c r="K124" s="202" t="s">
        <v>2744</v>
      </c>
      <c r="L124" s="202"/>
      <c r="M124" s="202" t="s">
        <v>1447</v>
      </c>
      <c r="N124" s="206">
        <v>43990</v>
      </c>
      <c r="O124" s="206">
        <v>43990</v>
      </c>
      <c r="P124" s="202" t="s">
        <v>2951</v>
      </c>
      <c r="Q124" s="203">
        <v>1000</v>
      </c>
      <c r="R124" s="203">
        <v>14040</v>
      </c>
      <c r="S124" s="204">
        <v>480.92</v>
      </c>
      <c r="T124" s="203">
        <v>14046</v>
      </c>
      <c r="U124" s="204">
        <v>76.14</v>
      </c>
      <c r="V124" s="204">
        <f t="shared" si="12"/>
        <v>404.78000000000003</v>
      </c>
      <c r="W124" s="205">
        <v>48.09</v>
      </c>
      <c r="X124" s="203">
        <v>51260</v>
      </c>
      <c r="Y124" s="204">
        <v>4.01</v>
      </c>
      <c r="Z124" s="202" t="s">
        <v>97</v>
      </c>
      <c r="AA124" s="202"/>
      <c r="AB124" s="202">
        <v>852</v>
      </c>
      <c r="AC124" s="202"/>
      <c r="AD124" s="202" t="s">
        <v>1152</v>
      </c>
      <c r="AE124" s="202" t="s">
        <v>1153</v>
      </c>
      <c r="AF124" s="203" t="s">
        <v>1154</v>
      </c>
      <c r="AG124" s="202"/>
      <c r="AH124" s="203" t="s">
        <v>1155</v>
      </c>
      <c r="AI124" s="202">
        <v>0</v>
      </c>
      <c r="AJ124" s="202">
        <v>0</v>
      </c>
    </row>
    <row r="125" spans="2:36">
      <c r="B125" s="203">
        <v>2180</v>
      </c>
      <c r="C125" s="207">
        <v>234058</v>
      </c>
      <c r="D125" s="203">
        <v>233674</v>
      </c>
      <c r="E125" s="202" t="s">
        <v>1277</v>
      </c>
      <c r="F125" s="203"/>
      <c r="G125" s="202"/>
      <c r="H125" s="202"/>
      <c r="I125" s="202"/>
      <c r="J125" s="202">
        <v>0</v>
      </c>
      <c r="K125" s="202" t="s">
        <v>2744</v>
      </c>
      <c r="L125" s="202"/>
      <c r="M125" s="202" t="s">
        <v>1447</v>
      </c>
      <c r="N125" s="206">
        <v>43978</v>
      </c>
      <c r="O125" s="206">
        <v>43978</v>
      </c>
      <c r="P125" s="202" t="s">
        <v>2950</v>
      </c>
      <c r="Q125" s="203">
        <v>1000</v>
      </c>
      <c r="R125" s="203">
        <v>14040</v>
      </c>
      <c r="S125" s="204">
        <v>480.92</v>
      </c>
      <c r="T125" s="203">
        <v>14046</v>
      </c>
      <c r="U125" s="204">
        <v>76.14</v>
      </c>
      <c r="V125" s="204">
        <f t="shared" si="12"/>
        <v>404.78000000000003</v>
      </c>
      <c r="W125" s="205">
        <v>48.09</v>
      </c>
      <c r="X125" s="203">
        <v>51260</v>
      </c>
      <c r="Y125" s="204">
        <v>4.01</v>
      </c>
      <c r="Z125" s="202" t="s">
        <v>97</v>
      </c>
      <c r="AA125" s="202"/>
      <c r="AB125" s="202">
        <v>843</v>
      </c>
      <c r="AC125" s="202"/>
      <c r="AD125" s="202" t="s">
        <v>1152</v>
      </c>
      <c r="AE125" s="202" t="s">
        <v>1153</v>
      </c>
      <c r="AF125" s="203" t="s">
        <v>1154</v>
      </c>
      <c r="AG125" s="202"/>
      <c r="AH125" s="203" t="s">
        <v>1155</v>
      </c>
      <c r="AI125" s="202">
        <v>0</v>
      </c>
      <c r="AJ125" s="202">
        <v>0</v>
      </c>
    </row>
    <row r="126" spans="2:36">
      <c r="B126" s="203">
        <v>2180</v>
      </c>
      <c r="C126" s="207">
        <v>234057</v>
      </c>
      <c r="D126" s="203">
        <v>232994</v>
      </c>
      <c r="E126" s="202" t="s">
        <v>1277</v>
      </c>
      <c r="F126" s="203"/>
      <c r="G126" s="202"/>
      <c r="H126" s="202"/>
      <c r="I126" s="202"/>
      <c r="J126" s="202">
        <v>0</v>
      </c>
      <c r="K126" s="202" t="s">
        <v>2744</v>
      </c>
      <c r="L126" s="202"/>
      <c r="M126" s="202" t="s">
        <v>1447</v>
      </c>
      <c r="N126" s="206">
        <v>43978</v>
      </c>
      <c r="O126" s="206">
        <v>43978</v>
      </c>
      <c r="P126" s="202" t="s">
        <v>2949</v>
      </c>
      <c r="Q126" s="203">
        <v>1000</v>
      </c>
      <c r="R126" s="203">
        <v>14040</v>
      </c>
      <c r="S126" s="204">
        <v>480.92</v>
      </c>
      <c r="T126" s="203">
        <v>14046</v>
      </c>
      <c r="U126" s="204">
        <v>76.14</v>
      </c>
      <c r="V126" s="204">
        <f t="shared" si="12"/>
        <v>404.78000000000003</v>
      </c>
      <c r="W126" s="205">
        <v>48.09</v>
      </c>
      <c r="X126" s="203">
        <v>51260</v>
      </c>
      <c r="Y126" s="204">
        <v>4.01</v>
      </c>
      <c r="Z126" s="202" t="s">
        <v>97</v>
      </c>
      <c r="AA126" s="202"/>
      <c r="AB126" s="202">
        <v>844</v>
      </c>
      <c r="AC126" s="202"/>
      <c r="AD126" s="202" t="s">
        <v>1152</v>
      </c>
      <c r="AE126" s="202" t="s">
        <v>1153</v>
      </c>
      <c r="AF126" s="203" t="s">
        <v>1154</v>
      </c>
      <c r="AG126" s="202"/>
      <c r="AH126" s="203" t="s">
        <v>1155</v>
      </c>
      <c r="AI126" s="202">
        <v>0</v>
      </c>
      <c r="AJ126" s="202">
        <v>0</v>
      </c>
    </row>
    <row r="127" spans="2:36">
      <c r="B127" s="203">
        <v>2180</v>
      </c>
      <c r="C127" s="207">
        <v>233852</v>
      </c>
      <c r="D127" s="203" t="s">
        <v>97</v>
      </c>
      <c r="E127" s="202" t="s">
        <v>1271</v>
      </c>
      <c r="F127" s="203"/>
      <c r="G127" s="202"/>
      <c r="H127" s="202" t="s">
        <v>2948</v>
      </c>
      <c r="I127" s="202"/>
      <c r="J127" s="202">
        <v>2021</v>
      </c>
      <c r="K127" s="202" t="s">
        <v>1406</v>
      </c>
      <c r="L127" s="202" t="s">
        <v>2875</v>
      </c>
      <c r="M127" s="202" t="s">
        <v>1824</v>
      </c>
      <c r="N127" s="206">
        <v>44012</v>
      </c>
      <c r="O127" s="206">
        <v>44012</v>
      </c>
      <c r="P127" s="202" t="s">
        <v>2947</v>
      </c>
      <c r="Q127" s="203">
        <v>1000</v>
      </c>
      <c r="R127" s="203">
        <v>14040</v>
      </c>
      <c r="S127" s="204">
        <v>223875.18</v>
      </c>
      <c r="T127" s="203">
        <v>14046</v>
      </c>
      <c r="U127" s="204">
        <v>33581.279999999999</v>
      </c>
      <c r="V127" s="204">
        <f t="shared" si="12"/>
        <v>190293.9</v>
      </c>
      <c r="W127" s="205">
        <v>22387.52</v>
      </c>
      <c r="X127" s="203">
        <v>51260</v>
      </c>
      <c r="Y127" s="204">
        <v>1865.63</v>
      </c>
      <c r="Z127" s="202" t="s">
        <v>97</v>
      </c>
      <c r="AA127" s="202"/>
      <c r="AB127" s="202"/>
      <c r="AC127" s="202">
        <v>4091</v>
      </c>
      <c r="AD127" s="202" t="s">
        <v>1152</v>
      </c>
      <c r="AE127" s="202" t="s">
        <v>1153</v>
      </c>
      <c r="AF127" s="203" t="s">
        <v>1154</v>
      </c>
      <c r="AG127" s="202"/>
      <c r="AH127" s="203" t="s">
        <v>1155</v>
      </c>
      <c r="AI127" s="202">
        <v>0</v>
      </c>
      <c r="AJ127" s="202">
        <v>0</v>
      </c>
    </row>
    <row r="128" spans="2:36">
      <c r="B128" s="203">
        <v>2180</v>
      </c>
      <c r="C128" s="207">
        <v>233735</v>
      </c>
      <c r="D128" s="203" t="s">
        <v>97</v>
      </c>
      <c r="E128" s="202" t="s">
        <v>1276</v>
      </c>
      <c r="F128" s="203">
        <v>11</v>
      </c>
      <c r="G128" s="202"/>
      <c r="H128" s="202"/>
      <c r="I128" s="202"/>
      <c r="J128" s="202">
        <v>0</v>
      </c>
      <c r="K128" s="202" t="s">
        <v>2041</v>
      </c>
      <c r="L128" s="202"/>
      <c r="M128" s="202" t="s">
        <v>1975</v>
      </c>
      <c r="N128" s="206">
        <v>43914</v>
      </c>
      <c r="O128" s="206">
        <v>43914</v>
      </c>
      <c r="P128" s="202" t="s">
        <v>2937</v>
      </c>
      <c r="Q128" s="203">
        <v>1200</v>
      </c>
      <c r="R128" s="203">
        <v>14050</v>
      </c>
      <c r="S128" s="204">
        <v>9558.2900000000009</v>
      </c>
      <c r="T128" s="203">
        <v>14056</v>
      </c>
      <c r="U128" s="204">
        <v>1393.92</v>
      </c>
      <c r="V128" s="204">
        <f t="shared" si="12"/>
        <v>8164.3700000000008</v>
      </c>
      <c r="W128" s="205">
        <v>796.53</v>
      </c>
      <c r="X128" s="203">
        <v>54260</v>
      </c>
      <c r="Y128" s="204">
        <v>66.38</v>
      </c>
      <c r="Z128" s="202" t="s">
        <v>97</v>
      </c>
      <c r="AA128" s="202"/>
      <c r="AB128" s="202">
        <v>160225</v>
      </c>
      <c r="AC128" s="202"/>
      <c r="AD128" s="202" t="s">
        <v>1152</v>
      </c>
      <c r="AE128" s="202" t="s">
        <v>1153</v>
      </c>
      <c r="AF128" s="203" t="s">
        <v>1154</v>
      </c>
      <c r="AG128" s="202"/>
      <c r="AH128" s="203" t="s">
        <v>1155</v>
      </c>
      <c r="AI128" s="202">
        <v>0</v>
      </c>
      <c r="AJ128" s="202">
        <v>0</v>
      </c>
    </row>
    <row r="129" spans="2:36">
      <c r="B129" s="203">
        <v>2180</v>
      </c>
      <c r="C129" s="207">
        <v>233734</v>
      </c>
      <c r="D129" s="203" t="s">
        <v>97</v>
      </c>
      <c r="E129" s="202" t="s">
        <v>1276</v>
      </c>
      <c r="F129" s="203">
        <v>11</v>
      </c>
      <c r="G129" s="202"/>
      <c r="H129" s="202"/>
      <c r="I129" s="202"/>
      <c r="J129" s="202">
        <v>0</v>
      </c>
      <c r="K129" s="202" t="s">
        <v>2041</v>
      </c>
      <c r="L129" s="202"/>
      <c r="M129" s="202" t="s">
        <v>1975</v>
      </c>
      <c r="N129" s="206">
        <v>43914</v>
      </c>
      <c r="O129" s="206">
        <v>43914</v>
      </c>
      <c r="P129" s="202" t="s">
        <v>2937</v>
      </c>
      <c r="Q129" s="203">
        <v>1200</v>
      </c>
      <c r="R129" s="203">
        <v>14050</v>
      </c>
      <c r="S129" s="204">
        <v>9558.2900000000009</v>
      </c>
      <c r="T129" s="203">
        <v>14056</v>
      </c>
      <c r="U129" s="204">
        <v>1393.92</v>
      </c>
      <c r="V129" s="204">
        <f t="shared" si="12"/>
        <v>8164.3700000000008</v>
      </c>
      <c r="W129" s="205">
        <v>796.53</v>
      </c>
      <c r="X129" s="203">
        <v>54260</v>
      </c>
      <c r="Y129" s="204">
        <v>66.38</v>
      </c>
      <c r="Z129" s="202" t="s">
        <v>97</v>
      </c>
      <c r="AA129" s="202"/>
      <c r="AB129" s="202">
        <v>160224</v>
      </c>
      <c r="AC129" s="202"/>
      <c r="AD129" s="202" t="s">
        <v>1152</v>
      </c>
      <c r="AE129" s="202" t="s">
        <v>1153</v>
      </c>
      <c r="AF129" s="203" t="s">
        <v>1154</v>
      </c>
      <c r="AG129" s="202"/>
      <c r="AH129" s="203" t="s">
        <v>1155</v>
      </c>
      <c r="AI129" s="202">
        <v>0</v>
      </c>
      <c r="AJ129" s="202">
        <v>0</v>
      </c>
    </row>
    <row r="130" spans="2:36">
      <c r="B130" s="203">
        <v>2180</v>
      </c>
      <c r="C130" s="207">
        <v>233677</v>
      </c>
      <c r="D130" s="203" t="s">
        <v>97</v>
      </c>
      <c r="E130" s="202" t="s">
        <v>1274</v>
      </c>
      <c r="F130" s="203"/>
      <c r="G130" s="202"/>
      <c r="H130" s="202" t="s">
        <v>2946</v>
      </c>
      <c r="I130" s="202"/>
      <c r="J130" s="202">
        <v>2020</v>
      </c>
      <c r="K130" s="202" t="s">
        <v>1406</v>
      </c>
      <c r="L130" s="202" t="s">
        <v>2883</v>
      </c>
      <c r="M130" s="202" t="s">
        <v>2945</v>
      </c>
      <c r="N130" s="206">
        <v>43986</v>
      </c>
      <c r="O130" s="206">
        <v>43986</v>
      </c>
      <c r="P130" s="202" t="s">
        <v>2944</v>
      </c>
      <c r="Q130" s="203">
        <v>1000</v>
      </c>
      <c r="R130" s="203">
        <v>14040</v>
      </c>
      <c r="S130" s="204">
        <v>368682.05</v>
      </c>
      <c r="T130" s="203">
        <v>14046</v>
      </c>
      <c r="U130" s="204">
        <v>58374.66</v>
      </c>
      <c r="V130" s="204">
        <f t="shared" si="12"/>
        <v>310307.39</v>
      </c>
      <c r="W130" s="205">
        <v>36868.21</v>
      </c>
      <c r="X130" s="203">
        <v>51260</v>
      </c>
      <c r="Y130" s="204">
        <v>3072.35</v>
      </c>
      <c r="Z130" s="202" t="s">
        <v>97</v>
      </c>
      <c r="AA130" s="202"/>
      <c r="AB130" s="202"/>
      <c r="AC130" s="202">
        <v>3710</v>
      </c>
      <c r="AD130" s="202" t="s">
        <v>1152</v>
      </c>
      <c r="AE130" s="202" t="s">
        <v>1153</v>
      </c>
      <c r="AF130" s="203" t="s">
        <v>1154</v>
      </c>
      <c r="AG130" s="202"/>
      <c r="AH130" s="203" t="s">
        <v>1155</v>
      </c>
      <c r="AI130" s="202">
        <v>0</v>
      </c>
      <c r="AJ130" s="202">
        <v>0</v>
      </c>
    </row>
    <row r="131" spans="2:36">
      <c r="B131" s="203">
        <v>2180</v>
      </c>
      <c r="C131" s="207">
        <v>233676</v>
      </c>
      <c r="D131" s="203" t="s">
        <v>97</v>
      </c>
      <c r="E131" s="202" t="s">
        <v>1274</v>
      </c>
      <c r="F131" s="203"/>
      <c r="G131" s="202"/>
      <c r="H131" s="202" t="s">
        <v>2943</v>
      </c>
      <c r="I131" s="202"/>
      <c r="J131" s="202">
        <v>2020</v>
      </c>
      <c r="K131" s="202" t="s">
        <v>1406</v>
      </c>
      <c r="L131" s="202" t="s">
        <v>2883</v>
      </c>
      <c r="M131" s="202" t="s">
        <v>1404</v>
      </c>
      <c r="N131" s="206">
        <v>43987</v>
      </c>
      <c r="O131" s="206">
        <v>43987</v>
      </c>
      <c r="P131" s="202" t="s">
        <v>2942</v>
      </c>
      <c r="Q131" s="203">
        <v>1000</v>
      </c>
      <c r="R131" s="203">
        <v>14040</v>
      </c>
      <c r="S131" s="204">
        <v>368682.05</v>
      </c>
      <c r="T131" s="203">
        <v>14046</v>
      </c>
      <c r="U131" s="204">
        <v>58374.66</v>
      </c>
      <c r="V131" s="204">
        <f t="shared" si="12"/>
        <v>310307.39</v>
      </c>
      <c r="W131" s="205">
        <v>36868.21</v>
      </c>
      <c r="X131" s="203">
        <v>51260</v>
      </c>
      <c r="Y131" s="204">
        <v>3072.35</v>
      </c>
      <c r="Z131" s="202" t="s">
        <v>97</v>
      </c>
      <c r="AA131" s="202"/>
      <c r="AB131" s="202"/>
      <c r="AC131" s="202">
        <v>3709</v>
      </c>
      <c r="AD131" s="202" t="s">
        <v>1152</v>
      </c>
      <c r="AE131" s="202" t="s">
        <v>1153</v>
      </c>
      <c r="AF131" s="203" t="s">
        <v>1154</v>
      </c>
      <c r="AG131" s="202"/>
      <c r="AH131" s="203" t="s">
        <v>1155</v>
      </c>
      <c r="AI131" s="202">
        <v>0</v>
      </c>
      <c r="AJ131" s="202">
        <v>0</v>
      </c>
    </row>
    <row r="132" spans="2:36">
      <c r="B132" s="203">
        <v>2180</v>
      </c>
      <c r="C132" s="207">
        <v>233675</v>
      </c>
      <c r="D132" s="203" t="s">
        <v>97</v>
      </c>
      <c r="E132" s="202" t="s">
        <v>1274</v>
      </c>
      <c r="F132" s="203"/>
      <c r="G132" s="202"/>
      <c r="H132" s="202" t="s">
        <v>2941</v>
      </c>
      <c r="I132" s="202"/>
      <c r="J132" s="202">
        <v>2020</v>
      </c>
      <c r="K132" s="202" t="s">
        <v>1406</v>
      </c>
      <c r="L132" s="202" t="s">
        <v>2883</v>
      </c>
      <c r="M132" s="202" t="s">
        <v>1404</v>
      </c>
      <c r="N132" s="206">
        <v>43980</v>
      </c>
      <c r="O132" s="206">
        <v>43980</v>
      </c>
      <c r="P132" s="202" t="s">
        <v>2940</v>
      </c>
      <c r="Q132" s="203">
        <v>1000</v>
      </c>
      <c r="R132" s="203">
        <v>14040</v>
      </c>
      <c r="S132" s="204">
        <v>368682.05</v>
      </c>
      <c r="T132" s="203">
        <v>14046</v>
      </c>
      <c r="U132" s="204">
        <v>58374.66</v>
      </c>
      <c r="V132" s="204">
        <f t="shared" si="12"/>
        <v>310307.39</v>
      </c>
      <c r="W132" s="205">
        <v>36868.21</v>
      </c>
      <c r="X132" s="203">
        <v>51260</v>
      </c>
      <c r="Y132" s="204">
        <v>3072.35</v>
      </c>
      <c r="Z132" s="202" t="s">
        <v>97</v>
      </c>
      <c r="AA132" s="202"/>
      <c r="AB132" s="202"/>
      <c r="AC132" s="202">
        <v>3707</v>
      </c>
      <c r="AD132" s="202" t="s">
        <v>1152</v>
      </c>
      <c r="AE132" s="202" t="s">
        <v>1153</v>
      </c>
      <c r="AF132" s="203" t="s">
        <v>1154</v>
      </c>
      <c r="AG132" s="202"/>
      <c r="AH132" s="203" t="s">
        <v>1155</v>
      </c>
      <c r="AI132" s="202">
        <v>0</v>
      </c>
      <c r="AJ132" s="202">
        <v>0</v>
      </c>
    </row>
    <row r="133" spans="2:36">
      <c r="B133" s="203">
        <v>2180</v>
      </c>
      <c r="C133" s="207">
        <v>233674</v>
      </c>
      <c r="D133" s="203" t="s">
        <v>97</v>
      </c>
      <c r="E133" s="202" t="s">
        <v>1274</v>
      </c>
      <c r="F133" s="203"/>
      <c r="G133" s="202"/>
      <c r="H133" s="202" t="s">
        <v>2939</v>
      </c>
      <c r="I133" s="202"/>
      <c r="J133" s="202">
        <v>2020</v>
      </c>
      <c r="K133" s="202" t="s">
        <v>1406</v>
      </c>
      <c r="L133" s="202" t="s">
        <v>2883</v>
      </c>
      <c r="M133" s="202" t="s">
        <v>1404</v>
      </c>
      <c r="N133" s="206">
        <v>43980</v>
      </c>
      <c r="O133" s="206">
        <v>43980</v>
      </c>
      <c r="P133" s="202" t="s">
        <v>2938</v>
      </c>
      <c r="Q133" s="203">
        <v>1000</v>
      </c>
      <c r="R133" s="203">
        <v>14040</v>
      </c>
      <c r="S133" s="204">
        <v>368680.96000000002</v>
      </c>
      <c r="T133" s="203">
        <v>14046</v>
      </c>
      <c r="U133" s="204">
        <v>58374.49</v>
      </c>
      <c r="V133" s="204">
        <f t="shared" si="12"/>
        <v>310306.47000000003</v>
      </c>
      <c r="W133" s="205">
        <v>36868.1</v>
      </c>
      <c r="X133" s="203">
        <v>51260</v>
      </c>
      <c r="Y133" s="204">
        <v>3072.34</v>
      </c>
      <c r="Z133" s="202" t="s">
        <v>97</v>
      </c>
      <c r="AA133" s="202"/>
      <c r="AB133" s="202"/>
      <c r="AC133" s="202">
        <v>3708</v>
      </c>
      <c r="AD133" s="202" t="s">
        <v>1152</v>
      </c>
      <c r="AE133" s="202" t="s">
        <v>1153</v>
      </c>
      <c r="AF133" s="203" t="s">
        <v>1154</v>
      </c>
      <c r="AG133" s="202"/>
      <c r="AH133" s="203" t="s">
        <v>1155</v>
      </c>
      <c r="AI133" s="202">
        <v>0</v>
      </c>
      <c r="AJ133" s="202">
        <v>0</v>
      </c>
    </row>
    <row r="134" spans="2:36">
      <c r="B134" s="203">
        <v>2180</v>
      </c>
      <c r="C134" s="207">
        <v>233560</v>
      </c>
      <c r="D134" s="203" t="s">
        <v>97</v>
      </c>
      <c r="E134" s="202" t="s">
        <v>1276</v>
      </c>
      <c r="F134" s="203">
        <v>8</v>
      </c>
      <c r="G134" s="202"/>
      <c r="H134" s="202"/>
      <c r="I134" s="202"/>
      <c r="J134" s="202">
        <v>0</v>
      </c>
      <c r="K134" s="202" t="s">
        <v>2041</v>
      </c>
      <c r="L134" s="202"/>
      <c r="M134" s="202" t="s">
        <v>1975</v>
      </c>
      <c r="N134" s="206">
        <v>43914</v>
      </c>
      <c r="O134" s="206">
        <v>43914</v>
      </c>
      <c r="P134" s="202" t="s">
        <v>2937</v>
      </c>
      <c r="Q134" s="203">
        <v>1200</v>
      </c>
      <c r="R134" s="203">
        <v>14050</v>
      </c>
      <c r="S134" s="204">
        <v>6951.48</v>
      </c>
      <c r="T134" s="203">
        <v>14056</v>
      </c>
      <c r="U134" s="204">
        <v>1013.76</v>
      </c>
      <c r="V134" s="204">
        <f t="shared" si="12"/>
        <v>5937.7199999999993</v>
      </c>
      <c r="W134" s="205">
        <v>579.29</v>
      </c>
      <c r="X134" s="203">
        <v>54260</v>
      </c>
      <c r="Y134" s="204">
        <v>48.27</v>
      </c>
      <c r="Z134" s="202" t="s">
        <v>97</v>
      </c>
      <c r="AA134" s="202"/>
      <c r="AB134" s="202">
        <v>160218</v>
      </c>
      <c r="AC134" s="202"/>
      <c r="AD134" s="202" t="s">
        <v>1152</v>
      </c>
      <c r="AE134" s="202" t="s">
        <v>1153</v>
      </c>
      <c r="AF134" s="203" t="s">
        <v>1154</v>
      </c>
      <c r="AG134" s="202"/>
      <c r="AH134" s="203" t="s">
        <v>1155</v>
      </c>
      <c r="AI134" s="202">
        <v>0</v>
      </c>
      <c r="AJ134" s="202">
        <v>0</v>
      </c>
    </row>
    <row r="135" spans="2:36">
      <c r="B135" s="203">
        <v>2180</v>
      </c>
      <c r="C135" s="207">
        <v>233282</v>
      </c>
      <c r="D135" s="203">
        <v>232601</v>
      </c>
      <c r="E135" s="202" t="s">
        <v>2936</v>
      </c>
      <c r="F135" s="203"/>
      <c r="G135" s="202"/>
      <c r="H135" s="202"/>
      <c r="I135" s="202"/>
      <c r="J135" s="202">
        <v>0</v>
      </c>
      <c r="K135" s="202" t="s">
        <v>2744</v>
      </c>
      <c r="L135" s="202"/>
      <c r="M135" s="202" t="s">
        <v>1447</v>
      </c>
      <c r="N135" s="206">
        <v>43970</v>
      </c>
      <c r="O135" s="206">
        <v>43970</v>
      </c>
      <c r="P135" s="202" t="s">
        <v>2935</v>
      </c>
      <c r="Q135" s="203">
        <v>1000</v>
      </c>
      <c r="R135" s="203">
        <v>14040</v>
      </c>
      <c r="S135" s="204">
        <v>191.75</v>
      </c>
      <c r="T135" s="203">
        <v>14046</v>
      </c>
      <c r="U135" s="204">
        <v>30.37</v>
      </c>
      <c r="V135" s="204">
        <f t="shared" si="12"/>
        <v>161.38</v>
      </c>
      <c r="W135" s="205">
        <v>19.18</v>
      </c>
      <c r="X135" s="203">
        <v>51260</v>
      </c>
      <c r="Y135" s="204">
        <v>1.6</v>
      </c>
      <c r="Z135" s="202" t="s">
        <v>97</v>
      </c>
      <c r="AA135" s="202"/>
      <c r="AB135" s="202">
        <v>834</v>
      </c>
      <c r="AC135" s="202"/>
      <c r="AD135" s="202" t="s">
        <v>1152</v>
      </c>
      <c r="AE135" s="202" t="s">
        <v>1153</v>
      </c>
      <c r="AF135" s="203" t="s">
        <v>1154</v>
      </c>
      <c r="AG135" s="202"/>
      <c r="AH135" s="203" t="s">
        <v>1155</v>
      </c>
      <c r="AI135" s="202">
        <v>0</v>
      </c>
      <c r="AJ135" s="202">
        <v>0</v>
      </c>
    </row>
    <row r="136" spans="2:36">
      <c r="B136" s="203">
        <v>2180</v>
      </c>
      <c r="C136" s="207">
        <v>232995</v>
      </c>
      <c r="D136" s="203">
        <v>232601</v>
      </c>
      <c r="E136" s="202" t="s">
        <v>2926</v>
      </c>
      <c r="F136" s="203"/>
      <c r="G136" s="202"/>
      <c r="H136" s="202"/>
      <c r="I136" s="202"/>
      <c r="J136" s="202">
        <v>2021</v>
      </c>
      <c r="K136" s="202"/>
      <c r="L136" s="202"/>
      <c r="M136" s="202" t="s">
        <v>1447</v>
      </c>
      <c r="N136" s="206">
        <v>43958</v>
      </c>
      <c r="O136" s="206">
        <v>43958</v>
      </c>
      <c r="P136" s="202" t="s">
        <v>2923</v>
      </c>
      <c r="Q136" s="203">
        <v>100</v>
      </c>
      <c r="R136" s="203">
        <v>14110</v>
      </c>
      <c r="S136" s="204">
        <v>1427.87</v>
      </c>
      <c r="T136" s="203">
        <v>14116</v>
      </c>
      <c r="U136" s="204">
        <v>1427.87</v>
      </c>
      <c r="V136" s="204">
        <f t="shared" si="12"/>
        <v>0</v>
      </c>
      <c r="W136" s="205">
        <v>475.96</v>
      </c>
      <c r="X136" s="203">
        <v>70260</v>
      </c>
      <c r="Y136" s="204">
        <v>0</v>
      </c>
      <c r="Z136" s="202" t="s">
        <v>97</v>
      </c>
      <c r="AA136" s="202"/>
      <c r="AB136" s="202"/>
      <c r="AC136" s="202"/>
      <c r="AD136" s="202" t="s">
        <v>1152</v>
      </c>
      <c r="AE136" s="202" t="s">
        <v>1153</v>
      </c>
      <c r="AF136" s="203" t="s">
        <v>1154</v>
      </c>
      <c r="AG136" s="202"/>
      <c r="AH136" s="203" t="s">
        <v>1155</v>
      </c>
      <c r="AI136" s="202">
        <v>0</v>
      </c>
      <c r="AJ136" s="202">
        <v>0</v>
      </c>
    </row>
    <row r="137" spans="2:36">
      <c r="B137" s="203">
        <v>2180</v>
      </c>
      <c r="C137" s="207">
        <v>232994</v>
      </c>
      <c r="D137" s="203" t="s">
        <v>97</v>
      </c>
      <c r="E137" s="202" t="s">
        <v>1274</v>
      </c>
      <c r="F137" s="203"/>
      <c r="G137" s="202"/>
      <c r="H137" s="202" t="s">
        <v>2934</v>
      </c>
      <c r="I137" s="202"/>
      <c r="J137" s="202">
        <v>2020</v>
      </c>
      <c r="K137" s="202" t="s">
        <v>1406</v>
      </c>
      <c r="L137" s="202" t="s">
        <v>2883</v>
      </c>
      <c r="M137" s="202" t="s">
        <v>1404</v>
      </c>
      <c r="N137" s="206">
        <v>43973</v>
      </c>
      <c r="O137" s="206">
        <v>43973</v>
      </c>
      <c r="P137" s="202" t="s">
        <v>2933</v>
      </c>
      <c r="Q137" s="203">
        <v>1000</v>
      </c>
      <c r="R137" s="203">
        <v>14040</v>
      </c>
      <c r="S137" s="204">
        <v>365253.95</v>
      </c>
      <c r="T137" s="203">
        <v>14046</v>
      </c>
      <c r="U137" s="204">
        <v>57831.88</v>
      </c>
      <c r="V137" s="204">
        <f t="shared" si="12"/>
        <v>307422.07</v>
      </c>
      <c r="W137" s="205">
        <v>36525.4</v>
      </c>
      <c r="X137" s="203">
        <v>51260</v>
      </c>
      <c r="Y137" s="204">
        <v>3043.78</v>
      </c>
      <c r="Z137" s="202" t="s">
        <v>97</v>
      </c>
      <c r="AA137" s="202"/>
      <c r="AB137" s="202"/>
      <c r="AC137" s="202">
        <v>3706</v>
      </c>
      <c r="AD137" s="202" t="s">
        <v>1152</v>
      </c>
      <c r="AE137" s="202" t="s">
        <v>1153</v>
      </c>
      <c r="AF137" s="203" t="s">
        <v>1154</v>
      </c>
      <c r="AG137" s="202"/>
      <c r="AH137" s="203" t="s">
        <v>1155</v>
      </c>
      <c r="AI137" s="202">
        <v>0</v>
      </c>
      <c r="AJ137" s="202">
        <v>0</v>
      </c>
    </row>
    <row r="138" spans="2:36">
      <c r="B138" s="203">
        <v>2180</v>
      </c>
      <c r="C138" s="207">
        <v>232863</v>
      </c>
      <c r="D138" s="203" t="s">
        <v>97</v>
      </c>
      <c r="E138" s="202" t="s">
        <v>2932</v>
      </c>
      <c r="F138" s="203">
        <v>702</v>
      </c>
      <c r="G138" s="202"/>
      <c r="H138" s="202"/>
      <c r="I138" s="202"/>
      <c r="J138" s="202">
        <v>0</v>
      </c>
      <c r="K138" s="202" t="s">
        <v>2445</v>
      </c>
      <c r="L138" s="202"/>
      <c r="M138" s="202" t="s">
        <v>2846</v>
      </c>
      <c r="N138" s="206">
        <v>43967</v>
      </c>
      <c r="O138" s="206">
        <v>43967</v>
      </c>
      <c r="P138" s="202" t="s">
        <v>2930</v>
      </c>
      <c r="Q138" s="203">
        <v>700</v>
      </c>
      <c r="R138" s="203">
        <v>14050</v>
      </c>
      <c r="S138" s="204">
        <v>27791.1</v>
      </c>
      <c r="T138" s="203">
        <v>14056</v>
      </c>
      <c r="U138" s="204">
        <v>6286.09</v>
      </c>
      <c r="V138" s="204">
        <f t="shared" si="12"/>
        <v>21505.01</v>
      </c>
      <c r="W138" s="205">
        <v>3970.16</v>
      </c>
      <c r="X138" s="203">
        <v>54260</v>
      </c>
      <c r="Y138" s="204">
        <v>330.85</v>
      </c>
      <c r="Z138" s="202" t="s">
        <v>97</v>
      </c>
      <c r="AA138" s="202"/>
      <c r="AB138" s="202">
        <v>50097658</v>
      </c>
      <c r="AC138" s="202"/>
      <c r="AD138" s="202" t="s">
        <v>1152</v>
      </c>
      <c r="AE138" s="202" t="s">
        <v>1153</v>
      </c>
      <c r="AF138" s="203" t="s">
        <v>1154</v>
      </c>
      <c r="AG138" s="202"/>
      <c r="AH138" s="203" t="s">
        <v>1155</v>
      </c>
      <c r="AI138" s="202">
        <v>0</v>
      </c>
      <c r="AJ138" s="202">
        <v>0</v>
      </c>
    </row>
    <row r="139" spans="2:36">
      <c r="B139" s="203">
        <v>2180</v>
      </c>
      <c r="C139" s="207">
        <v>232862</v>
      </c>
      <c r="D139" s="203" t="s">
        <v>97</v>
      </c>
      <c r="E139" s="202" t="s">
        <v>2931</v>
      </c>
      <c r="F139" s="203">
        <v>702</v>
      </c>
      <c r="G139" s="202"/>
      <c r="H139" s="202"/>
      <c r="I139" s="202"/>
      <c r="J139" s="202">
        <v>0</v>
      </c>
      <c r="K139" s="202" t="s">
        <v>2445</v>
      </c>
      <c r="L139" s="202"/>
      <c r="M139" s="202" t="s">
        <v>2846</v>
      </c>
      <c r="N139" s="206">
        <v>43966</v>
      </c>
      <c r="O139" s="206">
        <v>43966</v>
      </c>
      <c r="P139" s="202" t="s">
        <v>2930</v>
      </c>
      <c r="Q139" s="203">
        <v>700</v>
      </c>
      <c r="R139" s="203">
        <v>14050</v>
      </c>
      <c r="S139" s="204">
        <v>27791.1</v>
      </c>
      <c r="T139" s="203">
        <v>14056</v>
      </c>
      <c r="U139" s="204">
        <v>6616.93</v>
      </c>
      <c r="V139" s="204">
        <f t="shared" si="12"/>
        <v>21174.17</v>
      </c>
      <c r="W139" s="205">
        <v>3970.16</v>
      </c>
      <c r="X139" s="203">
        <v>54260</v>
      </c>
      <c r="Y139" s="204">
        <v>330.85</v>
      </c>
      <c r="Z139" s="202" t="s">
        <v>97</v>
      </c>
      <c r="AA139" s="202"/>
      <c r="AB139" s="202">
        <v>50097531</v>
      </c>
      <c r="AC139" s="202"/>
      <c r="AD139" s="202" t="s">
        <v>1152</v>
      </c>
      <c r="AE139" s="202" t="s">
        <v>1153</v>
      </c>
      <c r="AF139" s="203" t="s">
        <v>1154</v>
      </c>
      <c r="AG139" s="202"/>
      <c r="AH139" s="203" t="s">
        <v>1155</v>
      </c>
      <c r="AI139" s="202">
        <v>0</v>
      </c>
      <c r="AJ139" s="202">
        <v>0</v>
      </c>
    </row>
    <row r="140" spans="2:36">
      <c r="B140" s="203">
        <v>2180</v>
      </c>
      <c r="C140" s="207">
        <v>232775</v>
      </c>
      <c r="D140" s="203" t="s">
        <v>97</v>
      </c>
      <c r="E140" s="202" t="s">
        <v>2929</v>
      </c>
      <c r="F140" s="203">
        <v>702</v>
      </c>
      <c r="G140" s="202"/>
      <c r="H140" s="202"/>
      <c r="I140" s="202"/>
      <c r="J140" s="202">
        <v>0</v>
      </c>
      <c r="K140" s="202" t="s">
        <v>2445</v>
      </c>
      <c r="L140" s="202"/>
      <c r="M140" s="202" t="s">
        <v>2846</v>
      </c>
      <c r="N140" s="206">
        <v>43949</v>
      </c>
      <c r="O140" s="206">
        <v>43949</v>
      </c>
      <c r="P140" s="202" t="s">
        <v>2928</v>
      </c>
      <c r="Q140" s="203">
        <v>700</v>
      </c>
      <c r="R140" s="203">
        <v>14050</v>
      </c>
      <c r="S140" s="204">
        <v>30039.24</v>
      </c>
      <c r="T140" s="203">
        <v>14056</v>
      </c>
      <c r="U140" s="204">
        <v>7152.2</v>
      </c>
      <c r="V140" s="204">
        <f t="shared" si="12"/>
        <v>22887.040000000001</v>
      </c>
      <c r="W140" s="205">
        <v>4291.32</v>
      </c>
      <c r="X140" s="203">
        <v>54260</v>
      </c>
      <c r="Y140" s="204">
        <v>357.61</v>
      </c>
      <c r="Z140" s="202" t="s">
        <v>97</v>
      </c>
      <c r="AA140" s="202"/>
      <c r="AB140" s="202">
        <v>50094323</v>
      </c>
      <c r="AC140" s="202"/>
      <c r="AD140" s="202" t="s">
        <v>1152</v>
      </c>
      <c r="AE140" s="202" t="s">
        <v>1153</v>
      </c>
      <c r="AF140" s="203" t="s">
        <v>1154</v>
      </c>
      <c r="AG140" s="202"/>
      <c r="AH140" s="203" t="s">
        <v>1155</v>
      </c>
      <c r="AI140" s="202">
        <v>0</v>
      </c>
      <c r="AJ140" s="202">
        <v>0</v>
      </c>
    </row>
    <row r="141" spans="2:36">
      <c r="B141" s="203">
        <v>2180</v>
      </c>
      <c r="C141" s="207">
        <v>232774</v>
      </c>
      <c r="D141" s="203" t="s">
        <v>97</v>
      </c>
      <c r="E141" s="202" t="s">
        <v>638</v>
      </c>
      <c r="F141" s="203">
        <v>702</v>
      </c>
      <c r="G141" s="202"/>
      <c r="H141" s="202"/>
      <c r="I141" s="202"/>
      <c r="J141" s="202">
        <v>0</v>
      </c>
      <c r="K141" s="202" t="s">
        <v>2445</v>
      </c>
      <c r="L141" s="202"/>
      <c r="M141" s="202" t="s">
        <v>2846</v>
      </c>
      <c r="N141" s="206">
        <v>43949</v>
      </c>
      <c r="O141" s="206">
        <v>43949</v>
      </c>
      <c r="P141" s="202" t="s">
        <v>2927</v>
      </c>
      <c r="Q141" s="203">
        <v>700</v>
      </c>
      <c r="R141" s="203">
        <v>14050</v>
      </c>
      <c r="S141" s="204">
        <v>30039.25</v>
      </c>
      <c r="T141" s="203">
        <v>14056</v>
      </c>
      <c r="U141" s="204">
        <v>7152.2</v>
      </c>
      <c r="V141" s="204">
        <f t="shared" si="12"/>
        <v>22887.05</v>
      </c>
      <c r="W141" s="205">
        <v>4291.32</v>
      </c>
      <c r="X141" s="203">
        <v>54260</v>
      </c>
      <c r="Y141" s="204">
        <v>357.61</v>
      </c>
      <c r="Z141" s="202" t="s">
        <v>97</v>
      </c>
      <c r="AA141" s="202"/>
      <c r="AB141" s="202">
        <v>50094323</v>
      </c>
      <c r="AC141" s="202"/>
      <c r="AD141" s="202" t="s">
        <v>1152</v>
      </c>
      <c r="AE141" s="202" t="s">
        <v>1153</v>
      </c>
      <c r="AF141" s="203" t="s">
        <v>1154</v>
      </c>
      <c r="AG141" s="202"/>
      <c r="AH141" s="203" t="s">
        <v>1155</v>
      </c>
      <c r="AI141" s="202">
        <v>0</v>
      </c>
      <c r="AJ141" s="202">
        <v>0</v>
      </c>
    </row>
    <row r="142" spans="2:36">
      <c r="B142" s="203">
        <v>2180</v>
      </c>
      <c r="C142" s="207">
        <v>232766</v>
      </c>
      <c r="D142" s="203">
        <v>228661</v>
      </c>
      <c r="E142" s="202" t="s">
        <v>2926</v>
      </c>
      <c r="F142" s="203"/>
      <c r="G142" s="202"/>
      <c r="H142" s="202"/>
      <c r="I142" s="202"/>
      <c r="J142" s="202">
        <v>0</v>
      </c>
      <c r="K142" s="202" t="s">
        <v>1576</v>
      </c>
      <c r="L142" s="202"/>
      <c r="M142" s="202" t="s">
        <v>1447</v>
      </c>
      <c r="N142" s="206">
        <v>43862</v>
      </c>
      <c r="O142" s="206">
        <v>43862</v>
      </c>
      <c r="P142" s="202" t="s">
        <v>2910</v>
      </c>
      <c r="Q142" s="203">
        <v>100</v>
      </c>
      <c r="R142" s="203">
        <v>14110</v>
      </c>
      <c r="S142" s="204">
        <v>1427.87</v>
      </c>
      <c r="T142" s="203">
        <v>14116</v>
      </c>
      <c r="U142" s="204">
        <v>1427.87</v>
      </c>
      <c r="V142" s="204">
        <f t="shared" ref="V142:V205" si="13">S142-U142</f>
        <v>0</v>
      </c>
      <c r="W142" s="205">
        <v>118.99</v>
      </c>
      <c r="X142" s="203">
        <v>70260</v>
      </c>
      <c r="Y142" s="204">
        <v>0</v>
      </c>
      <c r="Z142" s="202" t="s">
        <v>97</v>
      </c>
      <c r="AA142" s="202"/>
      <c r="AB142" s="202" t="s">
        <v>2925</v>
      </c>
      <c r="AC142" s="202"/>
      <c r="AD142" s="202" t="s">
        <v>1152</v>
      </c>
      <c r="AE142" s="202" t="s">
        <v>1153</v>
      </c>
      <c r="AF142" s="203" t="s">
        <v>1154</v>
      </c>
      <c r="AG142" s="202"/>
      <c r="AH142" s="203" t="s">
        <v>1155</v>
      </c>
      <c r="AI142" s="202">
        <v>0</v>
      </c>
      <c r="AJ142" s="202">
        <v>0</v>
      </c>
    </row>
    <row r="143" spans="2:36">
      <c r="B143" s="203">
        <v>2180</v>
      </c>
      <c r="C143" s="207">
        <v>232601</v>
      </c>
      <c r="D143" s="203" t="s">
        <v>97</v>
      </c>
      <c r="E143" s="202" t="s">
        <v>1271</v>
      </c>
      <c r="F143" s="203"/>
      <c r="G143" s="202"/>
      <c r="H143" s="202" t="s">
        <v>2924</v>
      </c>
      <c r="I143" s="202"/>
      <c r="J143" s="202">
        <v>2021</v>
      </c>
      <c r="K143" s="202" t="s">
        <v>1406</v>
      </c>
      <c r="L143" s="202" t="s">
        <v>2476</v>
      </c>
      <c r="M143" s="202" t="s">
        <v>1824</v>
      </c>
      <c r="N143" s="206">
        <v>43958</v>
      </c>
      <c r="O143" s="206">
        <v>43958</v>
      </c>
      <c r="P143" s="202" t="s">
        <v>2923</v>
      </c>
      <c r="Q143" s="203">
        <v>1000</v>
      </c>
      <c r="R143" s="203">
        <v>14040</v>
      </c>
      <c r="S143" s="204">
        <v>222512.89</v>
      </c>
      <c r="T143" s="203">
        <v>14046</v>
      </c>
      <c r="U143" s="204">
        <v>37085.480000000003</v>
      </c>
      <c r="V143" s="204">
        <f t="shared" si="13"/>
        <v>185427.41</v>
      </c>
      <c r="W143" s="205">
        <v>22251.29</v>
      </c>
      <c r="X143" s="203">
        <v>51260</v>
      </c>
      <c r="Y143" s="204">
        <v>1854.27</v>
      </c>
      <c r="Z143" s="202" t="s">
        <v>97</v>
      </c>
      <c r="AA143" s="202"/>
      <c r="AB143" s="202"/>
      <c r="AC143" s="202">
        <v>4090</v>
      </c>
      <c r="AD143" s="202" t="s">
        <v>1152</v>
      </c>
      <c r="AE143" s="202" t="s">
        <v>1153</v>
      </c>
      <c r="AF143" s="203" t="s">
        <v>1154</v>
      </c>
      <c r="AG143" s="202"/>
      <c r="AH143" s="203" t="s">
        <v>1155</v>
      </c>
      <c r="AI143" s="202">
        <v>0</v>
      </c>
      <c r="AJ143" s="202">
        <v>0</v>
      </c>
    </row>
    <row r="144" spans="2:36">
      <c r="B144" s="203">
        <v>2180</v>
      </c>
      <c r="C144" s="207">
        <v>232230</v>
      </c>
      <c r="D144" s="203" t="s">
        <v>97</v>
      </c>
      <c r="E144" s="202" t="s">
        <v>1270</v>
      </c>
      <c r="F144" s="203"/>
      <c r="G144" s="202"/>
      <c r="H144" s="202"/>
      <c r="I144" s="202"/>
      <c r="J144" s="202">
        <v>0</v>
      </c>
      <c r="K144" s="202" t="s">
        <v>1429</v>
      </c>
      <c r="L144" s="202"/>
      <c r="M144" s="202"/>
      <c r="N144" s="206">
        <v>43932</v>
      </c>
      <c r="O144" s="206">
        <v>43932</v>
      </c>
      <c r="P144" s="202" t="s">
        <v>2922</v>
      </c>
      <c r="Q144" s="203">
        <v>200</v>
      </c>
      <c r="R144" s="203">
        <v>14110</v>
      </c>
      <c r="S144" s="204">
        <v>2188.9699999999998</v>
      </c>
      <c r="T144" s="203">
        <v>14116</v>
      </c>
      <c r="U144" s="204">
        <v>1915.35</v>
      </c>
      <c r="V144" s="204">
        <f t="shared" si="13"/>
        <v>273.61999999999989</v>
      </c>
      <c r="W144" s="205">
        <v>1094.49</v>
      </c>
      <c r="X144" s="203">
        <v>70260</v>
      </c>
      <c r="Y144" s="204">
        <v>91.21</v>
      </c>
      <c r="Z144" s="202" t="s">
        <v>97</v>
      </c>
      <c r="AA144" s="202"/>
      <c r="AB144" s="202" t="s">
        <v>2921</v>
      </c>
      <c r="AC144" s="202"/>
      <c r="AD144" s="202" t="s">
        <v>1152</v>
      </c>
      <c r="AE144" s="202" t="s">
        <v>1153</v>
      </c>
      <c r="AF144" s="203" t="s">
        <v>1154</v>
      </c>
      <c r="AG144" s="202"/>
      <c r="AH144" s="203" t="s">
        <v>1155</v>
      </c>
      <c r="AI144" s="202">
        <v>0</v>
      </c>
      <c r="AJ144" s="202">
        <v>0</v>
      </c>
    </row>
    <row r="145" spans="2:36">
      <c r="B145" s="203">
        <v>2180</v>
      </c>
      <c r="C145" s="207">
        <v>231986</v>
      </c>
      <c r="D145" s="203" t="s">
        <v>97</v>
      </c>
      <c r="E145" s="202" t="s">
        <v>639</v>
      </c>
      <c r="F145" s="203">
        <v>936</v>
      </c>
      <c r="G145" s="202"/>
      <c r="H145" s="202"/>
      <c r="I145" s="202"/>
      <c r="J145" s="202">
        <v>0</v>
      </c>
      <c r="K145" s="202" t="s">
        <v>2445</v>
      </c>
      <c r="L145" s="202"/>
      <c r="M145" s="202" t="s">
        <v>2846</v>
      </c>
      <c r="N145" s="206">
        <v>43945</v>
      </c>
      <c r="O145" s="206">
        <v>43945</v>
      </c>
      <c r="P145" s="202" t="s">
        <v>2920</v>
      </c>
      <c r="Q145" s="203">
        <v>700</v>
      </c>
      <c r="R145" s="203">
        <v>14050</v>
      </c>
      <c r="S145" s="204">
        <v>34619.94</v>
      </c>
      <c r="T145" s="203">
        <v>14056</v>
      </c>
      <c r="U145" s="204">
        <v>8242.85</v>
      </c>
      <c r="V145" s="204">
        <f t="shared" si="13"/>
        <v>26377.090000000004</v>
      </c>
      <c r="W145" s="205">
        <v>4945.71</v>
      </c>
      <c r="X145" s="203">
        <v>54260</v>
      </c>
      <c r="Y145" s="204">
        <v>412.14</v>
      </c>
      <c r="Z145" s="202" t="s">
        <v>97</v>
      </c>
      <c r="AA145" s="202"/>
      <c r="AB145" s="202">
        <v>50093539</v>
      </c>
      <c r="AC145" s="202"/>
      <c r="AD145" s="202" t="s">
        <v>1152</v>
      </c>
      <c r="AE145" s="202" t="s">
        <v>1153</v>
      </c>
      <c r="AF145" s="203" t="s">
        <v>1154</v>
      </c>
      <c r="AG145" s="202"/>
      <c r="AH145" s="203" t="s">
        <v>1155</v>
      </c>
      <c r="AI145" s="202">
        <v>0</v>
      </c>
      <c r="AJ145" s="202">
        <v>0</v>
      </c>
    </row>
    <row r="146" spans="2:36">
      <c r="B146" s="203">
        <v>2180</v>
      </c>
      <c r="C146" s="207">
        <v>230972</v>
      </c>
      <c r="D146" s="203" t="s">
        <v>97</v>
      </c>
      <c r="E146" s="202" t="s">
        <v>639</v>
      </c>
      <c r="F146" s="203">
        <v>816</v>
      </c>
      <c r="G146" s="202"/>
      <c r="H146" s="202"/>
      <c r="I146" s="202"/>
      <c r="J146" s="202">
        <v>0</v>
      </c>
      <c r="K146" s="202" t="s">
        <v>2601</v>
      </c>
      <c r="L146" s="202"/>
      <c r="M146" s="202" t="s">
        <v>2846</v>
      </c>
      <c r="N146" s="206">
        <v>43875</v>
      </c>
      <c r="O146" s="206">
        <v>43875</v>
      </c>
      <c r="P146" s="202" t="s">
        <v>2919</v>
      </c>
      <c r="Q146" s="203">
        <v>700</v>
      </c>
      <c r="R146" s="203">
        <v>14050</v>
      </c>
      <c r="S146" s="204">
        <v>34293.089999999997</v>
      </c>
      <c r="T146" s="203">
        <v>14056</v>
      </c>
      <c r="U146" s="204">
        <v>9389.77</v>
      </c>
      <c r="V146" s="204">
        <f t="shared" si="13"/>
        <v>24903.319999999996</v>
      </c>
      <c r="W146" s="205">
        <v>4899.01</v>
      </c>
      <c r="X146" s="203">
        <v>54260</v>
      </c>
      <c r="Y146" s="204">
        <v>408.25</v>
      </c>
      <c r="Z146" s="202" t="s">
        <v>97</v>
      </c>
      <c r="AA146" s="202"/>
      <c r="AB146" s="202">
        <v>2519</v>
      </c>
      <c r="AC146" s="202"/>
      <c r="AD146" s="202" t="s">
        <v>1152</v>
      </c>
      <c r="AE146" s="202" t="s">
        <v>1153</v>
      </c>
      <c r="AF146" s="203" t="s">
        <v>1154</v>
      </c>
      <c r="AG146" s="202"/>
      <c r="AH146" s="203" t="s">
        <v>1155</v>
      </c>
      <c r="AI146" s="202">
        <v>0</v>
      </c>
      <c r="AJ146" s="202">
        <v>0</v>
      </c>
    </row>
    <row r="147" spans="2:36">
      <c r="B147" s="203">
        <v>2180</v>
      </c>
      <c r="C147" s="207">
        <v>229401</v>
      </c>
      <c r="D147" s="203" t="s">
        <v>97</v>
      </c>
      <c r="E147" s="202" t="s">
        <v>1269</v>
      </c>
      <c r="F147" s="203"/>
      <c r="G147" s="202"/>
      <c r="H147" s="202"/>
      <c r="I147" s="202"/>
      <c r="J147" s="202">
        <v>0</v>
      </c>
      <c r="K147" s="202" t="s">
        <v>1429</v>
      </c>
      <c r="L147" s="202"/>
      <c r="M147" s="202"/>
      <c r="N147" s="206">
        <v>43871</v>
      </c>
      <c r="O147" s="206">
        <v>43871</v>
      </c>
      <c r="P147" s="202" t="s">
        <v>2918</v>
      </c>
      <c r="Q147" s="203">
        <v>300</v>
      </c>
      <c r="R147" s="203">
        <v>14110</v>
      </c>
      <c r="S147" s="204">
        <v>980.03</v>
      </c>
      <c r="T147" s="203">
        <v>14116</v>
      </c>
      <c r="U147" s="204">
        <v>626.13</v>
      </c>
      <c r="V147" s="204">
        <f t="shared" si="13"/>
        <v>353.9</v>
      </c>
      <c r="W147" s="205">
        <v>326.68</v>
      </c>
      <c r="X147" s="203">
        <v>70260</v>
      </c>
      <c r="Y147" s="204">
        <v>27.22</v>
      </c>
      <c r="Z147" s="202" t="s">
        <v>97</v>
      </c>
      <c r="AA147" s="202"/>
      <c r="AB147" s="202" t="s">
        <v>2917</v>
      </c>
      <c r="AC147" s="202"/>
      <c r="AD147" s="202" t="s">
        <v>1152</v>
      </c>
      <c r="AE147" s="202" t="s">
        <v>1153</v>
      </c>
      <c r="AF147" s="203" t="s">
        <v>1154</v>
      </c>
      <c r="AG147" s="202"/>
      <c r="AH147" s="203" t="s">
        <v>1155</v>
      </c>
      <c r="AI147" s="202">
        <v>0</v>
      </c>
      <c r="AJ147" s="202">
        <v>0</v>
      </c>
    </row>
    <row r="148" spans="2:36">
      <c r="B148" s="203">
        <v>2180</v>
      </c>
      <c r="C148" s="207">
        <v>229179</v>
      </c>
      <c r="D148" s="203" t="s">
        <v>97</v>
      </c>
      <c r="E148" s="202" t="s">
        <v>2916</v>
      </c>
      <c r="F148" s="203"/>
      <c r="G148" s="202"/>
      <c r="H148" s="202"/>
      <c r="I148" s="202"/>
      <c r="J148" s="202">
        <v>0</v>
      </c>
      <c r="K148" s="202" t="s">
        <v>1429</v>
      </c>
      <c r="L148" s="202"/>
      <c r="M148" s="202"/>
      <c r="N148" s="206">
        <v>43878</v>
      </c>
      <c r="O148" s="206">
        <v>43878</v>
      </c>
      <c r="P148" s="202" t="s">
        <v>2914</v>
      </c>
      <c r="Q148" s="203">
        <v>300</v>
      </c>
      <c r="R148" s="203">
        <v>14110</v>
      </c>
      <c r="S148" s="204">
        <v>69.39</v>
      </c>
      <c r="T148" s="203">
        <v>14116</v>
      </c>
      <c r="U148" s="204">
        <v>42.41</v>
      </c>
      <c r="V148" s="204">
        <f t="shared" si="13"/>
        <v>26.980000000000004</v>
      </c>
      <c r="W148" s="205">
        <v>23.13</v>
      </c>
      <c r="X148" s="203">
        <v>70260</v>
      </c>
      <c r="Y148" s="204">
        <v>1.93</v>
      </c>
      <c r="Z148" s="202" t="s">
        <v>97</v>
      </c>
      <c r="AA148" s="202"/>
      <c r="AB148" s="211">
        <v>43878</v>
      </c>
      <c r="AC148" s="202"/>
      <c r="AD148" s="202" t="s">
        <v>1152</v>
      </c>
      <c r="AE148" s="202" t="s">
        <v>1153</v>
      </c>
      <c r="AF148" s="203" t="s">
        <v>1154</v>
      </c>
      <c r="AG148" s="202"/>
      <c r="AH148" s="203" t="s">
        <v>1155</v>
      </c>
      <c r="AI148" s="202">
        <v>0</v>
      </c>
      <c r="AJ148" s="202">
        <v>0</v>
      </c>
    </row>
    <row r="149" spans="2:36">
      <c r="B149" s="203">
        <v>2180</v>
      </c>
      <c r="C149" s="207">
        <v>229178</v>
      </c>
      <c r="D149" s="203" t="s">
        <v>97</v>
      </c>
      <c r="E149" s="202" t="s">
        <v>2915</v>
      </c>
      <c r="F149" s="203"/>
      <c r="G149" s="202"/>
      <c r="H149" s="202"/>
      <c r="I149" s="202"/>
      <c r="J149" s="202">
        <v>0</v>
      </c>
      <c r="K149" s="202" t="s">
        <v>1429</v>
      </c>
      <c r="L149" s="202"/>
      <c r="M149" s="202"/>
      <c r="N149" s="206">
        <v>43878</v>
      </c>
      <c r="O149" s="206">
        <v>43878</v>
      </c>
      <c r="P149" s="202" t="s">
        <v>2914</v>
      </c>
      <c r="Q149" s="203">
        <v>300</v>
      </c>
      <c r="R149" s="203">
        <v>14110</v>
      </c>
      <c r="S149" s="204">
        <v>1579.99</v>
      </c>
      <c r="T149" s="203">
        <v>14116</v>
      </c>
      <c r="U149" s="204">
        <v>965.55</v>
      </c>
      <c r="V149" s="204">
        <f t="shared" si="13"/>
        <v>614.44000000000005</v>
      </c>
      <c r="W149" s="205">
        <v>526.66</v>
      </c>
      <c r="X149" s="203">
        <v>70260</v>
      </c>
      <c r="Y149" s="204">
        <v>43.89</v>
      </c>
      <c r="Z149" s="202" t="s">
        <v>97</v>
      </c>
      <c r="AA149" s="202"/>
      <c r="AB149" s="202" t="s">
        <v>2913</v>
      </c>
      <c r="AC149" s="202"/>
      <c r="AD149" s="202" t="s">
        <v>1152</v>
      </c>
      <c r="AE149" s="202" t="s">
        <v>1153</v>
      </c>
      <c r="AF149" s="203" t="s">
        <v>1154</v>
      </c>
      <c r="AG149" s="202"/>
      <c r="AH149" s="203" t="s">
        <v>1155</v>
      </c>
      <c r="AI149" s="202">
        <v>0</v>
      </c>
      <c r="AJ149" s="202">
        <v>0</v>
      </c>
    </row>
    <row r="150" spans="2:36">
      <c r="B150" s="203">
        <v>2180</v>
      </c>
      <c r="C150" s="207">
        <v>229177</v>
      </c>
      <c r="D150" s="203" t="s">
        <v>97</v>
      </c>
      <c r="E150" s="202" t="s">
        <v>1266</v>
      </c>
      <c r="F150" s="203"/>
      <c r="G150" s="202"/>
      <c r="H150" s="202"/>
      <c r="I150" s="202"/>
      <c r="J150" s="202">
        <v>0</v>
      </c>
      <c r="K150" s="202" t="s">
        <v>1429</v>
      </c>
      <c r="L150" s="202"/>
      <c r="M150" s="202"/>
      <c r="N150" s="206">
        <v>43872</v>
      </c>
      <c r="O150" s="206">
        <v>43872</v>
      </c>
      <c r="P150" s="202" t="s">
        <v>2912</v>
      </c>
      <c r="Q150" s="203">
        <v>300</v>
      </c>
      <c r="R150" s="203">
        <v>14110</v>
      </c>
      <c r="S150" s="204">
        <v>893.55</v>
      </c>
      <c r="T150" s="203">
        <v>14116</v>
      </c>
      <c r="U150" s="204">
        <v>570.85</v>
      </c>
      <c r="V150" s="204">
        <f t="shared" si="13"/>
        <v>322.69999999999993</v>
      </c>
      <c r="W150" s="205">
        <v>297.83</v>
      </c>
      <c r="X150" s="203">
        <v>70260</v>
      </c>
      <c r="Y150" s="204">
        <v>24.82</v>
      </c>
      <c r="Z150" s="202" t="s">
        <v>97</v>
      </c>
      <c r="AA150" s="202"/>
      <c r="AB150" s="202" t="s">
        <v>2911</v>
      </c>
      <c r="AC150" s="202"/>
      <c r="AD150" s="202" t="s">
        <v>1152</v>
      </c>
      <c r="AE150" s="202" t="s">
        <v>1153</v>
      </c>
      <c r="AF150" s="203" t="s">
        <v>1154</v>
      </c>
      <c r="AG150" s="202"/>
      <c r="AH150" s="203" t="s">
        <v>1155</v>
      </c>
      <c r="AI150" s="202">
        <v>0</v>
      </c>
      <c r="AJ150" s="202">
        <v>0</v>
      </c>
    </row>
    <row r="151" spans="2:36">
      <c r="B151" s="203">
        <v>2180</v>
      </c>
      <c r="C151" s="207">
        <v>229086</v>
      </c>
      <c r="D151" s="203">
        <v>228661</v>
      </c>
      <c r="E151" s="202" t="s">
        <v>1265</v>
      </c>
      <c r="F151" s="203"/>
      <c r="G151" s="202"/>
      <c r="H151" s="202"/>
      <c r="I151" s="202"/>
      <c r="J151" s="202">
        <v>0</v>
      </c>
      <c r="K151" s="202" t="s">
        <v>2902</v>
      </c>
      <c r="L151" s="202"/>
      <c r="M151" s="202" t="s">
        <v>1447</v>
      </c>
      <c r="N151" s="206">
        <v>43852</v>
      </c>
      <c r="O151" s="206">
        <v>43852</v>
      </c>
      <c r="P151" s="202" t="s">
        <v>2910</v>
      </c>
      <c r="Q151" s="203">
        <v>1000</v>
      </c>
      <c r="R151" s="203">
        <v>14040</v>
      </c>
      <c r="S151" s="204">
        <v>745.9</v>
      </c>
      <c r="T151" s="203">
        <v>14046</v>
      </c>
      <c r="U151" s="204">
        <v>142.97</v>
      </c>
      <c r="V151" s="204">
        <f t="shared" si="13"/>
        <v>602.92999999999995</v>
      </c>
      <c r="W151" s="205">
        <v>74.59</v>
      </c>
      <c r="X151" s="203">
        <v>51260</v>
      </c>
      <c r="Y151" s="204">
        <v>6.22</v>
      </c>
      <c r="Z151" s="202" t="s">
        <v>97</v>
      </c>
      <c r="AA151" s="202"/>
      <c r="AB151" s="202">
        <v>105183269</v>
      </c>
      <c r="AC151" s="202"/>
      <c r="AD151" s="202" t="s">
        <v>1152</v>
      </c>
      <c r="AE151" s="202" t="s">
        <v>1153</v>
      </c>
      <c r="AF151" s="203" t="s">
        <v>1154</v>
      </c>
      <c r="AG151" s="202"/>
      <c r="AH151" s="203" t="s">
        <v>1155</v>
      </c>
      <c r="AI151" s="202">
        <v>0</v>
      </c>
      <c r="AJ151" s="202">
        <v>0</v>
      </c>
    </row>
    <row r="152" spans="2:36">
      <c r="B152" s="203">
        <v>2180</v>
      </c>
      <c r="C152" s="207">
        <v>228661</v>
      </c>
      <c r="D152" s="203" t="s">
        <v>97</v>
      </c>
      <c r="E152" s="202" t="s">
        <v>1263</v>
      </c>
      <c r="F152" s="203"/>
      <c r="G152" s="202"/>
      <c r="H152" s="202" t="s">
        <v>2909</v>
      </c>
      <c r="I152" s="202"/>
      <c r="J152" s="202">
        <v>2020</v>
      </c>
      <c r="K152" s="202" t="s">
        <v>2290</v>
      </c>
      <c r="L152" s="202" t="s">
        <v>2785</v>
      </c>
      <c r="M152" s="202" t="s">
        <v>1999</v>
      </c>
      <c r="N152" s="206">
        <v>43862</v>
      </c>
      <c r="O152" s="206">
        <v>43862</v>
      </c>
      <c r="P152" s="202" t="s">
        <v>2908</v>
      </c>
      <c r="Q152" s="203">
        <v>1000</v>
      </c>
      <c r="R152" s="203">
        <v>14040</v>
      </c>
      <c r="S152" s="204">
        <v>350190.23</v>
      </c>
      <c r="T152" s="203">
        <v>14046</v>
      </c>
      <c r="U152" s="204">
        <v>67119.789999999994</v>
      </c>
      <c r="V152" s="204">
        <f t="shared" si="13"/>
        <v>283070.44</v>
      </c>
      <c r="W152" s="205">
        <v>35019.019999999997</v>
      </c>
      <c r="X152" s="203">
        <v>51260</v>
      </c>
      <c r="Y152" s="204">
        <v>2918.25</v>
      </c>
      <c r="Z152" s="202" t="s">
        <v>97</v>
      </c>
      <c r="AA152" s="202"/>
      <c r="AB152" s="202"/>
      <c r="AC152" s="202">
        <v>2060</v>
      </c>
      <c r="AD152" s="202" t="s">
        <v>1152</v>
      </c>
      <c r="AE152" s="202" t="s">
        <v>1153</v>
      </c>
      <c r="AF152" s="203" t="s">
        <v>1154</v>
      </c>
      <c r="AG152" s="202"/>
      <c r="AH152" s="203" t="s">
        <v>1155</v>
      </c>
      <c r="AI152" s="202">
        <v>0</v>
      </c>
      <c r="AJ152" s="202">
        <v>0</v>
      </c>
    </row>
    <row r="153" spans="2:36">
      <c r="B153" s="203">
        <v>2180</v>
      </c>
      <c r="C153" s="207">
        <v>228615</v>
      </c>
      <c r="D153" s="203" t="s">
        <v>97</v>
      </c>
      <c r="E153" s="202" t="s">
        <v>2907</v>
      </c>
      <c r="F153" s="203">
        <v>676</v>
      </c>
      <c r="G153" s="202"/>
      <c r="H153" s="202"/>
      <c r="I153" s="202"/>
      <c r="J153" s="202">
        <v>0</v>
      </c>
      <c r="K153" s="202" t="s">
        <v>2601</v>
      </c>
      <c r="L153" s="202"/>
      <c r="M153" s="202" t="s">
        <v>2846</v>
      </c>
      <c r="N153" s="206">
        <v>43872</v>
      </c>
      <c r="O153" s="206">
        <v>43872</v>
      </c>
      <c r="P153" s="202" t="s">
        <v>2906</v>
      </c>
      <c r="Q153" s="203">
        <v>700</v>
      </c>
      <c r="R153" s="203">
        <v>14050</v>
      </c>
      <c r="S153" s="204">
        <v>31941.26</v>
      </c>
      <c r="T153" s="203">
        <v>14056</v>
      </c>
      <c r="U153" s="204">
        <v>8745.82</v>
      </c>
      <c r="V153" s="204">
        <f t="shared" si="13"/>
        <v>23195.439999999999</v>
      </c>
      <c r="W153" s="205">
        <v>4563.04</v>
      </c>
      <c r="X153" s="203">
        <v>54260</v>
      </c>
      <c r="Y153" s="204">
        <v>380.25</v>
      </c>
      <c r="Z153" s="202" t="s">
        <v>97</v>
      </c>
      <c r="AA153" s="202"/>
      <c r="AB153" s="202">
        <v>2502</v>
      </c>
      <c r="AC153" s="202"/>
      <c r="AD153" s="202" t="s">
        <v>1152</v>
      </c>
      <c r="AE153" s="202" t="s">
        <v>1153</v>
      </c>
      <c r="AF153" s="203" t="s">
        <v>1154</v>
      </c>
      <c r="AG153" s="202"/>
      <c r="AH153" s="203" t="s">
        <v>1155</v>
      </c>
      <c r="AI153" s="202">
        <v>0</v>
      </c>
      <c r="AJ153" s="202">
        <v>0</v>
      </c>
    </row>
    <row r="154" spans="2:36">
      <c r="B154" s="203">
        <v>2180</v>
      </c>
      <c r="C154" s="207">
        <v>228614</v>
      </c>
      <c r="D154" s="203" t="s">
        <v>97</v>
      </c>
      <c r="E154" s="202" t="s">
        <v>1262</v>
      </c>
      <c r="F154" s="203">
        <v>676</v>
      </c>
      <c r="G154" s="202"/>
      <c r="H154" s="202"/>
      <c r="I154" s="202"/>
      <c r="J154" s="202">
        <v>0</v>
      </c>
      <c r="K154" s="202" t="s">
        <v>2601</v>
      </c>
      <c r="L154" s="202"/>
      <c r="M154" s="202" t="s">
        <v>2846</v>
      </c>
      <c r="N154" s="206">
        <v>43872</v>
      </c>
      <c r="O154" s="206">
        <v>43872</v>
      </c>
      <c r="P154" s="202" t="s">
        <v>2905</v>
      </c>
      <c r="Q154" s="203">
        <v>700</v>
      </c>
      <c r="R154" s="203">
        <v>14050</v>
      </c>
      <c r="S154" s="204">
        <v>31941.26</v>
      </c>
      <c r="T154" s="203">
        <v>14056</v>
      </c>
      <c r="U154" s="204">
        <v>8745.82</v>
      </c>
      <c r="V154" s="204">
        <f t="shared" si="13"/>
        <v>23195.439999999999</v>
      </c>
      <c r="W154" s="205">
        <v>4563.04</v>
      </c>
      <c r="X154" s="203">
        <v>54260</v>
      </c>
      <c r="Y154" s="204">
        <v>380.25</v>
      </c>
      <c r="Z154" s="202" t="s">
        <v>97</v>
      </c>
      <c r="AA154" s="202"/>
      <c r="AB154" s="202">
        <v>2502</v>
      </c>
      <c r="AC154" s="202"/>
      <c r="AD154" s="202" t="s">
        <v>1152</v>
      </c>
      <c r="AE154" s="202" t="s">
        <v>1153</v>
      </c>
      <c r="AF154" s="203" t="s">
        <v>1154</v>
      </c>
      <c r="AG154" s="202"/>
      <c r="AH154" s="203" t="s">
        <v>1155</v>
      </c>
      <c r="AI154" s="202">
        <v>0</v>
      </c>
      <c r="AJ154" s="202">
        <v>0</v>
      </c>
    </row>
    <row r="155" spans="2:36">
      <c r="B155" s="203">
        <v>2180</v>
      </c>
      <c r="C155" s="207">
        <v>228613</v>
      </c>
      <c r="D155" s="203" t="s">
        <v>97</v>
      </c>
      <c r="E155" s="202" t="s">
        <v>638</v>
      </c>
      <c r="F155" s="203">
        <v>676</v>
      </c>
      <c r="G155" s="202"/>
      <c r="H155" s="202"/>
      <c r="I155" s="202"/>
      <c r="J155" s="202">
        <v>0</v>
      </c>
      <c r="K155" s="202" t="s">
        <v>2601</v>
      </c>
      <c r="L155" s="202"/>
      <c r="M155" s="202" t="s">
        <v>2846</v>
      </c>
      <c r="N155" s="206">
        <v>43872</v>
      </c>
      <c r="O155" s="206">
        <v>43872</v>
      </c>
      <c r="P155" s="202" t="s">
        <v>2904</v>
      </c>
      <c r="Q155" s="203">
        <v>700</v>
      </c>
      <c r="R155" s="203">
        <v>14050</v>
      </c>
      <c r="S155" s="204">
        <v>31941.27</v>
      </c>
      <c r="T155" s="203">
        <v>14056</v>
      </c>
      <c r="U155" s="204">
        <v>8745.83</v>
      </c>
      <c r="V155" s="204">
        <f t="shared" si="13"/>
        <v>23195.440000000002</v>
      </c>
      <c r="W155" s="205">
        <v>4563.04</v>
      </c>
      <c r="X155" s="203">
        <v>54260</v>
      </c>
      <c r="Y155" s="204">
        <v>380.25</v>
      </c>
      <c r="Z155" s="202" t="s">
        <v>97</v>
      </c>
      <c r="AA155" s="202"/>
      <c r="AB155" s="202">
        <v>2502</v>
      </c>
      <c r="AC155" s="202"/>
      <c r="AD155" s="202" t="s">
        <v>1152</v>
      </c>
      <c r="AE155" s="202" t="s">
        <v>1153</v>
      </c>
      <c r="AF155" s="203" t="s">
        <v>1154</v>
      </c>
      <c r="AG155" s="202"/>
      <c r="AH155" s="203" t="s">
        <v>1155</v>
      </c>
      <c r="AI155" s="202">
        <v>0</v>
      </c>
      <c r="AJ155" s="202">
        <v>0</v>
      </c>
    </row>
    <row r="156" spans="2:36">
      <c r="B156" s="203">
        <v>2180</v>
      </c>
      <c r="C156" s="207">
        <v>228259</v>
      </c>
      <c r="D156" s="203">
        <v>225681</v>
      </c>
      <c r="E156" s="202" t="s">
        <v>1261</v>
      </c>
      <c r="F156" s="203"/>
      <c r="G156" s="202"/>
      <c r="H156" s="202"/>
      <c r="I156" s="202"/>
      <c r="J156" s="202">
        <v>0</v>
      </c>
      <c r="K156" s="202"/>
      <c r="L156" s="202"/>
      <c r="M156" s="202" t="s">
        <v>1447</v>
      </c>
      <c r="N156" s="206">
        <v>43831</v>
      </c>
      <c r="O156" s="206">
        <v>43831</v>
      </c>
      <c r="P156" s="202" t="s">
        <v>2899</v>
      </c>
      <c r="Q156" s="203">
        <v>1000</v>
      </c>
      <c r="R156" s="203">
        <v>14040</v>
      </c>
      <c r="S156" s="204">
        <v>818.34</v>
      </c>
      <c r="T156" s="203">
        <v>14046</v>
      </c>
      <c r="U156" s="204">
        <v>163.66</v>
      </c>
      <c r="V156" s="204">
        <f t="shared" si="13"/>
        <v>654.68000000000006</v>
      </c>
      <c r="W156" s="205">
        <v>81.83</v>
      </c>
      <c r="X156" s="203">
        <v>51260</v>
      </c>
      <c r="Y156" s="204">
        <v>6.82</v>
      </c>
      <c r="Z156" s="202" t="s">
        <v>97</v>
      </c>
      <c r="AA156" s="202"/>
      <c r="AB156" s="202" t="s">
        <v>2903</v>
      </c>
      <c r="AC156" s="202"/>
      <c r="AD156" s="202" t="s">
        <v>1152</v>
      </c>
      <c r="AE156" s="202" t="s">
        <v>1153</v>
      </c>
      <c r="AF156" s="203" t="s">
        <v>1154</v>
      </c>
      <c r="AG156" s="202"/>
      <c r="AH156" s="203" t="s">
        <v>1155</v>
      </c>
      <c r="AI156" s="202">
        <v>0</v>
      </c>
      <c r="AJ156" s="202">
        <v>0</v>
      </c>
    </row>
    <row r="157" spans="2:36">
      <c r="B157" s="203">
        <v>2180</v>
      </c>
      <c r="C157" s="207">
        <v>228258</v>
      </c>
      <c r="D157" s="203">
        <v>225678</v>
      </c>
      <c r="E157" s="202" t="s">
        <v>1259</v>
      </c>
      <c r="F157" s="203"/>
      <c r="G157" s="202"/>
      <c r="H157" s="202"/>
      <c r="I157" s="202"/>
      <c r="J157" s="202">
        <v>0</v>
      </c>
      <c r="K157" s="202" t="s">
        <v>2901</v>
      </c>
      <c r="L157" s="202"/>
      <c r="M157" s="202" t="s">
        <v>1447</v>
      </c>
      <c r="N157" s="206">
        <v>43831</v>
      </c>
      <c r="O157" s="206">
        <v>43831</v>
      </c>
      <c r="P157" s="202" t="s">
        <v>2896</v>
      </c>
      <c r="Q157" s="203">
        <v>1000</v>
      </c>
      <c r="R157" s="203">
        <v>14040</v>
      </c>
      <c r="S157" s="204">
        <v>-995.67</v>
      </c>
      <c r="T157" s="203">
        <v>14046</v>
      </c>
      <c r="U157" s="204">
        <v>-199.14</v>
      </c>
      <c r="V157" s="204">
        <f t="shared" si="13"/>
        <v>-796.53</v>
      </c>
      <c r="W157" s="205">
        <v>-99.57</v>
      </c>
      <c r="X157" s="203">
        <v>51260</v>
      </c>
      <c r="Y157" s="204">
        <v>-8.3000000000000007</v>
      </c>
      <c r="Z157" s="202" t="s">
        <v>97</v>
      </c>
      <c r="AA157" s="202"/>
      <c r="AB157" s="202" t="s">
        <v>2900</v>
      </c>
      <c r="AC157" s="202"/>
      <c r="AD157" s="202" t="s">
        <v>1152</v>
      </c>
      <c r="AE157" s="202" t="s">
        <v>1153</v>
      </c>
      <c r="AF157" s="203" t="s">
        <v>1154</v>
      </c>
      <c r="AG157" s="202"/>
      <c r="AH157" s="203" t="s">
        <v>1155</v>
      </c>
      <c r="AI157" s="202">
        <v>0</v>
      </c>
      <c r="AJ157" s="202">
        <v>0</v>
      </c>
    </row>
    <row r="158" spans="2:36">
      <c r="B158" s="203">
        <v>2180</v>
      </c>
      <c r="C158" s="207">
        <v>228257</v>
      </c>
      <c r="D158" s="203">
        <v>225678</v>
      </c>
      <c r="E158" s="202" t="s">
        <v>1260</v>
      </c>
      <c r="F158" s="203"/>
      <c r="G158" s="202"/>
      <c r="H158" s="202"/>
      <c r="I158" s="202"/>
      <c r="J158" s="202">
        <v>0</v>
      </c>
      <c r="K158" s="202" t="s">
        <v>2902</v>
      </c>
      <c r="L158" s="202"/>
      <c r="M158" s="202" t="s">
        <v>1447</v>
      </c>
      <c r="N158" s="206">
        <v>43831</v>
      </c>
      <c r="O158" s="206">
        <v>43831</v>
      </c>
      <c r="P158" s="202" t="s">
        <v>2896</v>
      </c>
      <c r="Q158" s="203">
        <v>1000</v>
      </c>
      <c r="R158" s="203">
        <v>14040</v>
      </c>
      <c r="S158" s="204">
        <v>926.15</v>
      </c>
      <c r="T158" s="203">
        <v>14046</v>
      </c>
      <c r="U158" s="204">
        <v>185.24</v>
      </c>
      <c r="V158" s="204">
        <f t="shared" si="13"/>
        <v>740.91</v>
      </c>
      <c r="W158" s="205">
        <v>92.62</v>
      </c>
      <c r="X158" s="203">
        <v>51260</v>
      </c>
      <c r="Y158" s="204">
        <v>7.72</v>
      </c>
      <c r="Z158" s="202" t="s">
        <v>97</v>
      </c>
      <c r="AA158" s="202"/>
      <c r="AB158" s="202">
        <v>103000522</v>
      </c>
      <c r="AC158" s="202"/>
      <c r="AD158" s="202" t="s">
        <v>1152</v>
      </c>
      <c r="AE158" s="202" t="s">
        <v>1153</v>
      </c>
      <c r="AF158" s="203" t="s">
        <v>1154</v>
      </c>
      <c r="AG158" s="202"/>
      <c r="AH158" s="203" t="s">
        <v>1155</v>
      </c>
      <c r="AI158" s="202">
        <v>0</v>
      </c>
      <c r="AJ158" s="202">
        <v>0</v>
      </c>
    </row>
    <row r="159" spans="2:36">
      <c r="B159" s="203">
        <v>2180</v>
      </c>
      <c r="C159" s="207">
        <v>228256</v>
      </c>
      <c r="D159" s="203">
        <v>223827</v>
      </c>
      <c r="E159" s="202" t="s">
        <v>1259</v>
      </c>
      <c r="F159" s="203"/>
      <c r="G159" s="202"/>
      <c r="H159" s="202"/>
      <c r="I159" s="202"/>
      <c r="J159" s="202">
        <v>0</v>
      </c>
      <c r="K159" s="202" t="s">
        <v>2901</v>
      </c>
      <c r="L159" s="202"/>
      <c r="M159" s="202" t="s">
        <v>1447</v>
      </c>
      <c r="N159" s="206">
        <v>43831</v>
      </c>
      <c r="O159" s="206">
        <v>43831</v>
      </c>
      <c r="P159" s="202" t="s">
        <v>2895</v>
      </c>
      <c r="Q159" s="203">
        <v>1000</v>
      </c>
      <c r="R159" s="203">
        <v>14040</v>
      </c>
      <c r="S159" s="204">
        <v>995.67</v>
      </c>
      <c r="T159" s="203">
        <v>14046</v>
      </c>
      <c r="U159" s="204">
        <v>199.14</v>
      </c>
      <c r="V159" s="204">
        <f t="shared" si="13"/>
        <v>796.53</v>
      </c>
      <c r="W159" s="205">
        <v>99.57</v>
      </c>
      <c r="X159" s="203">
        <v>51260</v>
      </c>
      <c r="Y159" s="204">
        <v>8.3000000000000007</v>
      </c>
      <c r="Z159" s="202" t="s">
        <v>97</v>
      </c>
      <c r="AA159" s="202"/>
      <c r="AB159" s="202" t="s">
        <v>2900</v>
      </c>
      <c r="AC159" s="202"/>
      <c r="AD159" s="202" t="s">
        <v>1152</v>
      </c>
      <c r="AE159" s="202" t="s">
        <v>1153</v>
      </c>
      <c r="AF159" s="203" t="s">
        <v>1154</v>
      </c>
      <c r="AG159" s="202"/>
      <c r="AH159" s="203" t="s">
        <v>1155</v>
      </c>
      <c r="AI159" s="202">
        <v>0</v>
      </c>
      <c r="AJ159" s="202">
        <v>0</v>
      </c>
    </row>
    <row r="160" spans="2:36">
      <c r="B160" s="203">
        <v>2180</v>
      </c>
      <c r="C160" s="207">
        <v>227348</v>
      </c>
      <c r="D160" s="203">
        <v>225681</v>
      </c>
      <c r="E160" s="202" t="s">
        <v>1257</v>
      </c>
      <c r="F160" s="203"/>
      <c r="G160" s="202"/>
      <c r="H160" s="202"/>
      <c r="I160" s="202"/>
      <c r="J160" s="202">
        <v>0</v>
      </c>
      <c r="K160" s="202" t="s">
        <v>2744</v>
      </c>
      <c r="L160" s="202"/>
      <c r="M160" s="202" t="s">
        <v>1447</v>
      </c>
      <c r="N160" s="206">
        <v>43831</v>
      </c>
      <c r="O160" s="206">
        <v>43831</v>
      </c>
      <c r="P160" s="202" t="s">
        <v>2899</v>
      </c>
      <c r="Q160" s="203">
        <v>1000</v>
      </c>
      <c r="R160" s="203">
        <v>14040</v>
      </c>
      <c r="S160" s="204">
        <v>388.48</v>
      </c>
      <c r="T160" s="203">
        <v>14046</v>
      </c>
      <c r="U160" s="204">
        <v>77.7</v>
      </c>
      <c r="V160" s="204">
        <f t="shared" si="13"/>
        <v>310.78000000000003</v>
      </c>
      <c r="W160" s="205">
        <v>38.85</v>
      </c>
      <c r="X160" s="203">
        <v>51260</v>
      </c>
      <c r="Y160" s="204">
        <v>3.24</v>
      </c>
      <c r="Z160" s="202" t="s">
        <v>97</v>
      </c>
      <c r="AA160" s="202"/>
      <c r="AB160" s="202">
        <v>721</v>
      </c>
      <c r="AC160" s="202"/>
      <c r="AD160" s="202" t="s">
        <v>1152</v>
      </c>
      <c r="AE160" s="202" t="s">
        <v>1153</v>
      </c>
      <c r="AF160" s="203" t="s">
        <v>1154</v>
      </c>
      <c r="AG160" s="202"/>
      <c r="AH160" s="203" t="s">
        <v>1155</v>
      </c>
      <c r="AI160" s="202">
        <v>0</v>
      </c>
      <c r="AJ160" s="202">
        <v>0</v>
      </c>
    </row>
    <row r="161" spans="2:36">
      <c r="B161" s="203">
        <v>2180</v>
      </c>
      <c r="C161" s="207">
        <v>227347</v>
      </c>
      <c r="D161" s="203">
        <v>223828</v>
      </c>
      <c r="E161" s="202" t="s">
        <v>1349</v>
      </c>
      <c r="F161" s="203"/>
      <c r="G161" s="202"/>
      <c r="H161" s="202"/>
      <c r="I161" s="202"/>
      <c r="J161" s="202">
        <v>0</v>
      </c>
      <c r="K161" s="202" t="s">
        <v>2744</v>
      </c>
      <c r="L161" s="202"/>
      <c r="M161" s="202" t="s">
        <v>1447</v>
      </c>
      <c r="N161" s="206">
        <v>43831</v>
      </c>
      <c r="O161" s="206">
        <v>43831</v>
      </c>
      <c r="P161" s="202" t="s">
        <v>2898</v>
      </c>
      <c r="Q161" s="203">
        <v>1000</v>
      </c>
      <c r="R161" s="203">
        <v>14040</v>
      </c>
      <c r="S161" s="204">
        <v>174.88</v>
      </c>
      <c r="T161" s="203">
        <v>14046</v>
      </c>
      <c r="U161" s="204">
        <v>34.979999999999997</v>
      </c>
      <c r="V161" s="204">
        <f t="shared" si="13"/>
        <v>139.9</v>
      </c>
      <c r="W161" s="205">
        <v>17.489999999999998</v>
      </c>
      <c r="X161" s="203">
        <v>51260</v>
      </c>
      <c r="Y161" s="204">
        <v>1.46</v>
      </c>
      <c r="Z161" s="202" t="s">
        <v>97</v>
      </c>
      <c r="AA161" s="202"/>
      <c r="AB161" s="202">
        <v>719</v>
      </c>
      <c r="AC161" s="202"/>
      <c r="AD161" s="202" t="s">
        <v>1152</v>
      </c>
      <c r="AE161" s="202" t="s">
        <v>1153</v>
      </c>
      <c r="AF161" s="203" t="s">
        <v>1154</v>
      </c>
      <c r="AG161" s="202"/>
      <c r="AH161" s="203" t="s">
        <v>1155</v>
      </c>
      <c r="AI161" s="202">
        <v>0</v>
      </c>
      <c r="AJ161" s="202">
        <v>0</v>
      </c>
    </row>
    <row r="162" spans="2:36">
      <c r="B162" s="203">
        <v>2180</v>
      </c>
      <c r="C162" s="207">
        <v>227346</v>
      </c>
      <c r="D162" s="203">
        <v>225679</v>
      </c>
      <c r="E162" s="202" t="s">
        <v>1257</v>
      </c>
      <c r="F162" s="203"/>
      <c r="G162" s="202"/>
      <c r="H162" s="202"/>
      <c r="I162" s="202"/>
      <c r="J162" s="202">
        <v>0</v>
      </c>
      <c r="K162" s="202" t="s">
        <v>2744</v>
      </c>
      <c r="L162" s="202"/>
      <c r="M162" s="202" t="s">
        <v>1447</v>
      </c>
      <c r="N162" s="206">
        <v>43831</v>
      </c>
      <c r="O162" s="206">
        <v>43831</v>
      </c>
      <c r="P162" s="202" t="s">
        <v>2897</v>
      </c>
      <c r="Q162" s="203">
        <v>1000</v>
      </c>
      <c r="R162" s="203">
        <v>14040</v>
      </c>
      <c r="S162" s="204">
        <v>388.48</v>
      </c>
      <c r="T162" s="203">
        <v>14046</v>
      </c>
      <c r="U162" s="204">
        <v>77.7</v>
      </c>
      <c r="V162" s="204">
        <f t="shared" si="13"/>
        <v>310.78000000000003</v>
      </c>
      <c r="W162" s="205">
        <v>38.85</v>
      </c>
      <c r="X162" s="203">
        <v>51260</v>
      </c>
      <c r="Y162" s="204">
        <v>3.24</v>
      </c>
      <c r="Z162" s="202" t="s">
        <v>97</v>
      </c>
      <c r="AA162" s="202"/>
      <c r="AB162" s="202">
        <v>720</v>
      </c>
      <c r="AC162" s="202"/>
      <c r="AD162" s="202" t="s">
        <v>1152</v>
      </c>
      <c r="AE162" s="202" t="s">
        <v>1153</v>
      </c>
      <c r="AF162" s="203" t="s">
        <v>1154</v>
      </c>
      <c r="AG162" s="202"/>
      <c r="AH162" s="203" t="s">
        <v>1155</v>
      </c>
      <c r="AI162" s="202">
        <v>0</v>
      </c>
      <c r="AJ162" s="202">
        <v>0</v>
      </c>
    </row>
    <row r="163" spans="2:36">
      <c r="B163" s="203">
        <v>2180</v>
      </c>
      <c r="C163" s="207">
        <v>227345</v>
      </c>
      <c r="D163" s="203">
        <v>225678</v>
      </c>
      <c r="E163" s="202" t="s">
        <v>1256</v>
      </c>
      <c r="F163" s="203"/>
      <c r="G163" s="202"/>
      <c r="H163" s="202"/>
      <c r="I163" s="202"/>
      <c r="J163" s="202">
        <v>0</v>
      </c>
      <c r="K163" s="202" t="s">
        <v>2744</v>
      </c>
      <c r="L163" s="202"/>
      <c r="M163" s="202" t="s">
        <v>1447</v>
      </c>
      <c r="N163" s="206">
        <v>43831</v>
      </c>
      <c r="O163" s="206">
        <v>43831</v>
      </c>
      <c r="P163" s="202" t="s">
        <v>2896</v>
      </c>
      <c r="Q163" s="203">
        <v>1000</v>
      </c>
      <c r="R163" s="203">
        <v>14040</v>
      </c>
      <c r="S163" s="204">
        <v>535.35</v>
      </c>
      <c r="T163" s="203">
        <v>14046</v>
      </c>
      <c r="U163" s="204">
        <v>107.08</v>
      </c>
      <c r="V163" s="204">
        <f t="shared" si="13"/>
        <v>428.27000000000004</v>
      </c>
      <c r="W163" s="205">
        <v>53.54</v>
      </c>
      <c r="X163" s="203">
        <v>51260</v>
      </c>
      <c r="Y163" s="204">
        <v>4.46</v>
      </c>
      <c r="Z163" s="202" t="s">
        <v>97</v>
      </c>
      <c r="AA163" s="202"/>
      <c r="AB163" s="202">
        <v>722</v>
      </c>
      <c r="AC163" s="202"/>
      <c r="AD163" s="202" t="s">
        <v>1152</v>
      </c>
      <c r="AE163" s="202" t="s">
        <v>1153</v>
      </c>
      <c r="AF163" s="203" t="s">
        <v>1154</v>
      </c>
      <c r="AG163" s="202"/>
      <c r="AH163" s="203" t="s">
        <v>1155</v>
      </c>
      <c r="AI163" s="202">
        <v>0</v>
      </c>
      <c r="AJ163" s="202">
        <v>0</v>
      </c>
    </row>
    <row r="164" spans="2:36">
      <c r="B164" s="203">
        <v>2180</v>
      </c>
      <c r="C164" s="207">
        <v>227344</v>
      </c>
      <c r="D164" s="203">
        <v>223827</v>
      </c>
      <c r="E164" s="202" t="s">
        <v>1256</v>
      </c>
      <c r="F164" s="203"/>
      <c r="G164" s="202"/>
      <c r="H164" s="202"/>
      <c r="I164" s="202"/>
      <c r="J164" s="202">
        <v>0</v>
      </c>
      <c r="K164" s="202" t="s">
        <v>2744</v>
      </c>
      <c r="L164" s="202"/>
      <c r="M164" s="202" t="s">
        <v>1447</v>
      </c>
      <c r="N164" s="206">
        <v>43831</v>
      </c>
      <c r="O164" s="206">
        <v>43831</v>
      </c>
      <c r="P164" s="202" t="s">
        <v>2895</v>
      </c>
      <c r="Q164" s="203">
        <v>1000</v>
      </c>
      <c r="R164" s="203">
        <v>14040</v>
      </c>
      <c r="S164" s="204">
        <v>535.35</v>
      </c>
      <c r="T164" s="203">
        <v>14046</v>
      </c>
      <c r="U164" s="204">
        <v>107.08</v>
      </c>
      <c r="V164" s="204">
        <f t="shared" si="13"/>
        <v>428.27000000000004</v>
      </c>
      <c r="W164" s="205">
        <v>53.54</v>
      </c>
      <c r="X164" s="203">
        <v>51260</v>
      </c>
      <c r="Y164" s="204">
        <v>4.46</v>
      </c>
      <c r="Z164" s="202" t="s">
        <v>97</v>
      </c>
      <c r="AA164" s="202"/>
      <c r="AB164" s="202">
        <v>723</v>
      </c>
      <c r="AC164" s="202"/>
      <c r="AD164" s="202" t="s">
        <v>1152</v>
      </c>
      <c r="AE164" s="202" t="s">
        <v>1153</v>
      </c>
      <c r="AF164" s="203" t="s">
        <v>1154</v>
      </c>
      <c r="AG164" s="202"/>
      <c r="AH164" s="203" t="s">
        <v>1155</v>
      </c>
      <c r="AI164" s="202">
        <v>0</v>
      </c>
      <c r="AJ164" s="202">
        <v>0</v>
      </c>
    </row>
    <row r="165" spans="2:36">
      <c r="B165" s="203">
        <v>2180</v>
      </c>
      <c r="C165" s="207">
        <v>225820</v>
      </c>
      <c r="D165" s="203" t="s">
        <v>97</v>
      </c>
      <c r="E165" s="202" t="s">
        <v>639</v>
      </c>
      <c r="F165" s="203">
        <v>936</v>
      </c>
      <c r="G165" s="202"/>
      <c r="H165" s="202"/>
      <c r="I165" s="202"/>
      <c r="J165" s="202">
        <v>0</v>
      </c>
      <c r="K165" s="202" t="s">
        <v>2445</v>
      </c>
      <c r="L165" s="202"/>
      <c r="M165" s="202" t="s">
        <v>2846</v>
      </c>
      <c r="N165" s="206">
        <v>43739</v>
      </c>
      <c r="O165" s="206">
        <v>43739</v>
      </c>
      <c r="P165" s="202" t="s">
        <v>2894</v>
      </c>
      <c r="Q165" s="203">
        <v>700</v>
      </c>
      <c r="R165" s="203">
        <v>14050</v>
      </c>
      <c r="S165" s="204">
        <v>37525.4</v>
      </c>
      <c r="T165" s="203">
        <v>14056</v>
      </c>
      <c r="U165" s="204">
        <v>12061.71</v>
      </c>
      <c r="V165" s="204">
        <f t="shared" si="13"/>
        <v>25463.690000000002</v>
      </c>
      <c r="W165" s="205">
        <v>5360.76</v>
      </c>
      <c r="X165" s="203">
        <v>54260</v>
      </c>
      <c r="Y165" s="204">
        <v>446.73</v>
      </c>
      <c r="Z165" s="202" t="s">
        <v>97</v>
      </c>
      <c r="AA165" s="202"/>
      <c r="AB165" s="202">
        <v>50051524</v>
      </c>
      <c r="AC165" s="202"/>
      <c r="AD165" s="202" t="s">
        <v>1152</v>
      </c>
      <c r="AE165" s="202" t="s">
        <v>1153</v>
      </c>
      <c r="AF165" s="203" t="s">
        <v>1154</v>
      </c>
      <c r="AG165" s="202"/>
      <c r="AH165" s="203" t="s">
        <v>1155</v>
      </c>
      <c r="AI165" s="202">
        <v>0</v>
      </c>
      <c r="AJ165" s="202">
        <v>0</v>
      </c>
    </row>
    <row r="166" spans="2:36">
      <c r="B166" s="203">
        <v>2180</v>
      </c>
      <c r="C166" s="207">
        <v>225681</v>
      </c>
      <c r="D166" s="203" t="s">
        <v>97</v>
      </c>
      <c r="E166" s="202" t="s">
        <v>1297</v>
      </c>
      <c r="F166" s="203"/>
      <c r="G166" s="202"/>
      <c r="H166" s="202" t="s">
        <v>2893</v>
      </c>
      <c r="I166" s="202"/>
      <c r="J166" s="202">
        <v>2020</v>
      </c>
      <c r="K166" s="202" t="s">
        <v>2290</v>
      </c>
      <c r="L166" s="202" t="s">
        <v>2635</v>
      </c>
      <c r="M166" s="202" t="s">
        <v>1394</v>
      </c>
      <c r="N166" s="206">
        <v>43818</v>
      </c>
      <c r="O166" s="206">
        <v>43818</v>
      </c>
      <c r="P166" s="202" t="s">
        <v>2892</v>
      </c>
      <c r="Q166" s="203">
        <v>1000</v>
      </c>
      <c r="R166" s="203">
        <v>14040</v>
      </c>
      <c r="S166" s="204">
        <v>306072.98</v>
      </c>
      <c r="T166" s="203">
        <v>14046</v>
      </c>
      <c r="U166" s="204">
        <v>61214.6</v>
      </c>
      <c r="V166" s="204">
        <f t="shared" si="13"/>
        <v>244858.37999999998</v>
      </c>
      <c r="W166" s="205">
        <v>30607.3</v>
      </c>
      <c r="X166" s="203">
        <v>51260</v>
      </c>
      <c r="Y166" s="204">
        <v>2550.61</v>
      </c>
      <c r="Z166" s="202" t="s">
        <v>97</v>
      </c>
      <c r="AA166" s="202"/>
      <c r="AB166" s="202"/>
      <c r="AC166" s="202">
        <v>1086</v>
      </c>
      <c r="AD166" s="202" t="s">
        <v>1152</v>
      </c>
      <c r="AE166" s="202" t="s">
        <v>1153</v>
      </c>
      <c r="AF166" s="203" t="s">
        <v>1154</v>
      </c>
      <c r="AG166" s="202"/>
      <c r="AH166" s="203" t="s">
        <v>1155</v>
      </c>
      <c r="AI166" s="202">
        <v>0</v>
      </c>
      <c r="AJ166" s="202">
        <v>0</v>
      </c>
    </row>
    <row r="167" spans="2:36">
      <c r="B167" s="203">
        <v>2180</v>
      </c>
      <c r="C167" s="207">
        <v>225680</v>
      </c>
      <c r="D167" s="203" t="s">
        <v>97</v>
      </c>
      <c r="E167" s="202" t="s">
        <v>2891</v>
      </c>
      <c r="F167" s="203"/>
      <c r="G167" s="202"/>
      <c r="H167" s="202" t="s">
        <v>2890</v>
      </c>
      <c r="I167" s="202"/>
      <c r="J167" s="202">
        <v>2020</v>
      </c>
      <c r="K167" s="202" t="s">
        <v>2290</v>
      </c>
      <c r="L167" s="202" t="s">
        <v>2476</v>
      </c>
      <c r="M167" s="202" t="s">
        <v>1824</v>
      </c>
      <c r="N167" s="206">
        <v>43794</v>
      </c>
      <c r="O167" s="206">
        <v>43794</v>
      </c>
      <c r="P167" s="202" t="s">
        <v>2889</v>
      </c>
      <c r="Q167" s="203">
        <v>1000</v>
      </c>
      <c r="R167" s="203">
        <v>14040</v>
      </c>
      <c r="S167" s="204">
        <v>270731.48</v>
      </c>
      <c r="T167" s="203">
        <v>14046</v>
      </c>
      <c r="U167" s="204">
        <v>56402.400000000001</v>
      </c>
      <c r="V167" s="204">
        <f t="shared" si="13"/>
        <v>214329.08</v>
      </c>
      <c r="W167" s="205">
        <v>27073.15</v>
      </c>
      <c r="X167" s="203">
        <v>51260</v>
      </c>
      <c r="Y167" s="204">
        <v>2256.1</v>
      </c>
      <c r="Z167" s="202" t="s">
        <v>97</v>
      </c>
      <c r="AA167" s="202"/>
      <c r="AB167" s="202"/>
      <c r="AC167" s="202">
        <v>4088</v>
      </c>
      <c r="AD167" s="202" t="s">
        <v>1152</v>
      </c>
      <c r="AE167" s="202" t="s">
        <v>1153</v>
      </c>
      <c r="AF167" s="203" t="s">
        <v>1154</v>
      </c>
      <c r="AG167" s="202"/>
      <c r="AH167" s="203" t="s">
        <v>1155</v>
      </c>
      <c r="AI167" s="202">
        <v>0</v>
      </c>
      <c r="AJ167" s="202">
        <v>0</v>
      </c>
    </row>
    <row r="168" spans="2:36">
      <c r="B168" s="203">
        <v>2180</v>
      </c>
      <c r="C168" s="207">
        <v>225679</v>
      </c>
      <c r="D168" s="203" t="s">
        <v>97</v>
      </c>
      <c r="E168" s="202" t="s">
        <v>1297</v>
      </c>
      <c r="F168" s="203"/>
      <c r="G168" s="202"/>
      <c r="H168" s="202" t="s">
        <v>2888</v>
      </c>
      <c r="I168" s="202"/>
      <c r="J168" s="202">
        <v>2020</v>
      </c>
      <c r="K168" s="202" t="s">
        <v>2290</v>
      </c>
      <c r="L168" s="202" t="s">
        <v>2635</v>
      </c>
      <c r="M168" s="202" t="s">
        <v>1394</v>
      </c>
      <c r="N168" s="206">
        <v>43812</v>
      </c>
      <c r="O168" s="206">
        <v>43812</v>
      </c>
      <c r="P168" s="202" t="s">
        <v>2887</v>
      </c>
      <c r="Q168" s="203">
        <v>1000</v>
      </c>
      <c r="R168" s="203">
        <v>14040</v>
      </c>
      <c r="S168" s="204">
        <v>305751.65000000002</v>
      </c>
      <c r="T168" s="203">
        <v>14046</v>
      </c>
      <c r="U168" s="204">
        <v>63698.17</v>
      </c>
      <c r="V168" s="204">
        <f t="shared" si="13"/>
        <v>242053.48000000004</v>
      </c>
      <c r="W168" s="205">
        <v>30575.119999999999</v>
      </c>
      <c r="X168" s="203">
        <v>51260</v>
      </c>
      <c r="Y168" s="204">
        <v>2547.9299999999998</v>
      </c>
      <c r="Z168" s="202" t="s">
        <v>97</v>
      </c>
      <c r="AA168" s="202"/>
      <c r="AB168" s="202"/>
      <c r="AC168" s="202">
        <v>1085</v>
      </c>
      <c r="AD168" s="202" t="s">
        <v>1152</v>
      </c>
      <c r="AE168" s="202" t="s">
        <v>1153</v>
      </c>
      <c r="AF168" s="203" t="s">
        <v>1154</v>
      </c>
      <c r="AG168" s="202"/>
      <c r="AH168" s="203" t="s">
        <v>1155</v>
      </c>
      <c r="AI168" s="202">
        <v>0</v>
      </c>
      <c r="AJ168" s="202">
        <v>0</v>
      </c>
    </row>
    <row r="169" spans="2:36">
      <c r="B169" s="203">
        <v>2180</v>
      </c>
      <c r="C169" s="207">
        <v>225678</v>
      </c>
      <c r="D169" s="203" t="s">
        <v>97</v>
      </c>
      <c r="E169" s="202" t="s">
        <v>1274</v>
      </c>
      <c r="F169" s="203"/>
      <c r="G169" s="202"/>
      <c r="H169" s="202" t="s">
        <v>2886</v>
      </c>
      <c r="I169" s="202"/>
      <c r="J169" s="202">
        <v>2020</v>
      </c>
      <c r="K169" s="202" t="s">
        <v>2290</v>
      </c>
      <c r="L169" s="202" t="s">
        <v>2883</v>
      </c>
      <c r="M169" s="202" t="s">
        <v>1404</v>
      </c>
      <c r="N169" s="206">
        <v>43792</v>
      </c>
      <c r="O169" s="206">
        <v>43792</v>
      </c>
      <c r="P169" s="202" t="s">
        <v>2885</v>
      </c>
      <c r="Q169" s="203">
        <v>1000</v>
      </c>
      <c r="R169" s="203">
        <v>14040</v>
      </c>
      <c r="S169" s="204">
        <v>368277.14</v>
      </c>
      <c r="T169" s="203">
        <v>14046</v>
      </c>
      <c r="U169" s="204">
        <v>76724.399999999994</v>
      </c>
      <c r="V169" s="204">
        <f t="shared" si="13"/>
        <v>291552.74</v>
      </c>
      <c r="W169" s="205">
        <v>36827.71</v>
      </c>
      <c r="X169" s="203">
        <v>51260</v>
      </c>
      <c r="Y169" s="204">
        <v>3068.98</v>
      </c>
      <c r="Z169" s="202" t="s">
        <v>97</v>
      </c>
      <c r="AA169" s="202"/>
      <c r="AB169" s="202"/>
      <c r="AC169" s="202">
        <v>3700</v>
      </c>
      <c r="AD169" s="202" t="s">
        <v>1152</v>
      </c>
      <c r="AE169" s="202" t="s">
        <v>1153</v>
      </c>
      <c r="AF169" s="203" t="s">
        <v>1154</v>
      </c>
      <c r="AG169" s="202"/>
      <c r="AH169" s="203" t="s">
        <v>1155</v>
      </c>
      <c r="AI169" s="202">
        <v>0</v>
      </c>
      <c r="AJ169" s="202">
        <v>0</v>
      </c>
    </row>
    <row r="170" spans="2:36">
      <c r="B170" s="203">
        <v>2180</v>
      </c>
      <c r="C170" s="207">
        <v>225677</v>
      </c>
      <c r="D170" s="203" t="s">
        <v>97</v>
      </c>
      <c r="E170" s="202" t="s">
        <v>1274</v>
      </c>
      <c r="F170" s="203"/>
      <c r="G170" s="202"/>
      <c r="H170" s="202" t="s">
        <v>2884</v>
      </c>
      <c r="I170" s="202"/>
      <c r="J170" s="202">
        <v>2020</v>
      </c>
      <c r="K170" s="202" t="s">
        <v>2290</v>
      </c>
      <c r="L170" s="202" t="s">
        <v>2883</v>
      </c>
      <c r="M170" s="202" t="s">
        <v>1404</v>
      </c>
      <c r="N170" s="206">
        <v>43789</v>
      </c>
      <c r="O170" s="206">
        <v>43789</v>
      </c>
      <c r="P170" s="202" t="s">
        <v>2882</v>
      </c>
      <c r="Q170" s="203">
        <v>1000</v>
      </c>
      <c r="R170" s="203">
        <v>14040</v>
      </c>
      <c r="S170" s="204">
        <v>367858.22</v>
      </c>
      <c r="T170" s="203">
        <v>14046</v>
      </c>
      <c r="U170" s="204">
        <v>76637.13</v>
      </c>
      <c r="V170" s="204">
        <f t="shared" si="13"/>
        <v>291221.08999999997</v>
      </c>
      <c r="W170" s="205">
        <v>36785.82</v>
      </c>
      <c r="X170" s="203">
        <v>51260</v>
      </c>
      <c r="Y170" s="204">
        <v>3065.48</v>
      </c>
      <c r="Z170" s="202" t="s">
        <v>97</v>
      </c>
      <c r="AA170" s="202"/>
      <c r="AB170" s="202"/>
      <c r="AC170" s="202">
        <v>3699</v>
      </c>
      <c r="AD170" s="202" t="s">
        <v>1152</v>
      </c>
      <c r="AE170" s="202" t="s">
        <v>1153</v>
      </c>
      <c r="AF170" s="203" t="s">
        <v>1154</v>
      </c>
      <c r="AG170" s="202"/>
      <c r="AH170" s="203" t="s">
        <v>1155</v>
      </c>
      <c r="AI170" s="202">
        <v>0</v>
      </c>
      <c r="AJ170" s="202">
        <v>0</v>
      </c>
    </row>
    <row r="171" spans="2:36">
      <c r="B171" s="203">
        <v>2180</v>
      </c>
      <c r="C171" s="207">
        <v>225386</v>
      </c>
      <c r="D171" s="203" t="s">
        <v>97</v>
      </c>
      <c r="E171" s="202" t="s">
        <v>2881</v>
      </c>
      <c r="F171" s="203">
        <v>5</v>
      </c>
      <c r="G171" s="202"/>
      <c r="H171" s="202"/>
      <c r="I171" s="202"/>
      <c r="J171" s="202">
        <v>0</v>
      </c>
      <c r="K171" s="202" t="s">
        <v>2041</v>
      </c>
      <c r="L171" s="202"/>
      <c r="M171" s="202" t="s">
        <v>1417</v>
      </c>
      <c r="N171" s="206">
        <v>43810</v>
      </c>
      <c r="O171" s="206">
        <v>43810</v>
      </c>
      <c r="P171" s="202" t="s">
        <v>2880</v>
      </c>
      <c r="Q171" s="203">
        <v>1200</v>
      </c>
      <c r="R171" s="203">
        <v>14050</v>
      </c>
      <c r="S171" s="204">
        <v>39000</v>
      </c>
      <c r="T171" s="203">
        <v>14056</v>
      </c>
      <c r="U171" s="204">
        <v>6770.83</v>
      </c>
      <c r="V171" s="204">
        <f t="shared" si="13"/>
        <v>32229.17</v>
      </c>
      <c r="W171" s="205">
        <v>3250</v>
      </c>
      <c r="X171" s="203">
        <v>54260</v>
      </c>
      <c r="Y171" s="204">
        <v>270.83</v>
      </c>
      <c r="Z171" s="202" t="s">
        <v>97</v>
      </c>
      <c r="AA171" s="202"/>
      <c r="AB171" s="202">
        <v>158068</v>
      </c>
      <c r="AC171" s="202"/>
      <c r="AD171" s="202" t="s">
        <v>1152</v>
      </c>
      <c r="AE171" s="202" t="s">
        <v>1153</v>
      </c>
      <c r="AF171" s="203" t="s">
        <v>1154</v>
      </c>
      <c r="AG171" s="202"/>
      <c r="AH171" s="203" t="s">
        <v>1155</v>
      </c>
      <c r="AI171" s="202">
        <v>0</v>
      </c>
      <c r="AJ171" s="202">
        <v>0</v>
      </c>
    </row>
    <row r="172" spans="2:36">
      <c r="B172" s="203">
        <v>2180</v>
      </c>
      <c r="C172" s="207">
        <v>225385</v>
      </c>
      <c r="D172" s="203" t="s">
        <v>97</v>
      </c>
      <c r="E172" s="202" t="s">
        <v>2879</v>
      </c>
      <c r="F172" s="203">
        <v>8</v>
      </c>
      <c r="G172" s="202"/>
      <c r="H172" s="202"/>
      <c r="I172" s="202"/>
      <c r="J172" s="202">
        <v>0</v>
      </c>
      <c r="K172" s="202" t="s">
        <v>2041</v>
      </c>
      <c r="L172" s="202"/>
      <c r="M172" s="202" t="s">
        <v>1458</v>
      </c>
      <c r="N172" s="206">
        <v>43810</v>
      </c>
      <c r="O172" s="206">
        <v>43810</v>
      </c>
      <c r="P172" s="202" t="s">
        <v>2878</v>
      </c>
      <c r="Q172" s="203">
        <v>1200</v>
      </c>
      <c r="R172" s="203">
        <v>14050</v>
      </c>
      <c r="S172" s="204">
        <v>48800</v>
      </c>
      <c r="T172" s="203">
        <v>14056</v>
      </c>
      <c r="U172" s="204">
        <v>8472.23</v>
      </c>
      <c r="V172" s="204">
        <f t="shared" si="13"/>
        <v>40327.770000000004</v>
      </c>
      <c r="W172" s="205">
        <v>4066.67</v>
      </c>
      <c r="X172" s="203">
        <v>54260</v>
      </c>
      <c r="Y172" s="204">
        <v>338.89</v>
      </c>
      <c r="Z172" s="202" t="s">
        <v>97</v>
      </c>
      <c r="AA172" s="202"/>
      <c r="AB172" s="202">
        <v>158067</v>
      </c>
      <c r="AC172" s="202"/>
      <c r="AD172" s="202" t="s">
        <v>1152</v>
      </c>
      <c r="AE172" s="202" t="s">
        <v>1153</v>
      </c>
      <c r="AF172" s="203" t="s">
        <v>1154</v>
      </c>
      <c r="AG172" s="202"/>
      <c r="AH172" s="203" t="s">
        <v>1155</v>
      </c>
      <c r="AI172" s="202">
        <v>0</v>
      </c>
      <c r="AJ172" s="202">
        <v>0</v>
      </c>
    </row>
    <row r="173" spans="2:36">
      <c r="B173" s="203">
        <v>2180</v>
      </c>
      <c r="C173" s="207">
        <v>223828</v>
      </c>
      <c r="D173" s="203" t="s">
        <v>97</v>
      </c>
      <c r="E173" s="202" t="s">
        <v>2877</v>
      </c>
      <c r="F173" s="203"/>
      <c r="G173" s="202"/>
      <c r="H173" s="202" t="s">
        <v>2876</v>
      </c>
      <c r="I173" s="202"/>
      <c r="J173" s="202">
        <v>2019</v>
      </c>
      <c r="K173" s="202" t="s">
        <v>2290</v>
      </c>
      <c r="L173" s="202" t="s">
        <v>2875</v>
      </c>
      <c r="M173" s="202" t="s">
        <v>1824</v>
      </c>
      <c r="N173" s="206">
        <v>43770</v>
      </c>
      <c r="O173" s="206">
        <v>43770</v>
      </c>
      <c r="P173" s="202" t="s">
        <v>2874</v>
      </c>
      <c r="Q173" s="203">
        <v>1000</v>
      </c>
      <c r="R173" s="203">
        <v>14040</v>
      </c>
      <c r="S173" s="204">
        <v>269330.87</v>
      </c>
      <c r="T173" s="203">
        <v>14046</v>
      </c>
      <c r="U173" s="204">
        <v>58355.03</v>
      </c>
      <c r="V173" s="204">
        <f t="shared" si="13"/>
        <v>210975.84</v>
      </c>
      <c r="W173" s="205">
        <v>26933.09</v>
      </c>
      <c r="X173" s="203">
        <v>51260</v>
      </c>
      <c r="Y173" s="204">
        <v>2244.42</v>
      </c>
      <c r="Z173" s="202" t="s">
        <v>97</v>
      </c>
      <c r="AA173" s="202"/>
      <c r="AB173" s="202"/>
      <c r="AC173" s="202">
        <v>4087</v>
      </c>
      <c r="AD173" s="202" t="s">
        <v>1152</v>
      </c>
      <c r="AE173" s="202" t="s">
        <v>1153</v>
      </c>
      <c r="AF173" s="203" t="s">
        <v>1154</v>
      </c>
      <c r="AG173" s="202"/>
      <c r="AH173" s="203" t="s">
        <v>1155</v>
      </c>
      <c r="AI173" s="202">
        <v>0</v>
      </c>
      <c r="AJ173" s="202">
        <v>0</v>
      </c>
    </row>
    <row r="174" spans="2:36">
      <c r="B174" s="203">
        <v>2180</v>
      </c>
      <c r="C174" s="207">
        <v>223827</v>
      </c>
      <c r="D174" s="203" t="s">
        <v>97</v>
      </c>
      <c r="E174" s="202" t="s">
        <v>1274</v>
      </c>
      <c r="F174" s="203"/>
      <c r="G174" s="202"/>
      <c r="H174" s="202" t="s">
        <v>2873</v>
      </c>
      <c r="I174" s="202"/>
      <c r="J174" s="202">
        <v>2020</v>
      </c>
      <c r="K174" s="202" t="s">
        <v>2290</v>
      </c>
      <c r="L174" s="202" t="s">
        <v>2413</v>
      </c>
      <c r="M174" s="202" t="s">
        <v>1404</v>
      </c>
      <c r="N174" s="206">
        <v>43770</v>
      </c>
      <c r="O174" s="206">
        <v>43770</v>
      </c>
      <c r="P174" s="202" t="s">
        <v>2872</v>
      </c>
      <c r="Q174" s="203">
        <v>1000</v>
      </c>
      <c r="R174" s="203">
        <v>14040</v>
      </c>
      <c r="S174" s="204">
        <v>367281.47</v>
      </c>
      <c r="T174" s="203">
        <v>14046</v>
      </c>
      <c r="U174" s="204">
        <v>79577.66</v>
      </c>
      <c r="V174" s="204">
        <f t="shared" si="13"/>
        <v>287703.80999999994</v>
      </c>
      <c r="W174" s="205">
        <v>36728.15</v>
      </c>
      <c r="X174" s="203">
        <v>51260</v>
      </c>
      <c r="Y174" s="204">
        <v>3060.68</v>
      </c>
      <c r="Z174" s="202" t="s">
        <v>97</v>
      </c>
      <c r="AA174" s="202"/>
      <c r="AB174" s="202"/>
      <c r="AC174" s="202">
        <v>3698</v>
      </c>
      <c r="AD174" s="202" t="s">
        <v>1152</v>
      </c>
      <c r="AE174" s="202" t="s">
        <v>1153</v>
      </c>
      <c r="AF174" s="203" t="s">
        <v>1154</v>
      </c>
      <c r="AG174" s="202"/>
      <c r="AH174" s="203" t="s">
        <v>1155</v>
      </c>
      <c r="AI174" s="202">
        <v>0</v>
      </c>
      <c r="AJ174" s="202">
        <v>0</v>
      </c>
    </row>
    <row r="175" spans="2:36">
      <c r="B175" s="203">
        <v>2180</v>
      </c>
      <c r="C175" s="207">
        <v>222650</v>
      </c>
      <c r="D175" s="203" t="s">
        <v>97</v>
      </c>
      <c r="E175" s="202" t="s">
        <v>2864</v>
      </c>
      <c r="F175" s="203">
        <v>48</v>
      </c>
      <c r="G175" s="202"/>
      <c r="H175" s="202"/>
      <c r="I175" s="202"/>
      <c r="J175" s="202">
        <v>0</v>
      </c>
      <c r="K175" s="202" t="s">
        <v>1549</v>
      </c>
      <c r="L175" s="202"/>
      <c r="M175" s="202" t="s">
        <v>1456</v>
      </c>
      <c r="N175" s="206">
        <v>43760</v>
      </c>
      <c r="O175" s="206">
        <v>43760</v>
      </c>
      <c r="P175" s="202" t="s">
        <v>2871</v>
      </c>
      <c r="Q175" s="203">
        <v>1200</v>
      </c>
      <c r="R175" s="203">
        <v>14050</v>
      </c>
      <c r="S175" s="204">
        <v>46489.19</v>
      </c>
      <c r="T175" s="203">
        <v>14056</v>
      </c>
      <c r="U175" s="204">
        <v>8393.82</v>
      </c>
      <c r="V175" s="204">
        <f t="shared" si="13"/>
        <v>38095.370000000003</v>
      </c>
      <c r="W175" s="205">
        <v>3874.07</v>
      </c>
      <c r="X175" s="203">
        <v>54260</v>
      </c>
      <c r="Y175" s="204">
        <v>322.83999999999997</v>
      </c>
      <c r="Z175" s="202" t="s">
        <v>97</v>
      </c>
      <c r="AA175" s="202"/>
      <c r="AB175" s="202" t="s">
        <v>2865</v>
      </c>
      <c r="AC175" s="202"/>
      <c r="AD175" s="202" t="s">
        <v>1152</v>
      </c>
      <c r="AE175" s="202" t="s">
        <v>1153</v>
      </c>
      <c r="AF175" s="203" t="s">
        <v>1154</v>
      </c>
      <c r="AG175" s="202"/>
      <c r="AH175" s="203" t="s">
        <v>1155</v>
      </c>
      <c r="AI175" s="202">
        <v>0</v>
      </c>
      <c r="AJ175" s="202">
        <v>0</v>
      </c>
    </row>
    <row r="176" spans="2:36">
      <c r="B176" s="203">
        <v>2180</v>
      </c>
      <c r="C176" s="207">
        <v>222649</v>
      </c>
      <c r="D176" s="203" t="s">
        <v>97</v>
      </c>
      <c r="E176" s="202" t="s">
        <v>2862</v>
      </c>
      <c r="F176" s="203">
        <v>12</v>
      </c>
      <c r="G176" s="202"/>
      <c r="H176" s="202"/>
      <c r="I176" s="202"/>
      <c r="J176" s="202">
        <v>0</v>
      </c>
      <c r="K176" s="202" t="s">
        <v>1549</v>
      </c>
      <c r="L176" s="202"/>
      <c r="M176" s="202" t="s">
        <v>1464</v>
      </c>
      <c r="N176" s="206">
        <v>43760</v>
      </c>
      <c r="O176" s="206">
        <v>43760</v>
      </c>
      <c r="P176" s="202" t="s">
        <v>2870</v>
      </c>
      <c r="Q176" s="203">
        <v>1200</v>
      </c>
      <c r="R176" s="203">
        <v>14050</v>
      </c>
      <c r="S176" s="204">
        <v>10507.44</v>
      </c>
      <c r="T176" s="203">
        <v>14056</v>
      </c>
      <c r="U176" s="204">
        <v>1897.18</v>
      </c>
      <c r="V176" s="204">
        <f t="shared" si="13"/>
        <v>8610.26</v>
      </c>
      <c r="W176" s="205">
        <v>875.62</v>
      </c>
      <c r="X176" s="203">
        <v>54260</v>
      </c>
      <c r="Y176" s="204">
        <v>72.97</v>
      </c>
      <c r="Z176" s="202" t="s">
        <v>97</v>
      </c>
      <c r="AA176" s="202"/>
      <c r="AB176" s="202" t="s">
        <v>2865</v>
      </c>
      <c r="AC176" s="202"/>
      <c r="AD176" s="202" t="s">
        <v>1152</v>
      </c>
      <c r="AE176" s="202" t="s">
        <v>1153</v>
      </c>
      <c r="AF176" s="203" t="s">
        <v>1154</v>
      </c>
      <c r="AG176" s="202"/>
      <c r="AH176" s="203" t="s">
        <v>1155</v>
      </c>
      <c r="AI176" s="202">
        <v>0</v>
      </c>
      <c r="AJ176" s="202">
        <v>0</v>
      </c>
    </row>
    <row r="177" spans="2:36">
      <c r="B177" s="203">
        <v>2180</v>
      </c>
      <c r="C177" s="207">
        <v>222648</v>
      </c>
      <c r="D177" s="203" t="s">
        <v>97</v>
      </c>
      <c r="E177" s="202" t="s">
        <v>2860</v>
      </c>
      <c r="F177" s="203">
        <v>54</v>
      </c>
      <c r="G177" s="202"/>
      <c r="H177" s="202"/>
      <c r="I177" s="202"/>
      <c r="J177" s="202">
        <v>0</v>
      </c>
      <c r="K177" s="202" t="s">
        <v>1549</v>
      </c>
      <c r="L177" s="202"/>
      <c r="M177" s="202" t="s">
        <v>1421</v>
      </c>
      <c r="N177" s="206">
        <v>43760</v>
      </c>
      <c r="O177" s="206">
        <v>43760</v>
      </c>
      <c r="P177" s="202" t="s">
        <v>2869</v>
      </c>
      <c r="Q177" s="203">
        <v>1200</v>
      </c>
      <c r="R177" s="203">
        <v>14050</v>
      </c>
      <c r="S177" s="204">
        <v>34652.76</v>
      </c>
      <c r="T177" s="203">
        <v>14056</v>
      </c>
      <c r="U177" s="204">
        <v>6256.75</v>
      </c>
      <c r="V177" s="204">
        <f t="shared" si="13"/>
        <v>28396.010000000002</v>
      </c>
      <c r="W177" s="205">
        <v>2887.73</v>
      </c>
      <c r="X177" s="203">
        <v>54260</v>
      </c>
      <c r="Y177" s="204">
        <v>240.64</v>
      </c>
      <c r="Z177" s="202" t="s">
        <v>97</v>
      </c>
      <c r="AA177" s="202"/>
      <c r="AB177" s="202" t="s">
        <v>2865</v>
      </c>
      <c r="AC177" s="202"/>
      <c r="AD177" s="202" t="s">
        <v>1152</v>
      </c>
      <c r="AE177" s="202" t="s">
        <v>1153</v>
      </c>
      <c r="AF177" s="203" t="s">
        <v>1154</v>
      </c>
      <c r="AG177" s="202"/>
      <c r="AH177" s="203" t="s">
        <v>1155</v>
      </c>
      <c r="AI177" s="202">
        <v>0</v>
      </c>
      <c r="AJ177" s="202">
        <v>0</v>
      </c>
    </row>
    <row r="178" spans="2:36">
      <c r="B178" s="203">
        <v>2180</v>
      </c>
      <c r="C178" s="207">
        <v>222647</v>
      </c>
      <c r="D178" s="203" t="s">
        <v>97</v>
      </c>
      <c r="E178" s="202" t="s">
        <v>2868</v>
      </c>
      <c r="F178" s="203">
        <v>12</v>
      </c>
      <c r="G178" s="202"/>
      <c r="H178" s="202"/>
      <c r="I178" s="202"/>
      <c r="J178" s="202">
        <v>0</v>
      </c>
      <c r="K178" s="202" t="s">
        <v>1549</v>
      </c>
      <c r="L178" s="202"/>
      <c r="M178" s="202" t="s">
        <v>1462</v>
      </c>
      <c r="N178" s="206">
        <v>43760</v>
      </c>
      <c r="O178" s="206">
        <v>43760</v>
      </c>
      <c r="P178" s="202" t="s">
        <v>2867</v>
      </c>
      <c r="Q178" s="203">
        <v>1200</v>
      </c>
      <c r="R178" s="203">
        <v>14050</v>
      </c>
      <c r="S178" s="204">
        <v>6808.72</v>
      </c>
      <c r="T178" s="203">
        <v>14056</v>
      </c>
      <c r="U178" s="204">
        <v>1229.3499999999999</v>
      </c>
      <c r="V178" s="204">
        <f t="shared" si="13"/>
        <v>5579.3700000000008</v>
      </c>
      <c r="W178" s="205">
        <v>567.39</v>
      </c>
      <c r="X178" s="203">
        <v>54260</v>
      </c>
      <c r="Y178" s="204">
        <v>47.28</v>
      </c>
      <c r="Z178" s="202" t="s">
        <v>97</v>
      </c>
      <c r="AA178" s="202"/>
      <c r="AB178" s="202" t="s">
        <v>2865</v>
      </c>
      <c r="AC178" s="202"/>
      <c r="AD178" s="202" t="s">
        <v>1152</v>
      </c>
      <c r="AE178" s="202" t="s">
        <v>1153</v>
      </c>
      <c r="AF178" s="203" t="s">
        <v>1154</v>
      </c>
      <c r="AG178" s="202"/>
      <c r="AH178" s="203" t="s">
        <v>1155</v>
      </c>
      <c r="AI178" s="202">
        <v>0</v>
      </c>
      <c r="AJ178" s="202">
        <v>0</v>
      </c>
    </row>
    <row r="179" spans="2:36">
      <c r="B179" s="203">
        <v>2180</v>
      </c>
      <c r="C179" s="207">
        <v>222646</v>
      </c>
      <c r="D179" s="203" t="s">
        <v>97</v>
      </c>
      <c r="E179" s="202" t="s">
        <v>2858</v>
      </c>
      <c r="F179" s="203">
        <v>12</v>
      </c>
      <c r="G179" s="202"/>
      <c r="H179" s="202"/>
      <c r="I179" s="202"/>
      <c r="J179" s="202">
        <v>0</v>
      </c>
      <c r="K179" s="202" t="s">
        <v>1549</v>
      </c>
      <c r="L179" s="202"/>
      <c r="M179" s="202" t="s">
        <v>1573</v>
      </c>
      <c r="N179" s="206">
        <v>43760</v>
      </c>
      <c r="O179" s="206">
        <v>43760</v>
      </c>
      <c r="P179" s="202" t="s">
        <v>2866</v>
      </c>
      <c r="Q179" s="203">
        <v>1200</v>
      </c>
      <c r="R179" s="203">
        <v>14050</v>
      </c>
      <c r="S179" s="204">
        <v>6480.82</v>
      </c>
      <c r="T179" s="203">
        <v>14056</v>
      </c>
      <c r="U179" s="204">
        <v>1170.1500000000001</v>
      </c>
      <c r="V179" s="204">
        <f t="shared" si="13"/>
        <v>5310.67</v>
      </c>
      <c r="W179" s="205">
        <v>540.07000000000005</v>
      </c>
      <c r="X179" s="203">
        <v>54260</v>
      </c>
      <c r="Y179" s="204">
        <v>45.01</v>
      </c>
      <c r="Z179" s="202" t="s">
        <v>97</v>
      </c>
      <c r="AA179" s="202"/>
      <c r="AB179" s="202" t="s">
        <v>2865</v>
      </c>
      <c r="AC179" s="202"/>
      <c r="AD179" s="202" t="s">
        <v>1152</v>
      </c>
      <c r="AE179" s="202" t="s">
        <v>1153</v>
      </c>
      <c r="AF179" s="203" t="s">
        <v>1154</v>
      </c>
      <c r="AG179" s="202"/>
      <c r="AH179" s="203" t="s">
        <v>1155</v>
      </c>
      <c r="AI179" s="202">
        <v>0</v>
      </c>
      <c r="AJ179" s="202">
        <v>0</v>
      </c>
    </row>
    <row r="180" spans="2:36">
      <c r="B180" s="203">
        <v>2180</v>
      </c>
      <c r="C180" s="207">
        <v>222645</v>
      </c>
      <c r="D180" s="203" t="s">
        <v>97</v>
      </c>
      <c r="E180" s="202" t="s">
        <v>2864</v>
      </c>
      <c r="F180" s="203">
        <v>36</v>
      </c>
      <c r="G180" s="202"/>
      <c r="H180" s="202"/>
      <c r="I180" s="202"/>
      <c r="J180" s="202">
        <v>0</v>
      </c>
      <c r="K180" s="202" t="s">
        <v>1549</v>
      </c>
      <c r="L180" s="202"/>
      <c r="M180" s="202" t="s">
        <v>1456</v>
      </c>
      <c r="N180" s="206">
        <v>43760</v>
      </c>
      <c r="O180" s="206">
        <v>43760</v>
      </c>
      <c r="P180" s="202" t="s">
        <v>2863</v>
      </c>
      <c r="Q180" s="203">
        <v>1200</v>
      </c>
      <c r="R180" s="203">
        <v>14050</v>
      </c>
      <c r="S180" s="204">
        <v>33917.97</v>
      </c>
      <c r="T180" s="203">
        <v>14056</v>
      </c>
      <c r="U180" s="204">
        <v>6124.08</v>
      </c>
      <c r="V180" s="204">
        <f t="shared" si="13"/>
        <v>27793.89</v>
      </c>
      <c r="W180" s="205">
        <v>2826.5</v>
      </c>
      <c r="X180" s="203">
        <v>54260</v>
      </c>
      <c r="Y180" s="204">
        <v>235.54</v>
      </c>
      <c r="Z180" s="202" t="s">
        <v>97</v>
      </c>
      <c r="AA180" s="202"/>
      <c r="AB180" s="202" t="s">
        <v>2856</v>
      </c>
      <c r="AC180" s="202"/>
      <c r="AD180" s="202" t="s">
        <v>1152</v>
      </c>
      <c r="AE180" s="202" t="s">
        <v>1153</v>
      </c>
      <c r="AF180" s="203" t="s">
        <v>1154</v>
      </c>
      <c r="AG180" s="202"/>
      <c r="AH180" s="203" t="s">
        <v>1155</v>
      </c>
      <c r="AI180" s="202">
        <v>0</v>
      </c>
      <c r="AJ180" s="202">
        <v>0</v>
      </c>
    </row>
    <row r="181" spans="2:36">
      <c r="B181" s="203">
        <v>2180</v>
      </c>
      <c r="C181" s="207">
        <v>222644</v>
      </c>
      <c r="D181" s="203" t="s">
        <v>97</v>
      </c>
      <c r="E181" s="202" t="s">
        <v>2862</v>
      </c>
      <c r="F181" s="203">
        <v>24</v>
      </c>
      <c r="G181" s="202"/>
      <c r="H181" s="202"/>
      <c r="I181" s="202"/>
      <c r="J181" s="202">
        <v>0</v>
      </c>
      <c r="K181" s="202" t="s">
        <v>1549</v>
      </c>
      <c r="L181" s="202"/>
      <c r="M181" s="202" t="s">
        <v>1464</v>
      </c>
      <c r="N181" s="206">
        <v>43760</v>
      </c>
      <c r="O181" s="206">
        <v>43760</v>
      </c>
      <c r="P181" s="202" t="s">
        <v>2861</v>
      </c>
      <c r="Q181" s="203">
        <v>1200</v>
      </c>
      <c r="R181" s="203">
        <v>14050</v>
      </c>
      <c r="S181" s="204">
        <v>18126.310000000001</v>
      </c>
      <c r="T181" s="203">
        <v>14056</v>
      </c>
      <c r="U181" s="204">
        <v>3272.82</v>
      </c>
      <c r="V181" s="204">
        <f t="shared" si="13"/>
        <v>14853.490000000002</v>
      </c>
      <c r="W181" s="205">
        <v>1510.53</v>
      </c>
      <c r="X181" s="203">
        <v>54260</v>
      </c>
      <c r="Y181" s="204">
        <v>125.88</v>
      </c>
      <c r="Z181" s="202" t="s">
        <v>97</v>
      </c>
      <c r="AA181" s="202"/>
      <c r="AB181" s="202" t="s">
        <v>2856</v>
      </c>
      <c r="AC181" s="202"/>
      <c r="AD181" s="202" t="s">
        <v>1152</v>
      </c>
      <c r="AE181" s="202" t="s">
        <v>1153</v>
      </c>
      <c r="AF181" s="203" t="s">
        <v>1154</v>
      </c>
      <c r="AG181" s="202"/>
      <c r="AH181" s="203" t="s">
        <v>1155</v>
      </c>
      <c r="AI181" s="202">
        <v>0</v>
      </c>
      <c r="AJ181" s="202">
        <v>0</v>
      </c>
    </row>
    <row r="182" spans="2:36">
      <c r="B182" s="203">
        <v>2180</v>
      </c>
      <c r="C182" s="207">
        <v>222643</v>
      </c>
      <c r="D182" s="203" t="s">
        <v>97</v>
      </c>
      <c r="E182" s="202" t="s">
        <v>2860</v>
      </c>
      <c r="F182" s="203">
        <v>36</v>
      </c>
      <c r="G182" s="202"/>
      <c r="H182" s="202"/>
      <c r="I182" s="202"/>
      <c r="J182" s="202">
        <v>0</v>
      </c>
      <c r="K182" s="202" t="s">
        <v>1549</v>
      </c>
      <c r="L182" s="202"/>
      <c r="M182" s="202" t="s">
        <v>1421</v>
      </c>
      <c r="N182" s="206">
        <v>43760</v>
      </c>
      <c r="O182" s="206">
        <v>43760</v>
      </c>
      <c r="P182" s="202" t="s">
        <v>2859</v>
      </c>
      <c r="Q182" s="203">
        <v>1200</v>
      </c>
      <c r="R182" s="203">
        <v>14050</v>
      </c>
      <c r="S182" s="204">
        <v>23490.76</v>
      </c>
      <c r="T182" s="203">
        <v>14056</v>
      </c>
      <c r="U182" s="204">
        <v>4241.38</v>
      </c>
      <c r="V182" s="204">
        <f t="shared" si="13"/>
        <v>19249.379999999997</v>
      </c>
      <c r="W182" s="205">
        <v>1957.56</v>
      </c>
      <c r="X182" s="203">
        <v>54260</v>
      </c>
      <c r="Y182" s="204">
        <v>163.13</v>
      </c>
      <c r="Z182" s="202" t="s">
        <v>97</v>
      </c>
      <c r="AA182" s="202"/>
      <c r="AB182" s="202" t="s">
        <v>2856</v>
      </c>
      <c r="AC182" s="202"/>
      <c r="AD182" s="202" t="s">
        <v>1152</v>
      </c>
      <c r="AE182" s="202" t="s">
        <v>1153</v>
      </c>
      <c r="AF182" s="203" t="s">
        <v>1154</v>
      </c>
      <c r="AG182" s="202"/>
      <c r="AH182" s="203" t="s">
        <v>1155</v>
      </c>
      <c r="AI182" s="202">
        <v>0</v>
      </c>
      <c r="AJ182" s="202">
        <v>0</v>
      </c>
    </row>
    <row r="183" spans="2:36">
      <c r="B183" s="203">
        <v>2180</v>
      </c>
      <c r="C183" s="207">
        <v>222642</v>
      </c>
      <c r="D183" s="203" t="s">
        <v>97</v>
      </c>
      <c r="E183" s="202" t="s">
        <v>2858</v>
      </c>
      <c r="F183" s="203">
        <v>24</v>
      </c>
      <c r="G183" s="202"/>
      <c r="H183" s="202"/>
      <c r="I183" s="202"/>
      <c r="J183" s="202">
        <v>0</v>
      </c>
      <c r="K183" s="202" t="s">
        <v>1549</v>
      </c>
      <c r="L183" s="202"/>
      <c r="M183" s="202" t="s">
        <v>1573</v>
      </c>
      <c r="N183" s="206">
        <v>43760</v>
      </c>
      <c r="O183" s="206">
        <v>43760</v>
      </c>
      <c r="P183" s="202" t="s">
        <v>2857</v>
      </c>
      <c r="Q183" s="203">
        <v>1200</v>
      </c>
      <c r="R183" s="203">
        <v>14050</v>
      </c>
      <c r="S183" s="204">
        <v>13142.23</v>
      </c>
      <c r="T183" s="203">
        <v>14056</v>
      </c>
      <c r="U183" s="204">
        <v>2372.91</v>
      </c>
      <c r="V183" s="204">
        <f t="shared" si="13"/>
        <v>10769.32</v>
      </c>
      <c r="W183" s="205">
        <v>1095.19</v>
      </c>
      <c r="X183" s="203">
        <v>54260</v>
      </c>
      <c r="Y183" s="204">
        <v>91.27</v>
      </c>
      <c r="Z183" s="202" t="s">
        <v>97</v>
      </c>
      <c r="AA183" s="202"/>
      <c r="AB183" s="202" t="s">
        <v>2856</v>
      </c>
      <c r="AC183" s="202"/>
      <c r="AD183" s="202" t="s">
        <v>1152</v>
      </c>
      <c r="AE183" s="202" t="s">
        <v>1153</v>
      </c>
      <c r="AF183" s="203" t="s">
        <v>1154</v>
      </c>
      <c r="AG183" s="202"/>
      <c r="AH183" s="203" t="s">
        <v>1155</v>
      </c>
      <c r="AI183" s="202">
        <v>0</v>
      </c>
      <c r="AJ183" s="202">
        <v>0</v>
      </c>
    </row>
    <row r="184" spans="2:36">
      <c r="B184" s="203">
        <v>2180</v>
      </c>
      <c r="C184" s="207">
        <v>222124</v>
      </c>
      <c r="D184" s="203" t="s">
        <v>97</v>
      </c>
      <c r="E184" s="202" t="s">
        <v>1489</v>
      </c>
      <c r="F184" s="203">
        <v>0</v>
      </c>
      <c r="G184" s="202"/>
      <c r="H184" s="202" t="s">
        <v>2855</v>
      </c>
      <c r="I184" s="202"/>
      <c r="J184" s="202">
        <v>2004</v>
      </c>
      <c r="K184" s="202" t="s">
        <v>1255</v>
      </c>
      <c r="L184" s="202" t="s">
        <v>1255</v>
      </c>
      <c r="M184" s="202" t="s">
        <v>280</v>
      </c>
      <c r="N184" s="206">
        <v>39755</v>
      </c>
      <c r="O184" s="206">
        <v>39755</v>
      </c>
      <c r="P184" s="202"/>
      <c r="Q184" s="203">
        <v>300</v>
      </c>
      <c r="R184" s="203">
        <v>14040</v>
      </c>
      <c r="S184" s="204">
        <v>13000</v>
      </c>
      <c r="T184" s="203">
        <v>14046</v>
      </c>
      <c r="U184" s="204">
        <v>13000</v>
      </c>
      <c r="V184" s="204">
        <f t="shared" si="13"/>
        <v>0</v>
      </c>
      <c r="W184" s="205">
        <v>0</v>
      </c>
      <c r="X184" s="203">
        <v>51260</v>
      </c>
      <c r="Y184" s="204">
        <v>0</v>
      </c>
      <c r="Z184" s="202" t="s">
        <v>1153</v>
      </c>
      <c r="AA184" s="202" t="s">
        <v>1383</v>
      </c>
      <c r="AB184" s="202"/>
      <c r="AC184" s="202">
        <v>8881</v>
      </c>
      <c r="AD184" s="202" t="s">
        <v>1152</v>
      </c>
      <c r="AE184" s="202" t="s">
        <v>1153</v>
      </c>
      <c r="AF184" s="203" t="s">
        <v>1154</v>
      </c>
      <c r="AG184" s="208">
        <v>43738</v>
      </c>
      <c r="AH184" s="203" t="s">
        <v>1155</v>
      </c>
      <c r="AI184" s="202">
        <v>0</v>
      </c>
      <c r="AJ184" s="202">
        <v>13000</v>
      </c>
    </row>
    <row r="185" spans="2:36">
      <c r="B185" s="203">
        <v>2180</v>
      </c>
      <c r="C185" s="207">
        <v>221855</v>
      </c>
      <c r="D185" s="203">
        <v>218236</v>
      </c>
      <c r="E185" s="202" t="s">
        <v>2854</v>
      </c>
      <c r="F185" s="203"/>
      <c r="G185" s="202"/>
      <c r="H185" s="202"/>
      <c r="I185" s="202"/>
      <c r="J185" s="202">
        <v>0</v>
      </c>
      <c r="K185" s="202"/>
      <c r="L185" s="202"/>
      <c r="M185" s="202" t="s">
        <v>1447</v>
      </c>
      <c r="N185" s="206">
        <v>43769</v>
      </c>
      <c r="O185" s="206">
        <v>43769</v>
      </c>
      <c r="P185" s="202" t="s">
        <v>2853</v>
      </c>
      <c r="Q185" s="203">
        <v>1000</v>
      </c>
      <c r="R185" s="203">
        <v>14040</v>
      </c>
      <c r="S185" s="204">
        <v>358.34</v>
      </c>
      <c r="T185" s="203">
        <v>14046</v>
      </c>
      <c r="U185" s="204">
        <v>77.63</v>
      </c>
      <c r="V185" s="204">
        <f t="shared" si="13"/>
        <v>280.70999999999998</v>
      </c>
      <c r="W185" s="205">
        <v>35.83</v>
      </c>
      <c r="X185" s="203">
        <v>51260</v>
      </c>
      <c r="Y185" s="204">
        <v>2.99</v>
      </c>
      <c r="Z185" s="202" t="s">
        <v>97</v>
      </c>
      <c r="AA185" s="202"/>
      <c r="AB185" s="202"/>
      <c r="AC185" s="202"/>
      <c r="AD185" s="202" t="s">
        <v>1152</v>
      </c>
      <c r="AE185" s="202" t="s">
        <v>1153</v>
      </c>
      <c r="AF185" s="203" t="s">
        <v>1154</v>
      </c>
      <c r="AG185" s="202"/>
      <c r="AH185" s="203" t="s">
        <v>1155</v>
      </c>
      <c r="AI185" s="202">
        <v>0</v>
      </c>
      <c r="AJ185" s="202">
        <v>0</v>
      </c>
    </row>
    <row r="186" spans="2:36">
      <c r="B186" s="203">
        <v>2180</v>
      </c>
      <c r="C186" s="207">
        <v>221750</v>
      </c>
      <c r="D186" s="203">
        <v>219754</v>
      </c>
      <c r="E186" s="202" t="s">
        <v>2852</v>
      </c>
      <c r="F186" s="203"/>
      <c r="G186" s="202"/>
      <c r="H186" s="202"/>
      <c r="I186" s="202"/>
      <c r="J186" s="202">
        <v>2019</v>
      </c>
      <c r="K186" s="202"/>
      <c r="L186" s="202"/>
      <c r="M186" s="202" t="s">
        <v>1404</v>
      </c>
      <c r="N186" s="206">
        <v>43738</v>
      </c>
      <c r="O186" s="206">
        <v>43738</v>
      </c>
      <c r="P186" s="202" t="s">
        <v>2836</v>
      </c>
      <c r="Q186" s="203">
        <v>1000</v>
      </c>
      <c r="R186" s="203">
        <v>14040</v>
      </c>
      <c r="S186" s="204">
        <v>175049.79</v>
      </c>
      <c r="T186" s="203">
        <v>14046</v>
      </c>
      <c r="U186" s="204">
        <v>39386.21</v>
      </c>
      <c r="V186" s="204">
        <f t="shared" si="13"/>
        <v>135663.58000000002</v>
      </c>
      <c r="W186" s="205">
        <v>17504.98</v>
      </c>
      <c r="X186" s="203">
        <v>51260</v>
      </c>
      <c r="Y186" s="204">
        <v>1458.75</v>
      </c>
      <c r="Z186" s="202" t="s">
        <v>97</v>
      </c>
      <c r="AA186" s="202"/>
      <c r="AB186" s="202"/>
      <c r="AC186" s="202"/>
      <c r="AD186" s="202" t="s">
        <v>1152</v>
      </c>
      <c r="AE186" s="202" t="s">
        <v>1153</v>
      </c>
      <c r="AF186" s="203" t="s">
        <v>1154</v>
      </c>
      <c r="AG186" s="202"/>
      <c r="AH186" s="203" t="s">
        <v>1155</v>
      </c>
      <c r="AI186" s="202">
        <v>0</v>
      </c>
      <c r="AJ186" s="202">
        <v>0</v>
      </c>
    </row>
    <row r="187" spans="2:36">
      <c r="B187" s="203">
        <v>2180</v>
      </c>
      <c r="C187" s="207">
        <v>221708</v>
      </c>
      <c r="D187" s="203" t="s">
        <v>97</v>
      </c>
      <c r="E187" s="202" t="s">
        <v>2851</v>
      </c>
      <c r="F187" s="203">
        <v>1404</v>
      </c>
      <c r="G187" s="202"/>
      <c r="H187" s="202"/>
      <c r="I187" s="202"/>
      <c r="J187" s="202">
        <v>0</v>
      </c>
      <c r="K187" s="202" t="s">
        <v>2445</v>
      </c>
      <c r="L187" s="202"/>
      <c r="M187" s="202" t="s">
        <v>2846</v>
      </c>
      <c r="N187" s="206">
        <v>43736</v>
      </c>
      <c r="O187" s="206">
        <v>43736</v>
      </c>
      <c r="P187" s="202" t="s">
        <v>2850</v>
      </c>
      <c r="Q187" s="203">
        <v>700</v>
      </c>
      <c r="R187" s="203">
        <v>14050</v>
      </c>
      <c r="S187" s="204">
        <v>64666.87</v>
      </c>
      <c r="T187" s="203">
        <v>14056</v>
      </c>
      <c r="U187" s="204">
        <v>20785.79</v>
      </c>
      <c r="V187" s="204">
        <f t="shared" si="13"/>
        <v>43881.08</v>
      </c>
      <c r="W187" s="205">
        <v>9238.1299999999992</v>
      </c>
      <c r="X187" s="203">
        <v>54260</v>
      </c>
      <c r="Y187" s="204">
        <v>769.84</v>
      </c>
      <c r="Z187" s="202" t="s">
        <v>97</v>
      </c>
      <c r="AA187" s="202"/>
      <c r="AB187" s="202">
        <v>50050527</v>
      </c>
      <c r="AC187" s="202"/>
      <c r="AD187" s="202" t="s">
        <v>1152</v>
      </c>
      <c r="AE187" s="202" t="s">
        <v>1153</v>
      </c>
      <c r="AF187" s="203" t="s">
        <v>1154</v>
      </c>
      <c r="AG187" s="202"/>
      <c r="AH187" s="203" t="s">
        <v>1155</v>
      </c>
      <c r="AI187" s="202">
        <v>0</v>
      </c>
      <c r="AJ187" s="202">
        <v>0</v>
      </c>
    </row>
    <row r="188" spans="2:36">
      <c r="B188" s="203">
        <v>2180</v>
      </c>
      <c r="C188" s="207">
        <v>221426</v>
      </c>
      <c r="D188" s="203" t="s">
        <v>97</v>
      </c>
      <c r="E188" s="202" t="s">
        <v>2849</v>
      </c>
      <c r="F188" s="203">
        <v>702</v>
      </c>
      <c r="G188" s="202"/>
      <c r="H188" s="202"/>
      <c r="I188" s="202"/>
      <c r="J188" s="202">
        <v>0</v>
      </c>
      <c r="K188" s="202" t="s">
        <v>2445</v>
      </c>
      <c r="L188" s="202"/>
      <c r="M188" s="202" t="s">
        <v>2846</v>
      </c>
      <c r="N188" s="206">
        <v>43731</v>
      </c>
      <c r="O188" s="206">
        <v>43731</v>
      </c>
      <c r="P188" s="202" t="s">
        <v>2848</v>
      </c>
      <c r="Q188" s="203">
        <v>700</v>
      </c>
      <c r="R188" s="203">
        <v>14050</v>
      </c>
      <c r="S188" s="204">
        <v>32333.43</v>
      </c>
      <c r="T188" s="203">
        <v>14056</v>
      </c>
      <c r="U188" s="204">
        <v>10392.89</v>
      </c>
      <c r="V188" s="204">
        <f t="shared" si="13"/>
        <v>21940.54</v>
      </c>
      <c r="W188" s="205">
        <v>4619.0600000000004</v>
      </c>
      <c r="X188" s="203">
        <v>54260</v>
      </c>
      <c r="Y188" s="204">
        <v>384.92</v>
      </c>
      <c r="Z188" s="202" t="s">
        <v>97</v>
      </c>
      <c r="AA188" s="202"/>
      <c r="AB188" s="202">
        <v>50048316</v>
      </c>
      <c r="AC188" s="202"/>
      <c r="AD188" s="202" t="s">
        <v>1152</v>
      </c>
      <c r="AE188" s="202" t="s">
        <v>1153</v>
      </c>
      <c r="AF188" s="203" t="s">
        <v>1154</v>
      </c>
      <c r="AG188" s="202"/>
      <c r="AH188" s="203" t="s">
        <v>1155</v>
      </c>
      <c r="AI188" s="202">
        <v>0</v>
      </c>
      <c r="AJ188" s="202">
        <v>0</v>
      </c>
    </row>
    <row r="189" spans="2:36">
      <c r="B189" s="203">
        <v>2180</v>
      </c>
      <c r="C189" s="207">
        <v>221022</v>
      </c>
      <c r="D189" s="203" t="s">
        <v>97</v>
      </c>
      <c r="E189" s="202" t="s">
        <v>638</v>
      </c>
      <c r="F189" s="203">
        <v>351</v>
      </c>
      <c r="G189" s="202"/>
      <c r="H189" s="202"/>
      <c r="I189" s="202"/>
      <c r="J189" s="202">
        <v>0</v>
      </c>
      <c r="K189" s="202" t="s">
        <v>2445</v>
      </c>
      <c r="L189" s="202"/>
      <c r="M189" s="202" t="s">
        <v>2846</v>
      </c>
      <c r="N189" s="206">
        <v>43736</v>
      </c>
      <c r="O189" s="206">
        <v>43736</v>
      </c>
      <c r="P189" s="202" t="s">
        <v>2847</v>
      </c>
      <c r="Q189" s="203">
        <v>700</v>
      </c>
      <c r="R189" s="203">
        <v>14050</v>
      </c>
      <c r="S189" s="204">
        <v>16166.72</v>
      </c>
      <c r="T189" s="203">
        <v>14056</v>
      </c>
      <c r="U189" s="204">
        <v>5196.42</v>
      </c>
      <c r="V189" s="204">
        <f t="shared" si="13"/>
        <v>10970.3</v>
      </c>
      <c r="W189" s="205">
        <v>2309.52</v>
      </c>
      <c r="X189" s="203">
        <v>54260</v>
      </c>
      <c r="Y189" s="204">
        <v>192.46</v>
      </c>
      <c r="Z189" s="202" t="s">
        <v>97</v>
      </c>
      <c r="AA189" s="202"/>
      <c r="AB189" s="202">
        <v>50050364</v>
      </c>
      <c r="AC189" s="202"/>
      <c r="AD189" s="202" t="s">
        <v>1152</v>
      </c>
      <c r="AE189" s="202" t="s">
        <v>1153</v>
      </c>
      <c r="AF189" s="203" t="s">
        <v>1154</v>
      </c>
      <c r="AG189" s="202"/>
      <c r="AH189" s="203" t="s">
        <v>1155</v>
      </c>
      <c r="AI189" s="202">
        <v>0</v>
      </c>
      <c r="AJ189" s="202">
        <v>0</v>
      </c>
    </row>
    <row r="190" spans="2:36">
      <c r="B190" s="203">
        <v>2180</v>
      </c>
      <c r="C190" s="207">
        <v>221021</v>
      </c>
      <c r="D190" s="203" t="s">
        <v>97</v>
      </c>
      <c r="E190" s="202" t="s">
        <v>647</v>
      </c>
      <c r="F190" s="203">
        <v>540</v>
      </c>
      <c r="G190" s="202"/>
      <c r="H190" s="202"/>
      <c r="I190" s="202"/>
      <c r="J190" s="202">
        <v>0</v>
      </c>
      <c r="K190" s="202" t="s">
        <v>2445</v>
      </c>
      <c r="L190" s="202"/>
      <c r="M190" s="202" t="s">
        <v>2846</v>
      </c>
      <c r="N190" s="206">
        <v>43736</v>
      </c>
      <c r="O190" s="206">
        <v>43736</v>
      </c>
      <c r="P190" s="202" t="s">
        <v>2845</v>
      </c>
      <c r="Q190" s="203">
        <v>700</v>
      </c>
      <c r="R190" s="203">
        <v>14050</v>
      </c>
      <c r="S190" s="204">
        <v>17865.96</v>
      </c>
      <c r="T190" s="203">
        <v>14056</v>
      </c>
      <c r="U190" s="204">
        <v>5742.63</v>
      </c>
      <c r="V190" s="204">
        <f t="shared" si="13"/>
        <v>12123.329999999998</v>
      </c>
      <c r="W190" s="205">
        <v>2552.2800000000002</v>
      </c>
      <c r="X190" s="203">
        <v>54260</v>
      </c>
      <c r="Y190" s="204">
        <v>212.69</v>
      </c>
      <c r="Z190" s="202" t="s">
        <v>97</v>
      </c>
      <c r="AA190" s="202"/>
      <c r="AB190" s="202">
        <v>50050364</v>
      </c>
      <c r="AC190" s="202"/>
      <c r="AD190" s="202" t="s">
        <v>1152</v>
      </c>
      <c r="AE190" s="202" t="s">
        <v>1153</v>
      </c>
      <c r="AF190" s="203" t="s">
        <v>1154</v>
      </c>
      <c r="AG190" s="202"/>
      <c r="AH190" s="203" t="s">
        <v>1155</v>
      </c>
      <c r="AI190" s="202">
        <v>0</v>
      </c>
      <c r="AJ190" s="202">
        <v>0</v>
      </c>
    </row>
    <row r="191" spans="2:36">
      <c r="B191" s="203">
        <v>2180</v>
      </c>
      <c r="C191" s="207">
        <v>220524</v>
      </c>
      <c r="D191" s="203">
        <v>218236</v>
      </c>
      <c r="E191" s="202" t="s">
        <v>2843</v>
      </c>
      <c r="F191" s="203"/>
      <c r="G191" s="202"/>
      <c r="H191" s="202"/>
      <c r="I191" s="202"/>
      <c r="J191" s="202">
        <v>0</v>
      </c>
      <c r="K191" s="202" t="s">
        <v>2844</v>
      </c>
      <c r="L191" s="202"/>
      <c r="M191" s="202" t="s">
        <v>1447</v>
      </c>
      <c r="N191" s="206">
        <v>43682</v>
      </c>
      <c r="O191" s="206">
        <v>43682</v>
      </c>
      <c r="P191" s="202" t="s">
        <v>2826</v>
      </c>
      <c r="Q191" s="203">
        <v>1000</v>
      </c>
      <c r="R191" s="203">
        <v>14040</v>
      </c>
      <c r="S191" s="204">
        <v>530</v>
      </c>
      <c r="T191" s="203">
        <v>14046</v>
      </c>
      <c r="U191" s="204">
        <v>128.08000000000001</v>
      </c>
      <c r="V191" s="204">
        <f t="shared" si="13"/>
        <v>401.91999999999996</v>
      </c>
      <c r="W191" s="205">
        <v>53</v>
      </c>
      <c r="X191" s="203">
        <v>51260</v>
      </c>
      <c r="Y191" s="204">
        <v>4.42</v>
      </c>
      <c r="Z191" s="202" t="s">
        <v>97</v>
      </c>
      <c r="AA191" s="202"/>
      <c r="AB191" s="202">
        <v>1045</v>
      </c>
      <c r="AC191" s="202"/>
      <c r="AD191" s="202" t="s">
        <v>1152</v>
      </c>
      <c r="AE191" s="202" t="s">
        <v>1153</v>
      </c>
      <c r="AF191" s="203" t="s">
        <v>1154</v>
      </c>
      <c r="AG191" s="202"/>
      <c r="AH191" s="203" t="s">
        <v>1155</v>
      </c>
      <c r="AI191" s="202">
        <v>0</v>
      </c>
      <c r="AJ191" s="202">
        <v>0</v>
      </c>
    </row>
    <row r="192" spans="2:36">
      <c r="B192" s="203">
        <v>2180</v>
      </c>
      <c r="C192" s="207">
        <v>220523</v>
      </c>
      <c r="D192" s="203">
        <v>218213</v>
      </c>
      <c r="E192" s="202" t="s">
        <v>2843</v>
      </c>
      <c r="F192" s="203"/>
      <c r="G192" s="202"/>
      <c r="H192" s="202"/>
      <c r="I192" s="202"/>
      <c r="J192" s="202">
        <v>0</v>
      </c>
      <c r="K192" s="202" t="s">
        <v>2842</v>
      </c>
      <c r="L192" s="202"/>
      <c r="M192" s="202" t="s">
        <v>1447</v>
      </c>
      <c r="N192" s="206">
        <v>43666</v>
      </c>
      <c r="O192" s="206">
        <v>43666</v>
      </c>
      <c r="P192" s="202" t="s">
        <v>2824</v>
      </c>
      <c r="Q192" s="203">
        <v>1000</v>
      </c>
      <c r="R192" s="203">
        <v>14040</v>
      </c>
      <c r="S192" s="204">
        <v>1016.48</v>
      </c>
      <c r="T192" s="203">
        <v>14046</v>
      </c>
      <c r="U192" s="204">
        <v>245.65</v>
      </c>
      <c r="V192" s="204">
        <f t="shared" si="13"/>
        <v>770.83</v>
      </c>
      <c r="W192" s="205">
        <v>101.65</v>
      </c>
      <c r="X192" s="203">
        <v>51260</v>
      </c>
      <c r="Y192" s="204">
        <v>8.4700000000000006</v>
      </c>
      <c r="Z192" s="202" t="s">
        <v>97</v>
      </c>
      <c r="AA192" s="202"/>
      <c r="AB192" s="202">
        <v>25884</v>
      </c>
      <c r="AC192" s="202"/>
      <c r="AD192" s="202" t="s">
        <v>1152</v>
      </c>
      <c r="AE192" s="202" t="s">
        <v>1153</v>
      </c>
      <c r="AF192" s="203" t="s">
        <v>1154</v>
      </c>
      <c r="AG192" s="202"/>
      <c r="AH192" s="203" t="s">
        <v>1155</v>
      </c>
      <c r="AI192" s="202">
        <v>0</v>
      </c>
      <c r="AJ192" s="202">
        <v>0</v>
      </c>
    </row>
    <row r="193" spans="2:36">
      <c r="B193" s="203">
        <v>2180</v>
      </c>
      <c r="C193" s="207">
        <v>220407</v>
      </c>
      <c r="D193" s="203">
        <v>219754</v>
      </c>
      <c r="E193" s="202" t="s">
        <v>1256</v>
      </c>
      <c r="F193" s="203"/>
      <c r="G193" s="202"/>
      <c r="H193" s="202"/>
      <c r="I193" s="202"/>
      <c r="J193" s="202">
        <v>0</v>
      </c>
      <c r="K193" s="202" t="s">
        <v>2744</v>
      </c>
      <c r="L193" s="202"/>
      <c r="M193" s="202" t="s">
        <v>1447</v>
      </c>
      <c r="N193" s="206">
        <v>43738</v>
      </c>
      <c r="O193" s="206">
        <v>43738</v>
      </c>
      <c r="P193" s="202" t="s">
        <v>2841</v>
      </c>
      <c r="Q193" s="203">
        <v>1000</v>
      </c>
      <c r="R193" s="203">
        <v>14040</v>
      </c>
      <c r="S193" s="204">
        <v>576.75</v>
      </c>
      <c r="T193" s="203">
        <v>14046</v>
      </c>
      <c r="U193" s="204">
        <v>129.78</v>
      </c>
      <c r="V193" s="204">
        <f t="shared" si="13"/>
        <v>446.97</v>
      </c>
      <c r="W193" s="205">
        <v>57.68</v>
      </c>
      <c r="X193" s="203">
        <v>51260</v>
      </c>
      <c r="Y193" s="204">
        <v>4.8099999999999996</v>
      </c>
      <c r="Z193" s="202" t="s">
        <v>97</v>
      </c>
      <c r="AA193" s="202"/>
      <c r="AB193" s="202">
        <v>663</v>
      </c>
      <c r="AC193" s="202"/>
      <c r="AD193" s="202" t="s">
        <v>1152</v>
      </c>
      <c r="AE193" s="202" t="s">
        <v>1153</v>
      </c>
      <c r="AF193" s="203" t="s">
        <v>1154</v>
      </c>
      <c r="AG193" s="202"/>
      <c r="AH193" s="203" t="s">
        <v>1155</v>
      </c>
      <c r="AI193" s="202">
        <v>0</v>
      </c>
      <c r="AJ193" s="202">
        <v>0</v>
      </c>
    </row>
    <row r="194" spans="2:36">
      <c r="B194" s="203">
        <v>2180</v>
      </c>
      <c r="C194" s="207">
        <v>219755</v>
      </c>
      <c r="D194" s="203">
        <v>219049</v>
      </c>
      <c r="E194" s="202" t="s">
        <v>2840</v>
      </c>
      <c r="F194" s="203"/>
      <c r="G194" s="202"/>
      <c r="H194" s="202"/>
      <c r="I194" s="202"/>
      <c r="J194" s="202">
        <v>0</v>
      </c>
      <c r="K194" s="202"/>
      <c r="L194" s="202"/>
      <c r="M194" s="202"/>
      <c r="N194" s="206">
        <v>43738</v>
      </c>
      <c r="O194" s="206">
        <v>43738</v>
      </c>
      <c r="P194" s="202" t="s">
        <v>2839</v>
      </c>
      <c r="Q194" s="203">
        <v>500</v>
      </c>
      <c r="R194" s="203">
        <v>14070</v>
      </c>
      <c r="S194" s="204">
        <v>17409.41</v>
      </c>
      <c r="T194" s="203">
        <v>14076</v>
      </c>
      <c r="U194" s="204">
        <v>7834.23</v>
      </c>
      <c r="V194" s="204">
        <f t="shared" si="13"/>
        <v>9575.18</v>
      </c>
      <c r="W194" s="205">
        <v>3481.88</v>
      </c>
      <c r="X194" s="203">
        <v>51260</v>
      </c>
      <c r="Y194" s="204">
        <v>290.16000000000003</v>
      </c>
      <c r="Z194" s="202" t="s">
        <v>97</v>
      </c>
      <c r="AA194" s="202"/>
      <c r="AB194" s="202"/>
      <c r="AC194" s="202"/>
      <c r="AD194" s="202" t="s">
        <v>1152</v>
      </c>
      <c r="AE194" s="202" t="s">
        <v>1153</v>
      </c>
      <c r="AF194" s="203" t="s">
        <v>1154</v>
      </c>
      <c r="AG194" s="202"/>
      <c r="AH194" s="203" t="s">
        <v>1155</v>
      </c>
      <c r="AI194" s="202">
        <v>0</v>
      </c>
      <c r="AJ194" s="202">
        <v>0</v>
      </c>
    </row>
    <row r="195" spans="2:36">
      <c r="B195" s="203">
        <v>2180</v>
      </c>
      <c r="C195" s="207">
        <v>219754</v>
      </c>
      <c r="D195" s="203" t="s">
        <v>97</v>
      </c>
      <c r="E195" s="202" t="s">
        <v>2838</v>
      </c>
      <c r="F195" s="203"/>
      <c r="G195" s="202"/>
      <c r="H195" s="202" t="s">
        <v>2837</v>
      </c>
      <c r="I195" s="202"/>
      <c r="J195" s="202">
        <v>2019</v>
      </c>
      <c r="K195" s="202" t="s">
        <v>2290</v>
      </c>
      <c r="L195" s="202" t="s">
        <v>2413</v>
      </c>
      <c r="M195" s="202" t="s">
        <v>1404</v>
      </c>
      <c r="N195" s="206">
        <v>43738</v>
      </c>
      <c r="O195" s="206">
        <v>43738</v>
      </c>
      <c r="P195" s="202" t="s">
        <v>2836</v>
      </c>
      <c r="Q195" s="203">
        <v>1000</v>
      </c>
      <c r="R195" s="203">
        <v>14040</v>
      </c>
      <c r="S195" s="204">
        <v>192346.45</v>
      </c>
      <c r="T195" s="203">
        <v>14046</v>
      </c>
      <c r="U195" s="204">
        <v>43277.96</v>
      </c>
      <c r="V195" s="204">
        <f t="shared" si="13"/>
        <v>149068.49000000002</v>
      </c>
      <c r="W195" s="205">
        <v>19234.650000000001</v>
      </c>
      <c r="X195" s="203">
        <v>51260</v>
      </c>
      <c r="Y195" s="204">
        <v>1602.89</v>
      </c>
      <c r="Z195" s="202" t="s">
        <v>97</v>
      </c>
      <c r="AA195" s="202"/>
      <c r="AB195" s="202"/>
      <c r="AC195" s="202">
        <v>3684</v>
      </c>
      <c r="AD195" s="202" t="s">
        <v>1152</v>
      </c>
      <c r="AE195" s="202" t="s">
        <v>1153</v>
      </c>
      <c r="AF195" s="203" t="s">
        <v>1154</v>
      </c>
      <c r="AG195" s="202"/>
      <c r="AH195" s="203" t="s">
        <v>1155</v>
      </c>
      <c r="AI195" s="202">
        <v>0</v>
      </c>
      <c r="AJ195" s="202">
        <v>0</v>
      </c>
    </row>
    <row r="196" spans="2:36">
      <c r="B196" s="203">
        <v>2180</v>
      </c>
      <c r="C196" s="207">
        <v>219637</v>
      </c>
      <c r="D196" s="203" t="s">
        <v>97</v>
      </c>
      <c r="E196" s="202" t="s">
        <v>2835</v>
      </c>
      <c r="F196" s="203"/>
      <c r="G196" s="202"/>
      <c r="H196" s="202"/>
      <c r="I196" s="202"/>
      <c r="J196" s="202">
        <v>0</v>
      </c>
      <c r="K196" s="202" t="s">
        <v>2834</v>
      </c>
      <c r="L196" s="202"/>
      <c r="M196" s="202"/>
      <c r="N196" s="206">
        <v>43683</v>
      </c>
      <c r="O196" s="206">
        <v>43683</v>
      </c>
      <c r="P196" s="202" t="s">
        <v>2829</v>
      </c>
      <c r="Q196" s="203">
        <v>300</v>
      </c>
      <c r="R196" s="203">
        <v>14110</v>
      </c>
      <c r="S196" s="204">
        <v>1475.55</v>
      </c>
      <c r="T196" s="203">
        <v>14116</v>
      </c>
      <c r="U196" s="204">
        <v>1188.6400000000001</v>
      </c>
      <c r="V196" s="204">
        <f t="shared" si="13"/>
        <v>286.90999999999985</v>
      </c>
      <c r="W196" s="205">
        <v>491.85</v>
      </c>
      <c r="X196" s="203">
        <v>70260</v>
      </c>
      <c r="Y196" s="204">
        <v>40.99</v>
      </c>
      <c r="Z196" s="202" t="s">
        <v>97</v>
      </c>
      <c r="AA196" s="202"/>
      <c r="AB196" s="202">
        <v>3229</v>
      </c>
      <c r="AC196" s="202"/>
      <c r="AD196" s="202" t="s">
        <v>1152</v>
      </c>
      <c r="AE196" s="202" t="s">
        <v>1153</v>
      </c>
      <c r="AF196" s="203" t="s">
        <v>1154</v>
      </c>
      <c r="AG196" s="202"/>
      <c r="AH196" s="203" t="s">
        <v>1155</v>
      </c>
      <c r="AI196" s="202">
        <v>0</v>
      </c>
      <c r="AJ196" s="202">
        <v>0</v>
      </c>
    </row>
    <row r="197" spans="2:36">
      <c r="B197" s="203">
        <v>2180</v>
      </c>
      <c r="C197" s="207">
        <v>219050</v>
      </c>
      <c r="D197" s="203" t="s">
        <v>97</v>
      </c>
      <c r="E197" s="202" t="s">
        <v>985</v>
      </c>
      <c r="F197" s="203"/>
      <c r="G197" s="202"/>
      <c r="H197" s="202"/>
      <c r="I197" s="202"/>
      <c r="J197" s="202">
        <v>0</v>
      </c>
      <c r="K197" s="202" t="s">
        <v>1429</v>
      </c>
      <c r="L197" s="202"/>
      <c r="M197" s="202"/>
      <c r="N197" s="206">
        <v>43706</v>
      </c>
      <c r="O197" s="206">
        <v>43706</v>
      </c>
      <c r="P197" s="202" t="s">
        <v>2833</v>
      </c>
      <c r="Q197" s="203">
        <v>300</v>
      </c>
      <c r="R197" s="203">
        <v>14110</v>
      </c>
      <c r="S197" s="204">
        <v>1408.73</v>
      </c>
      <c r="T197" s="203">
        <v>14116</v>
      </c>
      <c r="U197" s="204">
        <v>1095.69</v>
      </c>
      <c r="V197" s="204">
        <f t="shared" si="13"/>
        <v>313.03999999999996</v>
      </c>
      <c r="W197" s="205">
        <v>469.58</v>
      </c>
      <c r="X197" s="203">
        <v>70260</v>
      </c>
      <c r="Y197" s="204">
        <v>39.130000000000003</v>
      </c>
      <c r="Z197" s="202" t="s">
        <v>97</v>
      </c>
      <c r="AA197" s="202"/>
      <c r="AB197" s="202" t="s">
        <v>2832</v>
      </c>
      <c r="AC197" s="202"/>
      <c r="AD197" s="202" t="s">
        <v>1152</v>
      </c>
      <c r="AE197" s="202" t="s">
        <v>1153</v>
      </c>
      <c r="AF197" s="203" t="s">
        <v>1154</v>
      </c>
      <c r="AG197" s="202"/>
      <c r="AH197" s="203" t="s">
        <v>1155</v>
      </c>
      <c r="AI197" s="202">
        <v>0</v>
      </c>
      <c r="AJ197" s="202">
        <v>0</v>
      </c>
    </row>
    <row r="198" spans="2:36">
      <c r="B198" s="203">
        <v>2180</v>
      </c>
      <c r="C198" s="207">
        <v>219049</v>
      </c>
      <c r="D198" s="203" t="s">
        <v>97</v>
      </c>
      <c r="E198" s="202" t="s">
        <v>2831</v>
      </c>
      <c r="F198" s="203"/>
      <c r="G198" s="202"/>
      <c r="H198" s="202"/>
      <c r="I198" s="202"/>
      <c r="J198" s="202">
        <v>0</v>
      </c>
      <c r="K198" s="202" t="s">
        <v>2830</v>
      </c>
      <c r="L198" s="202"/>
      <c r="M198" s="202"/>
      <c r="N198" s="206">
        <v>43683</v>
      </c>
      <c r="O198" s="206">
        <v>43683</v>
      </c>
      <c r="P198" s="202" t="s">
        <v>2829</v>
      </c>
      <c r="Q198" s="203">
        <v>500</v>
      </c>
      <c r="R198" s="203">
        <v>14070</v>
      </c>
      <c r="S198" s="204">
        <v>1265.69</v>
      </c>
      <c r="T198" s="203">
        <v>14076</v>
      </c>
      <c r="U198" s="204">
        <v>611.76</v>
      </c>
      <c r="V198" s="204">
        <f t="shared" si="13"/>
        <v>653.93000000000006</v>
      </c>
      <c r="W198" s="205">
        <v>253.14</v>
      </c>
      <c r="X198" s="203">
        <v>51260</v>
      </c>
      <c r="Y198" s="204">
        <v>21.09</v>
      </c>
      <c r="Z198" s="202" t="s">
        <v>97</v>
      </c>
      <c r="AA198" s="202"/>
      <c r="AB198" s="202">
        <v>816913890</v>
      </c>
      <c r="AC198" s="202"/>
      <c r="AD198" s="202" t="s">
        <v>1152</v>
      </c>
      <c r="AE198" s="202" t="s">
        <v>1153</v>
      </c>
      <c r="AF198" s="203" t="s">
        <v>1154</v>
      </c>
      <c r="AG198" s="202"/>
      <c r="AH198" s="203" t="s">
        <v>1155</v>
      </c>
      <c r="AI198" s="202">
        <v>0</v>
      </c>
      <c r="AJ198" s="202">
        <v>0</v>
      </c>
    </row>
    <row r="199" spans="2:36">
      <c r="B199" s="203">
        <v>2180</v>
      </c>
      <c r="C199" s="207">
        <v>218236</v>
      </c>
      <c r="D199" s="203" t="s">
        <v>97</v>
      </c>
      <c r="E199" s="202" t="s">
        <v>2828</v>
      </c>
      <c r="F199" s="203"/>
      <c r="G199" s="202"/>
      <c r="H199" s="202" t="s">
        <v>2827</v>
      </c>
      <c r="I199" s="202"/>
      <c r="J199" s="202">
        <v>2019</v>
      </c>
      <c r="K199" s="202" t="s">
        <v>2290</v>
      </c>
      <c r="L199" s="202" t="s">
        <v>2413</v>
      </c>
      <c r="M199" s="202" t="s">
        <v>1999</v>
      </c>
      <c r="N199" s="206">
        <v>43682</v>
      </c>
      <c r="O199" s="206">
        <v>43682</v>
      </c>
      <c r="P199" s="202" t="s">
        <v>2826</v>
      </c>
      <c r="Q199" s="203">
        <v>1000</v>
      </c>
      <c r="R199" s="203">
        <v>14040</v>
      </c>
      <c r="S199" s="204">
        <v>355897.69</v>
      </c>
      <c r="T199" s="203">
        <v>14046</v>
      </c>
      <c r="U199" s="204">
        <v>86008.61</v>
      </c>
      <c r="V199" s="204">
        <f t="shared" si="13"/>
        <v>269889.08</v>
      </c>
      <c r="W199" s="205">
        <v>35589.769999999997</v>
      </c>
      <c r="X199" s="203">
        <v>51260</v>
      </c>
      <c r="Y199" s="204">
        <v>2965.81</v>
      </c>
      <c r="Z199" s="202" t="s">
        <v>97</v>
      </c>
      <c r="AA199" s="202"/>
      <c r="AB199" s="202"/>
      <c r="AC199" s="202">
        <v>2058</v>
      </c>
      <c r="AD199" s="202" t="s">
        <v>1152</v>
      </c>
      <c r="AE199" s="202" t="s">
        <v>1153</v>
      </c>
      <c r="AF199" s="203" t="s">
        <v>1154</v>
      </c>
      <c r="AG199" s="202"/>
      <c r="AH199" s="203" t="s">
        <v>1155</v>
      </c>
      <c r="AI199" s="202">
        <v>0</v>
      </c>
      <c r="AJ199" s="202">
        <v>0</v>
      </c>
    </row>
    <row r="200" spans="2:36">
      <c r="B200" s="203">
        <v>2180</v>
      </c>
      <c r="C200" s="207">
        <v>218213</v>
      </c>
      <c r="D200" s="203" t="s">
        <v>97</v>
      </c>
      <c r="E200" s="202" t="s">
        <v>125</v>
      </c>
      <c r="F200" s="203">
        <v>0</v>
      </c>
      <c r="G200" s="202"/>
      <c r="H200" s="202" t="s">
        <v>2825</v>
      </c>
      <c r="I200" s="202"/>
      <c r="J200" s="202">
        <v>2019</v>
      </c>
      <c r="K200" s="202" t="s">
        <v>2290</v>
      </c>
      <c r="L200" s="202" t="s">
        <v>2785</v>
      </c>
      <c r="M200" s="202" t="s">
        <v>1999</v>
      </c>
      <c r="N200" s="206">
        <v>43666</v>
      </c>
      <c r="O200" s="206">
        <v>43666</v>
      </c>
      <c r="P200" s="202" t="s">
        <v>2824</v>
      </c>
      <c r="Q200" s="203">
        <v>1000</v>
      </c>
      <c r="R200" s="203">
        <v>14040</v>
      </c>
      <c r="S200" s="204">
        <v>355897.69</v>
      </c>
      <c r="T200" s="203">
        <v>14046</v>
      </c>
      <c r="U200" s="204">
        <v>86008.61</v>
      </c>
      <c r="V200" s="204">
        <f t="shared" si="13"/>
        <v>269889.08</v>
      </c>
      <c r="W200" s="205">
        <v>35589.769999999997</v>
      </c>
      <c r="X200" s="203">
        <v>51260</v>
      </c>
      <c r="Y200" s="204">
        <v>2965.81</v>
      </c>
      <c r="Z200" s="202" t="s">
        <v>97</v>
      </c>
      <c r="AA200" s="202"/>
      <c r="AB200" s="202"/>
      <c r="AC200" s="202">
        <v>2059</v>
      </c>
      <c r="AD200" s="202" t="s">
        <v>1152</v>
      </c>
      <c r="AE200" s="202" t="s">
        <v>1153</v>
      </c>
      <c r="AF200" s="203" t="s">
        <v>1154</v>
      </c>
      <c r="AG200" s="202"/>
      <c r="AH200" s="203" t="s">
        <v>1155</v>
      </c>
      <c r="AI200" s="202">
        <v>0</v>
      </c>
      <c r="AJ200" s="202">
        <v>0</v>
      </c>
    </row>
    <row r="201" spans="2:36">
      <c r="B201" s="203">
        <v>2180</v>
      </c>
      <c r="C201" s="207">
        <v>218089</v>
      </c>
      <c r="D201" s="203" t="s">
        <v>97</v>
      </c>
      <c r="E201" s="202" t="s">
        <v>607</v>
      </c>
      <c r="F201" s="203">
        <v>5</v>
      </c>
      <c r="G201" s="202"/>
      <c r="H201" s="202"/>
      <c r="I201" s="202"/>
      <c r="J201" s="202">
        <v>0</v>
      </c>
      <c r="K201" s="202" t="s">
        <v>2041</v>
      </c>
      <c r="L201" s="202"/>
      <c r="M201" s="202" t="s">
        <v>1417</v>
      </c>
      <c r="N201" s="206">
        <v>43661</v>
      </c>
      <c r="O201" s="206">
        <v>43661</v>
      </c>
      <c r="P201" s="202" t="s">
        <v>2823</v>
      </c>
      <c r="Q201" s="203">
        <v>1200</v>
      </c>
      <c r="R201" s="203">
        <v>14050</v>
      </c>
      <c r="S201" s="204">
        <v>39950</v>
      </c>
      <c r="T201" s="203">
        <v>14056</v>
      </c>
      <c r="U201" s="204">
        <v>8322.92</v>
      </c>
      <c r="V201" s="204">
        <f t="shared" si="13"/>
        <v>31627.08</v>
      </c>
      <c r="W201" s="205">
        <v>3329.17</v>
      </c>
      <c r="X201" s="203">
        <v>54260</v>
      </c>
      <c r="Y201" s="204">
        <v>277.43</v>
      </c>
      <c r="Z201" s="202" t="s">
        <v>97</v>
      </c>
      <c r="AA201" s="202"/>
      <c r="AB201" s="202">
        <v>154666</v>
      </c>
      <c r="AC201" s="202"/>
      <c r="AD201" s="202" t="s">
        <v>1152</v>
      </c>
      <c r="AE201" s="202" t="s">
        <v>1153</v>
      </c>
      <c r="AF201" s="203" t="s">
        <v>1154</v>
      </c>
      <c r="AG201" s="202"/>
      <c r="AH201" s="203" t="s">
        <v>1155</v>
      </c>
      <c r="AI201" s="202">
        <v>0</v>
      </c>
      <c r="AJ201" s="202">
        <v>0</v>
      </c>
    </row>
    <row r="202" spans="2:36">
      <c r="B202" s="203">
        <v>2180</v>
      </c>
      <c r="C202" s="207">
        <v>217278</v>
      </c>
      <c r="D202" s="203" t="s">
        <v>97</v>
      </c>
      <c r="E202" s="202" t="s">
        <v>676</v>
      </c>
      <c r="F202" s="203">
        <v>624</v>
      </c>
      <c r="G202" s="202"/>
      <c r="H202" s="202"/>
      <c r="I202" s="202"/>
      <c r="J202" s="202">
        <v>0</v>
      </c>
      <c r="K202" s="202" t="s">
        <v>2502</v>
      </c>
      <c r="L202" s="202"/>
      <c r="M202" s="202"/>
      <c r="N202" s="206">
        <v>43647</v>
      </c>
      <c r="O202" s="206">
        <v>43647</v>
      </c>
      <c r="P202" s="202" t="s">
        <v>2822</v>
      </c>
      <c r="Q202" s="203">
        <v>700</v>
      </c>
      <c r="R202" s="203">
        <v>14050</v>
      </c>
      <c r="S202" s="204">
        <v>30698.34</v>
      </c>
      <c r="T202" s="203">
        <v>14056</v>
      </c>
      <c r="U202" s="204">
        <v>10963.7</v>
      </c>
      <c r="V202" s="204">
        <f t="shared" si="13"/>
        <v>19734.64</v>
      </c>
      <c r="W202" s="205">
        <v>4385.4799999999996</v>
      </c>
      <c r="X202" s="203">
        <v>54260</v>
      </c>
      <c r="Y202" s="204">
        <v>365.46</v>
      </c>
      <c r="Z202" s="202" t="s">
        <v>97</v>
      </c>
      <c r="AA202" s="202"/>
      <c r="AB202" s="202">
        <v>65607968</v>
      </c>
      <c r="AC202" s="202"/>
      <c r="AD202" s="202" t="s">
        <v>1152</v>
      </c>
      <c r="AE202" s="202" t="s">
        <v>1153</v>
      </c>
      <c r="AF202" s="203" t="s">
        <v>1154</v>
      </c>
      <c r="AG202" s="202"/>
      <c r="AH202" s="203" t="s">
        <v>1155</v>
      </c>
      <c r="AI202" s="202">
        <v>0</v>
      </c>
      <c r="AJ202" s="202">
        <v>0</v>
      </c>
    </row>
    <row r="203" spans="2:36">
      <c r="B203" s="203">
        <v>2180</v>
      </c>
      <c r="C203" s="207">
        <v>217052</v>
      </c>
      <c r="D203" s="203" t="s">
        <v>97</v>
      </c>
      <c r="E203" s="202" t="s">
        <v>696</v>
      </c>
      <c r="F203" s="203">
        <v>1248</v>
      </c>
      <c r="G203" s="202"/>
      <c r="H203" s="202"/>
      <c r="I203" s="202"/>
      <c r="J203" s="202">
        <v>0</v>
      </c>
      <c r="K203" s="202" t="s">
        <v>2502</v>
      </c>
      <c r="L203" s="202"/>
      <c r="M203" s="202"/>
      <c r="N203" s="206">
        <v>43638</v>
      </c>
      <c r="O203" s="206">
        <v>43638</v>
      </c>
      <c r="P203" s="202" t="s">
        <v>2821</v>
      </c>
      <c r="Q203" s="203">
        <v>700</v>
      </c>
      <c r="R203" s="203">
        <v>14050</v>
      </c>
      <c r="S203" s="204">
        <v>61396.68</v>
      </c>
      <c r="T203" s="203">
        <v>14056</v>
      </c>
      <c r="U203" s="204">
        <v>21927.4</v>
      </c>
      <c r="V203" s="204">
        <f t="shared" si="13"/>
        <v>39469.279999999999</v>
      </c>
      <c r="W203" s="205">
        <v>8770.9599999999991</v>
      </c>
      <c r="X203" s="203">
        <v>54260</v>
      </c>
      <c r="Y203" s="204">
        <v>730.91</v>
      </c>
      <c r="Z203" s="202" t="s">
        <v>97</v>
      </c>
      <c r="AA203" s="202"/>
      <c r="AB203" s="202">
        <v>65606762</v>
      </c>
      <c r="AC203" s="202"/>
      <c r="AD203" s="202" t="s">
        <v>1152</v>
      </c>
      <c r="AE203" s="202" t="s">
        <v>1153</v>
      </c>
      <c r="AF203" s="203" t="s">
        <v>1154</v>
      </c>
      <c r="AG203" s="202"/>
      <c r="AH203" s="203" t="s">
        <v>1155</v>
      </c>
      <c r="AI203" s="202">
        <v>0</v>
      </c>
      <c r="AJ203" s="202">
        <v>0</v>
      </c>
    </row>
    <row r="204" spans="2:36">
      <c r="B204" s="203">
        <v>2180</v>
      </c>
      <c r="C204" s="207">
        <v>217051</v>
      </c>
      <c r="D204" s="203" t="s">
        <v>97</v>
      </c>
      <c r="E204" s="202" t="s">
        <v>646</v>
      </c>
      <c r="F204" s="203">
        <v>624</v>
      </c>
      <c r="G204" s="202"/>
      <c r="H204" s="202"/>
      <c r="I204" s="202"/>
      <c r="J204" s="202">
        <v>0</v>
      </c>
      <c r="K204" s="202" t="s">
        <v>2502</v>
      </c>
      <c r="L204" s="202"/>
      <c r="M204" s="202"/>
      <c r="N204" s="206">
        <v>43637</v>
      </c>
      <c r="O204" s="206">
        <v>43637</v>
      </c>
      <c r="P204" s="202" t="s">
        <v>2820</v>
      </c>
      <c r="Q204" s="203">
        <v>700</v>
      </c>
      <c r="R204" s="203">
        <v>14050</v>
      </c>
      <c r="S204" s="204">
        <v>30698.34</v>
      </c>
      <c r="T204" s="203">
        <v>14056</v>
      </c>
      <c r="U204" s="204">
        <v>10963.7</v>
      </c>
      <c r="V204" s="204">
        <f t="shared" si="13"/>
        <v>19734.64</v>
      </c>
      <c r="W204" s="205">
        <v>4385.4799999999996</v>
      </c>
      <c r="X204" s="203">
        <v>54260</v>
      </c>
      <c r="Y204" s="204">
        <v>365.46</v>
      </c>
      <c r="Z204" s="202" t="s">
        <v>97</v>
      </c>
      <c r="AA204" s="202"/>
      <c r="AB204" s="202">
        <v>65606627</v>
      </c>
      <c r="AC204" s="202"/>
      <c r="AD204" s="202" t="s">
        <v>1152</v>
      </c>
      <c r="AE204" s="202" t="s">
        <v>1153</v>
      </c>
      <c r="AF204" s="203" t="s">
        <v>1154</v>
      </c>
      <c r="AG204" s="202"/>
      <c r="AH204" s="203" t="s">
        <v>1155</v>
      </c>
      <c r="AI204" s="202">
        <v>0</v>
      </c>
      <c r="AJ204" s="202">
        <v>0</v>
      </c>
    </row>
    <row r="205" spans="2:36">
      <c r="B205" s="203">
        <v>2180</v>
      </c>
      <c r="C205" s="207">
        <v>217050</v>
      </c>
      <c r="D205" s="203" t="s">
        <v>97</v>
      </c>
      <c r="E205" s="202" t="s">
        <v>606</v>
      </c>
      <c r="F205" s="203">
        <v>5</v>
      </c>
      <c r="G205" s="202"/>
      <c r="H205" s="202"/>
      <c r="I205" s="202"/>
      <c r="J205" s="202">
        <v>0</v>
      </c>
      <c r="K205" s="202" t="s">
        <v>2041</v>
      </c>
      <c r="L205" s="202"/>
      <c r="M205" s="202" t="s">
        <v>1454</v>
      </c>
      <c r="N205" s="206">
        <v>43643</v>
      </c>
      <c r="O205" s="206">
        <v>43643</v>
      </c>
      <c r="P205" s="202" t="s">
        <v>2819</v>
      </c>
      <c r="Q205" s="203">
        <v>1200</v>
      </c>
      <c r="R205" s="203">
        <v>14050</v>
      </c>
      <c r="S205" s="204">
        <v>34425</v>
      </c>
      <c r="T205" s="203">
        <v>14056</v>
      </c>
      <c r="U205" s="204">
        <v>7171.88</v>
      </c>
      <c r="V205" s="204">
        <f t="shared" si="13"/>
        <v>27253.119999999999</v>
      </c>
      <c r="W205" s="205">
        <v>2868.75</v>
      </c>
      <c r="X205" s="203">
        <v>54260</v>
      </c>
      <c r="Y205" s="204">
        <v>239.06</v>
      </c>
      <c r="Z205" s="202" t="s">
        <v>97</v>
      </c>
      <c r="AA205" s="202"/>
      <c r="AB205" s="202">
        <v>154079</v>
      </c>
      <c r="AC205" s="202"/>
      <c r="AD205" s="202" t="s">
        <v>1152</v>
      </c>
      <c r="AE205" s="202" t="s">
        <v>1153</v>
      </c>
      <c r="AF205" s="203" t="s">
        <v>1154</v>
      </c>
      <c r="AG205" s="202"/>
      <c r="AH205" s="203" t="s">
        <v>1155</v>
      </c>
      <c r="AI205" s="202">
        <v>0</v>
      </c>
      <c r="AJ205" s="202">
        <v>0</v>
      </c>
    </row>
    <row r="206" spans="2:36">
      <c r="B206" s="203">
        <v>2180</v>
      </c>
      <c r="C206" s="207">
        <v>217049</v>
      </c>
      <c r="D206" s="203" t="s">
        <v>97</v>
      </c>
      <c r="E206" s="202" t="s">
        <v>605</v>
      </c>
      <c r="F206" s="203">
        <v>3</v>
      </c>
      <c r="G206" s="202"/>
      <c r="H206" s="202"/>
      <c r="I206" s="202"/>
      <c r="J206" s="202">
        <v>0</v>
      </c>
      <c r="K206" s="202" t="s">
        <v>2041</v>
      </c>
      <c r="L206" s="202"/>
      <c r="M206" s="202" t="s">
        <v>1458</v>
      </c>
      <c r="N206" s="206">
        <v>43643</v>
      </c>
      <c r="O206" s="206">
        <v>43643</v>
      </c>
      <c r="P206" s="202" t="s">
        <v>2818</v>
      </c>
      <c r="Q206" s="203">
        <v>1200</v>
      </c>
      <c r="R206" s="203">
        <v>14050</v>
      </c>
      <c r="S206" s="204">
        <v>18900</v>
      </c>
      <c r="T206" s="203">
        <v>14056</v>
      </c>
      <c r="U206" s="204">
        <v>3937.5</v>
      </c>
      <c r="V206" s="204">
        <f t="shared" ref="V206:V269" si="14">S206-U206</f>
        <v>14962.5</v>
      </c>
      <c r="W206" s="205">
        <v>1575</v>
      </c>
      <c r="X206" s="203">
        <v>54260</v>
      </c>
      <c r="Y206" s="204">
        <v>131.25</v>
      </c>
      <c r="Z206" s="202" t="s">
        <v>97</v>
      </c>
      <c r="AA206" s="202"/>
      <c r="AB206" s="202">
        <v>154023</v>
      </c>
      <c r="AC206" s="202"/>
      <c r="AD206" s="202" t="s">
        <v>1152</v>
      </c>
      <c r="AE206" s="202" t="s">
        <v>1153</v>
      </c>
      <c r="AF206" s="203" t="s">
        <v>1154</v>
      </c>
      <c r="AG206" s="202"/>
      <c r="AH206" s="203" t="s">
        <v>1155</v>
      </c>
      <c r="AI206" s="202">
        <v>0</v>
      </c>
      <c r="AJ206" s="202">
        <v>0</v>
      </c>
    </row>
    <row r="207" spans="2:36">
      <c r="B207" s="203">
        <v>2180</v>
      </c>
      <c r="C207" s="207">
        <v>216382</v>
      </c>
      <c r="D207" s="203" t="s">
        <v>97</v>
      </c>
      <c r="E207" s="202" t="s">
        <v>697</v>
      </c>
      <c r="F207" s="203">
        <v>936</v>
      </c>
      <c r="G207" s="202"/>
      <c r="H207" s="202"/>
      <c r="I207" s="202"/>
      <c r="J207" s="202">
        <v>0</v>
      </c>
      <c r="K207" s="202" t="s">
        <v>2502</v>
      </c>
      <c r="L207" s="202"/>
      <c r="M207" s="202"/>
      <c r="N207" s="206">
        <v>43622</v>
      </c>
      <c r="O207" s="206">
        <v>43622</v>
      </c>
      <c r="P207" s="202" t="s">
        <v>2817</v>
      </c>
      <c r="Q207" s="203">
        <v>700</v>
      </c>
      <c r="R207" s="203">
        <v>14050</v>
      </c>
      <c r="S207" s="204">
        <v>46475.57</v>
      </c>
      <c r="T207" s="203">
        <v>14056</v>
      </c>
      <c r="U207" s="204">
        <v>17151.71</v>
      </c>
      <c r="V207" s="204">
        <f t="shared" si="14"/>
        <v>29323.86</v>
      </c>
      <c r="W207" s="205">
        <v>6639.37</v>
      </c>
      <c r="X207" s="203">
        <v>54260</v>
      </c>
      <c r="Y207" s="204">
        <v>553.28</v>
      </c>
      <c r="Z207" s="202" t="s">
        <v>97</v>
      </c>
      <c r="AA207" s="202"/>
      <c r="AB207" s="202">
        <v>65603513</v>
      </c>
      <c r="AC207" s="202"/>
      <c r="AD207" s="202" t="s">
        <v>1152</v>
      </c>
      <c r="AE207" s="202" t="s">
        <v>1153</v>
      </c>
      <c r="AF207" s="203" t="s">
        <v>1154</v>
      </c>
      <c r="AG207" s="202"/>
      <c r="AH207" s="203" t="s">
        <v>1155</v>
      </c>
      <c r="AI207" s="202">
        <v>0</v>
      </c>
      <c r="AJ207" s="202">
        <v>0</v>
      </c>
    </row>
    <row r="208" spans="2:36">
      <c r="B208" s="203">
        <v>2180</v>
      </c>
      <c r="C208" s="207">
        <v>216381</v>
      </c>
      <c r="D208" s="203" t="s">
        <v>97</v>
      </c>
      <c r="E208" s="202" t="s">
        <v>2816</v>
      </c>
      <c r="F208" s="203">
        <v>432</v>
      </c>
      <c r="G208" s="202"/>
      <c r="H208" s="202"/>
      <c r="I208" s="202"/>
      <c r="J208" s="202">
        <v>0</v>
      </c>
      <c r="K208" s="202" t="s">
        <v>2502</v>
      </c>
      <c r="L208" s="202"/>
      <c r="M208" s="202"/>
      <c r="N208" s="206">
        <v>43623</v>
      </c>
      <c r="O208" s="206">
        <v>43623</v>
      </c>
      <c r="P208" s="202" t="s">
        <v>2815</v>
      </c>
      <c r="Q208" s="203">
        <v>700</v>
      </c>
      <c r="R208" s="203">
        <v>14050</v>
      </c>
      <c r="S208" s="204">
        <v>19561.55</v>
      </c>
      <c r="T208" s="203">
        <v>14056</v>
      </c>
      <c r="U208" s="204">
        <v>7219.15</v>
      </c>
      <c r="V208" s="204">
        <f t="shared" si="14"/>
        <v>12342.4</v>
      </c>
      <c r="W208" s="205">
        <v>2794.51</v>
      </c>
      <c r="X208" s="203">
        <v>54260</v>
      </c>
      <c r="Y208" s="204">
        <v>232.88</v>
      </c>
      <c r="Z208" s="202" t="s">
        <v>97</v>
      </c>
      <c r="AA208" s="202"/>
      <c r="AB208" s="202">
        <v>65603545</v>
      </c>
      <c r="AC208" s="202"/>
      <c r="AD208" s="202" t="s">
        <v>1152</v>
      </c>
      <c r="AE208" s="202" t="s">
        <v>1153</v>
      </c>
      <c r="AF208" s="203" t="s">
        <v>1154</v>
      </c>
      <c r="AG208" s="202"/>
      <c r="AH208" s="203" t="s">
        <v>1155</v>
      </c>
      <c r="AI208" s="202">
        <v>0</v>
      </c>
      <c r="AJ208" s="202">
        <v>0</v>
      </c>
    </row>
    <row r="209" spans="2:36">
      <c r="B209" s="203">
        <v>2180</v>
      </c>
      <c r="C209" s="207">
        <v>215456</v>
      </c>
      <c r="D209" s="203" t="s">
        <v>97</v>
      </c>
      <c r="E209" s="202" t="s">
        <v>528</v>
      </c>
      <c r="F209" s="203">
        <v>24</v>
      </c>
      <c r="G209" s="202"/>
      <c r="H209" s="202"/>
      <c r="I209" s="202"/>
      <c r="J209" s="202">
        <v>0</v>
      </c>
      <c r="K209" s="202" t="s">
        <v>1549</v>
      </c>
      <c r="L209" s="202"/>
      <c r="M209" s="202" t="s">
        <v>1456</v>
      </c>
      <c r="N209" s="206">
        <v>43614</v>
      </c>
      <c r="O209" s="206">
        <v>43614</v>
      </c>
      <c r="P209" s="202" t="s">
        <v>2814</v>
      </c>
      <c r="Q209" s="203">
        <v>1200</v>
      </c>
      <c r="R209" s="203">
        <v>14050</v>
      </c>
      <c r="S209" s="204">
        <v>23273.69</v>
      </c>
      <c r="T209" s="203">
        <v>14056</v>
      </c>
      <c r="U209" s="204">
        <v>5010.32</v>
      </c>
      <c r="V209" s="204">
        <f t="shared" si="14"/>
        <v>18263.37</v>
      </c>
      <c r="W209" s="205">
        <v>1939.48</v>
      </c>
      <c r="X209" s="203">
        <v>54260</v>
      </c>
      <c r="Y209" s="204">
        <v>161.62</v>
      </c>
      <c r="Z209" s="202" t="s">
        <v>97</v>
      </c>
      <c r="AA209" s="202"/>
      <c r="AB209" s="202" t="s">
        <v>2805</v>
      </c>
      <c r="AC209" s="202"/>
      <c r="AD209" s="202" t="s">
        <v>1152</v>
      </c>
      <c r="AE209" s="202" t="s">
        <v>1153</v>
      </c>
      <c r="AF209" s="203" t="s">
        <v>1154</v>
      </c>
      <c r="AG209" s="202"/>
      <c r="AH209" s="203" t="s">
        <v>1155</v>
      </c>
      <c r="AI209" s="202">
        <v>0</v>
      </c>
      <c r="AJ209" s="202">
        <v>0</v>
      </c>
    </row>
    <row r="210" spans="2:36">
      <c r="B210" s="203">
        <v>2180</v>
      </c>
      <c r="C210" s="207">
        <v>215455</v>
      </c>
      <c r="D210" s="203" t="s">
        <v>97</v>
      </c>
      <c r="E210" s="202" t="s">
        <v>2813</v>
      </c>
      <c r="F210" s="203">
        <v>24</v>
      </c>
      <c r="G210" s="202"/>
      <c r="H210" s="202"/>
      <c r="I210" s="202"/>
      <c r="J210" s="202">
        <v>0</v>
      </c>
      <c r="K210" s="202" t="s">
        <v>1549</v>
      </c>
      <c r="L210" s="202"/>
      <c r="M210" s="202" t="s">
        <v>1464</v>
      </c>
      <c r="N210" s="206">
        <v>43614</v>
      </c>
      <c r="O210" s="206">
        <v>43614</v>
      </c>
      <c r="P210" s="202" t="s">
        <v>2812</v>
      </c>
      <c r="Q210" s="203">
        <v>1200</v>
      </c>
      <c r="R210" s="203">
        <v>14050</v>
      </c>
      <c r="S210" s="204">
        <v>17476.41</v>
      </c>
      <c r="T210" s="203">
        <v>14056</v>
      </c>
      <c r="U210" s="204">
        <v>3762.29</v>
      </c>
      <c r="V210" s="204">
        <f t="shared" si="14"/>
        <v>13714.119999999999</v>
      </c>
      <c r="W210" s="205">
        <v>1456.37</v>
      </c>
      <c r="X210" s="203">
        <v>54260</v>
      </c>
      <c r="Y210" s="204">
        <v>121.36</v>
      </c>
      <c r="Z210" s="202" t="s">
        <v>97</v>
      </c>
      <c r="AA210" s="202"/>
      <c r="AB210" s="202" t="s">
        <v>2805</v>
      </c>
      <c r="AC210" s="202"/>
      <c r="AD210" s="202" t="s">
        <v>1152</v>
      </c>
      <c r="AE210" s="202" t="s">
        <v>1153</v>
      </c>
      <c r="AF210" s="203" t="s">
        <v>1154</v>
      </c>
      <c r="AG210" s="202"/>
      <c r="AH210" s="203" t="s">
        <v>1155</v>
      </c>
      <c r="AI210" s="202">
        <v>0</v>
      </c>
      <c r="AJ210" s="202">
        <v>0</v>
      </c>
    </row>
    <row r="211" spans="2:36">
      <c r="B211" s="203">
        <v>2180</v>
      </c>
      <c r="C211" s="207">
        <v>215454</v>
      </c>
      <c r="D211" s="203" t="s">
        <v>97</v>
      </c>
      <c r="E211" s="202" t="s">
        <v>2811</v>
      </c>
      <c r="F211" s="203">
        <v>48</v>
      </c>
      <c r="G211" s="202"/>
      <c r="H211" s="202"/>
      <c r="I211" s="202"/>
      <c r="J211" s="202">
        <v>0</v>
      </c>
      <c r="K211" s="202" t="s">
        <v>1549</v>
      </c>
      <c r="L211" s="202"/>
      <c r="M211" s="202" t="s">
        <v>1701</v>
      </c>
      <c r="N211" s="206">
        <v>43614</v>
      </c>
      <c r="O211" s="206">
        <v>43614</v>
      </c>
      <c r="P211" s="202" t="s">
        <v>2810</v>
      </c>
      <c r="Q211" s="203">
        <v>1200</v>
      </c>
      <c r="R211" s="203">
        <v>14050</v>
      </c>
      <c r="S211" s="204">
        <v>33378.47</v>
      </c>
      <c r="T211" s="203">
        <v>14056</v>
      </c>
      <c r="U211" s="204">
        <v>7185.65</v>
      </c>
      <c r="V211" s="204">
        <f t="shared" si="14"/>
        <v>26192.82</v>
      </c>
      <c r="W211" s="205">
        <v>2781.54</v>
      </c>
      <c r="X211" s="203">
        <v>54260</v>
      </c>
      <c r="Y211" s="204">
        <v>231.79</v>
      </c>
      <c r="Z211" s="202" t="s">
        <v>97</v>
      </c>
      <c r="AA211" s="202"/>
      <c r="AB211" s="202" t="s">
        <v>2805</v>
      </c>
      <c r="AC211" s="202"/>
      <c r="AD211" s="202" t="s">
        <v>1152</v>
      </c>
      <c r="AE211" s="202" t="s">
        <v>1153</v>
      </c>
      <c r="AF211" s="203" t="s">
        <v>1154</v>
      </c>
      <c r="AG211" s="202"/>
      <c r="AH211" s="203" t="s">
        <v>1155</v>
      </c>
      <c r="AI211" s="202">
        <v>0</v>
      </c>
      <c r="AJ211" s="202">
        <v>0</v>
      </c>
    </row>
    <row r="212" spans="2:36">
      <c r="B212" s="203">
        <v>2180</v>
      </c>
      <c r="C212" s="207">
        <v>215453</v>
      </c>
      <c r="D212" s="203" t="s">
        <v>97</v>
      </c>
      <c r="E212" s="202" t="s">
        <v>2809</v>
      </c>
      <c r="F212" s="203">
        <v>24</v>
      </c>
      <c r="G212" s="202"/>
      <c r="H212" s="202"/>
      <c r="I212" s="202"/>
      <c r="J212" s="202">
        <v>0</v>
      </c>
      <c r="K212" s="202" t="s">
        <v>1549</v>
      </c>
      <c r="L212" s="202"/>
      <c r="M212" s="202" t="s">
        <v>1421</v>
      </c>
      <c r="N212" s="206">
        <v>43614</v>
      </c>
      <c r="O212" s="206">
        <v>43614</v>
      </c>
      <c r="P212" s="202" t="s">
        <v>2808</v>
      </c>
      <c r="Q212" s="203">
        <v>1200</v>
      </c>
      <c r="R212" s="203">
        <v>14050</v>
      </c>
      <c r="S212" s="204">
        <v>15299.16</v>
      </c>
      <c r="T212" s="203">
        <v>14056</v>
      </c>
      <c r="U212" s="204">
        <v>3293.57</v>
      </c>
      <c r="V212" s="204">
        <f t="shared" si="14"/>
        <v>12005.59</v>
      </c>
      <c r="W212" s="205">
        <v>1274.93</v>
      </c>
      <c r="X212" s="203">
        <v>54260</v>
      </c>
      <c r="Y212" s="204">
        <v>106.24</v>
      </c>
      <c r="Z212" s="202" t="s">
        <v>97</v>
      </c>
      <c r="AA212" s="202"/>
      <c r="AB212" s="202" t="s">
        <v>2805</v>
      </c>
      <c r="AC212" s="202"/>
      <c r="AD212" s="202" t="s">
        <v>1152</v>
      </c>
      <c r="AE212" s="202" t="s">
        <v>1153</v>
      </c>
      <c r="AF212" s="203" t="s">
        <v>1154</v>
      </c>
      <c r="AG212" s="202"/>
      <c r="AH212" s="203" t="s">
        <v>1155</v>
      </c>
      <c r="AI212" s="202">
        <v>0</v>
      </c>
      <c r="AJ212" s="202">
        <v>0</v>
      </c>
    </row>
    <row r="213" spans="2:36">
      <c r="B213" s="203">
        <v>2180</v>
      </c>
      <c r="C213" s="207">
        <v>215452</v>
      </c>
      <c r="D213" s="203" t="s">
        <v>97</v>
      </c>
      <c r="E213" s="202" t="s">
        <v>2807</v>
      </c>
      <c r="F213" s="203">
        <v>24</v>
      </c>
      <c r="G213" s="202"/>
      <c r="H213" s="202"/>
      <c r="I213" s="202"/>
      <c r="J213" s="202">
        <v>0</v>
      </c>
      <c r="K213" s="202" t="s">
        <v>1549</v>
      </c>
      <c r="L213" s="202"/>
      <c r="M213" s="202" t="s">
        <v>1421</v>
      </c>
      <c r="N213" s="206">
        <v>43614</v>
      </c>
      <c r="O213" s="206">
        <v>43614</v>
      </c>
      <c r="P213" s="202" t="s">
        <v>2806</v>
      </c>
      <c r="Q213" s="203">
        <v>1200</v>
      </c>
      <c r="R213" s="203">
        <v>14050</v>
      </c>
      <c r="S213" s="204">
        <v>15194.23</v>
      </c>
      <c r="T213" s="203">
        <v>14056</v>
      </c>
      <c r="U213" s="204">
        <v>3270.99</v>
      </c>
      <c r="V213" s="204">
        <f t="shared" si="14"/>
        <v>11923.24</v>
      </c>
      <c r="W213" s="205">
        <v>1266.19</v>
      </c>
      <c r="X213" s="203">
        <v>54260</v>
      </c>
      <c r="Y213" s="204">
        <v>105.52</v>
      </c>
      <c r="Z213" s="202" t="s">
        <v>97</v>
      </c>
      <c r="AA213" s="202"/>
      <c r="AB213" s="202" t="s">
        <v>2805</v>
      </c>
      <c r="AC213" s="202"/>
      <c r="AD213" s="202" t="s">
        <v>1152</v>
      </c>
      <c r="AE213" s="202" t="s">
        <v>1153</v>
      </c>
      <c r="AF213" s="203" t="s">
        <v>1154</v>
      </c>
      <c r="AG213" s="202"/>
      <c r="AH213" s="203" t="s">
        <v>1155</v>
      </c>
      <c r="AI213" s="202">
        <v>0</v>
      </c>
      <c r="AJ213" s="202">
        <v>0</v>
      </c>
    </row>
    <row r="214" spans="2:36">
      <c r="B214" s="203">
        <v>2180</v>
      </c>
      <c r="C214" s="207">
        <v>212308</v>
      </c>
      <c r="D214" s="203" t="s">
        <v>97</v>
      </c>
      <c r="E214" s="202" t="s">
        <v>698</v>
      </c>
      <c r="F214" s="203">
        <v>624</v>
      </c>
      <c r="G214" s="202"/>
      <c r="H214" s="202"/>
      <c r="I214" s="202"/>
      <c r="J214" s="202">
        <v>0</v>
      </c>
      <c r="K214" s="202" t="s">
        <v>2502</v>
      </c>
      <c r="L214" s="202"/>
      <c r="M214" s="202"/>
      <c r="N214" s="206">
        <v>43554</v>
      </c>
      <c r="O214" s="206">
        <v>43554</v>
      </c>
      <c r="P214" s="202" t="s">
        <v>2804</v>
      </c>
      <c r="Q214" s="203">
        <v>700</v>
      </c>
      <c r="R214" s="203">
        <v>14050</v>
      </c>
      <c r="S214" s="204">
        <v>31901.46</v>
      </c>
      <c r="T214" s="203">
        <v>14056</v>
      </c>
      <c r="U214" s="204">
        <v>12532.71</v>
      </c>
      <c r="V214" s="204">
        <f t="shared" si="14"/>
        <v>19368.75</v>
      </c>
      <c r="W214" s="205">
        <v>4557.3500000000004</v>
      </c>
      <c r="X214" s="203">
        <v>54260</v>
      </c>
      <c r="Y214" s="204">
        <v>379.78</v>
      </c>
      <c r="Z214" s="202" t="s">
        <v>97</v>
      </c>
      <c r="AA214" s="202"/>
      <c r="AB214" s="202">
        <v>65582199</v>
      </c>
      <c r="AC214" s="202"/>
      <c r="AD214" s="202" t="s">
        <v>1152</v>
      </c>
      <c r="AE214" s="202" t="s">
        <v>1153</v>
      </c>
      <c r="AF214" s="203" t="s">
        <v>1154</v>
      </c>
      <c r="AG214" s="202"/>
      <c r="AH214" s="203" t="s">
        <v>1155</v>
      </c>
      <c r="AI214" s="202">
        <v>0</v>
      </c>
      <c r="AJ214" s="202">
        <v>0</v>
      </c>
    </row>
    <row r="215" spans="2:36">
      <c r="B215" s="203">
        <v>2180</v>
      </c>
      <c r="C215" s="207">
        <v>211431</v>
      </c>
      <c r="D215" s="203" t="s">
        <v>97</v>
      </c>
      <c r="E215" s="202" t="s">
        <v>1001</v>
      </c>
      <c r="F215" s="203"/>
      <c r="G215" s="202"/>
      <c r="H215" s="202"/>
      <c r="I215" s="202" t="s">
        <v>1147</v>
      </c>
      <c r="J215" s="202">
        <v>0</v>
      </c>
      <c r="K215" s="202" t="s">
        <v>2803</v>
      </c>
      <c r="L215" s="202"/>
      <c r="M215" s="202"/>
      <c r="N215" s="206">
        <v>43466</v>
      </c>
      <c r="O215" s="206">
        <v>43466</v>
      </c>
      <c r="P215" s="202" t="s">
        <v>2791</v>
      </c>
      <c r="Q215" s="203">
        <v>1000</v>
      </c>
      <c r="R215" s="203">
        <v>14080</v>
      </c>
      <c r="S215" s="204">
        <v>-2575.16</v>
      </c>
      <c r="T215" s="203">
        <v>14086</v>
      </c>
      <c r="U215" s="204">
        <v>-772.56</v>
      </c>
      <c r="V215" s="204">
        <f t="shared" si="14"/>
        <v>-1802.6</v>
      </c>
      <c r="W215" s="205">
        <v>-257.52</v>
      </c>
      <c r="X215" s="203">
        <v>57260</v>
      </c>
      <c r="Y215" s="204">
        <v>-21.46</v>
      </c>
      <c r="Z215" s="202" t="s">
        <v>97</v>
      </c>
      <c r="AA215" s="202"/>
      <c r="AB215" s="202">
        <v>2001775529</v>
      </c>
      <c r="AC215" s="202"/>
      <c r="AD215" s="202" t="s">
        <v>1152</v>
      </c>
      <c r="AE215" s="202" t="s">
        <v>1153</v>
      </c>
      <c r="AF215" s="203" t="s">
        <v>1154</v>
      </c>
      <c r="AG215" s="202"/>
      <c r="AH215" s="203" t="s">
        <v>1155</v>
      </c>
      <c r="AI215" s="202">
        <v>0</v>
      </c>
      <c r="AJ215" s="202">
        <v>0</v>
      </c>
    </row>
    <row r="216" spans="2:36">
      <c r="B216" s="203">
        <v>2180</v>
      </c>
      <c r="C216" s="207">
        <v>211014</v>
      </c>
      <c r="D216" s="203" t="s">
        <v>97</v>
      </c>
      <c r="E216" s="202" t="s">
        <v>643</v>
      </c>
      <c r="F216" s="203">
        <v>864</v>
      </c>
      <c r="G216" s="202"/>
      <c r="H216" s="202"/>
      <c r="I216" s="202"/>
      <c r="J216" s="202">
        <v>0</v>
      </c>
      <c r="K216" s="202" t="s">
        <v>2800</v>
      </c>
      <c r="L216" s="202"/>
      <c r="M216" s="202"/>
      <c r="N216" s="206">
        <v>43522</v>
      </c>
      <c r="O216" s="206">
        <v>43522</v>
      </c>
      <c r="P216" s="202" t="s">
        <v>2802</v>
      </c>
      <c r="Q216" s="203">
        <v>700</v>
      </c>
      <c r="R216" s="203">
        <v>14050</v>
      </c>
      <c r="S216" s="204">
        <v>39272.65</v>
      </c>
      <c r="T216" s="203">
        <v>14056</v>
      </c>
      <c r="U216" s="204">
        <v>15896.08</v>
      </c>
      <c r="V216" s="204">
        <f t="shared" si="14"/>
        <v>23376.57</v>
      </c>
      <c r="W216" s="205">
        <v>5610.38</v>
      </c>
      <c r="X216" s="203">
        <v>54260</v>
      </c>
      <c r="Y216" s="204">
        <v>467.53</v>
      </c>
      <c r="Z216" s="202" t="s">
        <v>97</v>
      </c>
      <c r="AA216" s="202"/>
      <c r="AB216" s="202">
        <v>65581119</v>
      </c>
      <c r="AC216" s="202"/>
      <c r="AD216" s="202" t="s">
        <v>1152</v>
      </c>
      <c r="AE216" s="202" t="s">
        <v>1153</v>
      </c>
      <c r="AF216" s="203" t="s">
        <v>1154</v>
      </c>
      <c r="AG216" s="202"/>
      <c r="AH216" s="203" t="s">
        <v>1155</v>
      </c>
      <c r="AI216" s="202">
        <v>0</v>
      </c>
      <c r="AJ216" s="202">
        <v>0</v>
      </c>
    </row>
    <row r="217" spans="2:36">
      <c r="B217" s="203">
        <v>2180</v>
      </c>
      <c r="C217" s="207">
        <v>211013</v>
      </c>
      <c r="D217" s="203" t="s">
        <v>97</v>
      </c>
      <c r="E217" s="202" t="s">
        <v>643</v>
      </c>
      <c r="F217" s="203">
        <v>864</v>
      </c>
      <c r="G217" s="202"/>
      <c r="H217" s="202"/>
      <c r="I217" s="202"/>
      <c r="J217" s="202">
        <v>0</v>
      </c>
      <c r="K217" s="202" t="s">
        <v>2800</v>
      </c>
      <c r="L217" s="202"/>
      <c r="M217" s="202"/>
      <c r="N217" s="206">
        <v>43518</v>
      </c>
      <c r="O217" s="206">
        <v>43518</v>
      </c>
      <c r="P217" s="202" t="s">
        <v>2802</v>
      </c>
      <c r="Q217" s="203">
        <v>700</v>
      </c>
      <c r="R217" s="203">
        <v>14050</v>
      </c>
      <c r="S217" s="204">
        <v>39272.65</v>
      </c>
      <c r="T217" s="203">
        <v>14056</v>
      </c>
      <c r="U217" s="204">
        <v>15896.08</v>
      </c>
      <c r="V217" s="204">
        <f t="shared" si="14"/>
        <v>23376.57</v>
      </c>
      <c r="W217" s="205">
        <v>5610.38</v>
      </c>
      <c r="X217" s="203">
        <v>54260</v>
      </c>
      <c r="Y217" s="204">
        <v>467.53</v>
      </c>
      <c r="Z217" s="202" t="s">
        <v>97</v>
      </c>
      <c r="AA217" s="202"/>
      <c r="AB217" s="202">
        <v>65580973</v>
      </c>
      <c r="AC217" s="202"/>
      <c r="AD217" s="202" t="s">
        <v>1152</v>
      </c>
      <c r="AE217" s="202" t="s">
        <v>1153</v>
      </c>
      <c r="AF217" s="203" t="s">
        <v>1154</v>
      </c>
      <c r="AG217" s="202"/>
      <c r="AH217" s="203" t="s">
        <v>1155</v>
      </c>
      <c r="AI217" s="202">
        <v>0</v>
      </c>
      <c r="AJ217" s="202">
        <v>0</v>
      </c>
    </row>
    <row r="218" spans="2:36">
      <c r="B218" s="203">
        <v>2180</v>
      </c>
      <c r="C218" s="207">
        <v>211012</v>
      </c>
      <c r="D218" s="203" t="s">
        <v>97</v>
      </c>
      <c r="E218" s="202" t="s">
        <v>645</v>
      </c>
      <c r="F218" s="203">
        <v>624</v>
      </c>
      <c r="G218" s="202"/>
      <c r="H218" s="202"/>
      <c r="I218" s="202"/>
      <c r="J218" s="202">
        <v>0</v>
      </c>
      <c r="K218" s="202" t="s">
        <v>2800</v>
      </c>
      <c r="L218" s="202"/>
      <c r="M218" s="202"/>
      <c r="N218" s="206">
        <v>43525</v>
      </c>
      <c r="O218" s="206">
        <v>43525</v>
      </c>
      <c r="P218" s="202" t="s">
        <v>2801</v>
      </c>
      <c r="Q218" s="203">
        <v>700</v>
      </c>
      <c r="R218" s="203">
        <v>14050</v>
      </c>
      <c r="S218" s="204">
        <v>31901.46</v>
      </c>
      <c r="T218" s="203">
        <v>14056</v>
      </c>
      <c r="U218" s="204">
        <v>12912.49</v>
      </c>
      <c r="V218" s="204">
        <f t="shared" si="14"/>
        <v>18988.97</v>
      </c>
      <c r="W218" s="205">
        <v>4557.3500000000004</v>
      </c>
      <c r="X218" s="203">
        <v>54260</v>
      </c>
      <c r="Y218" s="204">
        <v>379.78</v>
      </c>
      <c r="Z218" s="202" t="s">
        <v>97</v>
      </c>
      <c r="AA218" s="202"/>
      <c r="AB218" s="202">
        <v>65581754</v>
      </c>
      <c r="AC218" s="202"/>
      <c r="AD218" s="202" t="s">
        <v>1152</v>
      </c>
      <c r="AE218" s="202" t="s">
        <v>1153</v>
      </c>
      <c r="AF218" s="203" t="s">
        <v>1154</v>
      </c>
      <c r="AG218" s="202"/>
      <c r="AH218" s="203" t="s">
        <v>1155</v>
      </c>
      <c r="AI218" s="202">
        <v>0</v>
      </c>
      <c r="AJ218" s="202">
        <v>0</v>
      </c>
    </row>
    <row r="219" spans="2:36">
      <c r="B219" s="203">
        <v>2180</v>
      </c>
      <c r="C219" s="207">
        <v>211011</v>
      </c>
      <c r="D219" s="203" t="s">
        <v>97</v>
      </c>
      <c r="E219" s="202" t="s">
        <v>642</v>
      </c>
      <c r="F219" s="203">
        <v>1248</v>
      </c>
      <c r="G219" s="202"/>
      <c r="H219" s="202"/>
      <c r="I219" s="202"/>
      <c r="J219" s="202">
        <v>0</v>
      </c>
      <c r="K219" s="202" t="s">
        <v>2800</v>
      </c>
      <c r="L219" s="202"/>
      <c r="M219" s="202"/>
      <c r="N219" s="206">
        <v>43522</v>
      </c>
      <c r="O219" s="206">
        <v>43522</v>
      </c>
      <c r="P219" s="202" t="s">
        <v>2799</v>
      </c>
      <c r="Q219" s="203">
        <v>700</v>
      </c>
      <c r="R219" s="203">
        <v>14050</v>
      </c>
      <c r="S219" s="204">
        <v>63802.92</v>
      </c>
      <c r="T219" s="203">
        <v>14056</v>
      </c>
      <c r="U219" s="204">
        <v>25824.99</v>
      </c>
      <c r="V219" s="204">
        <f t="shared" si="14"/>
        <v>37977.929999999993</v>
      </c>
      <c r="W219" s="205">
        <v>9114.7000000000007</v>
      </c>
      <c r="X219" s="203">
        <v>54260</v>
      </c>
      <c r="Y219" s="204">
        <v>759.56</v>
      </c>
      <c r="Z219" s="202" t="s">
        <v>97</v>
      </c>
      <c r="AA219" s="202"/>
      <c r="AB219" s="202">
        <v>65581120</v>
      </c>
      <c r="AC219" s="202"/>
      <c r="AD219" s="202" t="s">
        <v>1152</v>
      </c>
      <c r="AE219" s="202" t="s">
        <v>1153</v>
      </c>
      <c r="AF219" s="203" t="s">
        <v>1154</v>
      </c>
      <c r="AG219" s="202"/>
      <c r="AH219" s="203" t="s">
        <v>1155</v>
      </c>
      <c r="AI219" s="202">
        <v>0</v>
      </c>
      <c r="AJ219" s="202">
        <v>0</v>
      </c>
    </row>
    <row r="220" spans="2:36">
      <c r="B220" s="203">
        <v>2180</v>
      </c>
      <c r="C220" s="207">
        <v>210086</v>
      </c>
      <c r="D220" s="203" t="s">
        <v>97</v>
      </c>
      <c r="E220" s="202" t="s">
        <v>2798</v>
      </c>
      <c r="F220" s="203"/>
      <c r="G220" s="202"/>
      <c r="H220" s="202"/>
      <c r="I220" s="202"/>
      <c r="J220" s="202">
        <v>0</v>
      </c>
      <c r="K220" s="202" t="s">
        <v>2797</v>
      </c>
      <c r="L220" s="202"/>
      <c r="M220" s="202"/>
      <c r="N220" s="206">
        <v>43466</v>
      </c>
      <c r="O220" s="206">
        <v>43466</v>
      </c>
      <c r="P220" s="202" t="s">
        <v>2791</v>
      </c>
      <c r="Q220" s="203">
        <v>1000</v>
      </c>
      <c r="R220" s="203">
        <v>14080</v>
      </c>
      <c r="S220" s="204">
        <v>9037</v>
      </c>
      <c r="T220" s="203">
        <v>14086</v>
      </c>
      <c r="U220" s="204">
        <v>2711.1</v>
      </c>
      <c r="V220" s="204">
        <f t="shared" si="14"/>
        <v>6325.9</v>
      </c>
      <c r="W220" s="205">
        <v>903.7</v>
      </c>
      <c r="X220" s="203">
        <v>57260</v>
      </c>
      <c r="Y220" s="204">
        <v>75.31</v>
      </c>
      <c r="Z220" s="202" t="s">
        <v>97</v>
      </c>
      <c r="AA220" s="202"/>
      <c r="AB220" s="202">
        <v>46340</v>
      </c>
      <c r="AC220" s="202"/>
      <c r="AD220" s="202" t="s">
        <v>1152</v>
      </c>
      <c r="AE220" s="202" t="s">
        <v>1153</v>
      </c>
      <c r="AF220" s="203" t="s">
        <v>1154</v>
      </c>
      <c r="AG220" s="202"/>
      <c r="AH220" s="203" t="s">
        <v>1155</v>
      </c>
      <c r="AI220" s="202">
        <v>0</v>
      </c>
      <c r="AJ220" s="202">
        <v>0</v>
      </c>
    </row>
    <row r="221" spans="2:36">
      <c r="B221" s="203">
        <v>2180</v>
      </c>
      <c r="C221" s="207">
        <v>210007</v>
      </c>
      <c r="D221" s="203" t="s">
        <v>97</v>
      </c>
      <c r="E221" s="202" t="s">
        <v>986</v>
      </c>
      <c r="F221" s="203"/>
      <c r="G221" s="202"/>
      <c r="H221" s="202"/>
      <c r="I221" s="202"/>
      <c r="J221" s="202">
        <v>0</v>
      </c>
      <c r="K221" s="202" t="s">
        <v>1429</v>
      </c>
      <c r="L221" s="202"/>
      <c r="M221" s="202"/>
      <c r="N221" s="206">
        <v>43488</v>
      </c>
      <c r="O221" s="206">
        <v>43488</v>
      </c>
      <c r="P221" s="202" t="s">
        <v>2796</v>
      </c>
      <c r="Q221" s="203">
        <v>300</v>
      </c>
      <c r="R221" s="203">
        <v>14110</v>
      </c>
      <c r="S221" s="204">
        <v>1670.66</v>
      </c>
      <c r="T221" s="203">
        <v>14116</v>
      </c>
      <c r="U221" s="204">
        <v>1624.26</v>
      </c>
      <c r="V221" s="204">
        <f t="shared" si="14"/>
        <v>46.400000000000091</v>
      </c>
      <c r="W221" s="205">
        <v>556.89</v>
      </c>
      <c r="X221" s="203">
        <v>70260</v>
      </c>
      <c r="Y221" s="204">
        <v>46.41</v>
      </c>
      <c r="Z221" s="202" t="s">
        <v>97</v>
      </c>
      <c r="AA221" s="202"/>
      <c r="AB221" s="202" t="s">
        <v>2795</v>
      </c>
      <c r="AC221" s="202"/>
      <c r="AD221" s="202" t="s">
        <v>1152</v>
      </c>
      <c r="AE221" s="202" t="s">
        <v>1153</v>
      </c>
      <c r="AF221" s="203" t="s">
        <v>1154</v>
      </c>
      <c r="AG221" s="202"/>
      <c r="AH221" s="203" t="s">
        <v>1155</v>
      </c>
      <c r="AI221" s="202">
        <v>0</v>
      </c>
      <c r="AJ221" s="202">
        <v>0</v>
      </c>
    </row>
    <row r="222" spans="2:36">
      <c r="B222" s="203">
        <v>2180</v>
      </c>
      <c r="C222" s="207">
        <v>209134</v>
      </c>
      <c r="D222" s="203" t="s">
        <v>97</v>
      </c>
      <c r="E222" s="202" t="s">
        <v>674</v>
      </c>
      <c r="F222" s="203">
        <v>702</v>
      </c>
      <c r="G222" s="202"/>
      <c r="H222" s="202"/>
      <c r="I222" s="202"/>
      <c r="J222" s="202">
        <v>0</v>
      </c>
      <c r="K222" s="202" t="s">
        <v>2445</v>
      </c>
      <c r="L222" s="202"/>
      <c r="M222" s="202"/>
      <c r="N222" s="206">
        <v>43466</v>
      </c>
      <c r="O222" s="206">
        <v>43466</v>
      </c>
      <c r="P222" s="202" t="s">
        <v>2757</v>
      </c>
      <c r="Q222" s="203">
        <v>608</v>
      </c>
      <c r="R222" s="203">
        <v>14050</v>
      </c>
      <c r="S222" s="204">
        <v>38279.9</v>
      </c>
      <c r="T222" s="203">
        <v>14056</v>
      </c>
      <c r="U222" s="204">
        <v>17225.97</v>
      </c>
      <c r="V222" s="204">
        <f t="shared" si="14"/>
        <v>21053.93</v>
      </c>
      <c r="W222" s="205">
        <v>5741.99</v>
      </c>
      <c r="X222" s="203">
        <v>54260</v>
      </c>
      <c r="Y222" s="204">
        <v>478.5</v>
      </c>
      <c r="Z222" s="202" t="s">
        <v>97</v>
      </c>
      <c r="AA222" s="202"/>
      <c r="AB222" s="202" t="s">
        <v>2794</v>
      </c>
      <c r="AC222" s="202"/>
      <c r="AD222" s="202" t="s">
        <v>1152</v>
      </c>
      <c r="AE222" s="202" t="s">
        <v>1153</v>
      </c>
      <c r="AF222" s="203" t="s">
        <v>1154</v>
      </c>
      <c r="AG222" s="202"/>
      <c r="AH222" s="203" t="s">
        <v>1155</v>
      </c>
      <c r="AI222" s="202">
        <v>0</v>
      </c>
      <c r="AJ222" s="202">
        <v>0</v>
      </c>
    </row>
    <row r="223" spans="2:36">
      <c r="B223" s="203">
        <v>2180</v>
      </c>
      <c r="C223" s="207">
        <v>208977</v>
      </c>
      <c r="D223" s="203" t="s">
        <v>97</v>
      </c>
      <c r="E223" s="202" t="s">
        <v>2793</v>
      </c>
      <c r="F223" s="203"/>
      <c r="G223" s="202"/>
      <c r="H223" s="202"/>
      <c r="I223" s="202"/>
      <c r="J223" s="202">
        <v>0</v>
      </c>
      <c r="K223" s="202" t="s">
        <v>2792</v>
      </c>
      <c r="L223" s="202"/>
      <c r="M223" s="202"/>
      <c r="N223" s="206">
        <v>43466</v>
      </c>
      <c r="O223" s="206">
        <v>43466</v>
      </c>
      <c r="P223" s="202" t="s">
        <v>2791</v>
      </c>
      <c r="Q223" s="203">
        <v>911</v>
      </c>
      <c r="R223" s="203">
        <v>14080</v>
      </c>
      <c r="S223" s="204">
        <v>24602.39</v>
      </c>
      <c r="T223" s="203">
        <v>14086</v>
      </c>
      <c r="U223" s="204">
        <v>7442.73</v>
      </c>
      <c r="V223" s="204">
        <f t="shared" si="14"/>
        <v>17159.66</v>
      </c>
      <c r="W223" s="205">
        <v>2480.91</v>
      </c>
      <c r="X223" s="203">
        <v>57260</v>
      </c>
      <c r="Y223" s="204">
        <v>206.74</v>
      </c>
      <c r="Z223" s="202" t="s">
        <v>97</v>
      </c>
      <c r="AA223" s="202"/>
      <c r="AB223" s="202" t="s">
        <v>2790</v>
      </c>
      <c r="AC223" s="202"/>
      <c r="AD223" s="202" t="s">
        <v>1152</v>
      </c>
      <c r="AE223" s="202" t="s">
        <v>1153</v>
      </c>
      <c r="AF223" s="203" t="s">
        <v>1154</v>
      </c>
      <c r="AG223" s="202"/>
      <c r="AH223" s="203" t="s">
        <v>1155</v>
      </c>
      <c r="AI223" s="202">
        <v>0</v>
      </c>
      <c r="AJ223" s="202">
        <v>0</v>
      </c>
    </row>
    <row r="224" spans="2:36">
      <c r="B224" s="203">
        <v>2180</v>
      </c>
      <c r="C224" s="207">
        <v>208946</v>
      </c>
      <c r="D224" s="203" t="s">
        <v>97</v>
      </c>
      <c r="E224" s="202" t="s">
        <v>2789</v>
      </c>
      <c r="F224" s="203">
        <v>2</v>
      </c>
      <c r="G224" s="202"/>
      <c r="H224" s="202"/>
      <c r="I224" s="202"/>
      <c r="J224" s="202">
        <v>0</v>
      </c>
      <c r="K224" s="202" t="s">
        <v>2318</v>
      </c>
      <c r="L224" s="202"/>
      <c r="M224" s="202" t="s">
        <v>1417</v>
      </c>
      <c r="N224" s="206">
        <v>43466</v>
      </c>
      <c r="O224" s="206">
        <v>43466</v>
      </c>
      <c r="P224" s="202" t="s">
        <v>2781</v>
      </c>
      <c r="Q224" s="203">
        <v>1111</v>
      </c>
      <c r="R224" s="203">
        <v>14050</v>
      </c>
      <c r="S224" s="204">
        <v>15795</v>
      </c>
      <c r="T224" s="203">
        <v>14056</v>
      </c>
      <c r="U224" s="204">
        <v>3976.38</v>
      </c>
      <c r="V224" s="204">
        <f t="shared" si="14"/>
        <v>11818.619999999999</v>
      </c>
      <c r="W224" s="205">
        <v>1325.46</v>
      </c>
      <c r="X224" s="203">
        <v>54260</v>
      </c>
      <c r="Y224" s="204">
        <v>110.45</v>
      </c>
      <c r="Z224" s="202" t="s">
        <v>97</v>
      </c>
      <c r="AA224" s="202"/>
      <c r="AB224" s="202">
        <v>37218254</v>
      </c>
      <c r="AC224" s="202"/>
      <c r="AD224" s="202" t="s">
        <v>1152</v>
      </c>
      <c r="AE224" s="202" t="s">
        <v>1153</v>
      </c>
      <c r="AF224" s="203" t="s">
        <v>1154</v>
      </c>
      <c r="AG224" s="202"/>
      <c r="AH224" s="203" t="s">
        <v>1155</v>
      </c>
      <c r="AI224" s="202">
        <v>0</v>
      </c>
      <c r="AJ224" s="202">
        <v>0</v>
      </c>
    </row>
    <row r="225" spans="2:36">
      <c r="B225" s="203">
        <v>2180</v>
      </c>
      <c r="C225" s="207">
        <v>208945</v>
      </c>
      <c r="D225" s="203" t="s">
        <v>97</v>
      </c>
      <c r="E225" s="202" t="s">
        <v>2788</v>
      </c>
      <c r="F225" s="203">
        <v>12</v>
      </c>
      <c r="G225" s="202"/>
      <c r="H225" s="202"/>
      <c r="I225" s="202"/>
      <c r="J225" s="202">
        <v>0</v>
      </c>
      <c r="K225" s="202" t="s">
        <v>2318</v>
      </c>
      <c r="L225" s="202"/>
      <c r="M225" s="202" t="s">
        <v>1462</v>
      </c>
      <c r="N225" s="206">
        <v>43466</v>
      </c>
      <c r="O225" s="206">
        <v>43466</v>
      </c>
      <c r="P225" s="202" t="s">
        <v>2787</v>
      </c>
      <c r="Q225" s="203">
        <v>1111</v>
      </c>
      <c r="R225" s="203">
        <v>14050</v>
      </c>
      <c r="S225" s="204">
        <v>6662.92</v>
      </c>
      <c r="T225" s="203">
        <v>14056</v>
      </c>
      <c r="U225" s="204">
        <v>1677.39</v>
      </c>
      <c r="V225" s="204">
        <f t="shared" si="14"/>
        <v>4985.53</v>
      </c>
      <c r="W225" s="205">
        <v>559.13</v>
      </c>
      <c r="X225" s="203">
        <v>54260</v>
      </c>
      <c r="Y225" s="204">
        <v>46.59</v>
      </c>
      <c r="Z225" s="202" t="s">
        <v>97</v>
      </c>
      <c r="AA225" s="202"/>
      <c r="AB225" s="202">
        <v>37218254</v>
      </c>
      <c r="AC225" s="202"/>
      <c r="AD225" s="202" t="s">
        <v>1152</v>
      </c>
      <c r="AE225" s="202" t="s">
        <v>1153</v>
      </c>
      <c r="AF225" s="203" t="s">
        <v>1154</v>
      </c>
      <c r="AG225" s="202"/>
      <c r="AH225" s="203" t="s">
        <v>1155</v>
      </c>
      <c r="AI225" s="202">
        <v>0</v>
      </c>
      <c r="AJ225" s="202">
        <v>0</v>
      </c>
    </row>
    <row r="226" spans="2:36">
      <c r="B226" s="203">
        <v>2180</v>
      </c>
      <c r="C226" s="207">
        <v>207236</v>
      </c>
      <c r="D226" s="203" t="s">
        <v>97</v>
      </c>
      <c r="E226" s="202" t="s">
        <v>125</v>
      </c>
      <c r="F226" s="203"/>
      <c r="G226" s="202"/>
      <c r="H226" s="202" t="s">
        <v>2786</v>
      </c>
      <c r="I226" s="202"/>
      <c r="J226" s="202">
        <v>2019</v>
      </c>
      <c r="K226" s="202" t="s">
        <v>2290</v>
      </c>
      <c r="L226" s="202" t="s">
        <v>2785</v>
      </c>
      <c r="M226" s="202" t="s">
        <v>1999</v>
      </c>
      <c r="N226" s="206">
        <v>43440</v>
      </c>
      <c r="O226" s="206">
        <v>43440</v>
      </c>
      <c r="P226" s="202" t="s">
        <v>2784</v>
      </c>
      <c r="Q226" s="203">
        <v>1000</v>
      </c>
      <c r="R226" s="203">
        <v>14040</v>
      </c>
      <c r="S226" s="204">
        <v>336698.51</v>
      </c>
      <c r="T226" s="203">
        <v>14046</v>
      </c>
      <c r="U226" s="204">
        <v>103815.37</v>
      </c>
      <c r="V226" s="204">
        <f t="shared" si="14"/>
        <v>232883.14</v>
      </c>
      <c r="W226" s="205">
        <v>33669.85</v>
      </c>
      <c r="X226" s="203">
        <v>51260</v>
      </c>
      <c r="Y226" s="204">
        <v>2805.82</v>
      </c>
      <c r="Z226" s="202" t="s">
        <v>97</v>
      </c>
      <c r="AA226" s="202"/>
      <c r="AB226" s="202">
        <v>238420</v>
      </c>
      <c r="AC226" s="202">
        <v>2053</v>
      </c>
      <c r="AD226" s="202" t="s">
        <v>1152</v>
      </c>
      <c r="AE226" s="202" t="s">
        <v>1153</v>
      </c>
      <c r="AF226" s="203" t="s">
        <v>1154</v>
      </c>
      <c r="AG226" s="202"/>
      <c r="AH226" s="203" t="s">
        <v>1155</v>
      </c>
      <c r="AI226" s="202">
        <v>0</v>
      </c>
      <c r="AJ226" s="202">
        <v>0</v>
      </c>
    </row>
    <row r="227" spans="2:36">
      <c r="B227" s="203">
        <v>2180</v>
      </c>
      <c r="C227" s="207">
        <v>207203</v>
      </c>
      <c r="D227" s="203" t="s">
        <v>97</v>
      </c>
      <c r="E227" s="202" t="s">
        <v>504</v>
      </c>
      <c r="F227" s="203">
        <v>24</v>
      </c>
      <c r="G227" s="202"/>
      <c r="H227" s="202"/>
      <c r="I227" s="202"/>
      <c r="J227" s="202">
        <v>0</v>
      </c>
      <c r="K227" s="202" t="s">
        <v>2318</v>
      </c>
      <c r="L227" s="202"/>
      <c r="M227" s="202" t="s">
        <v>1464</v>
      </c>
      <c r="N227" s="206">
        <v>43389</v>
      </c>
      <c r="O227" s="206">
        <v>43389</v>
      </c>
      <c r="P227" s="202" t="s">
        <v>2783</v>
      </c>
      <c r="Q227" s="203">
        <v>1200</v>
      </c>
      <c r="R227" s="203">
        <v>14050</v>
      </c>
      <c r="S227" s="204">
        <v>17313.12</v>
      </c>
      <c r="T227" s="203">
        <v>14056</v>
      </c>
      <c r="U227" s="204">
        <v>4568.74</v>
      </c>
      <c r="V227" s="204">
        <f t="shared" si="14"/>
        <v>12744.38</v>
      </c>
      <c r="W227" s="205">
        <v>1442.76</v>
      </c>
      <c r="X227" s="203">
        <v>54260</v>
      </c>
      <c r="Y227" s="204">
        <v>120.23</v>
      </c>
      <c r="Z227" s="202" t="s">
        <v>97</v>
      </c>
      <c r="AA227" s="202"/>
      <c r="AB227" s="202">
        <v>37217881</v>
      </c>
      <c r="AC227" s="202"/>
      <c r="AD227" s="202" t="s">
        <v>1152</v>
      </c>
      <c r="AE227" s="202" t="s">
        <v>1153</v>
      </c>
      <c r="AF227" s="203" t="s">
        <v>1154</v>
      </c>
      <c r="AG227" s="202"/>
      <c r="AH227" s="203" t="s">
        <v>1155</v>
      </c>
      <c r="AI227" s="202">
        <v>0</v>
      </c>
      <c r="AJ227" s="202">
        <v>0</v>
      </c>
    </row>
    <row r="228" spans="2:36">
      <c r="B228" s="203">
        <v>2180</v>
      </c>
      <c r="C228" s="207">
        <v>206690</v>
      </c>
      <c r="D228" s="203" t="s">
        <v>97</v>
      </c>
      <c r="E228" s="202" t="s">
        <v>603</v>
      </c>
      <c r="F228" s="203">
        <v>2</v>
      </c>
      <c r="G228" s="202"/>
      <c r="H228" s="202"/>
      <c r="I228" s="202"/>
      <c r="J228" s="202">
        <v>0</v>
      </c>
      <c r="K228" s="202" t="s">
        <v>2318</v>
      </c>
      <c r="L228" s="202"/>
      <c r="M228" s="202" t="s">
        <v>1454</v>
      </c>
      <c r="N228" s="206">
        <v>43417</v>
      </c>
      <c r="O228" s="206">
        <v>43417</v>
      </c>
      <c r="P228" s="202" t="s">
        <v>2782</v>
      </c>
      <c r="Q228" s="203">
        <v>1200</v>
      </c>
      <c r="R228" s="203">
        <v>14050</v>
      </c>
      <c r="S228" s="204">
        <v>13562</v>
      </c>
      <c r="T228" s="203">
        <v>14056</v>
      </c>
      <c r="U228" s="204">
        <v>3578.87</v>
      </c>
      <c r="V228" s="204">
        <f t="shared" si="14"/>
        <v>9983.130000000001</v>
      </c>
      <c r="W228" s="205">
        <v>1130.17</v>
      </c>
      <c r="X228" s="203">
        <v>54260</v>
      </c>
      <c r="Y228" s="204">
        <v>94.18</v>
      </c>
      <c r="Z228" s="202" t="s">
        <v>97</v>
      </c>
      <c r="AA228" s="202"/>
      <c r="AB228" s="202">
        <v>37218111</v>
      </c>
      <c r="AC228" s="202"/>
      <c r="AD228" s="202" t="s">
        <v>1152</v>
      </c>
      <c r="AE228" s="202" t="s">
        <v>1153</v>
      </c>
      <c r="AF228" s="203" t="s">
        <v>1154</v>
      </c>
      <c r="AG228" s="202"/>
      <c r="AH228" s="203" t="s">
        <v>1155</v>
      </c>
      <c r="AI228" s="202">
        <v>0</v>
      </c>
      <c r="AJ228" s="202">
        <v>0</v>
      </c>
    </row>
    <row r="229" spans="2:36">
      <c r="B229" s="203">
        <v>2180</v>
      </c>
      <c r="C229" s="207">
        <v>206689</v>
      </c>
      <c r="D229" s="203" t="s">
        <v>97</v>
      </c>
      <c r="E229" s="202" t="s">
        <v>603</v>
      </c>
      <c r="F229" s="203">
        <v>2</v>
      </c>
      <c r="G229" s="202"/>
      <c r="H229" s="202"/>
      <c r="I229" s="202"/>
      <c r="J229" s="202">
        <v>0</v>
      </c>
      <c r="K229" s="202" t="s">
        <v>2318</v>
      </c>
      <c r="L229" s="202"/>
      <c r="M229" s="202" t="s">
        <v>1454</v>
      </c>
      <c r="N229" s="206">
        <v>43416</v>
      </c>
      <c r="O229" s="206">
        <v>43416</v>
      </c>
      <c r="P229" s="202" t="s">
        <v>2782</v>
      </c>
      <c r="Q229" s="203">
        <v>1200</v>
      </c>
      <c r="R229" s="203">
        <v>14050</v>
      </c>
      <c r="S229" s="204">
        <v>15488</v>
      </c>
      <c r="T229" s="203">
        <v>14056</v>
      </c>
      <c r="U229" s="204">
        <v>4087.12</v>
      </c>
      <c r="V229" s="204">
        <f t="shared" si="14"/>
        <v>11400.880000000001</v>
      </c>
      <c r="W229" s="205">
        <v>1290.67</v>
      </c>
      <c r="X229" s="203">
        <v>54260</v>
      </c>
      <c r="Y229" s="204">
        <v>107.56</v>
      </c>
      <c r="Z229" s="202" t="s">
        <v>97</v>
      </c>
      <c r="AA229" s="202"/>
      <c r="AB229" s="202">
        <v>37218097</v>
      </c>
      <c r="AC229" s="202"/>
      <c r="AD229" s="202" t="s">
        <v>1152</v>
      </c>
      <c r="AE229" s="202" t="s">
        <v>1153</v>
      </c>
      <c r="AF229" s="203" t="s">
        <v>1154</v>
      </c>
      <c r="AG229" s="202"/>
      <c r="AH229" s="203" t="s">
        <v>1155</v>
      </c>
      <c r="AI229" s="202">
        <v>0</v>
      </c>
      <c r="AJ229" s="202">
        <v>0</v>
      </c>
    </row>
    <row r="230" spans="2:36">
      <c r="B230" s="203">
        <v>2180</v>
      </c>
      <c r="C230" s="207">
        <v>206688</v>
      </c>
      <c r="D230" s="203" t="s">
        <v>97</v>
      </c>
      <c r="E230" s="202" t="s">
        <v>602</v>
      </c>
      <c r="F230" s="203">
        <v>1</v>
      </c>
      <c r="G230" s="202"/>
      <c r="H230" s="202"/>
      <c r="I230" s="202"/>
      <c r="J230" s="202">
        <v>0</v>
      </c>
      <c r="K230" s="202" t="s">
        <v>2318</v>
      </c>
      <c r="L230" s="202"/>
      <c r="M230" s="202" t="s">
        <v>1454</v>
      </c>
      <c r="N230" s="206">
        <v>43414</v>
      </c>
      <c r="O230" s="206">
        <v>43414</v>
      </c>
      <c r="P230" s="202" t="s">
        <v>2782</v>
      </c>
      <c r="Q230" s="203">
        <v>1200</v>
      </c>
      <c r="R230" s="203">
        <v>14050</v>
      </c>
      <c r="S230" s="204">
        <v>7262.5</v>
      </c>
      <c r="T230" s="203">
        <v>14056</v>
      </c>
      <c r="U230" s="204">
        <v>1916.5</v>
      </c>
      <c r="V230" s="204">
        <f t="shared" si="14"/>
        <v>5346</v>
      </c>
      <c r="W230" s="205">
        <v>605.21</v>
      </c>
      <c r="X230" s="203">
        <v>54260</v>
      </c>
      <c r="Y230" s="204">
        <v>50.43</v>
      </c>
      <c r="Z230" s="202" t="s">
        <v>97</v>
      </c>
      <c r="AA230" s="202"/>
      <c r="AB230" s="202">
        <v>37218072</v>
      </c>
      <c r="AC230" s="202"/>
      <c r="AD230" s="202" t="s">
        <v>1152</v>
      </c>
      <c r="AE230" s="202" t="s">
        <v>1153</v>
      </c>
      <c r="AF230" s="203" t="s">
        <v>1154</v>
      </c>
      <c r="AG230" s="202"/>
      <c r="AH230" s="203" t="s">
        <v>1155</v>
      </c>
      <c r="AI230" s="202">
        <v>0</v>
      </c>
      <c r="AJ230" s="202">
        <v>0</v>
      </c>
    </row>
    <row r="231" spans="2:36">
      <c r="B231" s="203">
        <v>2180</v>
      </c>
      <c r="C231" s="207">
        <v>206687</v>
      </c>
      <c r="D231" s="203" t="s">
        <v>97</v>
      </c>
      <c r="E231" s="202" t="s">
        <v>601</v>
      </c>
      <c r="F231" s="203">
        <v>1</v>
      </c>
      <c r="G231" s="202"/>
      <c r="H231" s="202"/>
      <c r="I231" s="202"/>
      <c r="J231" s="202">
        <v>0</v>
      </c>
      <c r="K231" s="202" t="s">
        <v>2318</v>
      </c>
      <c r="L231" s="202"/>
      <c r="M231" s="202" t="s">
        <v>1458</v>
      </c>
      <c r="N231" s="206">
        <v>43414</v>
      </c>
      <c r="O231" s="206">
        <v>43414</v>
      </c>
      <c r="P231" s="202" t="s">
        <v>2766</v>
      </c>
      <c r="Q231" s="203">
        <v>1200</v>
      </c>
      <c r="R231" s="203">
        <v>14050</v>
      </c>
      <c r="S231" s="204">
        <v>6584.5</v>
      </c>
      <c r="T231" s="203">
        <v>14056</v>
      </c>
      <c r="U231" s="204">
        <v>1737.58</v>
      </c>
      <c r="V231" s="204">
        <f t="shared" si="14"/>
        <v>4846.92</v>
      </c>
      <c r="W231" s="205">
        <v>548.71</v>
      </c>
      <c r="X231" s="203">
        <v>54260</v>
      </c>
      <c r="Y231" s="204">
        <v>45.73</v>
      </c>
      <c r="Z231" s="202" t="s">
        <v>97</v>
      </c>
      <c r="AA231" s="202"/>
      <c r="AB231" s="202">
        <v>37218072</v>
      </c>
      <c r="AC231" s="202"/>
      <c r="AD231" s="202" t="s">
        <v>1152</v>
      </c>
      <c r="AE231" s="202" t="s">
        <v>1153</v>
      </c>
      <c r="AF231" s="203" t="s">
        <v>1154</v>
      </c>
      <c r="AG231" s="202"/>
      <c r="AH231" s="203" t="s">
        <v>1155</v>
      </c>
      <c r="AI231" s="202">
        <v>0</v>
      </c>
      <c r="AJ231" s="202">
        <v>0</v>
      </c>
    </row>
    <row r="232" spans="2:36">
      <c r="B232" s="203">
        <v>2180</v>
      </c>
      <c r="C232" s="207">
        <v>206686</v>
      </c>
      <c r="D232" s="203" t="s">
        <v>97</v>
      </c>
      <c r="E232" s="202" t="s">
        <v>476</v>
      </c>
      <c r="F232" s="203">
        <v>3</v>
      </c>
      <c r="G232" s="202"/>
      <c r="H232" s="202"/>
      <c r="I232" s="202"/>
      <c r="J232" s="202">
        <v>0</v>
      </c>
      <c r="K232" s="202" t="s">
        <v>2318</v>
      </c>
      <c r="L232" s="202"/>
      <c r="M232" s="202" t="s">
        <v>1421</v>
      </c>
      <c r="N232" s="206">
        <v>43424</v>
      </c>
      <c r="O232" s="206">
        <v>43424</v>
      </c>
      <c r="P232" s="202" t="s">
        <v>2779</v>
      </c>
      <c r="Q232" s="203">
        <v>1200</v>
      </c>
      <c r="R232" s="203">
        <v>14050</v>
      </c>
      <c r="S232" s="204">
        <v>1911.65</v>
      </c>
      <c r="T232" s="203">
        <v>14056</v>
      </c>
      <c r="U232" s="204">
        <v>491.21</v>
      </c>
      <c r="V232" s="204">
        <f t="shared" si="14"/>
        <v>1420.44</v>
      </c>
      <c r="W232" s="205">
        <v>159.31</v>
      </c>
      <c r="X232" s="203">
        <v>54260</v>
      </c>
      <c r="Y232" s="204">
        <v>13.28</v>
      </c>
      <c r="Z232" s="202" t="s">
        <v>97</v>
      </c>
      <c r="AA232" s="202"/>
      <c r="AB232" s="202">
        <v>37218167</v>
      </c>
      <c r="AC232" s="202"/>
      <c r="AD232" s="202" t="s">
        <v>1152</v>
      </c>
      <c r="AE232" s="202" t="s">
        <v>1153</v>
      </c>
      <c r="AF232" s="203" t="s">
        <v>1154</v>
      </c>
      <c r="AG232" s="202"/>
      <c r="AH232" s="203" t="s">
        <v>1155</v>
      </c>
      <c r="AI232" s="202">
        <v>0</v>
      </c>
      <c r="AJ232" s="202">
        <v>0</v>
      </c>
    </row>
    <row r="233" spans="2:36">
      <c r="B233" s="203">
        <v>2180</v>
      </c>
      <c r="C233" s="207">
        <v>206685</v>
      </c>
      <c r="D233" s="203" t="s">
        <v>97</v>
      </c>
      <c r="E233" s="202" t="s">
        <v>452</v>
      </c>
      <c r="F233" s="203">
        <v>6</v>
      </c>
      <c r="G233" s="202"/>
      <c r="H233" s="202"/>
      <c r="I233" s="202"/>
      <c r="J233" s="202">
        <v>0</v>
      </c>
      <c r="K233" s="202" t="s">
        <v>2318</v>
      </c>
      <c r="L233" s="202"/>
      <c r="M233" s="202" t="s">
        <v>1573</v>
      </c>
      <c r="N233" s="206">
        <v>43424</v>
      </c>
      <c r="O233" s="206">
        <v>43424</v>
      </c>
      <c r="P233" s="202" t="s">
        <v>2780</v>
      </c>
      <c r="Q233" s="203">
        <v>1200</v>
      </c>
      <c r="R233" s="203">
        <v>14050</v>
      </c>
      <c r="S233" s="204">
        <v>3423.27</v>
      </c>
      <c r="T233" s="203">
        <v>14056</v>
      </c>
      <c r="U233" s="204">
        <v>879.55</v>
      </c>
      <c r="V233" s="204">
        <f t="shared" si="14"/>
        <v>2543.7200000000003</v>
      </c>
      <c r="W233" s="205">
        <v>285.26</v>
      </c>
      <c r="X233" s="203">
        <v>54260</v>
      </c>
      <c r="Y233" s="204">
        <v>23.77</v>
      </c>
      <c r="Z233" s="202" t="s">
        <v>97</v>
      </c>
      <c r="AA233" s="202"/>
      <c r="AB233" s="202">
        <v>37218167</v>
      </c>
      <c r="AC233" s="202"/>
      <c r="AD233" s="202" t="s">
        <v>1152</v>
      </c>
      <c r="AE233" s="202" t="s">
        <v>1153</v>
      </c>
      <c r="AF233" s="203" t="s">
        <v>1154</v>
      </c>
      <c r="AG233" s="202"/>
      <c r="AH233" s="203" t="s">
        <v>1155</v>
      </c>
      <c r="AI233" s="202">
        <v>0</v>
      </c>
      <c r="AJ233" s="202">
        <v>0</v>
      </c>
    </row>
    <row r="234" spans="2:36">
      <c r="B234" s="203">
        <v>2180</v>
      </c>
      <c r="C234" s="207">
        <v>206684</v>
      </c>
      <c r="D234" s="203" t="s">
        <v>97</v>
      </c>
      <c r="E234" s="202" t="s">
        <v>599</v>
      </c>
      <c r="F234" s="203">
        <v>2</v>
      </c>
      <c r="G234" s="202"/>
      <c r="H234" s="202"/>
      <c r="I234" s="202"/>
      <c r="J234" s="202">
        <v>0</v>
      </c>
      <c r="K234" s="202" t="s">
        <v>2318</v>
      </c>
      <c r="L234" s="202"/>
      <c r="M234" s="202" t="s">
        <v>1417</v>
      </c>
      <c r="N234" s="206">
        <v>43424</v>
      </c>
      <c r="O234" s="206">
        <v>43424</v>
      </c>
      <c r="P234" s="202" t="s">
        <v>2781</v>
      </c>
      <c r="Q234" s="203">
        <v>1200</v>
      </c>
      <c r="R234" s="203">
        <v>14050</v>
      </c>
      <c r="S234" s="204">
        <v>15795</v>
      </c>
      <c r="T234" s="203">
        <v>14056</v>
      </c>
      <c r="U234" s="204">
        <v>4058.44</v>
      </c>
      <c r="V234" s="204">
        <f t="shared" si="14"/>
        <v>11736.56</v>
      </c>
      <c r="W234" s="205">
        <v>1316.25</v>
      </c>
      <c r="X234" s="203">
        <v>54260</v>
      </c>
      <c r="Y234" s="204">
        <v>109.69</v>
      </c>
      <c r="Z234" s="202" t="s">
        <v>97</v>
      </c>
      <c r="AA234" s="202"/>
      <c r="AB234" s="202">
        <v>37218167</v>
      </c>
      <c r="AC234" s="202"/>
      <c r="AD234" s="202" t="s">
        <v>1152</v>
      </c>
      <c r="AE234" s="202" t="s">
        <v>1153</v>
      </c>
      <c r="AF234" s="203" t="s">
        <v>1154</v>
      </c>
      <c r="AG234" s="202"/>
      <c r="AH234" s="203" t="s">
        <v>1155</v>
      </c>
      <c r="AI234" s="202">
        <v>0</v>
      </c>
      <c r="AJ234" s="202">
        <v>0</v>
      </c>
    </row>
    <row r="235" spans="2:36">
      <c r="B235" s="203">
        <v>2180</v>
      </c>
      <c r="C235" s="207">
        <v>206683</v>
      </c>
      <c r="D235" s="203" t="s">
        <v>97</v>
      </c>
      <c r="E235" s="202" t="s">
        <v>475</v>
      </c>
      <c r="F235" s="203">
        <v>6</v>
      </c>
      <c r="G235" s="202"/>
      <c r="H235" s="202"/>
      <c r="I235" s="202"/>
      <c r="J235" s="202">
        <v>0</v>
      </c>
      <c r="K235" s="202" t="s">
        <v>2318</v>
      </c>
      <c r="L235" s="202"/>
      <c r="M235" s="202" t="s">
        <v>1421</v>
      </c>
      <c r="N235" s="206">
        <v>43417</v>
      </c>
      <c r="O235" s="206">
        <v>43417</v>
      </c>
      <c r="P235" s="202" t="s">
        <v>2779</v>
      </c>
      <c r="Q235" s="203">
        <v>1200</v>
      </c>
      <c r="R235" s="203">
        <v>14050</v>
      </c>
      <c r="S235" s="204">
        <v>3823.32</v>
      </c>
      <c r="T235" s="203">
        <v>14056</v>
      </c>
      <c r="U235" s="204">
        <v>1008.93</v>
      </c>
      <c r="V235" s="204">
        <f t="shared" si="14"/>
        <v>2814.3900000000003</v>
      </c>
      <c r="W235" s="205">
        <v>318.61</v>
      </c>
      <c r="X235" s="203">
        <v>54260</v>
      </c>
      <c r="Y235" s="204">
        <v>26.55</v>
      </c>
      <c r="Z235" s="202" t="s">
        <v>97</v>
      </c>
      <c r="AA235" s="202"/>
      <c r="AB235" s="202">
        <v>37218107</v>
      </c>
      <c r="AC235" s="202"/>
      <c r="AD235" s="202" t="s">
        <v>1152</v>
      </c>
      <c r="AE235" s="202" t="s">
        <v>1153</v>
      </c>
      <c r="AF235" s="203" t="s">
        <v>1154</v>
      </c>
      <c r="AG235" s="202"/>
      <c r="AH235" s="203" t="s">
        <v>1155</v>
      </c>
      <c r="AI235" s="202">
        <v>0</v>
      </c>
      <c r="AJ235" s="202">
        <v>0</v>
      </c>
    </row>
    <row r="236" spans="2:36">
      <c r="B236" s="203">
        <v>2180</v>
      </c>
      <c r="C236" s="207">
        <v>206682</v>
      </c>
      <c r="D236" s="203" t="s">
        <v>97</v>
      </c>
      <c r="E236" s="202" t="s">
        <v>452</v>
      </c>
      <c r="F236" s="203">
        <v>6</v>
      </c>
      <c r="G236" s="202"/>
      <c r="H236" s="202"/>
      <c r="I236" s="202"/>
      <c r="J236" s="202">
        <v>0</v>
      </c>
      <c r="K236" s="202" t="s">
        <v>2318</v>
      </c>
      <c r="L236" s="202"/>
      <c r="M236" s="202" t="s">
        <v>1573</v>
      </c>
      <c r="N236" s="206">
        <v>43417</v>
      </c>
      <c r="O236" s="206">
        <v>43417</v>
      </c>
      <c r="P236" s="202" t="s">
        <v>2780</v>
      </c>
      <c r="Q236" s="203">
        <v>1200</v>
      </c>
      <c r="R236" s="203">
        <v>14050</v>
      </c>
      <c r="S236" s="204">
        <v>3423.27</v>
      </c>
      <c r="T236" s="203">
        <v>14056</v>
      </c>
      <c r="U236" s="204">
        <v>903.33</v>
      </c>
      <c r="V236" s="204">
        <f t="shared" si="14"/>
        <v>2519.94</v>
      </c>
      <c r="W236" s="205">
        <v>285.26</v>
      </c>
      <c r="X236" s="203">
        <v>54260</v>
      </c>
      <c r="Y236" s="204">
        <v>23.77</v>
      </c>
      <c r="Z236" s="202" t="s">
        <v>97</v>
      </c>
      <c r="AA236" s="202"/>
      <c r="AB236" s="202">
        <v>37218107</v>
      </c>
      <c r="AC236" s="202"/>
      <c r="AD236" s="202" t="s">
        <v>1152</v>
      </c>
      <c r="AE236" s="202" t="s">
        <v>1153</v>
      </c>
      <c r="AF236" s="203" t="s">
        <v>1154</v>
      </c>
      <c r="AG236" s="202"/>
      <c r="AH236" s="203" t="s">
        <v>1155</v>
      </c>
      <c r="AI236" s="202">
        <v>0</v>
      </c>
      <c r="AJ236" s="202">
        <v>0</v>
      </c>
    </row>
    <row r="237" spans="2:36">
      <c r="B237" s="203">
        <v>2180</v>
      </c>
      <c r="C237" s="207">
        <v>206681</v>
      </c>
      <c r="D237" s="203" t="s">
        <v>97</v>
      </c>
      <c r="E237" s="202" t="s">
        <v>476</v>
      </c>
      <c r="F237" s="203">
        <v>5</v>
      </c>
      <c r="G237" s="202"/>
      <c r="H237" s="202"/>
      <c r="I237" s="202"/>
      <c r="J237" s="202">
        <v>0</v>
      </c>
      <c r="K237" s="202" t="s">
        <v>2318</v>
      </c>
      <c r="L237" s="202"/>
      <c r="M237" s="202" t="s">
        <v>1421</v>
      </c>
      <c r="N237" s="206">
        <v>43383</v>
      </c>
      <c r="O237" s="206">
        <v>43383</v>
      </c>
      <c r="P237" s="202" t="s">
        <v>2779</v>
      </c>
      <c r="Q237" s="203">
        <v>1200</v>
      </c>
      <c r="R237" s="203">
        <v>14050</v>
      </c>
      <c r="S237" s="204">
        <v>3186.1</v>
      </c>
      <c r="T237" s="203">
        <v>14056</v>
      </c>
      <c r="U237" s="204">
        <v>862.91</v>
      </c>
      <c r="V237" s="204">
        <f t="shared" si="14"/>
        <v>2323.19</v>
      </c>
      <c r="W237" s="205">
        <v>265.51</v>
      </c>
      <c r="X237" s="203">
        <v>54260</v>
      </c>
      <c r="Y237" s="204">
        <v>22.13</v>
      </c>
      <c r="Z237" s="202" t="s">
        <v>97</v>
      </c>
      <c r="AA237" s="202"/>
      <c r="AB237" s="202">
        <v>37218074</v>
      </c>
      <c r="AC237" s="202"/>
      <c r="AD237" s="202" t="s">
        <v>1152</v>
      </c>
      <c r="AE237" s="202" t="s">
        <v>1153</v>
      </c>
      <c r="AF237" s="203" t="s">
        <v>1154</v>
      </c>
      <c r="AG237" s="202"/>
      <c r="AH237" s="203" t="s">
        <v>1155</v>
      </c>
      <c r="AI237" s="202">
        <v>0</v>
      </c>
      <c r="AJ237" s="202">
        <v>0</v>
      </c>
    </row>
    <row r="238" spans="2:36">
      <c r="B238" s="203">
        <v>2180</v>
      </c>
      <c r="C238" s="207">
        <v>206680</v>
      </c>
      <c r="D238" s="203" t="s">
        <v>97</v>
      </c>
      <c r="E238" s="202" t="s">
        <v>476</v>
      </c>
      <c r="F238" s="203">
        <v>10</v>
      </c>
      <c r="G238" s="202"/>
      <c r="H238" s="202"/>
      <c r="I238" s="202"/>
      <c r="J238" s="202">
        <v>0</v>
      </c>
      <c r="K238" s="202" t="s">
        <v>2318</v>
      </c>
      <c r="L238" s="202"/>
      <c r="M238" s="202" t="s">
        <v>1421</v>
      </c>
      <c r="N238" s="206">
        <v>43416</v>
      </c>
      <c r="O238" s="206">
        <v>43416</v>
      </c>
      <c r="P238" s="202" t="s">
        <v>2779</v>
      </c>
      <c r="Q238" s="203">
        <v>1200</v>
      </c>
      <c r="R238" s="203">
        <v>14050</v>
      </c>
      <c r="S238" s="204">
        <v>6372.19</v>
      </c>
      <c r="T238" s="203">
        <v>14056</v>
      </c>
      <c r="U238" s="204">
        <v>1681.56</v>
      </c>
      <c r="V238" s="204">
        <f t="shared" si="14"/>
        <v>4690.6299999999992</v>
      </c>
      <c r="W238" s="205">
        <v>531.02</v>
      </c>
      <c r="X238" s="203">
        <v>54260</v>
      </c>
      <c r="Y238" s="204">
        <v>44.25</v>
      </c>
      <c r="Z238" s="202" t="s">
        <v>97</v>
      </c>
      <c r="AA238" s="202"/>
      <c r="AB238" s="202">
        <v>37218098</v>
      </c>
      <c r="AC238" s="202"/>
      <c r="AD238" s="202" t="s">
        <v>1152</v>
      </c>
      <c r="AE238" s="202" t="s">
        <v>1153</v>
      </c>
      <c r="AF238" s="203" t="s">
        <v>1154</v>
      </c>
      <c r="AG238" s="202"/>
      <c r="AH238" s="203" t="s">
        <v>1155</v>
      </c>
      <c r="AI238" s="202">
        <v>0</v>
      </c>
      <c r="AJ238" s="202">
        <v>0</v>
      </c>
    </row>
    <row r="239" spans="2:36">
      <c r="B239" s="203">
        <v>2180</v>
      </c>
      <c r="C239" s="207">
        <v>206679</v>
      </c>
      <c r="D239" s="203" t="s">
        <v>97</v>
      </c>
      <c r="E239" s="202" t="s">
        <v>519</v>
      </c>
      <c r="F239" s="203">
        <v>13</v>
      </c>
      <c r="G239" s="202"/>
      <c r="H239" s="202"/>
      <c r="I239" s="202"/>
      <c r="J239" s="202">
        <v>0</v>
      </c>
      <c r="K239" s="202" t="s">
        <v>2318</v>
      </c>
      <c r="L239" s="202"/>
      <c r="M239" s="202" t="s">
        <v>1456</v>
      </c>
      <c r="N239" s="206">
        <v>43377</v>
      </c>
      <c r="O239" s="206">
        <v>43377</v>
      </c>
      <c r="P239" s="202" t="s">
        <v>2764</v>
      </c>
      <c r="Q239" s="203">
        <v>1200</v>
      </c>
      <c r="R239" s="203">
        <v>14050</v>
      </c>
      <c r="S239" s="204">
        <v>12844.93</v>
      </c>
      <c r="T239" s="203">
        <v>14056</v>
      </c>
      <c r="U239" s="204">
        <v>3478.83</v>
      </c>
      <c r="V239" s="204">
        <f t="shared" si="14"/>
        <v>9366.1</v>
      </c>
      <c r="W239" s="205">
        <v>1070.4100000000001</v>
      </c>
      <c r="X239" s="203">
        <v>54260</v>
      </c>
      <c r="Y239" s="204">
        <v>89.2</v>
      </c>
      <c r="Z239" s="202" t="s">
        <v>97</v>
      </c>
      <c r="AA239" s="202"/>
      <c r="AB239" s="202">
        <v>37217829</v>
      </c>
      <c r="AC239" s="202"/>
      <c r="AD239" s="202" t="s">
        <v>1152</v>
      </c>
      <c r="AE239" s="202" t="s">
        <v>1153</v>
      </c>
      <c r="AF239" s="203" t="s">
        <v>1154</v>
      </c>
      <c r="AG239" s="202"/>
      <c r="AH239" s="203" t="s">
        <v>1155</v>
      </c>
      <c r="AI239" s="202">
        <v>0</v>
      </c>
      <c r="AJ239" s="202">
        <v>0</v>
      </c>
    </row>
    <row r="240" spans="2:36">
      <c r="B240" s="203">
        <v>2180</v>
      </c>
      <c r="C240" s="207">
        <v>206678</v>
      </c>
      <c r="D240" s="203" t="s">
        <v>97</v>
      </c>
      <c r="E240" s="202" t="s">
        <v>518</v>
      </c>
      <c r="F240" s="203">
        <v>8</v>
      </c>
      <c r="G240" s="202"/>
      <c r="H240" s="202"/>
      <c r="I240" s="202"/>
      <c r="J240" s="202">
        <v>0</v>
      </c>
      <c r="K240" s="202" t="s">
        <v>2318</v>
      </c>
      <c r="L240" s="202"/>
      <c r="M240" s="202" t="s">
        <v>1456</v>
      </c>
      <c r="N240" s="206">
        <v>43388</v>
      </c>
      <c r="O240" s="206">
        <v>43388</v>
      </c>
      <c r="P240" s="202" t="s">
        <v>2764</v>
      </c>
      <c r="Q240" s="203">
        <v>1200</v>
      </c>
      <c r="R240" s="203">
        <v>14050</v>
      </c>
      <c r="S240" s="204">
        <v>7904.57</v>
      </c>
      <c r="T240" s="203">
        <v>14056</v>
      </c>
      <c r="U240" s="204">
        <v>2140.84</v>
      </c>
      <c r="V240" s="204">
        <f t="shared" si="14"/>
        <v>5763.73</v>
      </c>
      <c r="W240" s="205">
        <v>658.72</v>
      </c>
      <c r="X240" s="203">
        <v>54260</v>
      </c>
      <c r="Y240" s="204">
        <v>54.89</v>
      </c>
      <c r="Z240" s="202" t="s">
        <v>97</v>
      </c>
      <c r="AA240" s="202"/>
      <c r="AB240" s="202">
        <v>37217871</v>
      </c>
      <c r="AC240" s="202"/>
      <c r="AD240" s="202" t="s">
        <v>1152</v>
      </c>
      <c r="AE240" s="202" t="s">
        <v>1153</v>
      </c>
      <c r="AF240" s="203" t="s">
        <v>1154</v>
      </c>
      <c r="AG240" s="202"/>
      <c r="AH240" s="203" t="s">
        <v>1155</v>
      </c>
      <c r="AI240" s="202">
        <v>0</v>
      </c>
      <c r="AJ240" s="202">
        <v>0</v>
      </c>
    </row>
    <row r="241" spans="2:36">
      <c r="B241" s="203">
        <v>2180</v>
      </c>
      <c r="C241" s="207">
        <v>206677</v>
      </c>
      <c r="D241" s="203" t="s">
        <v>97</v>
      </c>
      <c r="E241" s="202" t="s">
        <v>640</v>
      </c>
      <c r="F241" s="203">
        <v>864</v>
      </c>
      <c r="G241" s="202"/>
      <c r="H241" s="202"/>
      <c r="I241" s="202"/>
      <c r="J241" s="202">
        <v>0</v>
      </c>
      <c r="K241" s="202" t="s">
        <v>2502</v>
      </c>
      <c r="L241" s="202"/>
      <c r="M241" s="202"/>
      <c r="N241" s="206">
        <v>43418</v>
      </c>
      <c r="O241" s="206">
        <v>43418</v>
      </c>
      <c r="P241" s="202" t="s">
        <v>2778</v>
      </c>
      <c r="Q241" s="203">
        <v>700</v>
      </c>
      <c r="R241" s="203">
        <v>14050</v>
      </c>
      <c r="S241" s="204">
        <v>39910.019999999997</v>
      </c>
      <c r="T241" s="203">
        <v>14056</v>
      </c>
      <c r="U241" s="204">
        <v>18054.53</v>
      </c>
      <c r="V241" s="204">
        <f t="shared" si="14"/>
        <v>21855.489999999998</v>
      </c>
      <c r="W241" s="205">
        <v>5701.43</v>
      </c>
      <c r="X241" s="203">
        <v>54260</v>
      </c>
      <c r="Y241" s="204">
        <v>475.12</v>
      </c>
      <c r="Z241" s="202" t="s">
        <v>97</v>
      </c>
      <c r="AA241" s="202"/>
      <c r="AB241" s="202">
        <v>65563356</v>
      </c>
      <c r="AC241" s="202"/>
      <c r="AD241" s="202" t="s">
        <v>1152</v>
      </c>
      <c r="AE241" s="202" t="s">
        <v>1153</v>
      </c>
      <c r="AF241" s="203" t="s">
        <v>1154</v>
      </c>
      <c r="AG241" s="202"/>
      <c r="AH241" s="203" t="s">
        <v>1155</v>
      </c>
      <c r="AI241" s="202">
        <v>0</v>
      </c>
      <c r="AJ241" s="202">
        <v>0</v>
      </c>
    </row>
    <row r="242" spans="2:36">
      <c r="B242" s="203">
        <v>2180</v>
      </c>
      <c r="C242" s="207">
        <v>206414</v>
      </c>
      <c r="D242" s="203" t="s">
        <v>97</v>
      </c>
      <c r="E242" s="202" t="s">
        <v>641</v>
      </c>
      <c r="F242" s="203">
        <v>624</v>
      </c>
      <c r="G242" s="202"/>
      <c r="H242" s="202"/>
      <c r="I242" s="202"/>
      <c r="J242" s="202">
        <v>0</v>
      </c>
      <c r="K242" s="202" t="s">
        <v>2318</v>
      </c>
      <c r="L242" s="202"/>
      <c r="M242" s="202"/>
      <c r="N242" s="206">
        <v>43411</v>
      </c>
      <c r="O242" s="206">
        <v>43411</v>
      </c>
      <c r="P242" s="202" t="s">
        <v>2777</v>
      </c>
      <c r="Q242" s="203">
        <v>700</v>
      </c>
      <c r="R242" s="203">
        <v>14050</v>
      </c>
      <c r="S242" s="204">
        <v>33601.22</v>
      </c>
      <c r="T242" s="203">
        <v>14056</v>
      </c>
      <c r="U242" s="204">
        <v>15200.57</v>
      </c>
      <c r="V242" s="204">
        <f t="shared" si="14"/>
        <v>18400.650000000001</v>
      </c>
      <c r="W242" s="205">
        <v>4800.18</v>
      </c>
      <c r="X242" s="203">
        <v>54260</v>
      </c>
      <c r="Y242" s="204">
        <v>400.01</v>
      </c>
      <c r="Z242" s="202" t="s">
        <v>97</v>
      </c>
      <c r="AA242" s="202"/>
      <c r="AB242" s="202">
        <v>65561803</v>
      </c>
      <c r="AC242" s="202"/>
      <c r="AD242" s="202" t="s">
        <v>1152</v>
      </c>
      <c r="AE242" s="202" t="s">
        <v>1153</v>
      </c>
      <c r="AF242" s="203" t="s">
        <v>1154</v>
      </c>
      <c r="AG242" s="202"/>
      <c r="AH242" s="203" t="s">
        <v>1155</v>
      </c>
      <c r="AI242" s="202">
        <v>0</v>
      </c>
      <c r="AJ242" s="202">
        <v>0</v>
      </c>
    </row>
    <row r="243" spans="2:36">
      <c r="B243" s="203">
        <v>2180</v>
      </c>
      <c r="C243" s="207">
        <v>206413</v>
      </c>
      <c r="D243" s="203" t="s">
        <v>97</v>
      </c>
      <c r="E243" s="202" t="s">
        <v>600</v>
      </c>
      <c r="F243" s="203">
        <v>2</v>
      </c>
      <c r="G243" s="202"/>
      <c r="H243" s="202"/>
      <c r="I243" s="202"/>
      <c r="J243" s="202">
        <v>0</v>
      </c>
      <c r="K243" s="202" t="s">
        <v>2318</v>
      </c>
      <c r="L243" s="202"/>
      <c r="M243" s="202" t="s">
        <v>1970</v>
      </c>
      <c r="N243" s="206">
        <v>43397</v>
      </c>
      <c r="O243" s="206">
        <v>43397</v>
      </c>
      <c r="P243" s="202" t="s">
        <v>2776</v>
      </c>
      <c r="Q243" s="203">
        <v>1200</v>
      </c>
      <c r="R243" s="203">
        <v>14050</v>
      </c>
      <c r="S243" s="204">
        <v>12066</v>
      </c>
      <c r="T243" s="203">
        <v>14056</v>
      </c>
      <c r="U243" s="204">
        <v>3184.09</v>
      </c>
      <c r="V243" s="204">
        <f t="shared" si="14"/>
        <v>8881.91</v>
      </c>
      <c r="W243" s="205">
        <v>1005.5</v>
      </c>
      <c r="X243" s="203">
        <v>54260</v>
      </c>
      <c r="Y243" s="204">
        <v>83.79</v>
      </c>
      <c r="Z243" s="202" t="s">
        <v>97</v>
      </c>
      <c r="AA243" s="202"/>
      <c r="AB243" s="202">
        <v>37217957</v>
      </c>
      <c r="AC243" s="202"/>
      <c r="AD243" s="202" t="s">
        <v>1152</v>
      </c>
      <c r="AE243" s="202" t="s">
        <v>1153</v>
      </c>
      <c r="AF243" s="203" t="s">
        <v>1154</v>
      </c>
      <c r="AG243" s="202"/>
      <c r="AH243" s="203" t="s">
        <v>1155</v>
      </c>
      <c r="AI243" s="202">
        <v>2</v>
      </c>
      <c r="AJ243" s="202">
        <v>0</v>
      </c>
    </row>
    <row r="244" spans="2:36">
      <c r="B244" s="203">
        <v>2180</v>
      </c>
      <c r="C244" s="207">
        <v>206412</v>
      </c>
      <c r="D244" s="203" t="s">
        <v>97</v>
      </c>
      <c r="E244" s="202" t="s">
        <v>601</v>
      </c>
      <c r="F244" s="203">
        <v>2</v>
      </c>
      <c r="G244" s="202"/>
      <c r="H244" s="202"/>
      <c r="I244" s="202"/>
      <c r="J244" s="202">
        <v>0</v>
      </c>
      <c r="K244" s="202" t="s">
        <v>2318</v>
      </c>
      <c r="L244" s="202"/>
      <c r="M244" s="202" t="s">
        <v>1458</v>
      </c>
      <c r="N244" s="206">
        <v>43398</v>
      </c>
      <c r="O244" s="206">
        <v>43398</v>
      </c>
      <c r="P244" s="202" t="s">
        <v>2766</v>
      </c>
      <c r="Q244" s="203">
        <v>1200</v>
      </c>
      <c r="R244" s="203">
        <v>14050</v>
      </c>
      <c r="S244" s="204">
        <v>13169</v>
      </c>
      <c r="T244" s="203">
        <v>14056</v>
      </c>
      <c r="U244" s="204">
        <v>3475.16</v>
      </c>
      <c r="V244" s="204">
        <f t="shared" si="14"/>
        <v>9693.84</v>
      </c>
      <c r="W244" s="205">
        <v>1097.42</v>
      </c>
      <c r="X244" s="203">
        <v>54260</v>
      </c>
      <c r="Y244" s="204">
        <v>91.45</v>
      </c>
      <c r="Z244" s="202" t="s">
        <v>97</v>
      </c>
      <c r="AA244" s="202"/>
      <c r="AB244" s="202">
        <v>37217974</v>
      </c>
      <c r="AC244" s="202"/>
      <c r="AD244" s="202" t="s">
        <v>1152</v>
      </c>
      <c r="AE244" s="202" t="s">
        <v>1153</v>
      </c>
      <c r="AF244" s="203" t="s">
        <v>1154</v>
      </c>
      <c r="AG244" s="202"/>
      <c r="AH244" s="203" t="s">
        <v>1155</v>
      </c>
      <c r="AI244" s="202">
        <v>0</v>
      </c>
      <c r="AJ244" s="202">
        <v>0</v>
      </c>
    </row>
    <row r="245" spans="2:36">
      <c r="B245" s="203">
        <v>2180</v>
      </c>
      <c r="C245" s="207">
        <v>206411</v>
      </c>
      <c r="D245" s="203" t="s">
        <v>97</v>
      </c>
      <c r="E245" s="202" t="s">
        <v>599</v>
      </c>
      <c r="F245" s="203">
        <v>6</v>
      </c>
      <c r="G245" s="202"/>
      <c r="H245" s="202"/>
      <c r="I245" s="202"/>
      <c r="J245" s="202">
        <v>0</v>
      </c>
      <c r="K245" s="202" t="s">
        <v>2318</v>
      </c>
      <c r="L245" s="202"/>
      <c r="M245" s="202" t="s">
        <v>1417</v>
      </c>
      <c r="N245" s="206">
        <v>43397</v>
      </c>
      <c r="O245" s="206">
        <v>43397</v>
      </c>
      <c r="P245" s="202" t="s">
        <v>2765</v>
      </c>
      <c r="Q245" s="203">
        <v>1200</v>
      </c>
      <c r="R245" s="203">
        <v>14050</v>
      </c>
      <c r="S245" s="204">
        <v>45612</v>
      </c>
      <c r="T245" s="203">
        <v>14056</v>
      </c>
      <c r="U245" s="204">
        <v>12036.5</v>
      </c>
      <c r="V245" s="204">
        <f t="shared" si="14"/>
        <v>33575.5</v>
      </c>
      <c r="W245" s="205">
        <v>3801</v>
      </c>
      <c r="X245" s="203">
        <v>54260</v>
      </c>
      <c r="Y245" s="204">
        <v>316.75</v>
      </c>
      <c r="Z245" s="202" t="s">
        <v>97</v>
      </c>
      <c r="AA245" s="202"/>
      <c r="AB245" s="202">
        <v>37217953</v>
      </c>
      <c r="AC245" s="202"/>
      <c r="AD245" s="202" t="s">
        <v>1152</v>
      </c>
      <c r="AE245" s="202" t="s">
        <v>1153</v>
      </c>
      <c r="AF245" s="203" t="s">
        <v>1154</v>
      </c>
      <c r="AG245" s="202"/>
      <c r="AH245" s="203" t="s">
        <v>1155</v>
      </c>
      <c r="AI245" s="202">
        <v>0</v>
      </c>
      <c r="AJ245" s="202">
        <v>0</v>
      </c>
    </row>
    <row r="246" spans="2:36">
      <c r="B246" s="203">
        <v>2180</v>
      </c>
      <c r="C246" s="207">
        <v>206402</v>
      </c>
      <c r="D246" s="203">
        <v>204185</v>
      </c>
      <c r="E246" s="202" t="s">
        <v>124</v>
      </c>
      <c r="F246" s="203"/>
      <c r="G246" s="202"/>
      <c r="H246" s="202"/>
      <c r="I246" s="202"/>
      <c r="J246" s="202">
        <v>0</v>
      </c>
      <c r="K246" s="202" t="s">
        <v>2744</v>
      </c>
      <c r="L246" s="202"/>
      <c r="M246" s="202" t="s">
        <v>1158</v>
      </c>
      <c r="N246" s="206">
        <v>43397</v>
      </c>
      <c r="O246" s="206">
        <v>43397</v>
      </c>
      <c r="P246" s="202" t="s">
        <v>2758</v>
      </c>
      <c r="Q246" s="203">
        <v>1000</v>
      </c>
      <c r="R246" s="203">
        <v>14040</v>
      </c>
      <c r="S246" s="204">
        <v>576.75</v>
      </c>
      <c r="T246" s="203">
        <v>14046</v>
      </c>
      <c r="U246" s="204">
        <v>182.65</v>
      </c>
      <c r="V246" s="204">
        <f t="shared" si="14"/>
        <v>394.1</v>
      </c>
      <c r="W246" s="205">
        <v>57.68</v>
      </c>
      <c r="X246" s="203">
        <v>51260</v>
      </c>
      <c r="Y246" s="204">
        <v>4.8099999999999996</v>
      </c>
      <c r="Z246" s="202" t="s">
        <v>97</v>
      </c>
      <c r="AA246" s="202"/>
      <c r="AB246" s="202">
        <v>425</v>
      </c>
      <c r="AC246" s="202"/>
      <c r="AD246" s="202" t="s">
        <v>1152</v>
      </c>
      <c r="AE246" s="202" t="s">
        <v>1153</v>
      </c>
      <c r="AF246" s="203" t="s">
        <v>1154</v>
      </c>
      <c r="AG246" s="202"/>
      <c r="AH246" s="203" t="s">
        <v>1155</v>
      </c>
      <c r="AI246" s="202">
        <v>0</v>
      </c>
      <c r="AJ246" s="202">
        <v>0</v>
      </c>
    </row>
    <row r="247" spans="2:36">
      <c r="B247" s="203">
        <v>2180</v>
      </c>
      <c r="C247" s="207">
        <v>206401</v>
      </c>
      <c r="D247" s="203">
        <v>204190</v>
      </c>
      <c r="E247" s="202" t="s">
        <v>124</v>
      </c>
      <c r="F247" s="203"/>
      <c r="G247" s="202"/>
      <c r="H247" s="202"/>
      <c r="I247" s="202"/>
      <c r="J247" s="202">
        <v>0</v>
      </c>
      <c r="K247" s="202" t="s">
        <v>2744</v>
      </c>
      <c r="L247" s="202"/>
      <c r="M247" s="202" t="s">
        <v>1158</v>
      </c>
      <c r="N247" s="206">
        <v>43397</v>
      </c>
      <c r="O247" s="206">
        <v>43397</v>
      </c>
      <c r="P247" s="202" t="s">
        <v>2762</v>
      </c>
      <c r="Q247" s="203">
        <v>1000</v>
      </c>
      <c r="R247" s="203">
        <v>14040</v>
      </c>
      <c r="S247" s="204">
        <v>576.75</v>
      </c>
      <c r="T247" s="203">
        <v>14046</v>
      </c>
      <c r="U247" s="204">
        <v>182.65</v>
      </c>
      <c r="V247" s="204">
        <f t="shared" si="14"/>
        <v>394.1</v>
      </c>
      <c r="W247" s="205">
        <v>57.68</v>
      </c>
      <c r="X247" s="203">
        <v>51260</v>
      </c>
      <c r="Y247" s="204">
        <v>4.8099999999999996</v>
      </c>
      <c r="Z247" s="202" t="s">
        <v>97</v>
      </c>
      <c r="AA247" s="202"/>
      <c r="AB247" s="202">
        <v>424</v>
      </c>
      <c r="AC247" s="202"/>
      <c r="AD247" s="202" t="s">
        <v>1152</v>
      </c>
      <c r="AE247" s="202" t="s">
        <v>1153</v>
      </c>
      <c r="AF247" s="203" t="s">
        <v>1154</v>
      </c>
      <c r="AG247" s="202"/>
      <c r="AH247" s="203" t="s">
        <v>1155</v>
      </c>
      <c r="AI247" s="202">
        <v>0</v>
      </c>
      <c r="AJ247" s="202">
        <v>0</v>
      </c>
    </row>
    <row r="248" spans="2:36">
      <c r="B248" s="203">
        <v>2180</v>
      </c>
      <c r="C248" s="207">
        <v>206400</v>
      </c>
      <c r="D248" s="203">
        <v>204188</v>
      </c>
      <c r="E248" s="202" t="s">
        <v>128</v>
      </c>
      <c r="F248" s="203"/>
      <c r="G248" s="202"/>
      <c r="H248" s="202"/>
      <c r="I248" s="202"/>
      <c r="J248" s="202">
        <v>2018</v>
      </c>
      <c r="K248" s="202" t="s">
        <v>1406</v>
      </c>
      <c r="L248" s="202" t="s">
        <v>2775</v>
      </c>
      <c r="M248" s="202" t="s">
        <v>1158</v>
      </c>
      <c r="N248" s="206">
        <v>43389</v>
      </c>
      <c r="O248" s="206">
        <v>43389</v>
      </c>
      <c r="P248" s="202" t="s">
        <v>2760</v>
      </c>
      <c r="Q248" s="203">
        <v>1000</v>
      </c>
      <c r="R248" s="203">
        <v>14040</v>
      </c>
      <c r="S248" s="204">
        <v>628.75</v>
      </c>
      <c r="T248" s="203">
        <v>14046</v>
      </c>
      <c r="U248" s="204">
        <v>199.12</v>
      </c>
      <c r="V248" s="204">
        <f t="shared" si="14"/>
        <v>429.63</v>
      </c>
      <c r="W248" s="205">
        <v>62.88</v>
      </c>
      <c r="X248" s="203">
        <v>51260</v>
      </c>
      <c r="Y248" s="204">
        <v>5.24</v>
      </c>
      <c r="Z248" s="202" t="s">
        <v>97</v>
      </c>
      <c r="AA248" s="202"/>
      <c r="AB248" s="202">
        <v>416</v>
      </c>
      <c r="AC248" s="202"/>
      <c r="AD248" s="202" t="s">
        <v>1152</v>
      </c>
      <c r="AE248" s="202" t="s">
        <v>1153</v>
      </c>
      <c r="AF248" s="203" t="s">
        <v>1154</v>
      </c>
      <c r="AG248" s="202"/>
      <c r="AH248" s="203" t="s">
        <v>1155</v>
      </c>
      <c r="AI248" s="202">
        <v>0</v>
      </c>
      <c r="AJ248" s="202">
        <v>0</v>
      </c>
    </row>
    <row r="249" spans="2:36">
      <c r="B249" s="203">
        <v>2180</v>
      </c>
      <c r="C249" s="207">
        <v>206246</v>
      </c>
      <c r="D249" s="203" t="s">
        <v>97</v>
      </c>
      <c r="E249" s="202" t="s">
        <v>984</v>
      </c>
      <c r="F249" s="203"/>
      <c r="G249" s="202"/>
      <c r="H249" s="202"/>
      <c r="I249" s="202"/>
      <c r="J249" s="202">
        <v>0</v>
      </c>
      <c r="K249" s="202" t="s">
        <v>1429</v>
      </c>
      <c r="L249" s="202"/>
      <c r="M249" s="202"/>
      <c r="N249" s="206">
        <v>43431</v>
      </c>
      <c r="O249" s="206">
        <v>43431</v>
      </c>
      <c r="P249" s="202" t="s">
        <v>2774</v>
      </c>
      <c r="Q249" s="203">
        <v>300</v>
      </c>
      <c r="R249" s="203">
        <v>14110</v>
      </c>
      <c r="S249" s="204">
        <v>1484.41</v>
      </c>
      <c r="T249" s="203">
        <v>14116</v>
      </c>
      <c r="U249" s="204">
        <v>1484.41</v>
      </c>
      <c r="V249" s="204">
        <f t="shared" si="14"/>
        <v>0</v>
      </c>
      <c r="W249" s="205">
        <v>453.58</v>
      </c>
      <c r="X249" s="203">
        <v>70260</v>
      </c>
      <c r="Y249" s="204">
        <v>0</v>
      </c>
      <c r="Z249" s="202" t="s">
        <v>97</v>
      </c>
      <c r="AA249" s="202"/>
      <c r="AB249" s="202" t="s">
        <v>2773</v>
      </c>
      <c r="AC249" s="202"/>
      <c r="AD249" s="202" t="s">
        <v>1152</v>
      </c>
      <c r="AE249" s="202" t="s">
        <v>1153</v>
      </c>
      <c r="AF249" s="203" t="s">
        <v>1154</v>
      </c>
      <c r="AG249" s="202"/>
      <c r="AH249" s="203" t="s">
        <v>1155</v>
      </c>
      <c r="AI249" s="202">
        <v>0</v>
      </c>
      <c r="AJ249" s="202">
        <v>0</v>
      </c>
    </row>
    <row r="250" spans="2:36">
      <c r="B250" s="203">
        <v>2180</v>
      </c>
      <c r="C250" s="207">
        <v>205326</v>
      </c>
      <c r="D250" s="203" t="s">
        <v>97</v>
      </c>
      <c r="E250" s="202" t="s">
        <v>126</v>
      </c>
      <c r="F250" s="203"/>
      <c r="G250" s="202"/>
      <c r="H250" s="202" t="s">
        <v>2772</v>
      </c>
      <c r="I250" s="202"/>
      <c r="J250" s="202">
        <v>2019</v>
      </c>
      <c r="K250" s="202" t="s">
        <v>2290</v>
      </c>
      <c r="L250" s="202" t="s">
        <v>2413</v>
      </c>
      <c r="M250" s="202" t="s">
        <v>1404</v>
      </c>
      <c r="N250" s="206">
        <v>43423</v>
      </c>
      <c r="O250" s="206">
        <v>43423</v>
      </c>
      <c r="P250" s="202" t="s">
        <v>2771</v>
      </c>
      <c r="Q250" s="203">
        <v>1000</v>
      </c>
      <c r="R250" s="203">
        <v>14040</v>
      </c>
      <c r="S250" s="204">
        <v>349829.48</v>
      </c>
      <c r="T250" s="203">
        <v>14046</v>
      </c>
      <c r="U250" s="204">
        <v>107864.1</v>
      </c>
      <c r="V250" s="204">
        <f t="shared" si="14"/>
        <v>241965.37999999998</v>
      </c>
      <c r="W250" s="205">
        <v>34982.949999999997</v>
      </c>
      <c r="X250" s="203">
        <v>51260</v>
      </c>
      <c r="Y250" s="204">
        <v>2915.25</v>
      </c>
      <c r="Z250" s="202" t="s">
        <v>97</v>
      </c>
      <c r="AA250" s="202"/>
      <c r="AB250" s="202">
        <v>155557</v>
      </c>
      <c r="AC250" s="202">
        <v>3677</v>
      </c>
      <c r="AD250" s="202" t="s">
        <v>1152</v>
      </c>
      <c r="AE250" s="202" t="s">
        <v>1153</v>
      </c>
      <c r="AF250" s="203" t="s">
        <v>1154</v>
      </c>
      <c r="AG250" s="202"/>
      <c r="AH250" s="203" t="s">
        <v>1155</v>
      </c>
      <c r="AI250" s="202">
        <v>0</v>
      </c>
      <c r="AJ250" s="202">
        <v>0</v>
      </c>
    </row>
    <row r="251" spans="2:36">
      <c r="B251" s="203">
        <v>2180</v>
      </c>
      <c r="C251" s="207">
        <v>204837</v>
      </c>
      <c r="D251" s="203">
        <v>60779</v>
      </c>
      <c r="E251" s="202" t="s">
        <v>229</v>
      </c>
      <c r="F251" s="203"/>
      <c r="G251" s="202"/>
      <c r="H251" s="202"/>
      <c r="I251" s="202"/>
      <c r="J251" s="202">
        <v>0</v>
      </c>
      <c r="K251" s="202" t="s">
        <v>2770</v>
      </c>
      <c r="L251" s="202"/>
      <c r="M251" s="202" t="s">
        <v>1158</v>
      </c>
      <c r="N251" s="206">
        <v>43382</v>
      </c>
      <c r="O251" s="206">
        <v>43382</v>
      </c>
      <c r="P251" s="202" t="s">
        <v>2769</v>
      </c>
      <c r="Q251" s="203">
        <v>300</v>
      </c>
      <c r="R251" s="203">
        <v>14040</v>
      </c>
      <c r="S251" s="204">
        <v>14824.26</v>
      </c>
      <c r="T251" s="203">
        <v>14046</v>
      </c>
      <c r="U251" s="204">
        <v>14824.26</v>
      </c>
      <c r="V251" s="204">
        <f t="shared" si="14"/>
        <v>0</v>
      </c>
      <c r="W251" s="205">
        <v>3706.06</v>
      </c>
      <c r="X251" s="203">
        <v>51260</v>
      </c>
      <c r="Y251" s="204">
        <v>0</v>
      </c>
      <c r="Z251" s="202" t="s">
        <v>97</v>
      </c>
      <c r="AA251" s="202"/>
      <c r="AB251" s="202" t="s">
        <v>2768</v>
      </c>
      <c r="AC251" s="202"/>
      <c r="AD251" s="202" t="s">
        <v>1152</v>
      </c>
      <c r="AE251" s="202" t="s">
        <v>1153</v>
      </c>
      <c r="AF251" s="203" t="s">
        <v>1154</v>
      </c>
      <c r="AG251" s="202"/>
      <c r="AH251" s="203" t="s">
        <v>1155</v>
      </c>
      <c r="AI251" s="202">
        <v>0</v>
      </c>
      <c r="AJ251" s="202">
        <v>0</v>
      </c>
    </row>
    <row r="252" spans="2:36">
      <c r="B252" s="203">
        <v>2180</v>
      </c>
      <c r="C252" s="207">
        <v>204592</v>
      </c>
      <c r="D252" s="203" t="s">
        <v>97</v>
      </c>
      <c r="E252" s="202" t="s">
        <v>983</v>
      </c>
      <c r="F252" s="203"/>
      <c r="G252" s="202"/>
      <c r="H252" s="202"/>
      <c r="I252" s="202"/>
      <c r="J252" s="202">
        <v>0</v>
      </c>
      <c r="K252" s="202" t="s">
        <v>1576</v>
      </c>
      <c r="L252" s="202"/>
      <c r="M252" s="202"/>
      <c r="N252" s="206">
        <v>43354</v>
      </c>
      <c r="O252" s="206">
        <v>43354</v>
      </c>
      <c r="P252" s="202" t="s">
        <v>2767</v>
      </c>
      <c r="Q252" s="203">
        <v>100</v>
      </c>
      <c r="R252" s="203">
        <v>14110</v>
      </c>
      <c r="S252" s="204">
        <v>15356.65</v>
      </c>
      <c r="T252" s="203">
        <v>14116</v>
      </c>
      <c r="U252" s="204">
        <v>15356.65</v>
      </c>
      <c r="V252" s="204">
        <f t="shared" si="14"/>
        <v>0</v>
      </c>
      <c r="W252" s="205">
        <v>0</v>
      </c>
      <c r="X252" s="203">
        <v>70260</v>
      </c>
      <c r="Y252" s="204">
        <v>0</v>
      </c>
      <c r="Z252" s="202" t="s">
        <v>97</v>
      </c>
      <c r="AA252" s="202"/>
      <c r="AB252" s="202">
        <v>99683</v>
      </c>
      <c r="AC252" s="202"/>
      <c r="AD252" s="202" t="s">
        <v>1152</v>
      </c>
      <c r="AE252" s="202" t="s">
        <v>1153</v>
      </c>
      <c r="AF252" s="203" t="s">
        <v>1154</v>
      </c>
      <c r="AG252" s="202"/>
      <c r="AH252" s="203" t="s">
        <v>1155</v>
      </c>
      <c r="AI252" s="202">
        <v>0</v>
      </c>
      <c r="AJ252" s="202">
        <v>0</v>
      </c>
    </row>
    <row r="253" spans="2:36">
      <c r="B253" s="203">
        <v>2180</v>
      </c>
      <c r="C253" s="207">
        <v>204578</v>
      </c>
      <c r="D253" s="203" t="s">
        <v>97</v>
      </c>
      <c r="E253" s="202" t="s">
        <v>588</v>
      </c>
      <c r="F253" s="203">
        <v>2</v>
      </c>
      <c r="G253" s="202"/>
      <c r="H253" s="202"/>
      <c r="I253" s="202"/>
      <c r="J253" s="202">
        <v>0</v>
      </c>
      <c r="K253" s="202" t="s">
        <v>2318</v>
      </c>
      <c r="L253" s="202"/>
      <c r="M253" s="202" t="s">
        <v>1458</v>
      </c>
      <c r="N253" s="206">
        <v>43391</v>
      </c>
      <c r="O253" s="206">
        <v>43391</v>
      </c>
      <c r="P253" s="202" t="s">
        <v>2766</v>
      </c>
      <c r="Q253" s="203">
        <v>1200</v>
      </c>
      <c r="R253" s="203">
        <v>14050</v>
      </c>
      <c r="S253" s="204">
        <v>13169</v>
      </c>
      <c r="T253" s="203">
        <v>14056</v>
      </c>
      <c r="U253" s="204">
        <v>3475.16</v>
      </c>
      <c r="V253" s="204">
        <f t="shared" si="14"/>
        <v>9693.84</v>
      </c>
      <c r="W253" s="205">
        <v>1097.42</v>
      </c>
      <c r="X253" s="203">
        <v>54260</v>
      </c>
      <c r="Y253" s="204">
        <v>91.45</v>
      </c>
      <c r="Z253" s="202" t="s">
        <v>97</v>
      </c>
      <c r="AA253" s="202"/>
      <c r="AB253" s="202">
        <v>37217897</v>
      </c>
      <c r="AC253" s="202"/>
      <c r="AD253" s="202" t="s">
        <v>1152</v>
      </c>
      <c r="AE253" s="202" t="s">
        <v>1153</v>
      </c>
      <c r="AF253" s="203" t="s">
        <v>1154</v>
      </c>
      <c r="AG253" s="202"/>
      <c r="AH253" s="203" t="s">
        <v>1155</v>
      </c>
      <c r="AI253" s="202">
        <v>0</v>
      </c>
      <c r="AJ253" s="202">
        <v>0</v>
      </c>
    </row>
    <row r="254" spans="2:36">
      <c r="B254" s="203">
        <v>2180</v>
      </c>
      <c r="C254" s="207">
        <v>204577</v>
      </c>
      <c r="D254" s="203" t="s">
        <v>97</v>
      </c>
      <c r="E254" s="202" t="s">
        <v>598</v>
      </c>
      <c r="F254" s="203">
        <v>4</v>
      </c>
      <c r="G254" s="202"/>
      <c r="H254" s="202"/>
      <c r="I254" s="202"/>
      <c r="J254" s="202">
        <v>0</v>
      </c>
      <c r="K254" s="202" t="s">
        <v>2318</v>
      </c>
      <c r="L254" s="202"/>
      <c r="M254" s="202" t="s">
        <v>1417</v>
      </c>
      <c r="N254" s="206">
        <v>43382</v>
      </c>
      <c r="O254" s="206">
        <v>43382</v>
      </c>
      <c r="P254" s="202" t="s">
        <v>2765</v>
      </c>
      <c r="Q254" s="203">
        <v>1200</v>
      </c>
      <c r="R254" s="203">
        <v>14050</v>
      </c>
      <c r="S254" s="204">
        <v>30408</v>
      </c>
      <c r="T254" s="203">
        <v>14056</v>
      </c>
      <c r="U254" s="204">
        <v>8235.5</v>
      </c>
      <c r="V254" s="204">
        <f t="shared" si="14"/>
        <v>22172.5</v>
      </c>
      <c r="W254" s="205">
        <v>2534</v>
      </c>
      <c r="X254" s="203">
        <v>54260</v>
      </c>
      <c r="Y254" s="204">
        <v>211.17</v>
      </c>
      <c r="Z254" s="202" t="s">
        <v>97</v>
      </c>
      <c r="AA254" s="202"/>
      <c r="AB254" s="202">
        <v>37217847</v>
      </c>
      <c r="AC254" s="202"/>
      <c r="AD254" s="202" t="s">
        <v>1152</v>
      </c>
      <c r="AE254" s="202" t="s">
        <v>1153</v>
      </c>
      <c r="AF254" s="203" t="s">
        <v>1154</v>
      </c>
      <c r="AG254" s="202"/>
      <c r="AH254" s="203" t="s">
        <v>1155</v>
      </c>
      <c r="AI254" s="202">
        <v>0</v>
      </c>
      <c r="AJ254" s="202">
        <v>0</v>
      </c>
    </row>
    <row r="255" spans="2:36">
      <c r="B255" s="203">
        <v>2180</v>
      </c>
      <c r="C255" s="207">
        <v>204576</v>
      </c>
      <c r="D255" s="203" t="s">
        <v>97</v>
      </c>
      <c r="E255" s="202" t="s">
        <v>590</v>
      </c>
      <c r="F255" s="203">
        <v>2</v>
      </c>
      <c r="G255" s="202"/>
      <c r="H255" s="202"/>
      <c r="I255" s="202"/>
      <c r="J255" s="202">
        <v>0</v>
      </c>
      <c r="K255" s="202" t="s">
        <v>2318</v>
      </c>
      <c r="L255" s="202"/>
      <c r="M255" s="202" t="s">
        <v>1454</v>
      </c>
      <c r="N255" s="206">
        <v>43378</v>
      </c>
      <c r="O255" s="206">
        <v>43378</v>
      </c>
      <c r="P255" s="202" t="s">
        <v>2746</v>
      </c>
      <c r="Q255" s="203">
        <v>1200</v>
      </c>
      <c r="R255" s="203">
        <v>14050</v>
      </c>
      <c r="S255" s="204">
        <v>13966</v>
      </c>
      <c r="T255" s="203">
        <v>14056</v>
      </c>
      <c r="U255" s="204">
        <v>3782.45</v>
      </c>
      <c r="V255" s="204">
        <f t="shared" si="14"/>
        <v>10183.549999999999</v>
      </c>
      <c r="W255" s="205">
        <v>1163.83</v>
      </c>
      <c r="X255" s="203">
        <v>54260</v>
      </c>
      <c r="Y255" s="204">
        <v>96.99</v>
      </c>
      <c r="Z255" s="202" t="s">
        <v>97</v>
      </c>
      <c r="AA255" s="202"/>
      <c r="AB255" s="202">
        <v>37217831</v>
      </c>
      <c r="AC255" s="202"/>
      <c r="AD255" s="202" t="s">
        <v>1152</v>
      </c>
      <c r="AE255" s="202" t="s">
        <v>1153</v>
      </c>
      <c r="AF255" s="203" t="s">
        <v>1154</v>
      </c>
      <c r="AG255" s="202"/>
      <c r="AH255" s="203" t="s">
        <v>1155</v>
      </c>
      <c r="AI255" s="202">
        <v>0</v>
      </c>
      <c r="AJ255" s="202">
        <v>0</v>
      </c>
    </row>
    <row r="256" spans="2:36">
      <c r="B256" s="203">
        <v>2180</v>
      </c>
      <c r="C256" s="207">
        <v>204287</v>
      </c>
      <c r="D256" s="203" t="s">
        <v>97</v>
      </c>
      <c r="E256" s="202" t="s">
        <v>528</v>
      </c>
      <c r="F256" s="203">
        <v>13</v>
      </c>
      <c r="G256" s="202"/>
      <c r="H256" s="202"/>
      <c r="I256" s="202"/>
      <c r="J256" s="202">
        <v>0</v>
      </c>
      <c r="K256" s="202" t="s">
        <v>2318</v>
      </c>
      <c r="L256" s="202"/>
      <c r="M256" s="202" t="s">
        <v>1456</v>
      </c>
      <c r="N256" s="206">
        <v>43378</v>
      </c>
      <c r="O256" s="206">
        <v>43378</v>
      </c>
      <c r="P256" s="202" t="s">
        <v>2764</v>
      </c>
      <c r="Q256" s="203">
        <v>1200</v>
      </c>
      <c r="R256" s="203">
        <v>14050</v>
      </c>
      <c r="S256" s="204">
        <v>13897.5</v>
      </c>
      <c r="T256" s="203">
        <v>14056</v>
      </c>
      <c r="U256" s="204">
        <v>3763.92</v>
      </c>
      <c r="V256" s="204">
        <f t="shared" si="14"/>
        <v>10133.58</v>
      </c>
      <c r="W256" s="205">
        <v>1158.1300000000001</v>
      </c>
      <c r="X256" s="203">
        <v>54260</v>
      </c>
      <c r="Y256" s="204">
        <v>96.51</v>
      </c>
      <c r="Z256" s="202" t="s">
        <v>97</v>
      </c>
      <c r="AA256" s="202"/>
      <c r="AB256" s="202">
        <v>37217837</v>
      </c>
      <c r="AC256" s="202"/>
      <c r="AD256" s="202" t="s">
        <v>1152</v>
      </c>
      <c r="AE256" s="202" t="s">
        <v>1153</v>
      </c>
      <c r="AF256" s="203" t="s">
        <v>1154</v>
      </c>
      <c r="AG256" s="202"/>
      <c r="AH256" s="203" t="s">
        <v>1155</v>
      </c>
      <c r="AI256" s="202">
        <v>0</v>
      </c>
      <c r="AJ256" s="202">
        <v>0</v>
      </c>
    </row>
    <row r="257" spans="2:36">
      <c r="B257" s="203">
        <v>2180</v>
      </c>
      <c r="C257" s="207">
        <v>204190</v>
      </c>
      <c r="D257" s="203" t="s">
        <v>97</v>
      </c>
      <c r="E257" s="202" t="s">
        <v>125</v>
      </c>
      <c r="F257" s="203"/>
      <c r="G257" s="202"/>
      <c r="H257" s="202" t="s">
        <v>2763</v>
      </c>
      <c r="I257" s="202"/>
      <c r="J257" s="202">
        <v>2019</v>
      </c>
      <c r="K257" s="202" t="s">
        <v>2290</v>
      </c>
      <c r="L257" s="202" t="s">
        <v>2440</v>
      </c>
      <c r="M257" s="202" t="s">
        <v>1999</v>
      </c>
      <c r="N257" s="206">
        <v>43389</v>
      </c>
      <c r="O257" s="206">
        <v>43389</v>
      </c>
      <c r="P257" s="202" t="s">
        <v>2762</v>
      </c>
      <c r="Q257" s="203">
        <v>1000</v>
      </c>
      <c r="R257" s="203">
        <v>14040</v>
      </c>
      <c r="S257" s="204">
        <v>336121.76</v>
      </c>
      <c r="T257" s="203">
        <v>14046</v>
      </c>
      <c r="U257" s="204">
        <v>106438.57</v>
      </c>
      <c r="V257" s="204">
        <f t="shared" si="14"/>
        <v>229683.19</v>
      </c>
      <c r="W257" s="205">
        <v>33612.18</v>
      </c>
      <c r="X257" s="203">
        <v>51260</v>
      </c>
      <c r="Y257" s="204">
        <v>2801.01</v>
      </c>
      <c r="Z257" s="202" t="s">
        <v>97</v>
      </c>
      <c r="AA257" s="202"/>
      <c r="AB257" s="202">
        <v>9934</v>
      </c>
      <c r="AC257" s="202">
        <v>2051</v>
      </c>
      <c r="AD257" s="202" t="s">
        <v>1152</v>
      </c>
      <c r="AE257" s="202" t="s">
        <v>1153</v>
      </c>
      <c r="AF257" s="203" t="s">
        <v>1154</v>
      </c>
      <c r="AG257" s="202"/>
      <c r="AH257" s="203" t="s">
        <v>1155</v>
      </c>
      <c r="AI257" s="202">
        <v>0</v>
      </c>
      <c r="AJ257" s="202">
        <v>0</v>
      </c>
    </row>
    <row r="258" spans="2:36">
      <c r="B258" s="203">
        <v>2180</v>
      </c>
      <c r="C258" s="207">
        <v>204188</v>
      </c>
      <c r="D258" s="203" t="s">
        <v>97</v>
      </c>
      <c r="E258" s="202" t="s">
        <v>126</v>
      </c>
      <c r="F258" s="203"/>
      <c r="G258" s="202"/>
      <c r="H258" s="202" t="s">
        <v>2761</v>
      </c>
      <c r="I258" s="202"/>
      <c r="J258" s="202">
        <v>2019</v>
      </c>
      <c r="K258" s="202" t="s">
        <v>2290</v>
      </c>
      <c r="L258" s="202" t="s">
        <v>2413</v>
      </c>
      <c r="M258" s="202" t="s">
        <v>1404</v>
      </c>
      <c r="N258" s="206">
        <v>43389</v>
      </c>
      <c r="O258" s="206">
        <v>43389</v>
      </c>
      <c r="P258" s="202" t="s">
        <v>2760</v>
      </c>
      <c r="Q258" s="203">
        <v>1000</v>
      </c>
      <c r="R258" s="203">
        <v>14040</v>
      </c>
      <c r="S258" s="204">
        <v>349200.73</v>
      </c>
      <c r="T258" s="203">
        <v>14046</v>
      </c>
      <c r="U258" s="204">
        <v>110580.22</v>
      </c>
      <c r="V258" s="204">
        <f t="shared" si="14"/>
        <v>238620.50999999998</v>
      </c>
      <c r="W258" s="205">
        <v>34920.07</v>
      </c>
      <c r="X258" s="203">
        <v>51260</v>
      </c>
      <c r="Y258" s="204">
        <v>2910.01</v>
      </c>
      <c r="Z258" s="202" t="s">
        <v>97</v>
      </c>
      <c r="AA258" s="202"/>
      <c r="AB258" s="202">
        <v>9934</v>
      </c>
      <c r="AC258" s="202">
        <v>3681</v>
      </c>
      <c r="AD258" s="202" t="s">
        <v>1152</v>
      </c>
      <c r="AE258" s="202" t="s">
        <v>1153</v>
      </c>
      <c r="AF258" s="203" t="s">
        <v>1154</v>
      </c>
      <c r="AG258" s="202"/>
      <c r="AH258" s="203" t="s">
        <v>1155</v>
      </c>
      <c r="AI258" s="202">
        <v>0</v>
      </c>
      <c r="AJ258" s="202">
        <v>0</v>
      </c>
    </row>
    <row r="259" spans="2:36">
      <c r="B259" s="203">
        <v>2180</v>
      </c>
      <c r="C259" s="207">
        <v>204185</v>
      </c>
      <c r="D259" s="203" t="s">
        <v>97</v>
      </c>
      <c r="E259" s="202" t="s">
        <v>125</v>
      </c>
      <c r="F259" s="203"/>
      <c r="G259" s="202"/>
      <c r="H259" s="202" t="s">
        <v>2759</v>
      </c>
      <c r="I259" s="202"/>
      <c r="J259" s="202">
        <v>2019</v>
      </c>
      <c r="K259" s="202" t="s">
        <v>2290</v>
      </c>
      <c r="L259" s="202" t="s">
        <v>2440</v>
      </c>
      <c r="M259" s="202" t="s">
        <v>1999</v>
      </c>
      <c r="N259" s="206">
        <v>43389</v>
      </c>
      <c r="O259" s="206">
        <v>43389</v>
      </c>
      <c r="P259" s="202" t="s">
        <v>2758</v>
      </c>
      <c r="Q259" s="203">
        <v>1000</v>
      </c>
      <c r="R259" s="203">
        <v>14040</v>
      </c>
      <c r="S259" s="204">
        <v>336121.76</v>
      </c>
      <c r="T259" s="203">
        <v>14046</v>
      </c>
      <c r="U259" s="204">
        <v>106438.57</v>
      </c>
      <c r="V259" s="204">
        <f t="shared" si="14"/>
        <v>229683.19</v>
      </c>
      <c r="W259" s="205">
        <v>33612.18</v>
      </c>
      <c r="X259" s="203">
        <v>51260</v>
      </c>
      <c r="Y259" s="204">
        <v>2801.01</v>
      </c>
      <c r="Z259" s="202" t="s">
        <v>97</v>
      </c>
      <c r="AA259" s="202"/>
      <c r="AB259" s="202">
        <v>9934</v>
      </c>
      <c r="AC259" s="202">
        <v>2052</v>
      </c>
      <c r="AD259" s="202" t="s">
        <v>1152</v>
      </c>
      <c r="AE259" s="202" t="s">
        <v>1153</v>
      </c>
      <c r="AF259" s="203" t="s">
        <v>1154</v>
      </c>
      <c r="AG259" s="202"/>
      <c r="AH259" s="203" t="s">
        <v>1155</v>
      </c>
      <c r="AI259" s="202">
        <v>0</v>
      </c>
      <c r="AJ259" s="202">
        <v>0</v>
      </c>
    </row>
    <row r="260" spans="2:36">
      <c r="B260" s="203">
        <v>2180</v>
      </c>
      <c r="C260" s="207">
        <v>204173</v>
      </c>
      <c r="D260" s="203" t="s">
        <v>97</v>
      </c>
      <c r="E260" s="202" t="s">
        <v>673</v>
      </c>
      <c r="F260" s="203">
        <v>702</v>
      </c>
      <c r="G260" s="202"/>
      <c r="H260" s="202"/>
      <c r="I260" s="202"/>
      <c r="J260" s="202">
        <v>0</v>
      </c>
      <c r="K260" s="202" t="s">
        <v>2445</v>
      </c>
      <c r="L260" s="202"/>
      <c r="M260" s="202"/>
      <c r="N260" s="206">
        <v>43355</v>
      </c>
      <c r="O260" s="206">
        <v>43355</v>
      </c>
      <c r="P260" s="202" t="s">
        <v>2757</v>
      </c>
      <c r="Q260" s="203">
        <v>700</v>
      </c>
      <c r="R260" s="203">
        <v>14050</v>
      </c>
      <c r="S260" s="204">
        <v>38279.9</v>
      </c>
      <c r="T260" s="203">
        <v>14056</v>
      </c>
      <c r="U260" s="204">
        <v>18228.53</v>
      </c>
      <c r="V260" s="204">
        <f t="shared" si="14"/>
        <v>20051.370000000003</v>
      </c>
      <c r="W260" s="205">
        <v>5468.56</v>
      </c>
      <c r="X260" s="203">
        <v>54260</v>
      </c>
      <c r="Y260" s="204">
        <v>455.71</v>
      </c>
      <c r="Z260" s="202" t="s">
        <v>97</v>
      </c>
      <c r="AA260" s="202"/>
      <c r="AB260" s="202" t="s">
        <v>2756</v>
      </c>
      <c r="AC260" s="202"/>
      <c r="AD260" s="202" t="s">
        <v>1152</v>
      </c>
      <c r="AE260" s="202" t="s">
        <v>1153</v>
      </c>
      <c r="AF260" s="203" t="s">
        <v>1154</v>
      </c>
      <c r="AG260" s="202"/>
      <c r="AH260" s="203" t="s">
        <v>1155</v>
      </c>
      <c r="AI260" s="202">
        <v>0</v>
      </c>
      <c r="AJ260" s="202">
        <v>0</v>
      </c>
    </row>
    <row r="261" spans="2:36">
      <c r="B261" s="203">
        <v>2180</v>
      </c>
      <c r="C261" s="207">
        <v>204172</v>
      </c>
      <c r="D261" s="203" t="s">
        <v>97</v>
      </c>
      <c r="E261" s="202" t="s">
        <v>592</v>
      </c>
      <c r="F261" s="203">
        <v>4</v>
      </c>
      <c r="G261" s="202"/>
      <c r="H261" s="202"/>
      <c r="I261" s="202"/>
      <c r="J261" s="202">
        <v>0</v>
      </c>
      <c r="K261" s="202" t="s">
        <v>2318</v>
      </c>
      <c r="L261" s="202"/>
      <c r="M261" s="202" t="s">
        <v>1454</v>
      </c>
      <c r="N261" s="206">
        <v>43368</v>
      </c>
      <c r="O261" s="206">
        <v>43368</v>
      </c>
      <c r="P261" s="202" t="s">
        <v>2746</v>
      </c>
      <c r="Q261" s="203">
        <v>1200</v>
      </c>
      <c r="R261" s="203">
        <v>14050</v>
      </c>
      <c r="S261" s="204">
        <v>27932</v>
      </c>
      <c r="T261" s="203">
        <v>14056</v>
      </c>
      <c r="U261" s="204">
        <v>7564.93</v>
      </c>
      <c r="V261" s="204">
        <f t="shared" si="14"/>
        <v>20367.07</v>
      </c>
      <c r="W261" s="205">
        <v>2327.67</v>
      </c>
      <c r="X261" s="203">
        <v>54260</v>
      </c>
      <c r="Y261" s="204">
        <v>193.97</v>
      </c>
      <c r="Z261" s="202" t="s">
        <v>97</v>
      </c>
      <c r="AA261" s="202"/>
      <c r="AB261" s="202">
        <v>37217745</v>
      </c>
      <c r="AC261" s="202"/>
      <c r="AD261" s="202" t="s">
        <v>1152</v>
      </c>
      <c r="AE261" s="202" t="s">
        <v>1153</v>
      </c>
      <c r="AF261" s="203" t="s">
        <v>1154</v>
      </c>
      <c r="AG261" s="202"/>
      <c r="AH261" s="203" t="s">
        <v>1155</v>
      </c>
      <c r="AI261" s="202">
        <v>0</v>
      </c>
      <c r="AJ261" s="202">
        <v>0</v>
      </c>
    </row>
    <row r="262" spans="2:36">
      <c r="B262" s="203">
        <v>2180</v>
      </c>
      <c r="C262" s="207">
        <v>204171</v>
      </c>
      <c r="D262" s="203" t="s">
        <v>97</v>
      </c>
      <c r="E262" s="202" t="s">
        <v>513</v>
      </c>
      <c r="F262" s="203">
        <v>30</v>
      </c>
      <c r="G262" s="202"/>
      <c r="H262" s="202"/>
      <c r="I262" s="202"/>
      <c r="J262" s="202">
        <v>0</v>
      </c>
      <c r="K262" s="202" t="s">
        <v>2502</v>
      </c>
      <c r="L262" s="202"/>
      <c r="M262" s="202"/>
      <c r="N262" s="206">
        <v>43337</v>
      </c>
      <c r="O262" s="206">
        <v>43337</v>
      </c>
      <c r="P262" s="202" t="s">
        <v>2755</v>
      </c>
      <c r="Q262" s="203">
        <v>700</v>
      </c>
      <c r="R262" s="203">
        <v>14050</v>
      </c>
      <c r="S262" s="204">
        <v>26542.2</v>
      </c>
      <c r="T262" s="203">
        <v>14056</v>
      </c>
      <c r="U262" s="204">
        <v>12639.14</v>
      </c>
      <c r="V262" s="204">
        <f t="shared" si="14"/>
        <v>13903.060000000001</v>
      </c>
      <c r="W262" s="205">
        <v>3791.74</v>
      </c>
      <c r="X262" s="203">
        <v>54260</v>
      </c>
      <c r="Y262" s="204">
        <v>315.98</v>
      </c>
      <c r="Z262" s="202" t="s">
        <v>97</v>
      </c>
      <c r="AA262" s="202"/>
      <c r="AB262" s="202">
        <v>65551427</v>
      </c>
      <c r="AC262" s="202"/>
      <c r="AD262" s="202" t="s">
        <v>1152</v>
      </c>
      <c r="AE262" s="202" t="s">
        <v>1153</v>
      </c>
      <c r="AF262" s="203" t="s">
        <v>1154</v>
      </c>
      <c r="AG262" s="202"/>
      <c r="AH262" s="203" t="s">
        <v>1155</v>
      </c>
      <c r="AI262" s="202">
        <v>0</v>
      </c>
      <c r="AJ262" s="202">
        <v>0</v>
      </c>
    </row>
    <row r="263" spans="2:36">
      <c r="B263" s="203">
        <v>2180</v>
      </c>
      <c r="C263" s="207">
        <v>204166</v>
      </c>
      <c r="D263" s="203">
        <v>203828</v>
      </c>
      <c r="E263" s="202" t="s">
        <v>130</v>
      </c>
      <c r="F263" s="203"/>
      <c r="G263" s="202"/>
      <c r="H263" s="202"/>
      <c r="I263" s="202"/>
      <c r="J263" s="202">
        <v>0</v>
      </c>
      <c r="K263" s="202" t="s">
        <v>1406</v>
      </c>
      <c r="L263" s="202"/>
      <c r="M263" s="202" t="s">
        <v>1158</v>
      </c>
      <c r="N263" s="206">
        <v>43385</v>
      </c>
      <c r="O263" s="206">
        <v>43385</v>
      </c>
      <c r="P263" s="202" t="s">
        <v>2753</v>
      </c>
      <c r="Q263" s="203">
        <v>1000</v>
      </c>
      <c r="R263" s="203">
        <v>14040</v>
      </c>
      <c r="S263" s="204">
        <v>628.75</v>
      </c>
      <c r="T263" s="203">
        <v>14046</v>
      </c>
      <c r="U263" s="204">
        <v>204.36</v>
      </c>
      <c r="V263" s="204">
        <f t="shared" si="14"/>
        <v>424.39</v>
      </c>
      <c r="W263" s="205">
        <v>62.88</v>
      </c>
      <c r="X263" s="203">
        <v>51260</v>
      </c>
      <c r="Y263" s="204">
        <v>5.24</v>
      </c>
      <c r="Z263" s="202" t="s">
        <v>97</v>
      </c>
      <c r="AA263" s="202"/>
      <c r="AB263" s="202">
        <v>412</v>
      </c>
      <c r="AC263" s="202"/>
      <c r="AD263" s="202" t="s">
        <v>1152</v>
      </c>
      <c r="AE263" s="202" t="s">
        <v>1153</v>
      </c>
      <c r="AF263" s="203" t="s">
        <v>1154</v>
      </c>
      <c r="AG263" s="202"/>
      <c r="AH263" s="203" t="s">
        <v>1155</v>
      </c>
      <c r="AI263" s="202">
        <v>0</v>
      </c>
      <c r="AJ263" s="202">
        <v>0</v>
      </c>
    </row>
    <row r="264" spans="2:36">
      <c r="B264" s="203">
        <v>2180</v>
      </c>
      <c r="C264" s="207">
        <v>204165</v>
      </c>
      <c r="D264" s="203">
        <v>203827</v>
      </c>
      <c r="E264" s="202" t="s">
        <v>129</v>
      </c>
      <c r="F264" s="203"/>
      <c r="G264" s="202"/>
      <c r="H264" s="202"/>
      <c r="I264" s="202"/>
      <c r="J264" s="202">
        <v>0</v>
      </c>
      <c r="K264" s="202" t="s">
        <v>1406</v>
      </c>
      <c r="L264" s="202"/>
      <c r="M264" s="202" t="s">
        <v>1158</v>
      </c>
      <c r="N264" s="206">
        <v>43385</v>
      </c>
      <c r="O264" s="206">
        <v>43385</v>
      </c>
      <c r="P264" s="202" t="s">
        <v>2751</v>
      </c>
      <c r="Q264" s="203">
        <v>1000</v>
      </c>
      <c r="R264" s="203">
        <v>14040</v>
      </c>
      <c r="S264" s="204">
        <v>628.75</v>
      </c>
      <c r="T264" s="203">
        <v>14046</v>
      </c>
      <c r="U264" s="204">
        <v>204.36</v>
      </c>
      <c r="V264" s="204">
        <f t="shared" si="14"/>
        <v>424.39</v>
      </c>
      <c r="W264" s="205">
        <v>62.88</v>
      </c>
      <c r="X264" s="203">
        <v>51260</v>
      </c>
      <c r="Y264" s="204">
        <v>5.24</v>
      </c>
      <c r="Z264" s="202" t="s">
        <v>97</v>
      </c>
      <c r="AA264" s="202"/>
      <c r="AB264" s="202">
        <v>399</v>
      </c>
      <c r="AC264" s="202"/>
      <c r="AD264" s="202" t="s">
        <v>1152</v>
      </c>
      <c r="AE264" s="202" t="s">
        <v>1153</v>
      </c>
      <c r="AF264" s="203" t="s">
        <v>1154</v>
      </c>
      <c r="AG264" s="202"/>
      <c r="AH264" s="203" t="s">
        <v>1155</v>
      </c>
      <c r="AI264" s="202">
        <v>0</v>
      </c>
      <c r="AJ264" s="202">
        <v>0</v>
      </c>
    </row>
    <row r="265" spans="2:36">
      <c r="B265" s="203">
        <v>2180</v>
      </c>
      <c r="C265" s="207">
        <v>203828</v>
      </c>
      <c r="D265" s="203" t="s">
        <v>97</v>
      </c>
      <c r="E265" s="202" t="s">
        <v>126</v>
      </c>
      <c r="F265" s="203"/>
      <c r="G265" s="202"/>
      <c r="H265" s="202" t="s">
        <v>2754</v>
      </c>
      <c r="I265" s="202"/>
      <c r="J265" s="202">
        <v>2019</v>
      </c>
      <c r="K265" s="202" t="s">
        <v>2290</v>
      </c>
      <c r="L265" s="202" t="s">
        <v>2413</v>
      </c>
      <c r="M265" s="202" t="s">
        <v>1404</v>
      </c>
      <c r="N265" s="206">
        <v>43385</v>
      </c>
      <c r="O265" s="206">
        <v>43385</v>
      </c>
      <c r="P265" s="202" t="s">
        <v>2753</v>
      </c>
      <c r="Q265" s="203">
        <v>1000</v>
      </c>
      <c r="R265" s="203">
        <v>14040</v>
      </c>
      <c r="S265" s="204">
        <v>349200.73</v>
      </c>
      <c r="T265" s="203">
        <v>14046</v>
      </c>
      <c r="U265" s="204">
        <v>113490.23</v>
      </c>
      <c r="V265" s="204">
        <f t="shared" si="14"/>
        <v>235710.5</v>
      </c>
      <c r="W265" s="205">
        <v>34920.07</v>
      </c>
      <c r="X265" s="203">
        <v>51260</v>
      </c>
      <c r="Y265" s="204">
        <v>2910.01</v>
      </c>
      <c r="Z265" s="202" t="s">
        <v>97</v>
      </c>
      <c r="AA265" s="202"/>
      <c r="AB265" s="202">
        <v>9934</v>
      </c>
      <c r="AC265" s="202">
        <v>3683</v>
      </c>
      <c r="AD265" s="202" t="s">
        <v>1152</v>
      </c>
      <c r="AE265" s="202" t="s">
        <v>1153</v>
      </c>
      <c r="AF265" s="203" t="s">
        <v>1154</v>
      </c>
      <c r="AG265" s="202"/>
      <c r="AH265" s="203" t="s">
        <v>1155</v>
      </c>
      <c r="AI265" s="202">
        <v>0</v>
      </c>
      <c r="AJ265" s="202">
        <v>0</v>
      </c>
    </row>
    <row r="266" spans="2:36">
      <c r="B266" s="203">
        <v>2180</v>
      </c>
      <c r="C266" s="207">
        <v>203827</v>
      </c>
      <c r="D266" s="203" t="s">
        <v>97</v>
      </c>
      <c r="E266" s="202" t="s">
        <v>126</v>
      </c>
      <c r="F266" s="203"/>
      <c r="G266" s="202"/>
      <c r="H266" s="202" t="s">
        <v>2752</v>
      </c>
      <c r="I266" s="202"/>
      <c r="J266" s="202">
        <v>2019</v>
      </c>
      <c r="K266" s="202" t="s">
        <v>2290</v>
      </c>
      <c r="L266" s="202" t="s">
        <v>2413</v>
      </c>
      <c r="M266" s="202" t="s">
        <v>1404</v>
      </c>
      <c r="N266" s="206">
        <v>43385</v>
      </c>
      <c r="O266" s="206">
        <v>43385</v>
      </c>
      <c r="P266" s="202" t="s">
        <v>2751</v>
      </c>
      <c r="Q266" s="203">
        <v>1000</v>
      </c>
      <c r="R266" s="203">
        <v>14040</v>
      </c>
      <c r="S266" s="204">
        <v>349200.73</v>
      </c>
      <c r="T266" s="203">
        <v>14046</v>
      </c>
      <c r="U266" s="204">
        <v>113490.23</v>
      </c>
      <c r="V266" s="204">
        <f t="shared" si="14"/>
        <v>235710.5</v>
      </c>
      <c r="W266" s="205">
        <v>34920.07</v>
      </c>
      <c r="X266" s="203">
        <v>51260</v>
      </c>
      <c r="Y266" s="204">
        <v>2910.01</v>
      </c>
      <c r="Z266" s="202" t="s">
        <v>97</v>
      </c>
      <c r="AA266" s="202"/>
      <c r="AB266" s="202">
        <v>9934</v>
      </c>
      <c r="AC266" s="202">
        <v>3682</v>
      </c>
      <c r="AD266" s="202" t="s">
        <v>1152</v>
      </c>
      <c r="AE266" s="202" t="s">
        <v>1153</v>
      </c>
      <c r="AF266" s="203" t="s">
        <v>1154</v>
      </c>
      <c r="AG266" s="202"/>
      <c r="AH266" s="203" t="s">
        <v>1155</v>
      </c>
      <c r="AI266" s="202">
        <v>0</v>
      </c>
      <c r="AJ266" s="202">
        <v>0</v>
      </c>
    </row>
    <row r="267" spans="2:36">
      <c r="B267" s="203">
        <v>2180</v>
      </c>
      <c r="C267" s="207">
        <v>203787</v>
      </c>
      <c r="D267" s="203" t="s">
        <v>97</v>
      </c>
      <c r="E267" s="202" t="s">
        <v>591</v>
      </c>
      <c r="F267" s="203">
        <v>4</v>
      </c>
      <c r="G267" s="202"/>
      <c r="H267" s="202"/>
      <c r="I267" s="202"/>
      <c r="J267" s="202">
        <v>0</v>
      </c>
      <c r="K267" s="202" t="s">
        <v>2318</v>
      </c>
      <c r="L267" s="202"/>
      <c r="M267" s="202" t="s">
        <v>1458</v>
      </c>
      <c r="N267" s="206">
        <v>43365</v>
      </c>
      <c r="O267" s="206">
        <v>43365</v>
      </c>
      <c r="P267" s="202" t="s">
        <v>2742</v>
      </c>
      <c r="Q267" s="203">
        <v>1200</v>
      </c>
      <c r="R267" s="203">
        <v>14050</v>
      </c>
      <c r="S267" s="204">
        <v>25260</v>
      </c>
      <c r="T267" s="203">
        <v>14056</v>
      </c>
      <c r="U267" s="204">
        <v>6841.25</v>
      </c>
      <c r="V267" s="204">
        <f t="shared" si="14"/>
        <v>18418.75</v>
      </c>
      <c r="W267" s="205">
        <v>2105</v>
      </c>
      <c r="X267" s="203">
        <v>54260</v>
      </c>
      <c r="Y267" s="204">
        <v>175.42</v>
      </c>
      <c r="Z267" s="202" t="s">
        <v>97</v>
      </c>
      <c r="AA267" s="202"/>
      <c r="AB267" s="202">
        <v>37217717</v>
      </c>
      <c r="AC267" s="202"/>
      <c r="AD267" s="202" t="s">
        <v>1152</v>
      </c>
      <c r="AE267" s="202" t="s">
        <v>1153</v>
      </c>
      <c r="AF267" s="203" t="s">
        <v>1154</v>
      </c>
      <c r="AG267" s="202"/>
      <c r="AH267" s="203" t="s">
        <v>1155</v>
      </c>
      <c r="AI267" s="202">
        <v>0</v>
      </c>
      <c r="AJ267" s="202">
        <v>0</v>
      </c>
    </row>
    <row r="268" spans="2:36">
      <c r="B268" s="203">
        <v>2180</v>
      </c>
      <c r="C268" s="207">
        <v>203761</v>
      </c>
      <c r="D268" s="203">
        <v>203123</v>
      </c>
      <c r="E268" s="202" t="s">
        <v>128</v>
      </c>
      <c r="F268" s="203"/>
      <c r="G268" s="202"/>
      <c r="H268" s="202"/>
      <c r="I268" s="202"/>
      <c r="J268" s="202">
        <v>0</v>
      </c>
      <c r="K268" s="202" t="s">
        <v>2744</v>
      </c>
      <c r="L268" s="202"/>
      <c r="M268" s="202" t="s">
        <v>1158</v>
      </c>
      <c r="N268" s="206">
        <v>43373</v>
      </c>
      <c r="O268" s="206">
        <v>43373</v>
      </c>
      <c r="P268" s="202" t="s">
        <v>2748</v>
      </c>
      <c r="Q268" s="203">
        <v>1000</v>
      </c>
      <c r="R268" s="203">
        <v>14040</v>
      </c>
      <c r="S268" s="204">
        <v>628.75</v>
      </c>
      <c r="T268" s="203">
        <v>14046</v>
      </c>
      <c r="U268" s="204">
        <v>204.36</v>
      </c>
      <c r="V268" s="204">
        <f t="shared" si="14"/>
        <v>424.39</v>
      </c>
      <c r="W268" s="205">
        <v>62.88</v>
      </c>
      <c r="X268" s="203">
        <v>51260</v>
      </c>
      <c r="Y268" s="204">
        <v>5.24</v>
      </c>
      <c r="Z268" s="202" t="s">
        <v>97</v>
      </c>
      <c r="AA268" s="202"/>
      <c r="AB268" s="202">
        <v>391</v>
      </c>
      <c r="AC268" s="202"/>
      <c r="AD268" s="202" t="s">
        <v>1152</v>
      </c>
      <c r="AE268" s="202" t="s">
        <v>1153</v>
      </c>
      <c r="AF268" s="203" t="s">
        <v>1154</v>
      </c>
      <c r="AG268" s="202"/>
      <c r="AH268" s="203" t="s">
        <v>1155</v>
      </c>
      <c r="AI268" s="202">
        <v>0</v>
      </c>
      <c r="AJ268" s="202">
        <v>0</v>
      </c>
    </row>
    <row r="269" spans="2:36">
      <c r="B269" s="203">
        <v>2180</v>
      </c>
      <c r="C269" s="207">
        <v>203706</v>
      </c>
      <c r="D269" s="203" t="s">
        <v>97</v>
      </c>
      <c r="E269" s="202" t="s">
        <v>589</v>
      </c>
      <c r="F269" s="203">
        <v>2</v>
      </c>
      <c r="G269" s="202"/>
      <c r="H269" s="202"/>
      <c r="I269" s="202"/>
      <c r="J269" s="202">
        <v>0</v>
      </c>
      <c r="K269" s="202" t="s">
        <v>2750</v>
      </c>
      <c r="L269" s="202"/>
      <c r="M269" s="202" t="s">
        <v>1458</v>
      </c>
      <c r="N269" s="206">
        <v>43327</v>
      </c>
      <c r="O269" s="206">
        <v>43327</v>
      </c>
      <c r="P269" s="202" t="s">
        <v>2742</v>
      </c>
      <c r="Q269" s="203">
        <v>1200</v>
      </c>
      <c r="R269" s="203">
        <v>14050</v>
      </c>
      <c r="S269" s="204">
        <v>12630</v>
      </c>
      <c r="T269" s="203">
        <v>14056</v>
      </c>
      <c r="U269" s="204">
        <v>3596.04</v>
      </c>
      <c r="V269" s="204">
        <f t="shared" si="14"/>
        <v>9033.9599999999991</v>
      </c>
      <c r="W269" s="205">
        <v>1052.5</v>
      </c>
      <c r="X269" s="203">
        <v>54260</v>
      </c>
      <c r="Y269" s="204">
        <v>87.71</v>
      </c>
      <c r="Z269" s="202" t="s">
        <v>97</v>
      </c>
      <c r="AA269" s="202"/>
      <c r="AB269" s="202">
        <v>37217561</v>
      </c>
      <c r="AC269" s="202"/>
      <c r="AD269" s="202" t="s">
        <v>1152</v>
      </c>
      <c r="AE269" s="202" t="s">
        <v>1153</v>
      </c>
      <c r="AF269" s="203" t="s">
        <v>1154</v>
      </c>
      <c r="AG269" s="202"/>
      <c r="AH269" s="203" t="s">
        <v>1155</v>
      </c>
      <c r="AI269" s="202">
        <v>0</v>
      </c>
      <c r="AJ269" s="202">
        <v>0</v>
      </c>
    </row>
    <row r="270" spans="2:36">
      <c r="B270" s="203">
        <v>2180</v>
      </c>
      <c r="C270" s="207">
        <v>203123</v>
      </c>
      <c r="D270" s="203" t="s">
        <v>97</v>
      </c>
      <c r="E270" s="202" t="s">
        <v>126</v>
      </c>
      <c r="F270" s="203"/>
      <c r="G270" s="202"/>
      <c r="H270" s="202" t="s">
        <v>2749</v>
      </c>
      <c r="I270" s="202"/>
      <c r="J270" s="202">
        <v>2019</v>
      </c>
      <c r="K270" s="202" t="s">
        <v>2290</v>
      </c>
      <c r="L270" s="202" t="s">
        <v>2413</v>
      </c>
      <c r="M270" s="202" t="s">
        <v>1404</v>
      </c>
      <c r="N270" s="206">
        <v>43373</v>
      </c>
      <c r="O270" s="206">
        <v>43373</v>
      </c>
      <c r="P270" s="202" t="s">
        <v>2748</v>
      </c>
      <c r="Q270" s="203">
        <v>1000</v>
      </c>
      <c r="R270" s="203">
        <v>14040</v>
      </c>
      <c r="S270" s="204">
        <v>349277.23</v>
      </c>
      <c r="T270" s="203">
        <v>14046</v>
      </c>
      <c r="U270" s="204">
        <v>113515.09</v>
      </c>
      <c r="V270" s="204">
        <f t="shared" ref="V270:V333" si="15">S270-U270</f>
        <v>235762.13999999998</v>
      </c>
      <c r="W270" s="205">
        <v>34927.72</v>
      </c>
      <c r="X270" s="203">
        <v>51260</v>
      </c>
      <c r="Y270" s="204">
        <v>2910.64</v>
      </c>
      <c r="Z270" s="202" t="s">
        <v>97</v>
      </c>
      <c r="AA270" s="202"/>
      <c r="AB270" s="202">
        <v>24144642</v>
      </c>
      <c r="AC270" s="202">
        <v>3675</v>
      </c>
      <c r="AD270" s="202" t="s">
        <v>1152</v>
      </c>
      <c r="AE270" s="202" t="s">
        <v>1153</v>
      </c>
      <c r="AF270" s="203" t="s">
        <v>1154</v>
      </c>
      <c r="AG270" s="202"/>
      <c r="AH270" s="203" t="s">
        <v>1155</v>
      </c>
      <c r="AI270" s="202">
        <v>0</v>
      </c>
      <c r="AJ270" s="202">
        <v>0</v>
      </c>
    </row>
    <row r="271" spans="2:36">
      <c r="B271" s="203">
        <v>2180</v>
      </c>
      <c r="C271" s="207">
        <v>202943</v>
      </c>
      <c r="D271" s="203" t="s">
        <v>97</v>
      </c>
      <c r="E271" s="202" t="s">
        <v>588</v>
      </c>
      <c r="F271" s="203">
        <v>4</v>
      </c>
      <c r="G271" s="202"/>
      <c r="H271" s="202"/>
      <c r="I271" s="202"/>
      <c r="J271" s="202">
        <v>0</v>
      </c>
      <c r="K271" s="202" t="s">
        <v>2318</v>
      </c>
      <c r="L271" s="202"/>
      <c r="M271" s="202" t="s">
        <v>1458</v>
      </c>
      <c r="N271" s="206">
        <v>43327</v>
      </c>
      <c r="O271" s="206">
        <v>43327</v>
      </c>
      <c r="P271" s="202" t="s">
        <v>2742</v>
      </c>
      <c r="Q271" s="203">
        <v>1200</v>
      </c>
      <c r="R271" s="203">
        <v>14050</v>
      </c>
      <c r="S271" s="204">
        <v>26596</v>
      </c>
      <c r="T271" s="203">
        <v>14056</v>
      </c>
      <c r="U271" s="204">
        <v>7572.46</v>
      </c>
      <c r="V271" s="204">
        <f t="shared" si="15"/>
        <v>19023.54</v>
      </c>
      <c r="W271" s="205">
        <v>2216.33</v>
      </c>
      <c r="X271" s="203">
        <v>54260</v>
      </c>
      <c r="Y271" s="204">
        <v>184.69</v>
      </c>
      <c r="Z271" s="202" t="s">
        <v>97</v>
      </c>
      <c r="AA271" s="202"/>
      <c r="AB271" s="202">
        <v>37217590</v>
      </c>
      <c r="AC271" s="202"/>
      <c r="AD271" s="202" t="s">
        <v>1152</v>
      </c>
      <c r="AE271" s="202" t="s">
        <v>1153</v>
      </c>
      <c r="AF271" s="203" t="s">
        <v>1154</v>
      </c>
      <c r="AG271" s="202"/>
      <c r="AH271" s="203" t="s">
        <v>1155</v>
      </c>
      <c r="AI271" s="202">
        <v>0</v>
      </c>
      <c r="AJ271" s="202">
        <v>0</v>
      </c>
    </row>
    <row r="272" spans="2:36">
      <c r="B272" s="203">
        <v>2180</v>
      </c>
      <c r="C272" s="207">
        <v>202810</v>
      </c>
      <c r="D272" s="203" t="s">
        <v>97</v>
      </c>
      <c r="E272" s="202" t="s">
        <v>529</v>
      </c>
      <c r="F272" s="203">
        <v>12</v>
      </c>
      <c r="G272" s="202"/>
      <c r="H272" s="202"/>
      <c r="I272" s="202"/>
      <c r="J272" s="202">
        <v>0</v>
      </c>
      <c r="K272" s="202" t="s">
        <v>2318</v>
      </c>
      <c r="L272" s="202"/>
      <c r="M272" s="202" t="s">
        <v>1456</v>
      </c>
      <c r="N272" s="206">
        <v>43340</v>
      </c>
      <c r="O272" s="206">
        <v>43340</v>
      </c>
      <c r="P272" s="202" t="s">
        <v>2745</v>
      </c>
      <c r="Q272" s="203">
        <v>1200</v>
      </c>
      <c r="R272" s="203">
        <v>14050</v>
      </c>
      <c r="S272" s="204">
        <v>12004.42</v>
      </c>
      <c r="T272" s="203">
        <v>14056</v>
      </c>
      <c r="U272" s="204">
        <v>3334.57</v>
      </c>
      <c r="V272" s="204">
        <f t="shared" si="15"/>
        <v>8669.85</v>
      </c>
      <c r="W272" s="205">
        <v>1000.37</v>
      </c>
      <c r="X272" s="203">
        <v>54260</v>
      </c>
      <c r="Y272" s="204">
        <v>83.36</v>
      </c>
      <c r="Z272" s="202" t="s">
        <v>97</v>
      </c>
      <c r="AA272" s="202"/>
      <c r="AB272" s="202">
        <v>37217583</v>
      </c>
      <c r="AC272" s="202"/>
      <c r="AD272" s="202" t="s">
        <v>1152</v>
      </c>
      <c r="AE272" s="202" t="s">
        <v>1153</v>
      </c>
      <c r="AF272" s="203" t="s">
        <v>1154</v>
      </c>
      <c r="AG272" s="202"/>
      <c r="AH272" s="203" t="s">
        <v>1155</v>
      </c>
      <c r="AI272" s="202">
        <v>0</v>
      </c>
      <c r="AJ272" s="202">
        <v>0</v>
      </c>
    </row>
    <row r="273" spans="2:36">
      <c r="B273" s="203">
        <v>2180</v>
      </c>
      <c r="C273" s="207">
        <v>202809</v>
      </c>
      <c r="D273" s="203" t="s">
        <v>97</v>
      </c>
      <c r="E273" s="202" t="s">
        <v>492</v>
      </c>
      <c r="F273" s="203">
        <v>24</v>
      </c>
      <c r="G273" s="202"/>
      <c r="H273" s="202"/>
      <c r="I273" s="202"/>
      <c r="J273" s="202">
        <v>0</v>
      </c>
      <c r="K273" s="202" t="s">
        <v>2318</v>
      </c>
      <c r="L273" s="202"/>
      <c r="M273" s="202" t="s">
        <v>1421</v>
      </c>
      <c r="N273" s="206">
        <v>43347</v>
      </c>
      <c r="O273" s="206">
        <v>43347</v>
      </c>
      <c r="P273" s="202" t="s">
        <v>2747</v>
      </c>
      <c r="Q273" s="203">
        <v>1200</v>
      </c>
      <c r="R273" s="203">
        <v>14050</v>
      </c>
      <c r="S273" s="204">
        <v>16328.33</v>
      </c>
      <c r="T273" s="203">
        <v>14056</v>
      </c>
      <c r="U273" s="204">
        <v>4535.67</v>
      </c>
      <c r="V273" s="204">
        <f t="shared" si="15"/>
        <v>11792.66</v>
      </c>
      <c r="W273" s="205">
        <v>1360.7</v>
      </c>
      <c r="X273" s="203">
        <v>54260</v>
      </c>
      <c r="Y273" s="204">
        <v>113.39</v>
      </c>
      <c r="Z273" s="202" t="s">
        <v>97</v>
      </c>
      <c r="AA273" s="202"/>
      <c r="AB273" s="202">
        <v>37217617</v>
      </c>
      <c r="AC273" s="202"/>
      <c r="AD273" s="202" t="s">
        <v>1152</v>
      </c>
      <c r="AE273" s="202" t="s">
        <v>1153</v>
      </c>
      <c r="AF273" s="203" t="s">
        <v>1154</v>
      </c>
      <c r="AG273" s="202"/>
      <c r="AH273" s="203" t="s">
        <v>1155</v>
      </c>
      <c r="AI273" s="202">
        <v>0</v>
      </c>
      <c r="AJ273" s="202">
        <v>0</v>
      </c>
    </row>
    <row r="274" spans="2:36">
      <c r="B274" s="203">
        <v>2180</v>
      </c>
      <c r="C274" s="207">
        <v>202808</v>
      </c>
      <c r="D274" s="203" t="s">
        <v>97</v>
      </c>
      <c r="E274" s="202" t="s">
        <v>590</v>
      </c>
      <c r="F274" s="203">
        <v>2</v>
      </c>
      <c r="G274" s="202"/>
      <c r="H274" s="202"/>
      <c r="I274" s="202"/>
      <c r="J274" s="202">
        <v>0</v>
      </c>
      <c r="K274" s="202" t="s">
        <v>2318</v>
      </c>
      <c r="L274" s="202"/>
      <c r="M274" s="202" t="s">
        <v>1454</v>
      </c>
      <c r="N274" s="206">
        <v>43340</v>
      </c>
      <c r="O274" s="206">
        <v>43340</v>
      </c>
      <c r="P274" s="202" t="s">
        <v>2746</v>
      </c>
      <c r="Q274" s="203">
        <v>1200</v>
      </c>
      <c r="R274" s="203">
        <v>14050</v>
      </c>
      <c r="S274" s="204">
        <v>13966</v>
      </c>
      <c r="T274" s="203">
        <v>14056</v>
      </c>
      <c r="U274" s="204">
        <v>3879.44</v>
      </c>
      <c r="V274" s="204">
        <f t="shared" si="15"/>
        <v>10086.56</v>
      </c>
      <c r="W274" s="205">
        <v>1163.83</v>
      </c>
      <c r="X274" s="203">
        <v>54260</v>
      </c>
      <c r="Y274" s="204">
        <v>96.99</v>
      </c>
      <c r="Z274" s="202" t="s">
        <v>97</v>
      </c>
      <c r="AA274" s="202"/>
      <c r="AB274" s="202">
        <v>37217581</v>
      </c>
      <c r="AC274" s="202"/>
      <c r="AD274" s="202" t="s">
        <v>1152</v>
      </c>
      <c r="AE274" s="202" t="s">
        <v>1153</v>
      </c>
      <c r="AF274" s="203" t="s">
        <v>1154</v>
      </c>
      <c r="AG274" s="202"/>
      <c r="AH274" s="203" t="s">
        <v>1155</v>
      </c>
      <c r="AI274" s="202">
        <v>0</v>
      </c>
      <c r="AJ274" s="202">
        <v>0</v>
      </c>
    </row>
    <row r="275" spans="2:36">
      <c r="B275" s="203">
        <v>2180</v>
      </c>
      <c r="C275" s="207">
        <v>202807</v>
      </c>
      <c r="D275" s="203" t="s">
        <v>97</v>
      </c>
      <c r="E275" s="202" t="s">
        <v>527</v>
      </c>
      <c r="F275" s="203">
        <v>12</v>
      </c>
      <c r="G275" s="202"/>
      <c r="H275" s="202"/>
      <c r="I275" s="202"/>
      <c r="J275" s="202">
        <v>0</v>
      </c>
      <c r="K275" s="202" t="s">
        <v>2318</v>
      </c>
      <c r="L275" s="202"/>
      <c r="M275" s="202" t="s">
        <v>1456</v>
      </c>
      <c r="N275" s="206">
        <v>43340</v>
      </c>
      <c r="O275" s="206">
        <v>43340</v>
      </c>
      <c r="P275" s="202" t="s">
        <v>2745</v>
      </c>
      <c r="Q275" s="203">
        <v>1200</v>
      </c>
      <c r="R275" s="203">
        <v>14050</v>
      </c>
      <c r="S275" s="204">
        <v>12004.42</v>
      </c>
      <c r="T275" s="203">
        <v>14056</v>
      </c>
      <c r="U275" s="204">
        <v>3334.57</v>
      </c>
      <c r="V275" s="204">
        <f t="shared" si="15"/>
        <v>8669.85</v>
      </c>
      <c r="W275" s="205">
        <v>1000.37</v>
      </c>
      <c r="X275" s="203">
        <v>54260</v>
      </c>
      <c r="Y275" s="204">
        <v>83.36</v>
      </c>
      <c r="Z275" s="202" t="s">
        <v>97</v>
      </c>
      <c r="AA275" s="202"/>
      <c r="AB275" s="202">
        <v>37217565</v>
      </c>
      <c r="AC275" s="202"/>
      <c r="AD275" s="202" t="s">
        <v>1152</v>
      </c>
      <c r="AE275" s="202" t="s">
        <v>1153</v>
      </c>
      <c r="AF275" s="203" t="s">
        <v>1154</v>
      </c>
      <c r="AG275" s="202"/>
      <c r="AH275" s="203" t="s">
        <v>1155</v>
      </c>
      <c r="AI275" s="202">
        <v>0</v>
      </c>
      <c r="AJ275" s="202">
        <v>0</v>
      </c>
    </row>
    <row r="276" spans="2:36">
      <c r="B276" s="203">
        <v>2180</v>
      </c>
      <c r="C276" s="207">
        <v>202804</v>
      </c>
      <c r="D276" s="203">
        <v>202089</v>
      </c>
      <c r="E276" s="202" t="s">
        <v>127</v>
      </c>
      <c r="F276" s="203"/>
      <c r="G276" s="202"/>
      <c r="H276" s="202"/>
      <c r="I276" s="202"/>
      <c r="J276" s="202">
        <v>0</v>
      </c>
      <c r="K276" s="202" t="s">
        <v>2744</v>
      </c>
      <c r="L276" s="202"/>
      <c r="M276" s="202" t="s">
        <v>1158</v>
      </c>
      <c r="N276" s="206">
        <v>43343</v>
      </c>
      <c r="O276" s="206">
        <v>43343</v>
      </c>
      <c r="P276" s="202" t="s">
        <v>2737</v>
      </c>
      <c r="Q276" s="203">
        <v>1000</v>
      </c>
      <c r="R276" s="203">
        <v>14040</v>
      </c>
      <c r="S276" s="204">
        <v>628.75</v>
      </c>
      <c r="T276" s="203">
        <v>14046</v>
      </c>
      <c r="U276" s="204">
        <v>209.6</v>
      </c>
      <c r="V276" s="204">
        <f t="shared" si="15"/>
        <v>419.15</v>
      </c>
      <c r="W276" s="205">
        <v>62.88</v>
      </c>
      <c r="X276" s="203">
        <v>51260</v>
      </c>
      <c r="Y276" s="204">
        <v>5.24</v>
      </c>
      <c r="Z276" s="202" t="s">
        <v>97</v>
      </c>
      <c r="AA276" s="202"/>
      <c r="AB276" s="202">
        <v>382</v>
      </c>
      <c r="AC276" s="202"/>
      <c r="AD276" s="202" t="s">
        <v>1152</v>
      </c>
      <c r="AE276" s="202" t="s">
        <v>1153</v>
      </c>
      <c r="AF276" s="203" t="s">
        <v>1154</v>
      </c>
      <c r="AG276" s="202"/>
      <c r="AH276" s="203" t="s">
        <v>1155</v>
      </c>
      <c r="AI276" s="202">
        <v>0</v>
      </c>
      <c r="AJ276" s="202">
        <v>0</v>
      </c>
    </row>
    <row r="277" spans="2:36">
      <c r="B277" s="203">
        <v>2180</v>
      </c>
      <c r="C277" s="207">
        <v>202768</v>
      </c>
      <c r="D277" s="203">
        <v>202088</v>
      </c>
      <c r="E277" s="202" t="s">
        <v>131</v>
      </c>
      <c r="F277" s="203"/>
      <c r="G277" s="202"/>
      <c r="H277" s="202"/>
      <c r="I277" s="202"/>
      <c r="J277" s="202">
        <v>0</v>
      </c>
      <c r="K277" s="202"/>
      <c r="L277" s="202"/>
      <c r="M277" s="202" t="s">
        <v>1447</v>
      </c>
      <c r="N277" s="206">
        <v>43343</v>
      </c>
      <c r="O277" s="206">
        <v>43343</v>
      </c>
      <c r="P277" s="202" t="s">
        <v>2735</v>
      </c>
      <c r="Q277" s="203">
        <v>1000</v>
      </c>
      <c r="R277" s="203">
        <v>14040</v>
      </c>
      <c r="S277" s="204">
        <v>628.75</v>
      </c>
      <c r="T277" s="203">
        <v>14046</v>
      </c>
      <c r="U277" s="204">
        <v>209.6</v>
      </c>
      <c r="V277" s="204">
        <f t="shared" si="15"/>
        <v>419.15</v>
      </c>
      <c r="W277" s="205">
        <v>62.88</v>
      </c>
      <c r="X277" s="203">
        <v>51260</v>
      </c>
      <c r="Y277" s="204">
        <v>5.24</v>
      </c>
      <c r="Z277" s="202" t="s">
        <v>97</v>
      </c>
      <c r="AA277" s="202"/>
      <c r="AB277" s="202" t="s">
        <v>2743</v>
      </c>
      <c r="AC277" s="202"/>
      <c r="AD277" s="202" t="s">
        <v>1152</v>
      </c>
      <c r="AE277" s="202" t="s">
        <v>1153</v>
      </c>
      <c r="AF277" s="203" t="s">
        <v>1154</v>
      </c>
      <c r="AG277" s="202"/>
      <c r="AH277" s="203" t="s">
        <v>1155</v>
      </c>
      <c r="AI277" s="202">
        <v>0</v>
      </c>
      <c r="AJ277" s="202">
        <v>0</v>
      </c>
    </row>
    <row r="278" spans="2:36">
      <c r="B278" s="203">
        <v>2180</v>
      </c>
      <c r="C278" s="207">
        <v>202767</v>
      </c>
      <c r="D278" s="203">
        <v>202087</v>
      </c>
      <c r="E278" s="202" t="s">
        <v>131</v>
      </c>
      <c r="F278" s="203"/>
      <c r="G278" s="202"/>
      <c r="H278" s="202"/>
      <c r="I278" s="202"/>
      <c r="J278" s="202">
        <v>0</v>
      </c>
      <c r="K278" s="202"/>
      <c r="L278" s="202"/>
      <c r="M278" s="202" t="s">
        <v>1447</v>
      </c>
      <c r="N278" s="206">
        <v>43343</v>
      </c>
      <c r="O278" s="206">
        <v>43343</v>
      </c>
      <c r="P278" s="202" t="s">
        <v>2733</v>
      </c>
      <c r="Q278" s="203">
        <v>1000</v>
      </c>
      <c r="R278" s="203">
        <v>14040</v>
      </c>
      <c r="S278" s="204">
        <v>628.75</v>
      </c>
      <c r="T278" s="203">
        <v>14046</v>
      </c>
      <c r="U278" s="204">
        <v>209.6</v>
      </c>
      <c r="V278" s="204">
        <f t="shared" si="15"/>
        <v>419.15</v>
      </c>
      <c r="W278" s="205">
        <v>62.88</v>
      </c>
      <c r="X278" s="203">
        <v>51260</v>
      </c>
      <c r="Y278" s="204">
        <v>5.24</v>
      </c>
      <c r="Z278" s="202" t="s">
        <v>97</v>
      </c>
      <c r="AA278" s="202"/>
      <c r="AB278" s="202" t="s">
        <v>2743</v>
      </c>
      <c r="AC278" s="202"/>
      <c r="AD278" s="202" t="s">
        <v>1152</v>
      </c>
      <c r="AE278" s="202" t="s">
        <v>1153</v>
      </c>
      <c r="AF278" s="203" t="s">
        <v>1154</v>
      </c>
      <c r="AG278" s="202"/>
      <c r="AH278" s="203" t="s">
        <v>1155</v>
      </c>
      <c r="AI278" s="202">
        <v>0</v>
      </c>
      <c r="AJ278" s="202">
        <v>0</v>
      </c>
    </row>
    <row r="279" spans="2:36">
      <c r="B279" s="203">
        <v>2180</v>
      </c>
      <c r="C279" s="207">
        <v>202732</v>
      </c>
      <c r="D279" s="203" t="s">
        <v>97</v>
      </c>
      <c r="E279" s="202" t="s">
        <v>588</v>
      </c>
      <c r="F279" s="203">
        <v>2</v>
      </c>
      <c r="G279" s="202"/>
      <c r="H279" s="202"/>
      <c r="I279" s="202"/>
      <c r="J279" s="202">
        <v>0</v>
      </c>
      <c r="K279" s="202" t="s">
        <v>2318</v>
      </c>
      <c r="L279" s="202"/>
      <c r="M279" s="202" t="s">
        <v>1458</v>
      </c>
      <c r="N279" s="206">
        <v>43327</v>
      </c>
      <c r="O279" s="206">
        <v>43327</v>
      </c>
      <c r="P279" s="202" t="s">
        <v>2742</v>
      </c>
      <c r="Q279" s="203">
        <v>1200</v>
      </c>
      <c r="R279" s="203">
        <v>14050</v>
      </c>
      <c r="S279" s="204">
        <v>12630</v>
      </c>
      <c r="T279" s="203">
        <v>14056</v>
      </c>
      <c r="U279" s="204">
        <v>3596.04</v>
      </c>
      <c r="V279" s="204">
        <f t="shared" si="15"/>
        <v>9033.9599999999991</v>
      </c>
      <c r="W279" s="205">
        <v>1052.5</v>
      </c>
      <c r="X279" s="203">
        <v>54260</v>
      </c>
      <c r="Y279" s="204">
        <v>87.71</v>
      </c>
      <c r="Z279" s="202" t="s">
        <v>97</v>
      </c>
      <c r="AA279" s="202"/>
      <c r="AB279" s="202">
        <v>37217438</v>
      </c>
      <c r="AC279" s="202"/>
      <c r="AD279" s="202" t="s">
        <v>1152</v>
      </c>
      <c r="AE279" s="202" t="s">
        <v>1153</v>
      </c>
      <c r="AF279" s="203" t="s">
        <v>1154</v>
      </c>
      <c r="AG279" s="202"/>
      <c r="AH279" s="203" t="s">
        <v>1155</v>
      </c>
      <c r="AI279" s="202">
        <v>0</v>
      </c>
      <c r="AJ279" s="202">
        <v>0</v>
      </c>
    </row>
    <row r="280" spans="2:36">
      <c r="B280" s="203">
        <v>2180</v>
      </c>
      <c r="C280" s="207">
        <v>202731</v>
      </c>
      <c r="D280" s="203" t="s">
        <v>97</v>
      </c>
      <c r="E280" s="202" t="s">
        <v>2741</v>
      </c>
      <c r="F280" s="203">
        <v>24</v>
      </c>
      <c r="G280" s="202"/>
      <c r="H280" s="202"/>
      <c r="I280" s="202"/>
      <c r="J280" s="202">
        <v>0</v>
      </c>
      <c r="K280" s="202" t="s">
        <v>2318</v>
      </c>
      <c r="L280" s="202"/>
      <c r="M280" s="202" t="s">
        <v>1464</v>
      </c>
      <c r="N280" s="206">
        <v>43217</v>
      </c>
      <c r="O280" s="206">
        <v>43217</v>
      </c>
      <c r="P280" s="202" t="s">
        <v>2740</v>
      </c>
      <c r="Q280" s="203">
        <v>1200</v>
      </c>
      <c r="R280" s="203">
        <v>14050</v>
      </c>
      <c r="S280" s="204">
        <v>16555.669999999998</v>
      </c>
      <c r="T280" s="203">
        <v>14056</v>
      </c>
      <c r="U280" s="204">
        <v>5058.68</v>
      </c>
      <c r="V280" s="204">
        <f t="shared" si="15"/>
        <v>11496.989999999998</v>
      </c>
      <c r="W280" s="205">
        <v>1379.64</v>
      </c>
      <c r="X280" s="203">
        <v>54260</v>
      </c>
      <c r="Y280" s="204">
        <v>114.97</v>
      </c>
      <c r="Z280" s="202" t="s">
        <v>97</v>
      </c>
      <c r="AA280" s="202"/>
      <c r="AB280" s="202">
        <v>37217545</v>
      </c>
      <c r="AC280" s="202"/>
      <c r="AD280" s="202" t="s">
        <v>1152</v>
      </c>
      <c r="AE280" s="202" t="s">
        <v>1153</v>
      </c>
      <c r="AF280" s="203" t="s">
        <v>1154</v>
      </c>
      <c r="AG280" s="202"/>
      <c r="AH280" s="203" t="s">
        <v>1155</v>
      </c>
      <c r="AI280" s="202">
        <v>0</v>
      </c>
      <c r="AJ280" s="202">
        <v>0</v>
      </c>
    </row>
    <row r="281" spans="2:36">
      <c r="B281" s="203">
        <v>2180</v>
      </c>
      <c r="C281" s="207">
        <v>202663</v>
      </c>
      <c r="D281" s="203">
        <v>197201</v>
      </c>
      <c r="E281" s="202" t="s">
        <v>945</v>
      </c>
      <c r="F281" s="203"/>
      <c r="G281" s="202"/>
      <c r="H281" s="202"/>
      <c r="I281" s="202"/>
      <c r="J281" s="202">
        <v>0</v>
      </c>
      <c r="K281" s="202" t="s">
        <v>2136</v>
      </c>
      <c r="L281" s="202"/>
      <c r="M281" s="202" t="s">
        <v>1158</v>
      </c>
      <c r="N281" s="206">
        <v>43244</v>
      </c>
      <c r="O281" s="206">
        <v>43244</v>
      </c>
      <c r="P281" s="202" t="s">
        <v>2708</v>
      </c>
      <c r="Q281" s="203">
        <v>1000</v>
      </c>
      <c r="R281" s="203">
        <v>14040</v>
      </c>
      <c r="S281" s="204">
        <v>952.44</v>
      </c>
      <c r="T281" s="203">
        <v>14046</v>
      </c>
      <c r="U281" s="204">
        <v>341.28</v>
      </c>
      <c r="V281" s="204">
        <f t="shared" si="15"/>
        <v>611.16000000000008</v>
      </c>
      <c r="W281" s="205">
        <v>95.24</v>
      </c>
      <c r="X281" s="203">
        <v>51260</v>
      </c>
      <c r="Y281" s="204">
        <v>7.94</v>
      </c>
      <c r="Z281" s="202" t="s">
        <v>97</v>
      </c>
      <c r="AA281" s="202"/>
      <c r="AB281" s="202">
        <v>2778</v>
      </c>
      <c r="AC281" s="202"/>
      <c r="AD281" s="202" t="s">
        <v>1152</v>
      </c>
      <c r="AE281" s="202" t="s">
        <v>1153</v>
      </c>
      <c r="AF281" s="203" t="s">
        <v>1154</v>
      </c>
      <c r="AG281" s="202"/>
      <c r="AH281" s="203" t="s">
        <v>1155</v>
      </c>
      <c r="AI281" s="202">
        <v>0</v>
      </c>
      <c r="AJ281" s="202">
        <v>0</v>
      </c>
    </row>
    <row r="282" spans="2:36">
      <c r="B282" s="203">
        <v>2180</v>
      </c>
      <c r="C282" s="207">
        <v>202238</v>
      </c>
      <c r="D282" s="203" t="s">
        <v>97</v>
      </c>
      <c r="E282" s="202" t="s">
        <v>697</v>
      </c>
      <c r="F282" s="203">
        <v>624</v>
      </c>
      <c r="G282" s="202"/>
      <c r="H282" s="202"/>
      <c r="I282" s="202"/>
      <c r="J282" s="202">
        <v>0</v>
      </c>
      <c r="K282" s="202" t="s">
        <v>2502</v>
      </c>
      <c r="L282" s="202"/>
      <c r="M282" s="202"/>
      <c r="N282" s="206">
        <v>43336</v>
      </c>
      <c r="O282" s="206">
        <v>43336</v>
      </c>
      <c r="P282" s="202" t="s">
        <v>2739</v>
      </c>
      <c r="Q282" s="203">
        <v>700</v>
      </c>
      <c r="R282" s="203">
        <v>14050</v>
      </c>
      <c r="S282" s="204">
        <v>34064.42</v>
      </c>
      <c r="T282" s="203">
        <v>14056</v>
      </c>
      <c r="U282" s="204">
        <v>16221.17</v>
      </c>
      <c r="V282" s="204">
        <f t="shared" si="15"/>
        <v>17843.25</v>
      </c>
      <c r="W282" s="205">
        <v>4866.3500000000004</v>
      </c>
      <c r="X282" s="203">
        <v>54260</v>
      </c>
      <c r="Y282" s="204">
        <v>405.53</v>
      </c>
      <c r="Z282" s="202" t="s">
        <v>97</v>
      </c>
      <c r="AA282" s="202"/>
      <c r="AB282" s="202">
        <v>65549814</v>
      </c>
      <c r="AC282" s="202"/>
      <c r="AD282" s="202" t="s">
        <v>1152</v>
      </c>
      <c r="AE282" s="202" t="s">
        <v>1153</v>
      </c>
      <c r="AF282" s="203" t="s">
        <v>1154</v>
      </c>
      <c r="AG282" s="202"/>
      <c r="AH282" s="203" t="s">
        <v>1155</v>
      </c>
      <c r="AI282" s="202">
        <v>0</v>
      </c>
      <c r="AJ282" s="202">
        <v>0</v>
      </c>
    </row>
    <row r="283" spans="2:36">
      <c r="B283" s="203">
        <v>2180</v>
      </c>
      <c r="C283" s="207">
        <v>202237</v>
      </c>
      <c r="D283" s="203" t="s">
        <v>97</v>
      </c>
      <c r="E283" s="202" t="s">
        <v>697</v>
      </c>
      <c r="F283" s="203">
        <v>624</v>
      </c>
      <c r="G283" s="202"/>
      <c r="H283" s="202"/>
      <c r="I283" s="202"/>
      <c r="J283" s="202">
        <v>0</v>
      </c>
      <c r="K283" s="202" t="s">
        <v>2502</v>
      </c>
      <c r="L283" s="202"/>
      <c r="M283" s="202"/>
      <c r="N283" s="206">
        <v>43336</v>
      </c>
      <c r="O283" s="206">
        <v>43336</v>
      </c>
      <c r="P283" s="202" t="s">
        <v>2739</v>
      </c>
      <c r="Q283" s="203">
        <v>700</v>
      </c>
      <c r="R283" s="203">
        <v>14050</v>
      </c>
      <c r="S283" s="204">
        <v>34064.42</v>
      </c>
      <c r="T283" s="203">
        <v>14056</v>
      </c>
      <c r="U283" s="204">
        <v>16221.17</v>
      </c>
      <c r="V283" s="204">
        <f t="shared" si="15"/>
        <v>17843.25</v>
      </c>
      <c r="W283" s="205">
        <v>4866.3500000000004</v>
      </c>
      <c r="X283" s="203">
        <v>54260</v>
      </c>
      <c r="Y283" s="204">
        <v>405.53</v>
      </c>
      <c r="Z283" s="202" t="s">
        <v>97</v>
      </c>
      <c r="AA283" s="202"/>
      <c r="AB283" s="202">
        <v>65549834</v>
      </c>
      <c r="AC283" s="202"/>
      <c r="AD283" s="202" t="s">
        <v>1152</v>
      </c>
      <c r="AE283" s="202" t="s">
        <v>1153</v>
      </c>
      <c r="AF283" s="203" t="s">
        <v>1154</v>
      </c>
      <c r="AG283" s="202"/>
      <c r="AH283" s="203" t="s">
        <v>1155</v>
      </c>
      <c r="AI283" s="202">
        <v>0</v>
      </c>
      <c r="AJ283" s="202">
        <v>0</v>
      </c>
    </row>
    <row r="284" spans="2:36">
      <c r="B284" s="203">
        <v>2180</v>
      </c>
      <c r="C284" s="207">
        <v>202089</v>
      </c>
      <c r="D284" s="203" t="s">
        <v>97</v>
      </c>
      <c r="E284" s="202" t="s">
        <v>126</v>
      </c>
      <c r="F284" s="203"/>
      <c r="G284" s="202"/>
      <c r="H284" s="202" t="s">
        <v>2738</v>
      </c>
      <c r="I284" s="202"/>
      <c r="J284" s="202">
        <v>2019</v>
      </c>
      <c r="K284" s="202" t="s">
        <v>2290</v>
      </c>
      <c r="L284" s="202" t="s">
        <v>2413</v>
      </c>
      <c r="M284" s="202" t="s">
        <v>1404</v>
      </c>
      <c r="N284" s="206">
        <v>43343</v>
      </c>
      <c r="O284" s="206">
        <v>43343</v>
      </c>
      <c r="P284" s="202" t="s">
        <v>2737</v>
      </c>
      <c r="Q284" s="203">
        <v>1000</v>
      </c>
      <c r="R284" s="203">
        <v>14040</v>
      </c>
      <c r="S284" s="204">
        <v>349200.73</v>
      </c>
      <c r="T284" s="203">
        <v>14046</v>
      </c>
      <c r="U284" s="204">
        <v>116400.24</v>
      </c>
      <c r="V284" s="204">
        <f t="shared" si="15"/>
        <v>232800.49</v>
      </c>
      <c r="W284" s="205">
        <v>34920.07</v>
      </c>
      <c r="X284" s="203">
        <v>51260</v>
      </c>
      <c r="Y284" s="204">
        <v>2910.01</v>
      </c>
      <c r="Z284" s="202" t="s">
        <v>97</v>
      </c>
      <c r="AA284" s="202"/>
      <c r="AB284" s="202">
        <v>9476</v>
      </c>
      <c r="AC284" s="202">
        <v>3680</v>
      </c>
      <c r="AD284" s="202" t="s">
        <v>1152</v>
      </c>
      <c r="AE284" s="202" t="s">
        <v>1153</v>
      </c>
      <c r="AF284" s="203" t="s">
        <v>1154</v>
      </c>
      <c r="AG284" s="202"/>
      <c r="AH284" s="203" t="s">
        <v>1155</v>
      </c>
      <c r="AI284" s="202">
        <v>0</v>
      </c>
      <c r="AJ284" s="202">
        <v>0</v>
      </c>
    </row>
    <row r="285" spans="2:36">
      <c r="B285" s="203">
        <v>2180</v>
      </c>
      <c r="C285" s="207">
        <v>202088</v>
      </c>
      <c r="D285" s="203" t="s">
        <v>97</v>
      </c>
      <c r="E285" s="202" t="s">
        <v>126</v>
      </c>
      <c r="F285" s="203"/>
      <c r="G285" s="202"/>
      <c r="H285" s="202" t="s">
        <v>2736</v>
      </c>
      <c r="I285" s="202"/>
      <c r="J285" s="202">
        <v>2019</v>
      </c>
      <c r="K285" s="202" t="s">
        <v>2290</v>
      </c>
      <c r="L285" s="202" t="s">
        <v>2413</v>
      </c>
      <c r="M285" s="202" t="s">
        <v>1404</v>
      </c>
      <c r="N285" s="206">
        <v>43343</v>
      </c>
      <c r="O285" s="206">
        <v>43343</v>
      </c>
      <c r="P285" s="202" t="s">
        <v>2735</v>
      </c>
      <c r="Q285" s="203">
        <v>1000</v>
      </c>
      <c r="R285" s="203">
        <v>14040</v>
      </c>
      <c r="S285" s="204">
        <v>349200.72</v>
      </c>
      <c r="T285" s="203">
        <v>14046</v>
      </c>
      <c r="U285" s="204">
        <v>116400.23</v>
      </c>
      <c r="V285" s="204">
        <f t="shared" si="15"/>
        <v>232800.49</v>
      </c>
      <c r="W285" s="205">
        <v>34920.07</v>
      </c>
      <c r="X285" s="203">
        <v>51260</v>
      </c>
      <c r="Y285" s="204">
        <v>2910.01</v>
      </c>
      <c r="Z285" s="202" t="s">
        <v>97</v>
      </c>
      <c r="AA285" s="202"/>
      <c r="AB285" s="202">
        <v>9476</v>
      </c>
      <c r="AC285" s="202">
        <v>3679</v>
      </c>
      <c r="AD285" s="202" t="s">
        <v>1152</v>
      </c>
      <c r="AE285" s="202" t="s">
        <v>1153</v>
      </c>
      <c r="AF285" s="203" t="s">
        <v>1154</v>
      </c>
      <c r="AG285" s="202"/>
      <c r="AH285" s="203" t="s">
        <v>1155</v>
      </c>
      <c r="AI285" s="202">
        <v>0</v>
      </c>
      <c r="AJ285" s="202">
        <v>0</v>
      </c>
    </row>
    <row r="286" spans="2:36">
      <c r="B286" s="203">
        <v>2180</v>
      </c>
      <c r="C286" s="207">
        <v>202087</v>
      </c>
      <c r="D286" s="203" t="s">
        <v>97</v>
      </c>
      <c r="E286" s="202" t="s">
        <v>126</v>
      </c>
      <c r="F286" s="203"/>
      <c r="G286" s="202"/>
      <c r="H286" s="202" t="s">
        <v>2734</v>
      </c>
      <c r="I286" s="202"/>
      <c r="J286" s="202">
        <v>2019</v>
      </c>
      <c r="K286" s="202" t="s">
        <v>2290</v>
      </c>
      <c r="L286" s="202" t="s">
        <v>2413</v>
      </c>
      <c r="M286" s="202" t="s">
        <v>1404</v>
      </c>
      <c r="N286" s="206">
        <v>43343</v>
      </c>
      <c r="O286" s="206">
        <v>43343</v>
      </c>
      <c r="P286" s="202" t="s">
        <v>2733</v>
      </c>
      <c r="Q286" s="203">
        <v>1000</v>
      </c>
      <c r="R286" s="203">
        <v>14040</v>
      </c>
      <c r="S286" s="204">
        <v>349200.73</v>
      </c>
      <c r="T286" s="203">
        <v>14046</v>
      </c>
      <c r="U286" s="204">
        <v>116400.24</v>
      </c>
      <c r="V286" s="204">
        <f t="shared" si="15"/>
        <v>232800.49</v>
      </c>
      <c r="W286" s="205">
        <v>34920.07</v>
      </c>
      <c r="X286" s="203">
        <v>51260</v>
      </c>
      <c r="Y286" s="204">
        <v>2910.01</v>
      </c>
      <c r="Z286" s="202" t="s">
        <v>97</v>
      </c>
      <c r="AA286" s="202"/>
      <c r="AB286" s="202">
        <v>9476</v>
      </c>
      <c r="AC286" s="202">
        <v>3678</v>
      </c>
      <c r="AD286" s="202" t="s">
        <v>1152</v>
      </c>
      <c r="AE286" s="202" t="s">
        <v>1153</v>
      </c>
      <c r="AF286" s="203" t="s">
        <v>1154</v>
      </c>
      <c r="AG286" s="202"/>
      <c r="AH286" s="203" t="s">
        <v>1155</v>
      </c>
      <c r="AI286" s="202">
        <v>0</v>
      </c>
      <c r="AJ286" s="202">
        <v>0</v>
      </c>
    </row>
    <row r="287" spans="2:36">
      <c r="B287" s="203">
        <v>2180</v>
      </c>
      <c r="C287" s="207">
        <v>202086</v>
      </c>
      <c r="D287" s="203" t="s">
        <v>97</v>
      </c>
      <c r="E287" s="202" t="s">
        <v>126</v>
      </c>
      <c r="F287" s="203"/>
      <c r="G287" s="202"/>
      <c r="H287" s="202" t="s">
        <v>2732</v>
      </c>
      <c r="I287" s="202"/>
      <c r="J287" s="202">
        <v>2019</v>
      </c>
      <c r="K287" s="202" t="s">
        <v>2290</v>
      </c>
      <c r="L287" s="202" t="s">
        <v>2413</v>
      </c>
      <c r="M287" s="202" t="s">
        <v>1404</v>
      </c>
      <c r="N287" s="206">
        <v>43343</v>
      </c>
      <c r="O287" s="206">
        <v>43343</v>
      </c>
      <c r="P287" s="202" t="s">
        <v>2731</v>
      </c>
      <c r="Q287" s="203">
        <v>1000</v>
      </c>
      <c r="R287" s="203">
        <v>14040</v>
      </c>
      <c r="S287" s="204">
        <v>349260.85</v>
      </c>
      <c r="T287" s="203">
        <v>14046</v>
      </c>
      <c r="U287" s="204">
        <v>116420.3</v>
      </c>
      <c r="V287" s="204">
        <f t="shared" si="15"/>
        <v>232840.55</v>
      </c>
      <c r="W287" s="205">
        <v>34926.089999999997</v>
      </c>
      <c r="X287" s="203">
        <v>51260</v>
      </c>
      <c r="Y287" s="204">
        <v>2910.51</v>
      </c>
      <c r="Z287" s="202" t="s">
        <v>97</v>
      </c>
      <c r="AA287" s="202"/>
      <c r="AB287" s="202">
        <v>9476</v>
      </c>
      <c r="AC287" s="202">
        <v>3676</v>
      </c>
      <c r="AD287" s="202" t="s">
        <v>1152</v>
      </c>
      <c r="AE287" s="202" t="s">
        <v>1153</v>
      </c>
      <c r="AF287" s="203" t="s">
        <v>1154</v>
      </c>
      <c r="AG287" s="202"/>
      <c r="AH287" s="203" t="s">
        <v>1155</v>
      </c>
      <c r="AI287" s="202">
        <v>0</v>
      </c>
      <c r="AJ287" s="202">
        <v>0</v>
      </c>
    </row>
    <row r="288" spans="2:36">
      <c r="B288" s="203">
        <v>2180</v>
      </c>
      <c r="C288" s="207">
        <v>201090</v>
      </c>
      <c r="D288" s="203">
        <v>197201</v>
      </c>
      <c r="E288" s="202" t="s">
        <v>943</v>
      </c>
      <c r="F288" s="203"/>
      <c r="G288" s="202"/>
      <c r="H288" s="202"/>
      <c r="I288" s="202"/>
      <c r="J288" s="202">
        <v>0</v>
      </c>
      <c r="K288" s="202" t="s">
        <v>2730</v>
      </c>
      <c r="L288" s="202"/>
      <c r="M288" s="202" t="s">
        <v>1158</v>
      </c>
      <c r="N288" s="206">
        <v>43244</v>
      </c>
      <c r="O288" s="206">
        <v>43244</v>
      </c>
      <c r="P288" s="202" t="s">
        <v>2708</v>
      </c>
      <c r="Q288" s="203">
        <v>1000</v>
      </c>
      <c r="R288" s="203">
        <v>14040</v>
      </c>
      <c r="S288" s="204">
        <v>-424</v>
      </c>
      <c r="T288" s="203">
        <v>14046</v>
      </c>
      <c r="U288" s="204">
        <v>-151.93</v>
      </c>
      <c r="V288" s="204">
        <f t="shared" si="15"/>
        <v>-272.07</v>
      </c>
      <c r="W288" s="205">
        <v>-42.4</v>
      </c>
      <c r="X288" s="203">
        <v>51260</v>
      </c>
      <c r="Y288" s="204">
        <v>-3.53</v>
      </c>
      <c r="Z288" s="202" t="s">
        <v>97</v>
      </c>
      <c r="AA288" s="202"/>
      <c r="AB288" s="202">
        <v>174101</v>
      </c>
      <c r="AC288" s="202"/>
      <c r="AD288" s="202" t="s">
        <v>1152</v>
      </c>
      <c r="AE288" s="202" t="s">
        <v>1153</v>
      </c>
      <c r="AF288" s="203" t="s">
        <v>1154</v>
      </c>
      <c r="AG288" s="202"/>
      <c r="AH288" s="203" t="s">
        <v>1155</v>
      </c>
      <c r="AI288" s="202">
        <v>0</v>
      </c>
      <c r="AJ288" s="202">
        <v>0</v>
      </c>
    </row>
    <row r="289" spans="2:36">
      <c r="B289" s="203">
        <v>2180</v>
      </c>
      <c r="C289" s="207">
        <v>200786</v>
      </c>
      <c r="D289" s="203" t="s">
        <v>97</v>
      </c>
      <c r="E289" s="202" t="s">
        <v>166</v>
      </c>
      <c r="F289" s="203"/>
      <c r="G289" s="202"/>
      <c r="H289" s="202" t="s">
        <v>2729</v>
      </c>
      <c r="I289" s="202"/>
      <c r="J289" s="202">
        <v>2019</v>
      </c>
      <c r="K289" s="202" t="s">
        <v>2290</v>
      </c>
      <c r="L289" s="202" t="s">
        <v>1830</v>
      </c>
      <c r="M289" s="202" t="s">
        <v>1824</v>
      </c>
      <c r="N289" s="206">
        <v>43280</v>
      </c>
      <c r="O289" s="206">
        <v>43280</v>
      </c>
      <c r="P289" s="202" t="s">
        <v>2728</v>
      </c>
      <c r="Q289" s="203">
        <v>1000</v>
      </c>
      <c r="R289" s="203">
        <v>14040</v>
      </c>
      <c r="S289" s="204">
        <v>228285.83</v>
      </c>
      <c r="T289" s="203">
        <v>14046</v>
      </c>
      <c r="U289" s="204">
        <v>79900.03</v>
      </c>
      <c r="V289" s="204">
        <f t="shared" si="15"/>
        <v>148385.79999999999</v>
      </c>
      <c r="W289" s="205">
        <v>22828.58</v>
      </c>
      <c r="X289" s="203">
        <v>51260</v>
      </c>
      <c r="Y289" s="204">
        <v>1902.38</v>
      </c>
      <c r="Z289" s="202" t="s">
        <v>97</v>
      </c>
      <c r="AA289" s="202"/>
      <c r="AB289" s="202"/>
      <c r="AC289" s="202">
        <v>4080</v>
      </c>
      <c r="AD289" s="202" t="s">
        <v>1152</v>
      </c>
      <c r="AE289" s="202" t="s">
        <v>1153</v>
      </c>
      <c r="AF289" s="203" t="s">
        <v>1154</v>
      </c>
      <c r="AG289" s="202"/>
      <c r="AH289" s="203" t="s">
        <v>1155</v>
      </c>
      <c r="AI289" s="202">
        <v>0</v>
      </c>
      <c r="AJ289" s="202">
        <v>0</v>
      </c>
    </row>
    <row r="290" spans="2:36">
      <c r="B290" s="203">
        <v>2180</v>
      </c>
      <c r="C290" s="207">
        <v>200784</v>
      </c>
      <c r="D290" s="203" t="s">
        <v>97</v>
      </c>
      <c r="E290" s="202" t="s">
        <v>166</v>
      </c>
      <c r="F290" s="203"/>
      <c r="G290" s="202"/>
      <c r="H290" s="202" t="s">
        <v>2727</v>
      </c>
      <c r="I290" s="202"/>
      <c r="J290" s="202">
        <v>2019</v>
      </c>
      <c r="K290" s="202" t="s">
        <v>2290</v>
      </c>
      <c r="L290" s="202" t="s">
        <v>1830</v>
      </c>
      <c r="M290" s="202" t="s">
        <v>1824</v>
      </c>
      <c r="N290" s="206">
        <v>43297</v>
      </c>
      <c r="O290" s="206">
        <v>43297</v>
      </c>
      <c r="P290" s="202" t="s">
        <v>2723</v>
      </c>
      <c r="Q290" s="203">
        <v>1000</v>
      </c>
      <c r="R290" s="203">
        <v>14040</v>
      </c>
      <c r="S290" s="204">
        <v>228215.43</v>
      </c>
      <c r="T290" s="203">
        <v>14046</v>
      </c>
      <c r="U290" s="204">
        <v>77973.600000000006</v>
      </c>
      <c r="V290" s="204">
        <f t="shared" si="15"/>
        <v>150241.82999999999</v>
      </c>
      <c r="W290" s="205">
        <v>22821.54</v>
      </c>
      <c r="X290" s="203">
        <v>51260</v>
      </c>
      <c r="Y290" s="204">
        <v>1901.79</v>
      </c>
      <c r="Z290" s="202" t="s">
        <v>97</v>
      </c>
      <c r="AA290" s="202"/>
      <c r="AB290" s="202"/>
      <c r="AC290" s="202">
        <v>4081</v>
      </c>
      <c r="AD290" s="202" t="s">
        <v>1152</v>
      </c>
      <c r="AE290" s="202" t="s">
        <v>1153</v>
      </c>
      <c r="AF290" s="203" t="s">
        <v>1154</v>
      </c>
      <c r="AG290" s="202"/>
      <c r="AH290" s="203" t="s">
        <v>1155</v>
      </c>
      <c r="AI290" s="202">
        <v>0</v>
      </c>
      <c r="AJ290" s="202">
        <v>0</v>
      </c>
    </row>
    <row r="291" spans="2:36">
      <c r="B291" s="203">
        <v>2180</v>
      </c>
      <c r="C291" s="207">
        <v>200367</v>
      </c>
      <c r="D291" s="203" t="s">
        <v>97</v>
      </c>
      <c r="E291" s="202" t="s">
        <v>2726</v>
      </c>
      <c r="F291" s="203">
        <v>3</v>
      </c>
      <c r="G291" s="202"/>
      <c r="H291" s="202"/>
      <c r="I291" s="202"/>
      <c r="J291" s="202">
        <v>0</v>
      </c>
      <c r="K291" s="202" t="s">
        <v>2725</v>
      </c>
      <c r="L291" s="202"/>
      <c r="M291" s="202" t="s">
        <v>1970</v>
      </c>
      <c r="N291" s="206">
        <v>37438</v>
      </c>
      <c r="O291" s="206">
        <v>37438</v>
      </c>
      <c r="P291" s="202" t="s">
        <v>2724</v>
      </c>
      <c r="Q291" s="203">
        <v>1000</v>
      </c>
      <c r="R291" s="203">
        <v>14050</v>
      </c>
      <c r="S291" s="204">
        <v>5347.75</v>
      </c>
      <c r="T291" s="203">
        <v>14056</v>
      </c>
      <c r="U291" s="204">
        <v>5347.75</v>
      </c>
      <c r="V291" s="204">
        <f t="shared" si="15"/>
        <v>0</v>
      </c>
      <c r="W291" s="205">
        <v>0</v>
      </c>
      <c r="X291" s="203">
        <v>54260</v>
      </c>
      <c r="Y291" s="204">
        <v>0</v>
      </c>
      <c r="Z291" s="202" t="s">
        <v>97</v>
      </c>
      <c r="AA291" s="202"/>
      <c r="AB291" s="202">
        <v>2291</v>
      </c>
      <c r="AC291" s="202"/>
      <c r="AD291" s="202" t="s">
        <v>1152</v>
      </c>
      <c r="AE291" s="202" t="s">
        <v>1153</v>
      </c>
      <c r="AF291" s="203" t="s">
        <v>1154</v>
      </c>
      <c r="AG291" s="208">
        <v>43281</v>
      </c>
      <c r="AH291" s="203" t="s">
        <v>1155</v>
      </c>
      <c r="AI291" s="202">
        <v>0</v>
      </c>
      <c r="AJ291" s="202">
        <v>5347.75</v>
      </c>
    </row>
    <row r="292" spans="2:36">
      <c r="B292" s="203">
        <v>2180</v>
      </c>
      <c r="C292" s="207">
        <v>200357</v>
      </c>
      <c r="D292" s="203" t="s">
        <v>97</v>
      </c>
      <c r="E292" s="202" t="s">
        <v>696</v>
      </c>
      <c r="F292" s="203">
        <v>624</v>
      </c>
      <c r="G292" s="202"/>
      <c r="H292" s="202"/>
      <c r="I292" s="202"/>
      <c r="J292" s="202">
        <v>0</v>
      </c>
      <c r="K292" s="202" t="s">
        <v>2318</v>
      </c>
      <c r="L292" s="202"/>
      <c r="M292" s="202"/>
      <c r="N292" s="206">
        <v>43275</v>
      </c>
      <c r="O292" s="206">
        <v>43275</v>
      </c>
      <c r="P292" s="202" t="s">
        <v>2715</v>
      </c>
      <c r="Q292" s="203">
        <v>700</v>
      </c>
      <c r="R292" s="203">
        <v>14050</v>
      </c>
      <c r="S292" s="204">
        <v>33402.910000000003</v>
      </c>
      <c r="T292" s="203">
        <v>14056</v>
      </c>
      <c r="U292" s="204">
        <v>16701.47</v>
      </c>
      <c r="V292" s="204">
        <f t="shared" si="15"/>
        <v>16701.440000000002</v>
      </c>
      <c r="W292" s="205">
        <v>4771.8500000000004</v>
      </c>
      <c r="X292" s="203">
        <v>54260</v>
      </c>
      <c r="Y292" s="204">
        <v>397.65</v>
      </c>
      <c r="Z292" s="202" t="s">
        <v>97</v>
      </c>
      <c r="AA292" s="202"/>
      <c r="AB292" s="202">
        <v>65539973</v>
      </c>
      <c r="AC292" s="202"/>
      <c r="AD292" s="202" t="s">
        <v>1152</v>
      </c>
      <c r="AE292" s="202" t="s">
        <v>1153</v>
      </c>
      <c r="AF292" s="203" t="s">
        <v>1154</v>
      </c>
      <c r="AG292" s="202"/>
      <c r="AH292" s="203" t="s">
        <v>1155</v>
      </c>
      <c r="AI292" s="202">
        <v>0</v>
      </c>
      <c r="AJ292" s="202">
        <v>0</v>
      </c>
    </row>
    <row r="293" spans="2:36">
      <c r="B293" s="203">
        <v>2180</v>
      </c>
      <c r="C293" s="207">
        <v>199418</v>
      </c>
      <c r="D293" s="203">
        <v>200784</v>
      </c>
      <c r="E293" s="202" t="s">
        <v>168</v>
      </c>
      <c r="F293" s="203"/>
      <c r="G293" s="202"/>
      <c r="H293" s="202"/>
      <c r="I293" s="202"/>
      <c r="J293" s="202">
        <v>0</v>
      </c>
      <c r="K293" s="202" t="s">
        <v>2722</v>
      </c>
      <c r="L293" s="202"/>
      <c r="M293" s="202" t="s">
        <v>1158</v>
      </c>
      <c r="N293" s="206">
        <v>43276</v>
      </c>
      <c r="O293" s="206">
        <v>43276</v>
      </c>
      <c r="P293" s="202" t="s">
        <v>2723</v>
      </c>
      <c r="Q293" s="203">
        <v>1000</v>
      </c>
      <c r="R293" s="203">
        <v>14040</v>
      </c>
      <c r="S293" s="204">
        <v>70.39</v>
      </c>
      <c r="T293" s="203">
        <v>14046</v>
      </c>
      <c r="U293" s="204">
        <v>24.64</v>
      </c>
      <c r="V293" s="204">
        <f t="shared" si="15"/>
        <v>45.75</v>
      </c>
      <c r="W293" s="205">
        <v>7.04</v>
      </c>
      <c r="X293" s="203">
        <v>51260</v>
      </c>
      <c r="Y293" s="204">
        <v>0.59</v>
      </c>
      <c r="Z293" s="202" t="s">
        <v>97</v>
      </c>
      <c r="AA293" s="202"/>
      <c r="AB293" s="202">
        <v>2784</v>
      </c>
      <c r="AC293" s="202"/>
      <c r="AD293" s="202" t="s">
        <v>1152</v>
      </c>
      <c r="AE293" s="202" t="s">
        <v>1153</v>
      </c>
      <c r="AF293" s="203" t="s">
        <v>1154</v>
      </c>
      <c r="AG293" s="202"/>
      <c r="AH293" s="203" t="s">
        <v>1155</v>
      </c>
      <c r="AI293" s="202">
        <v>0</v>
      </c>
      <c r="AJ293" s="202">
        <v>0</v>
      </c>
    </row>
    <row r="294" spans="2:36">
      <c r="B294" s="203">
        <v>2180</v>
      </c>
      <c r="C294" s="207">
        <v>199417</v>
      </c>
      <c r="D294" s="203">
        <v>199115</v>
      </c>
      <c r="E294" s="202" t="s">
        <v>169</v>
      </c>
      <c r="F294" s="203"/>
      <c r="G294" s="202"/>
      <c r="H294" s="202"/>
      <c r="I294" s="202"/>
      <c r="J294" s="202">
        <v>0</v>
      </c>
      <c r="K294" s="202" t="s">
        <v>2722</v>
      </c>
      <c r="L294" s="202"/>
      <c r="M294" s="202" t="s">
        <v>1158</v>
      </c>
      <c r="N294" s="206">
        <v>43280</v>
      </c>
      <c r="O294" s="206">
        <v>43280</v>
      </c>
      <c r="P294" s="202" t="s">
        <v>2718</v>
      </c>
      <c r="Q294" s="203">
        <v>1000</v>
      </c>
      <c r="R294" s="203">
        <v>14040</v>
      </c>
      <c r="S294" s="204">
        <v>70.39</v>
      </c>
      <c r="T294" s="203">
        <v>14046</v>
      </c>
      <c r="U294" s="204">
        <v>24.64</v>
      </c>
      <c r="V294" s="204">
        <f t="shared" si="15"/>
        <v>45.75</v>
      </c>
      <c r="W294" s="205">
        <v>7.04</v>
      </c>
      <c r="X294" s="203">
        <v>51260</v>
      </c>
      <c r="Y294" s="204">
        <v>0.59</v>
      </c>
      <c r="Z294" s="202" t="s">
        <v>97</v>
      </c>
      <c r="AA294" s="202"/>
      <c r="AB294" s="202">
        <v>2783</v>
      </c>
      <c r="AC294" s="202"/>
      <c r="AD294" s="202" t="s">
        <v>1152</v>
      </c>
      <c r="AE294" s="202" t="s">
        <v>1153</v>
      </c>
      <c r="AF294" s="203" t="s">
        <v>1154</v>
      </c>
      <c r="AG294" s="202"/>
      <c r="AH294" s="203" t="s">
        <v>1155</v>
      </c>
      <c r="AI294" s="202">
        <v>0</v>
      </c>
      <c r="AJ294" s="202">
        <v>0</v>
      </c>
    </row>
    <row r="295" spans="2:36">
      <c r="B295" s="203">
        <v>2180</v>
      </c>
      <c r="C295" s="207">
        <v>199416</v>
      </c>
      <c r="D295" s="203">
        <v>199114</v>
      </c>
      <c r="E295" s="202" t="s">
        <v>167</v>
      </c>
      <c r="F295" s="203"/>
      <c r="G295" s="202"/>
      <c r="H295" s="202"/>
      <c r="I295" s="202"/>
      <c r="J295" s="202">
        <v>0</v>
      </c>
      <c r="K295" s="202" t="s">
        <v>2721</v>
      </c>
      <c r="L295" s="202"/>
      <c r="M295" s="202" t="s">
        <v>1158</v>
      </c>
      <c r="N295" s="206">
        <v>43271</v>
      </c>
      <c r="O295" s="206">
        <v>43271</v>
      </c>
      <c r="P295" s="202" t="s">
        <v>2716</v>
      </c>
      <c r="Q295" s="203">
        <v>1000</v>
      </c>
      <c r="R295" s="203">
        <v>14040</v>
      </c>
      <c r="S295" s="204">
        <v>70.39</v>
      </c>
      <c r="T295" s="203">
        <v>14046</v>
      </c>
      <c r="U295" s="204">
        <v>24.64</v>
      </c>
      <c r="V295" s="204">
        <f t="shared" si="15"/>
        <v>45.75</v>
      </c>
      <c r="W295" s="205">
        <v>7.04</v>
      </c>
      <c r="X295" s="203">
        <v>51260</v>
      </c>
      <c r="Y295" s="204">
        <v>0.59</v>
      </c>
      <c r="Z295" s="202" t="s">
        <v>97</v>
      </c>
      <c r="AA295" s="202"/>
      <c r="AB295" s="202">
        <v>2779</v>
      </c>
      <c r="AC295" s="202"/>
      <c r="AD295" s="202" t="s">
        <v>1152</v>
      </c>
      <c r="AE295" s="202" t="s">
        <v>1153</v>
      </c>
      <c r="AF295" s="203" t="s">
        <v>1154</v>
      </c>
      <c r="AG295" s="202"/>
      <c r="AH295" s="203" t="s">
        <v>1155</v>
      </c>
      <c r="AI295" s="202">
        <v>0</v>
      </c>
      <c r="AJ295" s="202">
        <v>0</v>
      </c>
    </row>
    <row r="296" spans="2:36">
      <c r="B296" s="203">
        <v>2180</v>
      </c>
      <c r="C296" s="207">
        <v>199309</v>
      </c>
      <c r="D296" s="203" t="s">
        <v>97</v>
      </c>
      <c r="E296" s="202" t="s">
        <v>638</v>
      </c>
      <c r="F296" s="203">
        <v>624</v>
      </c>
      <c r="G296" s="202"/>
      <c r="H296" s="202"/>
      <c r="I296" s="202"/>
      <c r="J296" s="202">
        <v>0</v>
      </c>
      <c r="K296" s="202" t="s">
        <v>2318</v>
      </c>
      <c r="L296" s="202"/>
      <c r="M296" s="202"/>
      <c r="N296" s="206">
        <v>43271</v>
      </c>
      <c r="O296" s="206">
        <v>43271</v>
      </c>
      <c r="P296" s="202" t="s">
        <v>2720</v>
      </c>
      <c r="Q296" s="203">
        <v>700</v>
      </c>
      <c r="R296" s="203">
        <v>14050</v>
      </c>
      <c r="S296" s="204">
        <v>33402.910000000003</v>
      </c>
      <c r="T296" s="203">
        <v>14056</v>
      </c>
      <c r="U296" s="204">
        <v>16701.47</v>
      </c>
      <c r="V296" s="204">
        <f t="shared" si="15"/>
        <v>16701.440000000002</v>
      </c>
      <c r="W296" s="205">
        <v>4771.8500000000004</v>
      </c>
      <c r="X296" s="203">
        <v>54260</v>
      </c>
      <c r="Y296" s="204">
        <v>397.65</v>
      </c>
      <c r="Z296" s="202" t="s">
        <v>97</v>
      </c>
      <c r="AA296" s="202"/>
      <c r="AB296" s="202">
        <v>65540430</v>
      </c>
      <c r="AC296" s="202"/>
      <c r="AD296" s="202" t="s">
        <v>1152</v>
      </c>
      <c r="AE296" s="202" t="s">
        <v>1153</v>
      </c>
      <c r="AF296" s="203" t="s">
        <v>1154</v>
      </c>
      <c r="AG296" s="202"/>
      <c r="AH296" s="203" t="s">
        <v>1155</v>
      </c>
      <c r="AI296" s="202">
        <v>0</v>
      </c>
      <c r="AJ296" s="202">
        <v>0</v>
      </c>
    </row>
    <row r="297" spans="2:36">
      <c r="B297" s="203">
        <v>2180</v>
      </c>
      <c r="C297" s="207">
        <v>199116</v>
      </c>
      <c r="D297" s="203">
        <v>197201</v>
      </c>
      <c r="E297" s="202" t="s">
        <v>944</v>
      </c>
      <c r="F297" s="203"/>
      <c r="G297" s="202"/>
      <c r="H297" s="202"/>
      <c r="I297" s="202"/>
      <c r="J297" s="202">
        <v>0</v>
      </c>
      <c r="K297" s="202"/>
      <c r="L297" s="202"/>
      <c r="M297" s="202" t="s">
        <v>1158</v>
      </c>
      <c r="N297" s="206">
        <v>43280</v>
      </c>
      <c r="O297" s="206">
        <v>43280</v>
      </c>
      <c r="P297" s="202" t="s">
        <v>2708</v>
      </c>
      <c r="Q297" s="203">
        <v>500</v>
      </c>
      <c r="R297" s="203">
        <v>14040</v>
      </c>
      <c r="S297" s="204">
        <v>1453.57</v>
      </c>
      <c r="T297" s="203">
        <v>14046</v>
      </c>
      <c r="U297" s="204">
        <v>1017.49</v>
      </c>
      <c r="V297" s="204">
        <f t="shared" si="15"/>
        <v>436.07999999999993</v>
      </c>
      <c r="W297" s="205">
        <v>290.70999999999998</v>
      </c>
      <c r="X297" s="203">
        <v>51260</v>
      </c>
      <c r="Y297" s="204">
        <v>24.23</v>
      </c>
      <c r="Z297" s="202" t="s">
        <v>97</v>
      </c>
      <c r="AA297" s="202"/>
      <c r="AB297" s="202"/>
      <c r="AC297" s="202"/>
      <c r="AD297" s="202" t="s">
        <v>1152</v>
      </c>
      <c r="AE297" s="202" t="s">
        <v>1153</v>
      </c>
      <c r="AF297" s="203" t="s">
        <v>1154</v>
      </c>
      <c r="AG297" s="202"/>
      <c r="AH297" s="203" t="s">
        <v>1155</v>
      </c>
      <c r="AI297" s="202">
        <v>0</v>
      </c>
      <c r="AJ297" s="202">
        <v>0</v>
      </c>
    </row>
    <row r="298" spans="2:36">
      <c r="B298" s="203">
        <v>2180</v>
      </c>
      <c r="C298" s="207">
        <v>199115</v>
      </c>
      <c r="D298" s="203" t="s">
        <v>97</v>
      </c>
      <c r="E298" s="202" t="s">
        <v>166</v>
      </c>
      <c r="F298" s="203"/>
      <c r="G298" s="202"/>
      <c r="H298" s="202" t="s">
        <v>2719</v>
      </c>
      <c r="I298" s="202"/>
      <c r="J298" s="202">
        <v>2019</v>
      </c>
      <c r="K298" s="202" t="s">
        <v>2290</v>
      </c>
      <c r="L298" s="202" t="s">
        <v>1830</v>
      </c>
      <c r="M298" s="202" t="s">
        <v>1824</v>
      </c>
      <c r="N298" s="206">
        <v>43280</v>
      </c>
      <c r="O298" s="206">
        <v>43280</v>
      </c>
      <c r="P298" s="202" t="s">
        <v>2718</v>
      </c>
      <c r="Q298" s="203">
        <v>1000</v>
      </c>
      <c r="R298" s="203">
        <v>14040</v>
      </c>
      <c r="S298" s="204">
        <v>228215.43</v>
      </c>
      <c r="T298" s="203">
        <v>14046</v>
      </c>
      <c r="U298" s="204">
        <v>79875.39</v>
      </c>
      <c r="V298" s="204">
        <f t="shared" si="15"/>
        <v>148340.03999999998</v>
      </c>
      <c r="W298" s="205">
        <v>22821.54</v>
      </c>
      <c r="X298" s="203">
        <v>51260</v>
      </c>
      <c r="Y298" s="204">
        <v>1901.79</v>
      </c>
      <c r="Z298" s="202" t="s">
        <v>97</v>
      </c>
      <c r="AA298" s="202"/>
      <c r="AB298" s="202"/>
      <c r="AC298" s="202">
        <v>4078</v>
      </c>
      <c r="AD298" s="202" t="s">
        <v>1152</v>
      </c>
      <c r="AE298" s="202" t="s">
        <v>1153</v>
      </c>
      <c r="AF298" s="203" t="s">
        <v>1154</v>
      </c>
      <c r="AG298" s="202"/>
      <c r="AH298" s="203" t="s">
        <v>1155</v>
      </c>
      <c r="AI298" s="202">
        <v>0</v>
      </c>
      <c r="AJ298" s="202">
        <v>0</v>
      </c>
    </row>
    <row r="299" spans="2:36">
      <c r="B299" s="203">
        <v>2180</v>
      </c>
      <c r="C299" s="207">
        <v>199114</v>
      </c>
      <c r="D299" s="203" t="s">
        <v>97</v>
      </c>
      <c r="E299" s="202" t="s">
        <v>166</v>
      </c>
      <c r="F299" s="203"/>
      <c r="G299" s="202"/>
      <c r="H299" s="202" t="s">
        <v>2717</v>
      </c>
      <c r="I299" s="202"/>
      <c r="J299" s="202">
        <v>2019</v>
      </c>
      <c r="K299" s="202" t="s">
        <v>2290</v>
      </c>
      <c r="L299" s="202" t="s">
        <v>1830</v>
      </c>
      <c r="M299" s="202" t="s">
        <v>1824</v>
      </c>
      <c r="N299" s="206">
        <v>43271</v>
      </c>
      <c r="O299" s="206">
        <v>43271</v>
      </c>
      <c r="P299" s="202" t="s">
        <v>2716</v>
      </c>
      <c r="Q299" s="203">
        <v>1000</v>
      </c>
      <c r="R299" s="203">
        <v>14040</v>
      </c>
      <c r="S299" s="204">
        <v>228215.43</v>
      </c>
      <c r="T299" s="203">
        <v>14046</v>
      </c>
      <c r="U299" s="204">
        <v>79875.39</v>
      </c>
      <c r="V299" s="204">
        <f t="shared" si="15"/>
        <v>148340.03999999998</v>
      </c>
      <c r="W299" s="205">
        <v>22821.54</v>
      </c>
      <c r="X299" s="203">
        <v>51260</v>
      </c>
      <c r="Y299" s="204">
        <v>1901.79</v>
      </c>
      <c r="Z299" s="202" t="s">
        <v>97</v>
      </c>
      <c r="AA299" s="202"/>
      <c r="AB299" s="202"/>
      <c r="AC299" s="202">
        <v>4079</v>
      </c>
      <c r="AD299" s="202" t="s">
        <v>1152</v>
      </c>
      <c r="AE299" s="202" t="s">
        <v>1153</v>
      </c>
      <c r="AF299" s="203" t="s">
        <v>1154</v>
      </c>
      <c r="AG299" s="202"/>
      <c r="AH299" s="203" t="s">
        <v>1155</v>
      </c>
      <c r="AI299" s="202">
        <v>0</v>
      </c>
      <c r="AJ299" s="202">
        <v>0</v>
      </c>
    </row>
    <row r="300" spans="2:36">
      <c r="B300" s="203">
        <v>2180</v>
      </c>
      <c r="C300" s="207">
        <v>198691</v>
      </c>
      <c r="D300" s="203" t="s">
        <v>97</v>
      </c>
      <c r="E300" s="202" t="s">
        <v>696</v>
      </c>
      <c r="F300" s="203">
        <v>624</v>
      </c>
      <c r="G300" s="202"/>
      <c r="H300" s="202"/>
      <c r="I300" s="202"/>
      <c r="J300" s="202">
        <v>0</v>
      </c>
      <c r="K300" s="202" t="s">
        <v>2318</v>
      </c>
      <c r="L300" s="202"/>
      <c r="M300" s="202"/>
      <c r="N300" s="206">
        <v>43266</v>
      </c>
      <c r="O300" s="206">
        <v>43266</v>
      </c>
      <c r="P300" s="202" t="s">
        <v>2715</v>
      </c>
      <c r="Q300" s="203">
        <v>700</v>
      </c>
      <c r="R300" s="203">
        <v>14050</v>
      </c>
      <c r="S300" s="204">
        <v>33402.910000000003</v>
      </c>
      <c r="T300" s="203">
        <v>14056</v>
      </c>
      <c r="U300" s="204">
        <v>17099.13</v>
      </c>
      <c r="V300" s="204">
        <f t="shared" si="15"/>
        <v>16303.780000000002</v>
      </c>
      <c r="W300" s="205">
        <v>4771.8500000000004</v>
      </c>
      <c r="X300" s="203">
        <v>54260</v>
      </c>
      <c r="Y300" s="204">
        <v>397.65</v>
      </c>
      <c r="Z300" s="202" t="s">
        <v>97</v>
      </c>
      <c r="AA300" s="202"/>
      <c r="AB300" s="202">
        <v>65538527</v>
      </c>
      <c r="AC300" s="202"/>
      <c r="AD300" s="202" t="s">
        <v>1152</v>
      </c>
      <c r="AE300" s="202" t="s">
        <v>1153</v>
      </c>
      <c r="AF300" s="203" t="s">
        <v>1154</v>
      </c>
      <c r="AG300" s="202"/>
      <c r="AH300" s="203" t="s">
        <v>1155</v>
      </c>
      <c r="AI300" s="202">
        <v>0</v>
      </c>
      <c r="AJ300" s="202">
        <v>0</v>
      </c>
    </row>
    <row r="301" spans="2:36">
      <c r="B301" s="203">
        <v>2180</v>
      </c>
      <c r="C301" s="207">
        <v>198376</v>
      </c>
      <c r="D301" s="203" t="s">
        <v>97</v>
      </c>
      <c r="E301" s="202" t="s">
        <v>639</v>
      </c>
      <c r="F301" s="203">
        <v>864</v>
      </c>
      <c r="G301" s="202"/>
      <c r="H301" s="202"/>
      <c r="I301" s="202"/>
      <c r="J301" s="202">
        <v>0</v>
      </c>
      <c r="K301" s="202" t="s">
        <v>2318</v>
      </c>
      <c r="L301" s="202"/>
      <c r="M301" s="202"/>
      <c r="N301" s="206">
        <v>43242</v>
      </c>
      <c r="O301" s="206">
        <v>43242</v>
      </c>
      <c r="P301" s="202" t="s">
        <v>2714</v>
      </c>
      <c r="Q301" s="203">
        <v>700</v>
      </c>
      <c r="R301" s="203">
        <v>14050</v>
      </c>
      <c r="S301" s="204">
        <v>37301.9</v>
      </c>
      <c r="T301" s="203">
        <v>14056</v>
      </c>
      <c r="U301" s="204">
        <v>19095.009999999998</v>
      </c>
      <c r="V301" s="204">
        <f t="shared" si="15"/>
        <v>18206.890000000003</v>
      </c>
      <c r="W301" s="205">
        <v>5328.84</v>
      </c>
      <c r="X301" s="203">
        <v>54260</v>
      </c>
      <c r="Y301" s="204">
        <v>444.07</v>
      </c>
      <c r="Z301" s="202" t="s">
        <v>97</v>
      </c>
      <c r="AA301" s="202"/>
      <c r="AB301" s="202">
        <v>65535769</v>
      </c>
      <c r="AC301" s="202"/>
      <c r="AD301" s="202" t="s">
        <v>1152</v>
      </c>
      <c r="AE301" s="202" t="s">
        <v>1153</v>
      </c>
      <c r="AF301" s="203" t="s">
        <v>1154</v>
      </c>
      <c r="AG301" s="202"/>
      <c r="AH301" s="203" t="s">
        <v>1155</v>
      </c>
      <c r="AI301" s="202">
        <v>0</v>
      </c>
      <c r="AJ301" s="202">
        <v>0</v>
      </c>
    </row>
    <row r="302" spans="2:36">
      <c r="B302" s="203">
        <v>2180</v>
      </c>
      <c r="C302" s="207">
        <v>197566</v>
      </c>
      <c r="D302" s="203" t="s">
        <v>97</v>
      </c>
      <c r="E302" s="202" t="s">
        <v>639</v>
      </c>
      <c r="F302" s="203">
        <v>864</v>
      </c>
      <c r="G302" s="202"/>
      <c r="H302" s="202"/>
      <c r="I302" s="202"/>
      <c r="J302" s="202">
        <v>0</v>
      </c>
      <c r="K302" s="202" t="s">
        <v>2318</v>
      </c>
      <c r="L302" s="202"/>
      <c r="M302" s="202"/>
      <c r="N302" s="206">
        <v>43242</v>
      </c>
      <c r="O302" s="206">
        <v>43242</v>
      </c>
      <c r="P302" s="202" t="s">
        <v>2714</v>
      </c>
      <c r="Q302" s="203">
        <v>700</v>
      </c>
      <c r="R302" s="203">
        <v>14050</v>
      </c>
      <c r="S302" s="204">
        <v>42474.5</v>
      </c>
      <c r="T302" s="203">
        <v>14056</v>
      </c>
      <c r="U302" s="204">
        <v>21742.91</v>
      </c>
      <c r="V302" s="204">
        <f t="shared" si="15"/>
        <v>20731.59</v>
      </c>
      <c r="W302" s="205">
        <v>6067.79</v>
      </c>
      <c r="X302" s="203">
        <v>54260</v>
      </c>
      <c r="Y302" s="204">
        <v>505.65</v>
      </c>
      <c r="Z302" s="202" t="s">
        <v>97</v>
      </c>
      <c r="AA302" s="202"/>
      <c r="AB302" s="202">
        <v>65534968</v>
      </c>
      <c r="AC302" s="202"/>
      <c r="AD302" s="202" t="s">
        <v>1152</v>
      </c>
      <c r="AE302" s="202" t="s">
        <v>1153</v>
      </c>
      <c r="AF302" s="203" t="s">
        <v>1154</v>
      </c>
      <c r="AG302" s="202"/>
      <c r="AH302" s="203" t="s">
        <v>1155</v>
      </c>
      <c r="AI302" s="202">
        <v>0</v>
      </c>
      <c r="AJ302" s="202">
        <v>0</v>
      </c>
    </row>
    <row r="303" spans="2:36">
      <c r="B303" s="203">
        <v>2180</v>
      </c>
      <c r="C303" s="207">
        <v>197532</v>
      </c>
      <c r="D303" s="203" t="s">
        <v>97</v>
      </c>
      <c r="E303" s="202" t="s">
        <v>2713</v>
      </c>
      <c r="F303" s="203"/>
      <c r="G303" s="202"/>
      <c r="H303" s="202"/>
      <c r="I303" s="202"/>
      <c r="J303" s="202">
        <v>0</v>
      </c>
      <c r="K303" s="202" t="s">
        <v>1429</v>
      </c>
      <c r="L303" s="202"/>
      <c r="M303" s="202"/>
      <c r="N303" s="206">
        <v>43224</v>
      </c>
      <c r="O303" s="206">
        <v>43224</v>
      </c>
      <c r="P303" s="202" t="s">
        <v>2712</v>
      </c>
      <c r="Q303" s="203">
        <v>300</v>
      </c>
      <c r="R303" s="203">
        <v>14110</v>
      </c>
      <c r="S303" s="204">
        <v>1334.12</v>
      </c>
      <c r="T303" s="203">
        <v>14116</v>
      </c>
      <c r="U303" s="204">
        <v>1334.12</v>
      </c>
      <c r="V303" s="204">
        <f t="shared" si="15"/>
        <v>0</v>
      </c>
      <c r="W303" s="205">
        <v>148.22999999999999</v>
      </c>
      <c r="X303" s="203">
        <v>70260</v>
      </c>
      <c r="Y303" s="204">
        <v>0</v>
      </c>
      <c r="Z303" s="202" t="s">
        <v>97</v>
      </c>
      <c r="AA303" s="202"/>
      <c r="AB303" s="202" t="s">
        <v>2711</v>
      </c>
      <c r="AC303" s="202"/>
      <c r="AD303" s="202" t="s">
        <v>1152</v>
      </c>
      <c r="AE303" s="202" t="s">
        <v>1153</v>
      </c>
      <c r="AF303" s="203" t="s">
        <v>1154</v>
      </c>
      <c r="AG303" s="202"/>
      <c r="AH303" s="203" t="s">
        <v>1155</v>
      </c>
      <c r="AI303" s="202">
        <v>0</v>
      </c>
      <c r="AJ303" s="202">
        <v>0</v>
      </c>
    </row>
    <row r="304" spans="2:36">
      <c r="B304" s="203">
        <v>2180</v>
      </c>
      <c r="C304" s="207">
        <v>197201</v>
      </c>
      <c r="D304" s="203" t="s">
        <v>97</v>
      </c>
      <c r="E304" s="202" t="s">
        <v>942</v>
      </c>
      <c r="F304" s="203"/>
      <c r="G304" s="202"/>
      <c r="H304" s="202" t="s">
        <v>2710</v>
      </c>
      <c r="I304" s="202"/>
      <c r="J304" s="202">
        <v>2018</v>
      </c>
      <c r="K304" s="202" t="s">
        <v>2709</v>
      </c>
      <c r="L304" s="202" t="s">
        <v>2709</v>
      </c>
      <c r="M304" s="202" t="s">
        <v>1391</v>
      </c>
      <c r="N304" s="206">
        <v>43244</v>
      </c>
      <c r="O304" s="206">
        <v>43244</v>
      </c>
      <c r="P304" s="202" t="s">
        <v>2708</v>
      </c>
      <c r="Q304" s="203">
        <v>1000</v>
      </c>
      <c r="R304" s="203">
        <v>14040</v>
      </c>
      <c r="S304" s="204">
        <v>86454.44</v>
      </c>
      <c r="T304" s="203">
        <v>14046</v>
      </c>
      <c r="U304" s="204">
        <v>30979.5</v>
      </c>
      <c r="V304" s="204">
        <f t="shared" si="15"/>
        <v>55474.94</v>
      </c>
      <c r="W304" s="205">
        <v>8645.44</v>
      </c>
      <c r="X304" s="203">
        <v>51260</v>
      </c>
      <c r="Y304" s="204">
        <v>720.45</v>
      </c>
      <c r="Z304" s="202" t="s">
        <v>97</v>
      </c>
      <c r="AA304" s="202"/>
      <c r="AB304" s="202">
        <v>7416</v>
      </c>
      <c r="AC304" s="202">
        <v>9224</v>
      </c>
      <c r="AD304" s="202" t="s">
        <v>1152</v>
      </c>
      <c r="AE304" s="202" t="s">
        <v>1153</v>
      </c>
      <c r="AF304" s="203" t="s">
        <v>1154</v>
      </c>
      <c r="AG304" s="202"/>
      <c r="AH304" s="203" t="s">
        <v>1155</v>
      </c>
      <c r="AI304" s="202">
        <v>0</v>
      </c>
      <c r="AJ304" s="202">
        <v>0</v>
      </c>
    </row>
    <row r="305" spans="2:36">
      <c r="B305" s="203">
        <v>2180</v>
      </c>
      <c r="C305" s="207">
        <v>196977</v>
      </c>
      <c r="D305" s="203" t="s">
        <v>97</v>
      </c>
      <c r="E305" s="202" t="s">
        <v>672</v>
      </c>
      <c r="F305" s="203">
        <v>624</v>
      </c>
      <c r="G305" s="202"/>
      <c r="H305" s="202"/>
      <c r="I305" s="202"/>
      <c r="J305" s="202">
        <v>0</v>
      </c>
      <c r="K305" s="202" t="s">
        <v>2502</v>
      </c>
      <c r="L305" s="202"/>
      <c r="M305" s="202"/>
      <c r="N305" s="206">
        <v>43217</v>
      </c>
      <c r="O305" s="206">
        <v>43217</v>
      </c>
      <c r="P305" s="202" t="s">
        <v>2707</v>
      </c>
      <c r="Q305" s="203">
        <v>700</v>
      </c>
      <c r="R305" s="203">
        <v>14050</v>
      </c>
      <c r="S305" s="204">
        <v>33089.15</v>
      </c>
      <c r="T305" s="203">
        <v>14056</v>
      </c>
      <c r="U305" s="204">
        <v>17332.41</v>
      </c>
      <c r="V305" s="204">
        <f t="shared" si="15"/>
        <v>15756.740000000002</v>
      </c>
      <c r="W305" s="205">
        <v>4727.0200000000004</v>
      </c>
      <c r="X305" s="203">
        <v>54260</v>
      </c>
      <c r="Y305" s="204">
        <v>393.92</v>
      </c>
      <c r="Z305" s="202" t="s">
        <v>97</v>
      </c>
      <c r="AA305" s="202"/>
      <c r="AB305" s="202">
        <v>65529420</v>
      </c>
      <c r="AC305" s="202"/>
      <c r="AD305" s="202" t="s">
        <v>1152</v>
      </c>
      <c r="AE305" s="202" t="s">
        <v>1153</v>
      </c>
      <c r="AF305" s="203" t="s">
        <v>1154</v>
      </c>
      <c r="AG305" s="202"/>
      <c r="AH305" s="203" t="s">
        <v>1155</v>
      </c>
      <c r="AI305" s="202">
        <v>0</v>
      </c>
      <c r="AJ305" s="202">
        <v>0</v>
      </c>
    </row>
    <row r="306" spans="2:36">
      <c r="B306" s="203">
        <v>2180</v>
      </c>
      <c r="C306" s="207">
        <v>196976</v>
      </c>
      <c r="D306" s="203" t="s">
        <v>97</v>
      </c>
      <c r="E306" s="202" t="s">
        <v>672</v>
      </c>
      <c r="F306" s="203">
        <v>624</v>
      </c>
      <c r="G306" s="202"/>
      <c r="H306" s="202"/>
      <c r="I306" s="202"/>
      <c r="J306" s="202">
        <v>0</v>
      </c>
      <c r="K306" s="202" t="s">
        <v>2502</v>
      </c>
      <c r="L306" s="202"/>
      <c r="M306" s="202"/>
      <c r="N306" s="206">
        <v>43217</v>
      </c>
      <c r="O306" s="206">
        <v>43217</v>
      </c>
      <c r="P306" s="202" t="s">
        <v>2707</v>
      </c>
      <c r="Q306" s="203">
        <v>700</v>
      </c>
      <c r="R306" s="203">
        <v>14050</v>
      </c>
      <c r="S306" s="204">
        <v>33089.15</v>
      </c>
      <c r="T306" s="203">
        <v>14056</v>
      </c>
      <c r="U306" s="204">
        <v>17332.41</v>
      </c>
      <c r="V306" s="204">
        <f t="shared" si="15"/>
        <v>15756.740000000002</v>
      </c>
      <c r="W306" s="205">
        <v>4727.0200000000004</v>
      </c>
      <c r="X306" s="203">
        <v>54260</v>
      </c>
      <c r="Y306" s="204">
        <v>393.92</v>
      </c>
      <c r="Z306" s="202" t="s">
        <v>97</v>
      </c>
      <c r="AA306" s="202"/>
      <c r="AB306" s="202">
        <v>65529730</v>
      </c>
      <c r="AC306" s="202"/>
      <c r="AD306" s="202" t="s">
        <v>1152</v>
      </c>
      <c r="AE306" s="202" t="s">
        <v>1153</v>
      </c>
      <c r="AF306" s="203" t="s">
        <v>1154</v>
      </c>
      <c r="AG306" s="202"/>
      <c r="AH306" s="203" t="s">
        <v>1155</v>
      </c>
      <c r="AI306" s="202">
        <v>0</v>
      </c>
      <c r="AJ306" s="202">
        <v>0</v>
      </c>
    </row>
    <row r="307" spans="2:36">
      <c r="B307" s="203">
        <v>2180</v>
      </c>
      <c r="C307" s="207">
        <v>196550</v>
      </c>
      <c r="D307" s="203" t="s">
        <v>97</v>
      </c>
      <c r="E307" s="202" t="s">
        <v>2706</v>
      </c>
      <c r="F307" s="203">
        <v>24</v>
      </c>
      <c r="G307" s="202"/>
      <c r="H307" s="202"/>
      <c r="I307" s="202" t="s">
        <v>1147</v>
      </c>
      <c r="J307" s="202">
        <v>0</v>
      </c>
      <c r="K307" s="202" t="s">
        <v>2703</v>
      </c>
      <c r="L307" s="202"/>
      <c r="M307" s="202" t="s">
        <v>1555</v>
      </c>
      <c r="N307" s="206">
        <v>43187</v>
      </c>
      <c r="O307" s="206">
        <v>43187</v>
      </c>
      <c r="P307" s="202" t="s">
        <v>2705</v>
      </c>
      <c r="Q307" s="203">
        <v>700</v>
      </c>
      <c r="R307" s="203">
        <v>14050</v>
      </c>
      <c r="S307" s="204">
        <v>13180.99</v>
      </c>
      <c r="T307" s="203">
        <v>14056</v>
      </c>
      <c r="U307" s="204">
        <v>7061.25</v>
      </c>
      <c r="V307" s="204">
        <f t="shared" si="15"/>
        <v>6119.74</v>
      </c>
      <c r="W307" s="205">
        <v>1883</v>
      </c>
      <c r="X307" s="203">
        <v>54260</v>
      </c>
      <c r="Y307" s="204">
        <v>156.91999999999999</v>
      </c>
      <c r="Z307" s="202" t="s">
        <v>97</v>
      </c>
      <c r="AA307" s="202"/>
      <c r="AB307" s="202">
        <v>65525683</v>
      </c>
      <c r="AC307" s="202"/>
      <c r="AD307" s="202" t="s">
        <v>1152</v>
      </c>
      <c r="AE307" s="202" t="s">
        <v>1153</v>
      </c>
      <c r="AF307" s="203" t="s">
        <v>1154</v>
      </c>
      <c r="AG307" s="202"/>
      <c r="AH307" s="203" t="s">
        <v>1155</v>
      </c>
      <c r="AI307" s="202">
        <v>0</v>
      </c>
      <c r="AJ307" s="202">
        <v>0</v>
      </c>
    </row>
    <row r="308" spans="2:36">
      <c r="B308" s="203">
        <v>2180</v>
      </c>
      <c r="C308" s="207">
        <v>196549</v>
      </c>
      <c r="D308" s="203" t="s">
        <v>97</v>
      </c>
      <c r="E308" s="202" t="s">
        <v>2704</v>
      </c>
      <c r="F308" s="203">
        <v>18</v>
      </c>
      <c r="G308" s="202"/>
      <c r="H308" s="202"/>
      <c r="I308" s="202" t="s">
        <v>1147</v>
      </c>
      <c r="J308" s="202">
        <v>0</v>
      </c>
      <c r="K308" s="202" t="s">
        <v>2703</v>
      </c>
      <c r="L308" s="202"/>
      <c r="M308" s="202" t="s">
        <v>1558</v>
      </c>
      <c r="N308" s="206">
        <v>43187</v>
      </c>
      <c r="O308" s="206">
        <v>43187</v>
      </c>
      <c r="P308" s="202" t="s">
        <v>2702</v>
      </c>
      <c r="Q308" s="203">
        <v>700</v>
      </c>
      <c r="R308" s="203">
        <v>14050</v>
      </c>
      <c r="S308" s="204">
        <v>11986.39</v>
      </c>
      <c r="T308" s="203">
        <v>14056</v>
      </c>
      <c r="U308" s="204">
        <v>6421.28</v>
      </c>
      <c r="V308" s="204">
        <f t="shared" si="15"/>
        <v>5565.11</v>
      </c>
      <c r="W308" s="205">
        <v>1712.34</v>
      </c>
      <c r="X308" s="203">
        <v>54260</v>
      </c>
      <c r="Y308" s="204">
        <v>142.69</v>
      </c>
      <c r="Z308" s="202" t="s">
        <v>97</v>
      </c>
      <c r="AA308" s="202"/>
      <c r="AB308" s="202">
        <v>65525682</v>
      </c>
      <c r="AC308" s="202"/>
      <c r="AD308" s="202" t="s">
        <v>1152</v>
      </c>
      <c r="AE308" s="202" t="s">
        <v>1153</v>
      </c>
      <c r="AF308" s="203" t="s">
        <v>1154</v>
      </c>
      <c r="AG308" s="202"/>
      <c r="AH308" s="203" t="s">
        <v>1155</v>
      </c>
      <c r="AI308" s="202">
        <v>0</v>
      </c>
      <c r="AJ308" s="202">
        <v>0</v>
      </c>
    </row>
    <row r="309" spans="2:36">
      <c r="B309" s="203">
        <v>2180</v>
      </c>
      <c r="C309" s="207">
        <v>195626</v>
      </c>
      <c r="D309" s="203" t="s">
        <v>97</v>
      </c>
      <c r="E309" s="202" t="s">
        <v>2700</v>
      </c>
      <c r="F309" s="203">
        <v>20</v>
      </c>
      <c r="G309" s="202"/>
      <c r="H309" s="202"/>
      <c r="I309" s="202" t="s">
        <v>1147</v>
      </c>
      <c r="J309" s="202">
        <v>0</v>
      </c>
      <c r="K309" s="202" t="s">
        <v>2445</v>
      </c>
      <c r="L309" s="202"/>
      <c r="M309" s="202" t="s">
        <v>1582</v>
      </c>
      <c r="N309" s="206">
        <v>43186</v>
      </c>
      <c r="O309" s="206">
        <v>43186</v>
      </c>
      <c r="P309" s="202" t="s">
        <v>2699</v>
      </c>
      <c r="Q309" s="203">
        <v>700</v>
      </c>
      <c r="R309" s="203">
        <v>14050</v>
      </c>
      <c r="S309" s="204">
        <v>16439.38</v>
      </c>
      <c r="T309" s="203">
        <v>14056</v>
      </c>
      <c r="U309" s="204">
        <v>8806.7999999999993</v>
      </c>
      <c r="V309" s="204">
        <f t="shared" si="15"/>
        <v>7632.5800000000017</v>
      </c>
      <c r="W309" s="205">
        <v>2348.48</v>
      </c>
      <c r="X309" s="203">
        <v>54260</v>
      </c>
      <c r="Y309" s="204">
        <v>195.71</v>
      </c>
      <c r="Z309" s="202" t="s">
        <v>97</v>
      </c>
      <c r="AA309" s="202"/>
      <c r="AB309" s="202" t="s">
        <v>2701</v>
      </c>
      <c r="AC309" s="202"/>
      <c r="AD309" s="202" t="s">
        <v>1152</v>
      </c>
      <c r="AE309" s="202" t="s">
        <v>1153</v>
      </c>
      <c r="AF309" s="203" t="s">
        <v>1154</v>
      </c>
      <c r="AG309" s="202"/>
      <c r="AH309" s="203" t="s">
        <v>1155</v>
      </c>
      <c r="AI309" s="202">
        <v>0</v>
      </c>
      <c r="AJ309" s="202">
        <v>0</v>
      </c>
    </row>
    <row r="310" spans="2:36">
      <c r="B310" s="203">
        <v>2180</v>
      </c>
      <c r="C310" s="207">
        <v>195625</v>
      </c>
      <c r="D310" s="203" t="s">
        <v>97</v>
      </c>
      <c r="E310" s="202" t="s">
        <v>2700</v>
      </c>
      <c r="F310" s="203">
        <v>4</v>
      </c>
      <c r="G310" s="202"/>
      <c r="H310" s="202"/>
      <c r="I310" s="202" t="s">
        <v>1147</v>
      </c>
      <c r="J310" s="202">
        <v>0</v>
      </c>
      <c r="K310" s="202" t="s">
        <v>2445</v>
      </c>
      <c r="L310" s="202"/>
      <c r="M310" s="202" t="s">
        <v>1582</v>
      </c>
      <c r="N310" s="206">
        <v>43186</v>
      </c>
      <c r="O310" s="206">
        <v>43186</v>
      </c>
      <c r="P310" s="202" t="s">
        <v>2699</v>
      </c>
      <c r="Q310" s="203">
        <v>700</v>
      </c>
      <c r="R310" s="203">
        <v>14050</v>
      </c>
      <c r="S310" s="204">
        <v>3287.88</v>
      </c>
      <c r="T310" s="203">
        <v>14056</v>
      </c>
      <c r="U310" s="204">
        <v>1761.37</v>
      </c>
      <c r="V310" s="204">
        <f t="shared" si="15"/>
        <v>1526.5100000000002</v>
      </c>
      <c r="W310" s="205">
        <v>469.7</v>
      </c>
      <c r="X310" s="203">
        <v>54260</v>
      </c>
      <c r="Y310" s="204">
        <v>39.14</v>
      </c>
      <c r="Z310" s="202" t="s">
        <v>97</v>
      </c>
      <c r="AA310" s="202"/>
      <c r="AB310" s="202" t="s">
        <v>2698</v>
      </c>
      <c r="AC310" s="202"/>
      <c r="AD310" s="202" t="s">
        <v>1152</v>
      </c>
      <c r="AE310" s="202" t="s">
        <v>1153</v>
      </c>
      <c r="AF310" s="203" t="s">
        <v>1154</v>
      </c>
      <c r="AG310" s="202"/>
      <c r="AH310" s="203" t="s">
        <v>1155</v>
      </c>
      <c r="AI310" s="202">
        <v>0</v>
      </c>
      <c r="AJ310" s="202">
        <v>0</v>
      </c>
    </row>
    <row r="311" spans="2:36">
      <c r="B311" s="203">
        <v>2180</v>
      </c>
      <c r="C311" s="207">
        <v>194618</v>
      </c>
      <c r="D311" s="203" t="s">
        <v>97</v>
      </c>
      <c r="E311" s="202" t="s">
        <v>2697</v>
      </c>
      <c r="F311" s="203">
        <v>24</v>
      </c>
      <c r="G311" s="202"/>
      <c r="H311" s="202"/>
      <c r="I311" s="202" t="s">
        <v>1147</v>
      </c>
      <c r="J311" s="202">
        <v>0</v>
      </c>
      <c r="K311" s="202" t="s">
        <v>2041</v>
      </c>
      <c r="L311" s="202"/>
      <c r="M311" s="202" t="s">
        <v>1573</v>
      </c>
      <c r="N311" s="206">
        <v>43180</v>
      </c>
      <c r="O311" s="206">
        <v>43180</v>
      </c>
      <c r="P311" s="202" t="s">
        <v>2696</v>
      </c>
      <c r="Q311" s="203">
        <v>1200</v>
      </c>
      <c r="R311" s="203">
        <v>14050</v>
      </c>
      <c r="S311" s="204">
        <v>11673.24</v>
      </c>
      <c r="T311" s="203">
        <v>14056</v>
      </c>
      <c r="U311" s="204">
        <v>3647.89</v>
      </c>
      <c r="V311" s="204">
        <f t="shared" si="15"/>
        <v>8025.35</v>
      </c>
      <c r="W311" s="205">
        <v>972.77</v>
      </c>
      <c r="X311" s="203">
        <v>54260</v>
      </c>
      <c r="Y311" s="204">
        <v>81.06</v>
      </c>
      <c r="Z311" s="202" t="s">
        <v>97</v>
      </c>
      <c r="AA311" s="202"/>
      <c r="AB311" s="202">
        <v>139274</v>
      </c>
      <c r="AC311" s="202"/>
      <c r="AD311" s="202" t="s">
        <v>1152</v>
      </c>
      <c r="AE311" s="202" t="s">
        <v>1153</v>
      </c>
      <c r="AF311" s="203" t="s">
        <v>1154</v>
      </c>
      <c r="AG311" s="202"/>
      <c r="AH311" s="203" t="s">
        <v>1155</v>
      </c>
      <c r="AI311" s="202">
        <v>0</v>
      </c>
      <c r="AJ311" s="202">
        <v>0</v>
      </c>
    </row>
    <row r="312" spans="2:36">
      <c r="B312" s="203">
        <v>2180</v>
      </c>
      <c r="C312" s="207">
        <v>194617</v>
      </c>
      <c r="D312" s="203" t="s">
        <v>97</v>
      </c>
      <c r="E312" s="202" t="s">
        <v>2695</v>
      </c>
      <c r="F312" s="203">
        <v>24</v>
      </c>
      <c r="G312" s="202"/>
      <c r="H312" s="202"/>
      <c r="I312" s="202" t="s">
        <v>1147</v>
      </c>
      <c r="J312" s="202">
        <v>0</v>
      </c>
      <c r="K312" s="202" t="s">
        <v>2041</v>
      </c>
      <c r="L312" s="202"/>
      <c r="M312" s="202" t="s">
        <v>1462</v>
      </c>
      <c r="N312" s="206">
        <v>43180</v>
      </c>
      <c r="O312" s="206">
        <v>43180</v>
      </c>
      <c r="P312" s="202" t="s">
        <v>2694</v>
      </c>
      <c r="Q312" s="203">
        <v>1200</v>
      </c>
      <c r="R312" s="203">
        <v>14050</v>
      </c>
      <c r="S312" s="204">
        <v>12066.72</v>
      </c>
      <c r="T312" s="203">
        <v>14056</v>
      </c>
      <c r="U312" s="204">
        <v>3770.85</v>
      </c>
      <c r="V312" s="204">
        <f t="shared" si="15"/>
        <v>8295.869999999999</v>
      </c>
      <c r="W312" s="205">
        <v>1005.56</v>
      </c>
      <c r="X312" s="203">
        <v>54260</v>
      </c>
      <c r="Y312" s="204">
        <v>83.8</v>
      </c>
      <c r="Z312" s="202" t="s">
        <v>97</v>
      </c>
      <c r="AA312" s="202"/>
      <c r="AB312" s="202">
        <v>139295</v>
      </c>
      <c r="AC312" s="202"/>
      <c r="AD312" s="202" t="s">
        <v>1152</v>
      </c>
      <c r="AE312" s="202" t="s">
        <v>1153</v>
      </c>
      <c r="AF312" s="203" t="s">
        <v>1154</v>
      </c>
      <c r="AG312" s="202"/>
      <c r="AH312" s="203" t="s">
        <v>1155</v>
      </c>
      <c r="AI312" s="202">
        <v>0</v>
      </c>
      <c r="AJ312" s="202">
        <v>0</v>
      </c>
    </row>
    <row r="313" spans="2:36">
      <c r="B313" s="203">
        <v>2180</v>
      </c>
      <c r="C313" s="207">
        <v>194616</v>
      </c>
      <c r="D313" s="203" t="s">
        <v>97</v>
      </c>
      <c r="E313" s="202" t="s">
        <v>2693</v>
      </c>
      <c r="F313" s="203">
        <v>24</v>
      </c>
      <c r="G313" s="202"/>
      <c r="H313" s="202"/>
      <c r="I313" s="202" t="s">
        <v>1147</v>
      </c>
      <c r="J313" s="202">
        <v>0</v>
      </c>
      <c r="K313" s="202" t="s">
        <v>2041</v>
      </c>
      <c r="L313" s="202"/>
      <c r="M313" s="202" t="s">
        <v>1421</v>
      </c>
      <c r="N313" s="206">
        <v>43180</v>
      </c>
      <c r="O313" s="206">
        <v>43180</v>
      </c>
      <c r="P313" s="202" t="s">
        <v>2692</v>
      </c>
      <c r="Q313" s="203">
        <v>1200</v>
      </c>
      <c r="R313" s="203">
        <v>14050</v>
      </c>
      <c r="S313" s="204">
        <v>12984.85</v>
      </c>
      <c r="T313" s="203">
        <v>14056</v>
      </c>
      <c r="U313" s="204">
        <v>4057.76</v>
      </c>
      <c r="V313" s="204">
        <f t="shared" si="15"/>
        <v>8927.09</v>
      </c>
      <c r="W313" s="205">
        <v>1082.07</v>
      </c>
      <c r="X313" s="203">
        <v>54260</v>
      </c>
      <c r="Y313" s="204">
        <v>90.17</v>
      </c>
      <c r="Z313" s="202" t="s">
        <v>97</v>
      </c>
      <c r="AA313" s="202"/>
      <c r="AB313" s="202">
        <v>139297</v>
      </c>
      <c r="AC313" s="202"/>
      <c r="AD313" s="202" t="s">
        <v>1152</v>
      </c>
      <c r="AE313" s="202" t="s">
        <v>1153</v>
      </c>
      <c r="AF313" s="203" t="s">
        <v>1154</v>
      </c>
      <c r="AG313" s="202"/>
      <c r="AH313" s="203" t="s">
        <v>1155</v>
      </c>
      <c r="AI313" s="202">
        <v>0</v>
      </c>
      <c r="AJ313" s="202">
        <v>0</v>
      </c>
    </row>
    <row r="314" spans="2:36">
      <c r="B314" s="203">
        <v>2180</v>
      </c>
      <c r="C314" s="207">
        <v>193679</v>
      </c>
      <c r="D314" s="203" t="s">
        <v>97</v>
      </c>
      <c r="E314" s="202" t="s">
        <v>695</v>
      </c>
      <c r="F314" s="203">
        <v>624</v>
      </c>
      <c r="G314" s="202"/>
      <c r="H314" s="202"/>
      <c r="I314" s="202" t="s">
        <v>1147</v>
      </c>
      <c r="J314" s="202">
        <v>0</v>
      </c>
      <c r="K314" s="202" t="s">
        <v>2502</v>
      </c>
      <c r="L314" s="202"/>
      <c r="M314" s="202"/>
      <c r="N314" s="206">
        <v>43155</v>
      </c>
      <c r="O314" s="206">
        <v>43155</v>
      </c>
      <c r="P314" s="202" t="s">
        <v>2691</v>
      </c>
      <c r="Q314" s="203">
        <v>700</v>
      </c>
      <c r="R314" s="203">
        <v>14050</v>
      </c>
      <c r="S314" s="204">
        <v>33628.550000000003</v>
      </c>
      <c r="T314" s="203">
        <v>14056</v>
      </c>
      <c r="U314" s="204">
        <v>18415.64</v>
      </c>
      <c r="V314" s="204">
        <f t="shared" si="15"/>
        <v>15212.910000000003</v>
      </c>
      <c r="W314" s="205">
        <v>4804.08</v>
      </c>
      <c r="X314" s="203">
        <v>54260</v>
      </c>
      <c r="Y314" s="204">
        <v>400.34</v>
      </c>
      <c r="Z314" s="202" t="s">
        <v>97</v>
      </c>
      <c r="AA314" s="202"/>
      <c r="AB314" s="202">
        <v>65521192</v>
      </c>
      <c r="AC314" s="202"/>
      <c r="AD314" s="202" t="s">
        <v>1152</v>
      </c>
      <c r="AE314" s="202" t="s">
        <v>1153</v>
      </c>
      <c r="AF314" s="203" t="s">
        <v>1154</v>
      </c>
      <c r="AG314" s="202"/>
      <c r="AH314" s="203" t="s">
        <v>1155</v>
      </c>
      <c r="AI314" s="202">
        <v>0</v>
      </c>
      <c r="AJ314" s="202">
        <v>0</v>
      </c>
    </row>
    <row r="315" spans="2:36">
      <c r="B315" s="203">
        <v>2180</v>
      </c>
      <c r="C315" s="207">
        <v>193678</v>
      </c>
      <c r="D315" s="203" t="s">
        <v>97</v>
      </c>
      <c r="E315" s="202" t="s">
        <v>695</v>
      </c>
      <c r="F315" s="203">
        <v>624</v>
      </c>
      <c r="G315" s="202"/>
      <c r="H315" s="202"/>
      <c r="I315" s="202" t="s">
        <v>1147</v>
      </c>
      <c r="J315" s="202">
        <v>0</v>
      </c>
      <c r="K315" s="202" t="s">
        <v>2502</v>
      </c>
      <c r="L315" s="202"/>
      <c r="M315" s="202"/>
      <c r="N315" s="206">
        <v>43155</v>
      </c>
      <c r="O315" s="206">
        <v>43155</v>
      </c>
      <c r="P315" s="202" t="s">
        <v>2691</v>
      </c>
      <c r="Q315" s="203">
        <v>700</v>
      </c>
      <c r="R315" s="203">
        <v>14050</v>
      </c>
      <c r="S315" s="204">
        <v>33628.550000000003</v>
      </c>
      <c r="T315" s="203">
        <v>14056</v>
      </c>
      <c r="U315" s="204">
        <v>18415.64</v>
      </c>
      <c r="V315" s="204">
        <f t="shared" si="15"/>
        <v>15212.910000000003</v>
      </c>
      <c r="W315" s="205">
        <v>4804.08</v>
      </c>
      <c r="X315" s="203">
        <v>54260</v>
      </c>
      <c r="Y315" s="204">
        <v>400.34</v>
      </c>
      <c r="Z315" s="202" t="s">
        <v>97</v>
      </c>
      <c r="AA315" s="202"/>
      <c r="AB315" s="202">
        <v>65521385</v>
      </c>
      <c r="AC315" s="202"/>
      <c r="AD315" s="202" t="s">
        <v>1152</v>
      </c>
      <c r="AE315" s="202" t="s">
        <v>1153</v>
      </c>
      <c r="AF315" s="203" t="s">
        <v>1154</v>
      </c>
      <c r="AG315" s="202"/>
      <c r="AH315" s="203" t="s">
        <v>1155</v>
      </c>
      <c r="AI315" s="202">
        <v>0</v>
      </c>
      <c r="AJ315" s="202">
        <v>0</v>
      </c>
    </row>
    <row r="316" spans="2:36">
      <c r="B316" s="203">
        <v>2180</v>
      </c>
      <c r="C316" s="207">
        <v>193318</v>
      </c>
      <c r="D316" s="203" t="s">
        <v>97</v>
      </c>
      <c r="E316" s="202" t="s">
        <v>671</v>
      </c>
      <c r="F316" s="203">
        <v>624</v>
      </c>
      <c r="G316" s="202"/>
      <c r="H316" s="202"/>
      <c r="I316" s="202" t="s">
        <v>1147</v>
      </c>
      <c r="J316" s="202">
        <v>0</v>
      </c>
      <c r="K316" s="202" t="s">
        <v>2502</v>
      </c>
      <c r="L316" s="202"/>
      <c r="M316" s="202"/>
      <c r="N316" s="206">
        <v>43150</v>
      </c>
      <c r="O316" s="206">
        <v>43150</v>
      </c>
      <c r="P316" s="202" t="s">
        <v>2690</v>
      </c>
      <c r="Q316" s="203">
        <v>700</v>
      </c>
      <c r="R316" s="203">
        <v>14050</v>
      </c>
      <c r="S316" s="204">
        <v>32824.15</v>
      </c>
      <c r="T316" s="203">
        <v>14056</v>
      </c>
      <c r="U316" s="204">
        <v>17975.150000000001</v>
      </c>
      <c r="V316" s="204">
        <f t="shared" si="15"/>
        <v>14849</v>
      </c>
      <c r="W316" s="205">
        <v>4689.17</v>
      </c>
      <c r="X316" s="203">
        <v>54260</v>
      </c>
      <c r="Y316" s="204">
        <v>390.76</v>
      </c>
      <c r="Z316" s="202" t="s">
        <v>97</v>
      </c>
      <c r="AA316" s="202"/>
      <c r="AB316" s="202">
        <v>65520202</v>
      </c>
      <c r="AC316" s="202"/>
      <c r="AD316" s="202" t="s">
        <v>1152</v>
      </c>
      <c r="AE316" s="202" t="s">
        <v>1153</v>
      </c>
      <c r="AF316" s="203" t="s">
        <v>1154</v>
      </c>
      <c r="AG316" s="202"/>
      <c r="AH316" s="203" t="s">
        <v>1155</v>
      </c>
      <c r="AI316" s="202">
        <v>0</v>
      </c>
      <c r="AJ316" s="202">
        <v>0</v>
      </c>
    </row>
    <row r="317" spans="2:36">
      <c r="B317" s="203">
        <v>2180</v>
      </c>
      <c r="C317" s="207">
        <v>193148</v>
      </c>
      <c r="D317" s="203" t="s">
        <v>97</v>
      </c>
      <c r="E317" s="202" t="s">
        <v>638</v>
      </c>
      <c r="F317" s="203">
        <v>624</v>
      </c>
      <c r="G317" s="202"/>
      <c r="H317" s="202"/>
      <c r="I317" s="202" t="s">
        <v>1147</v>
      </c>
      <c r="J317" s="202">
        <v>0</v>
      </c>
      <c r="K317" s="202" t="s">
        <v>2502</v>
      </c>
      <c r="L317" s="202"/>
      <c r="M317" s="202"/>
      <c r="N317" s="206">
        <v>43136</v>
      </c>
      <c r="O317" s="206">
        <v>43136</v>
      </c>
      <c r="P317" s="202" t="s">
        <v>2689</v>
      </c>
      <c r="Q317" s="203">
        <v>700</v>
      </c>
      <c r="R317" s="203">
        <v>14050</v>
      </c>
      <c r="S317" s="204">
        <v>32824.15</v>
      </c>
      <c r="T317" s="203">
        <v>14056</v>
      </c>
      <c r="U317" s="204">
        <v>18365.91</v>
      </c>
      <c r="V317" s="204">
        <f t="shared" si="15"/>
        <v>14458.240000000002</v>
      </c>
      <c r="W317" s="205">
        <v>4689.17</v>
      </c>
      <c r="X317" s="203">
        <v>54260</v>
      </c>
      <c r="Y317" s="204">
        <v>390.76</v>
      </c>
      <c r="Z317" s="202" t="s">
        <v>97</v>
      </c>
      <c r="AA317" s="202"/>
      <c r="AB317" s="202">
        <v>65518726</v>
      </c>
      <c r="AC317" s="202"/>
      <c r="AD317" s="202" t="s">
        <v>1152</v>
      </c>
      <c r="AE317" s="202" t="s">
        <v>1153</v>
      </c>
      <c r="AF317" s="203" t="s">
        <v>1154</v>
      </c>
      <c r="AG317" s="202"/>
      <c r="AH317" s="203" t="s">
        <v>1155</v>
      </c>
      <c r="AI317" s="202">
        <v>0</v>
      </c>
      <c r="AJ317" s="202">
        <v>0</v>
      </c>
    </row>
    <row r="318" spans="2:36">
      <c r="B318" s="203">
        <v>2180</v>
      </c>
      <c r="C318" s="207">
        <v>192486</v>
      </c>
      <c r="D318" s="203" t="s">
        <v>97</v>
      </c>
      <c r="E318" s="202" t="s">
        <v>637</v>
      </c>
      <c r="F318" s="203">
        <v>864</v>
      </c>
      <c r="G318" s="202"/>
      <c r="H318" s="202"/>
      <c r="I318" s="202" t="s">
        <v>1147</v>
      </c>
      <c r="J318" s="202">
        <v>0</v>
      </c>
      <c r="K318" s="202" t="s">
        <v>2502</v>
      </c>
      <c r="L318" s="202"/>
      <c r="M318" s="202"/>
      <c r="N318" s="206">
        <v>43127</v>
      </c>
      <c r="O318" s="206">
        <v>43127</v>
      </c>
      <c r="P318" s="202" t="s">
        <v>2688</v>
      </c>
      <c r="Q318" s="203">
        <v>700</v>
      </c>
      <c r="R318" s="203">
        <v>14050</v>
      </c>
      <c r="S318" s="204">
        <v>39303.46</v>
      </c>
      <c r="T318" s="203">
        <v>14056</v>
      </c>
      <c r="U318" s="204">
        <v>21991.22</v>
      </c>
      <c r="V318" s="204">
        <f t="shared" si="15"/>
        <v>17312.239999999998</v>
      </c>
      <c r="W318" s="205">
        <v>5614.78</v>
      </c>
      <c r="X318" s="203">
        <v>54260</v>
      </c>
      <c r="Y318" s="204">
        <v>467.9</v>
      </c>
      <c r="Z318" s="202" t="s">
        <v>97</v>
      </c>
      <c r="AA318" s="202"/>
      <c r="AB318" s="202">
        <v>65517681</v>
      </c>
      <c r="AC318" s="202"/>
      <c r="AD318" s="202" t="s">
        <v>1152</v>
      </c>
      <c r="AE318" s="202" t="s">
        <v>1153</v>
      </c>
      <c r="AF318" s="203" t="s">
        <v>1154</v>
      </c>
      <c r="AG318" s="202"/>
      <c r="AH318" s="203" t="s">
        <v>1155</v>
      </c>
      <c r="AI318" s="202">
        <v>0</v>
      </c>
      <c r="AJ318" s="202">
        <v>0</v>
      </c>
    </row>
    <row r="319" spans="2:36">
      <c r="B319" s="203">
        <v>2180</v>
      </c>
      <c r="C319" s="207">
        <v>191851</v>
      </c>
      <c r="D319" s="203">
        <v>189849</v>
      </c>
      <c r="E319" s="202" t="s">
        <v>165</v>
      </c>
      <c r="F319" s="203"/>
      <c r="G319" s="202"/>
      <c r="H319" s="202"/>
      <c r="I319" s="202" t="s">
        <v>1147</v>
      </c>
      <c r="J319" s="202">
        <v>0</v>
      </c>
      <c r="K319" s="202" t="s">
        <v>1042</v>
      </c>
      <c r="L319" s="202"/>
      <c r="M319" s="202" t="s">
        <v>1158</v>
      </c>
      <c r="N319" s="206">
        <v>43101</v>
      </c>
      <c r="O319" s="206">
        <v>43101</v>
      </c>
      <c r="P319" s="202" t="s">
        <v>2672</v>
      </c>
      <c r="Q319" s="203">
        <v>1000</v>
      </c>
      <c r="R319" s="203">
        <v>14040</v>
      </c>
      <c r="S319" s="204">
        <v>70.39</v>
      </c>
      <c r="T319" s="203">
        <v>14046</v>
      </c>
      <c r="U319" s="204">
        <v>28.16</v>
      </c>
      <c r="V319" s="204">
        <f t="shared" si="15"/>
        <v>42.230000000000004</v>
      </c>
      <c r="W319" s="205">
        <v>7.04</v>
      </c>
      <c r="X319" s="203">
        <v>51260</v>
      </c>
      <c r="Y319" s="204">
        <v>0.59</v>
      </c>
      <c r="Z319" s="202" t="s">
        <v>97</v>
      </c>
      <c r="AA319" s="202"/>
      <c r="AB319" s="202">
        <v>2667</v>
      </c>
      <c r="AC319" s="202"/>
      <c r="AD319" s="202" t="s">
        <v>1152</v>
      </c>
      <c r="AE319" s="202" t="s">
        <v>1153</v>
      </c>
      <c r="AF319" s="203" t="s">
        <v>1154</v>
      </c>
      <c r="AG319" s="202"/>
      <c r="AH319" s="203" t="s">
        <v>1155</v>
      </c>
      <c r="AI319" s="202">
        <v>0</v>
      </c>
      <c r="AJ319" s="202">
        <v>0</v>
      </c>
    </row>
    <row r="320" spans="2:36">
      <c r="B320" s="203">
        <v>2180</v>
      </c>
      <c r="C320" s="207">
        <v>191850</v>
      </c>
      <c r="D320" s="203">
        <v>189848</v>
      </c>
      <c r="E320" s="202" t="s">
        <v>123</v>
      </c>
      <c r="F320" s="203"/>
      <c r="G320" s="202"/>
      <c r="H320" s="202"/>
      <c r="I320" s="202" t="s">
        <v>1147</v>
      </c>
      <c r="J320" s="202">
        <v>0</v>
      </c>
      <c r="K320" s="202" t="s">
        <v>1042</v>
      </c>
      <c r="L320" s="202"/>
      <c r="M320" s="202" t="s">
        <v>1158</v>
      </c>
      <c r="N320" s="206">
        <v>43101</v>
      </c>
      <c r="O320" s="206">
        <v>43101</v>
      </c>
      <c r="P320" s="202" t="s">
        <v>2669</v>
      </c>
      <c r="Q320" s="203">
        <v>1000</v>
      </c>
      <c r="R320" s="203">
        <v>14040</v>
      </c>
      <c r="S320" s="204">
        <v>1069.3900000000001</v>
      </c>
      <c r="T320" s="203">
        <v>14046</v>
      </c>
      <c r="U320" s="204">
        <v>427.76</v>
      </c>
      <c r="V320" s="204">
        <f t="shared" si="15"/>
        <v>641.63000000000011</v>
      </c>
      <c r="W320" s="205">
        <v>106.94</v>
      </c>
      <c r="X320" s="203">
        <v>51260</v>
      </c>
      <c r="Y320" s="204">
        <v>8.91</v>
      </c>
      <c r="Z320" s="202" t="s">
        <v>97</v>
      </c>
      <c r="AA320" s="202"/>
      <c r="AB320" s="202">
        <v>2666</v>
      </c>
      <c r="AC320" s="202"/>
      <c r="AD320" s="202" t="s">
        <v>1152</v>
      </c>
      <c r="AE320" s="202" t="s">
        <v>1153</v>
      </c>
      <c r="AF320" s="203" t="s">
        <v>1154</v>
      </c>
      <c r="AG320" s="202"/>
      <c r="AH320" s="203" t="s">
        <v>1155</v>
      </c>
      <c r="AI320" s="202">
        <v>0</v>
      </c>
      <c r="AJ320" s="202">
        <v>0</v>
      </c>
    </row>
    <row r="321" spans="2:36">
      <c r="B321" s="203">
        <v>2180</v>
      </c>
      <c r="C321" s="207">
        <v>191849</v>
      </c>
      <c r="D321" s="203">
        <v>189847</v>
      </c>
      <c r="E321" s="202" t="s">
        <v>122</v>
      </c>
      <c r="F321" s="203"/>
      <c r="G321" s="202"/>
      <c r="H321" s="202"/>
      <c r="I321" s="202" t="s">
        <v>1147</v>
      </c>
      <c r="J321" s="202">
        <v>0</v>
      </c>
      <c r="K321" s="202" t="s">
        <v>1042</v>
      </c>
      <c r="L321" s="202"/>
      <c r="M321" s="202" t="s">
        <v>1158</v>
      </c>
      <c r="N321" s="206">
        <v>43101</v>
      </c>
      <c r="O321" s="206">
        <v>43101</v>
      </c>
      <c r="P321" s="202" t="s">
        <v>2666</v>
      </c>
      <c r="Q321" s="203">
        <v>1000</v>
      </c>
      <c r="R321" s="203">
        <v>14040</v>
      </c>
      <c r="S321" s="204">
        <v>1069.3900000000001</v>
      </c>
      <c r="T321" s="203">
        <v>14046</v>
      </c>
      <c r="U321" s="204">
        <v>427.76</v>
      </c>
      <c r="V321" s="204">
        <f t="shared" si="15"/>
        <v>641.63000000000011</v>
      </c>
      <c r="W321" s="205">
        <v>106.94</v>
      </c>
      <c r="X321" s="203">
        <v>51260</v>
      </c>
      <c r="Y321" s="204">
        <v>8.91</v>
      </c>
      <c r="Z321" s="202" t="s">
        <v>97</v>
      </c>
      <c r="AA321" s="202"/>
      <c r="AB321" s="202">
        <v>2665</v>
      </c>
      <c r="AC321" s="202"/>
      <c r="AD321" s="202" t="s">
        <v>1152</v>
      </c>
      <c r="AE321" s="202" t="s">
        <v>1153</v>
      </c>
      <c r="AF321" s="203" t="s">
        <v>1154</v>
      </c>
      <c r="AG321" s="202"/>
      <c r="AH321" s="203" t="s">
        <v>1155</v>
      </c>
      <c r="AI321" s="202">
        <v>0</v>
      </c>
      <c r="AJ321" s="202">
        <v>0</v>
      </c>
    </row>
    <row r="322" spans="2:36">
      <c r="B322" s="203">
        <v>2180</v>
      </c>
      <c r="C322" s="207">
        <v>191666</v>
      </c>
      <c r="D322" s="203" t="s">
        <v>97</v>
      </c>
      <c r="E322" s="202" t="s">
        <v>587</v>
      </c>
      <c r="F322" s="203">
        <v>2</v>
      </c>
      <c r="G322" s="202"/>
      <c r="H322" s="202"/>
      <c r="I322" s="202" t="s">
        <v>1147</v>
      </c>
      <c r="J322" s="202">
        <v>0</v>
      </c>
      <c r="K322" s="202" t="s">
        <v>2598</v>
      </c>
      <c r="L322" s="202"/>
      <c r="M322" s="202" t="s">
        <v>1454</v>
      </c>
      <c r="N322" s="206">
        <v>43101</v>
      </c>
      <c r="O322" s="206">
        <v>43101</v>
      </c>
      <c r="P322" s="202" t="s">
        <v>2646</v>
      </c>
      <c r="Q322" s="203">
        <v>1110</v>
      </c>
      <c r="R322" s="203">
        <v>14050</v>
      </c>
      <c r="S322" s="204">
        <v>13402.84</v>
      </c>
      <c r="T322" s="203">
        <v>14056</v>
      </c>
      <c r="U322" s="204">
        <v>4530.5600000000004</v>
      </c>
      <c r="V322" s="204">
        <f t="shared" si="15"/>
        <v>8872.2799999999988</v>
      </c>
      <c r="W322" s="205">
        <v>1132.6400000000001</v>
      </c>
      <c r="X322" s="203">
        <v>54260</v>
      </c>
      <c r="Y322" s="204">
        <v>94.39</v>
      </c>
      <c r="Z322" s="202" t="s">
        <v>97</v>
      </c>
      <c r="AA322" s="202"/>
      <c r="AB322" s="202" t="s">
        <v>2687</v>
      </c>
      <c r="AC322" s="202"/>
      <c r="AD322" s="202" t="s">
        <v>1152</v>
      </c>
      <c r="AE322" s="202" t="s">
        <v>1153</v>
      </c>
      <c r="AF322" s="203" t="s">
        <v>1154</v>
      </c>
      <c r="AG322" s="202"/>
      <c r="AH322" s="203" t="s">
        <v>1155</v>
      </c>
      <c r="AI322" s="202">
        <v>0</v>
      </c>
      <c r="AJ322" s="202">
        <v>0</v>
      </c>
    </row>
    <row r="323" spans="2:36">
      <c r="B323" s="203">
        <v>2180</v>
      </c>
      <c r="C323" s="207">
        <v>190433</v>
      </c>
      <c r="D323" s="203" t="s">
        <v>97</v>
      </c>
      <c r="E323" s="202" t="s">
        <v>2686</v>
      </c>
      <c r="F323" s="203">
        <v>2</v>
      </c>
      <c r="G323" s="202"/>
      <c r="H323" s="202"/>
      <c r="I323" s="202" t="s">
        <v>1147</v>
      </c>
      <c r="J323" s="202">
        <v>0</v>
      </c>
      <c r="K323" s="202" t="s">
        <v>2598</v>
      </c>
      <c r="L323" s="202"/>
      <c r="M323" s="202" t="s">
        <v>1454</v>
      </c>
      <c r="N323" s="206">
        <v>43041</v>
      </c>
      <c r="O323" s="206">
        <v>43041</v>
      </c>
      <c r="P323" s="202" t="s">
        <v>2646</v>
      </c>
      <c r="Q323" s="203">
        <v>1200</v>
      </c>
      <c r="R323" s="203">
        <v>14050</v>
      </c>
      <c r="S323" s="204">
        <v>12848.34</v>
      </c>
      <c r="T323" s="203">
        <v>14056</v>
      </c>
      <c r="U323" s="204">
        <v>4461.25</v>
      </c>
      <c r="V323" s="204">
        <f t="shared" si="15"/>
        <v>8387.09</v>
      </c>
      <c r="W323" s="205">
        <v>1070.7</v>
      </c>
      <c r="X323" s="203">
        <v>54260</v>
      </c>
      <c r="Y323" s="204">
        <v>89.22</v>
      </c>
      <c r="Z323" s="202" t="s">
        <v>97</v>
      </c>
      <c r="AA323" s="202"/>
      <c r="AB323" s="202" t="s">
        <v>2685</v>
      </c>
      <c r="AC323" s="202"/>
      <c r="AD323" s="202" t="s">
        <v>1152</v>
      </c>
      <c r="AE323" s="202" t="s">
        <v>1153</v>
      </c>
      <c r="AF323" s="203" t="s">
        <v>1154</v>
      </c>
      <c r="AG323" s="202"/>
      <c r="AH323" s="203" t="s">
        <v>1155</v>
      </c>
      <c r="AI323" s="202">
        <v>0</v>
      </c>
      <c r="AJ323" s="202">
        <v>0</v>
      </c>
    </row>
    <row r="324" spans="2:36">
      <c r="B324" s="203">
        <v>2180</v>
      </c>
      <c r="C324" s="207">
        <v>190432</v>
      </c>
      <c r="D324" s="203" t="s">
        <v>97</v>
      </c>
      <c r="E324" s="202" t="s">
        <v>2649</v>
      </c>
      <c r="F324" s="203">
        <v>2</v>
      </c>
      <c r="G324" s="202"/>
      <c r="H324" s="202"/>
      <c r="I324" s="202" t="s">
        <v>1147</v>
      </c>
      <c r="J324" s="202">
        <v>0</v>
      </c>
      <c r="K324" s="202" t="s">
        <v>2598</v>
      </c>
      <c r="L324" s="202"/>
      <c r="M324" s="202" t="s">
        <v>1417</v>
      </c>
      <c r="N324" s="206">
        <v>43041</v>
      </c>
      <c r="O324" s="206">
        <v>43041</v>
      </c>
      <c r="P324" s="202" t="s">
        <v>2646</v>
      </c>
      <c r="Q324" s="203">
        <v>1200</v>
      </c>
      <c r="R324" s="203">
        <v>14050</v>
      </c>
      <c r="S324" s="204">
        <v>13642.18</v>
      </c>
      <c r="T324" s="203">
        <v>14056</v>
      </c>
      <c r="U324" s="204">
        <v>4736.88</v>
      </c>
      <c r="V324" s="204">
        <f t="shared" si="15"/>
        <v>8905.2999999999993</v>
      </c>
      <c r="W324" s="205">
        <v>1136.8499999999999</v>
      </c>
      <c r="X324" s="203">
        <v>54260</v>
      </c>
      <c r="Y324" s="204">
        <v>94.74</v>
      </c>
      <c r="Z324" s="202" t="s">
        <v>97</v>
      </c>
      <c r="AA324" s="202"/>
      <c r="AB324" s="202" t="s">
        <v>2684</v>
      </c>
      <c r="AC324" s="202"/>
      <c r="AD324" s="202" t="s">
        <v>1152</v>
      </c>
      <c r="AE324" s="202" t="s">
        <v>1153</v>
      </c>
      <c r="AF324" s="203" t="s">
        <v>1154</v>
      </c>
      <c r="AG324" s="202"/>
      <c r="AH324" s="203" t="s">
        <v>1155</v>
      </c>
      <c r="AI324" s="202">
        <v>0</v>
      </c>
      <c r="AJ324" s="202">
        <v>0</v>
      </c>
    </row>
    <row r="325" spans="2:36">
      <c r="B325" s="203">
        <v>2180</v>
      </c>
      <c r="C325" s="207">
        <v>190185</v>
      </c>
      <c r="D325" s="203" t="s">
        <v>97</v>
      </c>
      <c r="E325" s="202" t="s">
        <v>2683</v>
      </c>
      <c r="F325" s="203">
        <v>36</v>
      </c>
      <c r="G325" s="202"/>
      <c r="H325" s="202"/>
      <c r="I325" s="202" t="s">
        <v>1147</v>
      </c>
      <c r="J325" s="202">
        <v>0</v>
      </c>
      <c r="K325" s="202" t="s">
        <v>2445</v>
      </c>
      <c r="L325" s="202"/>
      <c r="M325" s="202" t="s">
        <v>1582</v>
      </c>
      <c r="N325" s="206">
        <v>43074</v>
      </c>
      <c r="O325" s="206">
        <v>43074</v>
      </c>
      <c r="P325" s="202" t="s">
        <v>2682</v>
      </c>
      <c r="Q325" s="203">
        <v>700</v>
      </c>
      <c r="R325" s="203">
        <v>14050</v>
      </c>
      <c r="S325" s="204">
        <v>28526.21</v>
      </c>
      <c r="T325" s="203">
        <v>14056</v>
      </c>
      <c r="U325" s="204">
        <v>16640.28</v>
      </c>
      <c r="V325" s="204">
        <f t="shared" si="15"/>
        <v>11885.93</v>
      </c>
      <c r="W325" s="205">
        <v>4075.17</v>
      </c>
      <c r="X325" s="203">
        <v>54260</v>
      </c>
      <c r="Y325" s="204">
        <v>339.6</v>
      </c>
      <c r="Z325" s="202" t="s">
        <v>97</v>
      </c>
      <c r="AA325" s="202"/>
      <c r="AB325" s="202" t="s">
        <v>2681</v>
      </c>
      <c r="AC325" s="202"/>
      <c r="AD325" s="202" t="s">
        <v>1152</v>
      </c>
      <c r="AE325" s="202" t="s">
        <v>1153</v>
      </c>
      <c r="AF325" s="203" t="s">
        <v>1154</v>
      </c>
      <c r="AG325" s="202"/>
      <c r="AH325" s="203" t="s">
        <v>1155</v>
      </c>
      <c r="AI325" s="202">
        <v>0</v>
      </c>
      <c r="AJ325" s="202">
        <v>0</v>
      </c>
    </row>
    <row r="326" spans="2:36">
      <c r="B326" s="203">
        <v>2180</v>
      </c>
      <c r="C326" s="207">
        <v>190184</v>
      </c>
      <c r="D326" s="203" t="s">
        <v>97</v>
      </c>
      <c r="E326" s="202" t="s">
        <v>2520</v>
      </c>
      <c r="F326" s="203">
        <v>864</v>
      </c>
      <c r="G326" s="202"/>
      <c r="H326" s="202"/>
      <c r="I326" s="202" t="s">
        <v>1147</v>
      </c>
      <c r="J326" s="202">
        <v>0</v>
      </c>
      <c r="K326" s="202" t="s">
        <v>2502</v>
      </c>
      <c r="L326" s="202"/>
      <c r="M326" s="202"/>
      <c r="N326" s="206">
        <v>43085</v>
      </c>
      <c r="O326" s="206">
        <v>43085</v>
      </c>
      <c r="P326" s="202" t="s">
        <v>2680</v>
      </c>
      <c r="Q326" s="203">
        <v>700</v>
      </c>
      <c r="R326" s="203">
        <v>14050</v>
      </c>
      <c r="S326" s="204">
        <v>39522.050000000003</v>
      </c>
      <c r="T326" s="203">
        <v>14056</v>
      </c>
      <c r="U326" s="204">
        <v>22584.04</v>
      </c>
      <c r="V326" s="204">
        <f t="shared" si="15"/>
        <v>16938.010000000002</v>
      </c>
      <c r="W326" s="205">
        <v>5646.01</v>
      </c>
      <c r="X326" s="203">
        <v>54260</v>
      </c>
      <c r="Y326" s="204">
        <v>470.5</v>
      </c>
      <c r="Z326" s="202" t="s">
        <v>97</v>
      </c>
      <c r="AA326" s="202"/>
      <c r="AB326" s="202">
        <v>65510528</v>
      </c>
      <c r="AC326" s="202"/>
      <c r="AD326" s="202" t="s">
        <v>1152</v>
      </c>
      <c r="AE326" s="202" t="s">
        <v>1153</v>
      </c>
      <c r="AF326" s="203" t="s">
        <v>1154</v>
      </c>
      <c r="AG326" s="202"/>
      <c r="AH326" s="203" t="s">
        <v>1155</v>
      </c>
      <c r="AI326" s="202">
        <v>0</v>
      </c>
      <c r="AJ326" s="202">
        <v>0</v>
      </c>
    </row>
    <row r="327" spans="2:36">
      <c r="B327" s="203">
        <v>2180</v>
      </c>
      <c r="C327" s="207">
        <v>189893</v>
      </c>
      <c r="D327" s="203" t="s">
        <v>97</v>
      </c>
      <c r="E327" s="202" t="s">
        <v>2679</v>
      </c>
      <c r="F327" s="203">
        <v>32</v>
      </c>
      <c r="G327" s="202"/>
      <c r="H327" s="202"/>
      <c r="I327" s="202" t="s">
        <v>1147</v>
      </c>
      <c r="J327" s="202">
        <v>0</v>
      </c>
      <c r="K327" s="202" t="s">
        <v>2598</v>
      </c>
      <c r="L327" s="202"/>
      <c r="M327" s="202" t="s">
        <v>1573</v>
      </c>
      <c r="N327" s="206">
        <v>43069</v>
      </c>
      <c r="O327" s="206">
        <v>43069</v>
      </c>
      <c r="P327" s="202" t="s">
        <v>2678</v>
      </c>
      <c r="Q327" s="203">
        <v>1200</v>
      </c>
      <c r="R327" s="203">
        <v>14050</v>
      </c>
      <c r="S327" s="204">
        <v>16564.64</v>
      </c>
      <c r="T327" s="203">
        <v>14056</v>
      </c>
      <c r="U327" s="204">
        <v>5636.59</v>
      </c>
      <c r="V327" s="204">
        <f t="shared" si="15"/>
        <v>10928.05</v>
      </c>
      <c r="W327" s="205">
        <v>1380.39</v>
      </c>
      <c r="X327" s="203">
        <v>54260</v>
      </c>
      <c r="Y327" s="204">
        <v>115.03</v>
      </c>
      <c r="Z327" s="202" t="s">
        <v>97</v>
      </c>
      <c r="AA327" s="202"/>
      <c r="AB327" s="202" t="s">
        <v>2677</v>
      </c>
      <c r="AC327" s="202"/>
      <c r="AD327" s="202" t="s">
        <v>1152</v>
      </c>
      <c r="AE327" s="202" t="s">
        <v>1153</v>
      </c>
      <c r="AF327" s="203" t="s">
        <v>1154</v>
      </c>
      <c r="AG327" s="202"/>
      <c r="AH327" s="203" t="s">
        <v>1155</v>
      </c>
      <c r="AI327" s="202">
        <v>0</v>
      </c>
      <c r="AJ327" s="202">
        <v>0</v>
      </c>
    </row>
    <row r="328" spans="2:36">
      <c r="B328" s="203">
        <v>2180</v>
      </c>
      <c r="C328" s="207">
        <v>189892</v>
      </c>
      <c r="D328" s="203" t="s">
        <v>97</v>
      </c>
      <c r="E328" s="202" t="s">
        <v>2676</v>
      </c>
      <c r="F328" s="203">
        <v>624</v>
      </c>
      <c r="G328" s="202"/>
      <c r="H328" s="202"/>
      <c r="I328" s="202" t="s">
        <v>1147</v>
      </c>
      <c r="J328" s="202">
        <v>0</v>
      </c>
      <c r="K328" s="202" t="s">
        <v>2502</v>
      </c>
      <c r="L328" s="202"/>
      <c r="M328" s="202"/>
      <c r="N328" s="206">
        <v>43066</v>
      </c>
      <c r="O328" s="206">
        <v>43066</v>
      </c>
      <c r="P328" s="202" t="s">
        <v>2675</v>
      </c>
      <c r="Q328" s="203">
        <v>700</v>
      </c>
      <c r="R328" s="203">
        <v>14050</v>
      </c>
      <c r="S328" s="204">
        <v>32816.879999999997</v>
      </c>
      <c r="T328" s="203">
        <v>14056</v>
      </c>
      <c r="U328" s="204">
        <v>19143.2</v>
      </c>
      <c r="V328" s="204">
        <f t="shared" si="15"/>
        <v>13673.679999999997</v>
      </c>
      <c r="W328" s="205">
        <v>4688.13</v>
      </c>
      <c r="X328" s="203">
        <v>54260</v>
      </c>
      <c r="Y328" s="204">
        <v>390.68</v>
      </c>
      <c r="Z328" s="202" t="s">
        <v>97</v>
      </c>
      <c r="AA328" s="202"/>
      <c r="AB328" s="202">
        <v>65506337</v>
      </c>
      <c r="AC328" s="202"/>
      <c r="AD328" s="202" t="s">
        <v>1152</v>
      </c>
      <c r="AE328" s="202" t="s">
        <v>1153</v>
      </c>
      <c r="AF328" s="203" t="s">
        <v>1154</v>
      </c>
      <c r="AG328" s="202"/>
      <c r="AH328" s="203" t="s">
        <v>1155</v>
      </c>
      <c r="AI328" s="202">
        <v>0</v>
      </c>
      <c r="AJ328" s="202">
        <v>0</v>
      </c>
    </row>
    <row r="329" spans="2:36">
      <c r="B329" s="203">
        <v>2180</v>
      </c>
      <c r="C329" s="207">
        <v>189891</v>
      </c>
      <c r="D329" s="203" t="s">
        <v>97</v>
      </c>
      <c r="E329" s="202" t="s">
        <v>2528</v>
      </c>
      <c r="F329" s="203">
        <v>624</v>
      </c>
      <c r="G329" s="202"/>
      <c r="H329" s="202"/>
      <c r="I329" s="202" t="s">
        <v>1147</v>
      </c>
      <c r="J329" s="202">
        <v>0</v>
      </c>
      <c r="K329" s="202" t="s">
        <v>2502</v>
      </c>
      <c r="L329" s="202"/>
      <c r="M329" s="202"/>
      <c r="N329" s="206">
        <v>43066</v>
      </c>
      <c r="O329" s="206">
        <v>43066</v>
      </c>
      <c r="P329" s="202" t="s">
        <v>2674</v>
      </c>
      <c r="Q329" s="203">
        <v>700</v>
      </c>
      <c r="R329" s="203">
        <v>14050</v>
      </c>
      <c r="S329" s="204">
        <v>32816.879999999997</v>
      </c>
      <c r="T329" s="203">
        <v>14056</v>
      </c>
      <c r="U329" s="204">
        <v>19143.2</v>
      </c>
      <c r="V329" s="204">
        <f t="shared" si="15"/>
        <v>13673.679999999997</v>
      </c>
      <c r="W329" s="205">
        <v>4688.13</v>
      </c>
      <c r="X329" s="203">
        <v>54260</v>
      </c>
      <c r="Y329" s="204">
        <v>390.68</v>
      </c>
      <c r="Z329" s="202" t="s">
        <v>97</v>
      </c>
      <c r="AA329" s="202"/>
      <c r="AB329" s="202">
        <v>65506120</v>
      </c>
      <c r="AC329" s="202"/>
      <c r="AD329" s="202" t="s">
        <v>1152</v>
      </c>
      <c r="AE329" s="202" t="s">
        <v>1153</v>
      </c>
      <c r="AF329" s="203" t="s">
        <v>1154</v>
      </c>
      <c r="AG329" s="202"/>
      <c r="AH329" s="203" t="s">
        <v>1155</v>
      </c>
      <c r="AI329" s="202">
        <v>0</v>
      </c>
      <c r="AJ329" s="202">
        <v>0</v>
      </c>
    </row>
    <row r="330" spans="2:36">
      <c r="B330" s="203">
        <v>2180</v>
      </c>
      <c r="C330" s="207">
        <v>189886</v>
      </c>
      <c r="D330" s="203">
        <v>189849</v>
      </c>
      <c r="E330" s="202" t="s">
        <v>164</v>
      </c>
      <c r="F330" s="203"/>
      <c r="G330" s="202"/>
      <c r="H330" s="202"/>
      <c r="I330" s="202" t="s">
        <v>1147</v>
      </c>
      <c r="J330" s="202">
        <v>0</v>
      </c>
      <c r="K330" s="202" t="s">
        <v>1042</v>
      </c>
      <c r="L330" s="202" t="s">
        <v>1042</v>
      </c>
      <c r="M330" s="202" t="s">
        <v>1158</v>
      </c>
      <c r="N330" s="206">
        <v>43090</v>
      </c>
      <c r="O330" s="206">
        <v>43090</v>
      </c>
      <c r="P330" s="202" t="s">
        <v>2672</v>
      </c>
      <c r="Q330" s="203">
        <v>500</v>
      </c>
      <c r="R330" s="203">
        <v>14040</v>
      </c>
      <c r="S330" s="204">
        <v>2050.4699999999998</v>
      </c>
      <c r="T330" s="203">
        <v>14046</v>
      </c>
      <c r="U330" s="204">
        <v>1640.32</v>
      </c>
      <c r="V330" s="204">
        <f t="shared" si="15"/>
        <v>410.14999999999986</v>
      </c>
      <c r="W330" s="205">
        <v>410.08</v>
      </c>
      <c r="X330" s="203">
        <v>51260</v>
      </c>
      <c r="Y330" s="204">
        <v>34.17</v>
      </c>
      <c r="Z330" s="202" t="s">
        <v>97</v>
      </c>
      <c r="AA330" s="202"/>
      <c r="AB330" s="202">
        <v>4102572</v>
      </c>
      <c r="AC330" s="202"/>
      <c r="AD330" s="202" t="s">
        <v>1152</v>
      </c>
      <c r="AE330" s="202" t="s">
        <v>1153</v>
      </c>
      <c r="AF330" s="203" t="s">
        <v>1154</v>
      </c>
      <c r="AG330" s="202"/>
      <c r="AH330" s="203" t="s">
        <v>1155</v>
      </c>
      <c r="AI330" s="202">
        <v>0</v>
      </c>
      <c r="AJ330" s="202">
        <v>0</v>
      </c>
    </row>
    <row r="331" spans="2:36">
      <c r="B331" s="203">
        <v>2180</v>
      </c>
      <c r="C331" s="207">
        <v>189849</v>
      </c>
      <c r="D331" s="203" t="s">
        <v>97</v>
      </c>
      <c r="E331" s="202" t="s">
        <v>163</v>
      </c>
      <c r="F331" s="203"/>
      <c r="G331" s="202"/>
      <c r="H331" s="202" t="s">
        <v>2673</v>
      </c>
      <c r="I331" s="202"/>
      <c r="J331" s="202">
        <v>2018</v>
      </c>
      <c r="K331" s="202" t="s">
        <v>2290</v>
      </c>
      <c r="L331" s="202" t="s">
        <v>1830</v>
      </c>
      <c r="M331" s="202" t="s">
        <v>1824</v>
      </c>
      <c r="N331" s="206">
        <v>43098</v>
      </c>
      <c r="O331" s="206">
        <v>43098</v>
      </c>
      <c r="P331" s="202" t="s">
        <v>2672</v>
      </c>
      <c r="Q331" s="203">
        <v>1000</v>
      </c>
      <c r="R331" s="203">
        <v>14040</v>
      </c>
      <c r="S331" s="204">
        <v>257169.54</v>
      </c>
      <c r="T331" s="203">
        <v>14046</v>
      </c>
      <c r="U331" s="204">
        <v>102867.8</v>
      </c>
      <c r="V331" s="204">
        <f t="shared" si="15"/>
        <v>154301.74</v>
      </c>
      <c r="W331" s="205">
        <v>25716.95</v>
      </c>
      <c r="X331" s="203">
        <v>51260</v>
      </c>
      <c r="Y331" s="204">
        <v>2143.08</v>
      </c>
      <c r="Z331" s="202" t="s">
        <v>97</v>
      </c>
      <c r="AA331" s="202"/>
      <c r="AB331" s="202" t="s">
        <v>2671</v>
      </c>
      <c r="AC331" s="202">
        <v>4077</v>
      </c>
      <c r="AD331" s="202" t="s">
        <v>1152</v>
      </c>
      <c r="AE331" s="202" t="s">
        <v>1153</v>
      </c>
      <c r="AF331" s="203" t="s">
        <v>1154</v>
      </c>
      <c r="AG331" s="202"/>
      <c r="AH331" s="203" t="s">
        <v>1155</v>
      </c>
      <c r="AI331" s="202">
        <v>0</v>
      </c>
      <c r="AJ331" s="202">
        <v>0</v>
      </c>
    </row>
    <row r="332" spans="2:36">
      <c r="B332" s="203">
        <v>2180</v>
      </c>
      <c r="C332" s="207">
        <v>189848</v>
      </c>
      <c r="D332" s="203" t="s">
        <v>97</v>
      </c>
      <c r="E332" s="202" t="s">
        <v>115</v>
      </c>
      <c r="F332" s="203"/>
      <c r="G332" s="202"/>
      <c r="H332" s="202" t="s">
        <v>2670</v>
      </c>
      <c r="I332" s="202"/>
      <c r="J332" s="202">
        <v>2018</v>
      </c>
      <c r="K332" s="202" t="s">
        <v>2290</v>
      </c>
      <c r="L332" s="202" t="s">
        <v>2413</v>
      </c>
      <c r="M332" s="202" t="s">
        <v>1404</v>
      </c>
      <c r="N332" s="206">
        <v>43098</v>
      </c>
      <c r="O332" s="206">
        <v>43098</v>
      </c>
      <c r="P332" s="202" t="s">
        <v>2669</v>
      </c>
      <c r="Q332" s="203">
        <v>1000</v>
      </c>
      <c r="R332" s="203">
        <v>14040</v>
      </c>
      <c r="S332" s="204">
        <v>344877.62</v>
      </c>
      <c r="T332" s="203">
        <v>14046</v>
      </c>
      <c r="U332" s="204">
        <v>137951.04000000001</v>
      </c>
      <c r="V332" s="204">
        <f t="shared" si="15"/>
        <v>206926.58</v>
      </c>
      <c r="W332" s="205">
        <v>34487.760000000002</v>
      </c>
      <c r="X332" s="203">
        <v>51260</v>
      </c>
      <c r="Y332" s="204">
        <v>2873.98</v>
      </c>
      <c r="Z332" s="202" t="s">
        <v>97</v>
      </c>
      <c r="AA332" s="202"/>
      <c r="AB332" s="202" t="s">
        <v>2668</v>
      </c>
      <c r="AC332" s="202">
        <v>3668</v>
      </c>
      <c r="AD332" s="202" t="s">
        <v>1152</v>
      </c>
      <c r="AE332" s="202" t="s">
        <v>1153</v>
      </c>
      <c r="AF332" s="203" t="s">
        <v>1154</v>
      </c>
      <c r="AG332" s="202"/>
      <c r="AH332" s="203" t="s">
        <v>1155</v>
      </c>
      <c r="AI332" s="202">
        <v>0</v>
      </c>
      <c r="AJ332" s="202">
        <v>0</v>
      </c>
    </row>
    <row r="333" spans="2:36">
      <c r="B333" s="203">
        <v>2180</v>
      </c>
      <c r="C333" s="207">
        <v>189847</v>
      </c>
      <c r="D333" s="203" t="s">
        <v>97</v>
      </c>
      <c r="E333" s="202" t="s">
        <v>115</v>
      </c>
      <c r="F333" s="203"/>
      <c r="G333" s="202"/>
      <c r="H333" s="202" t="s">
        <v>2667</v>
      </c>
      <c r="I333" s="202"/>
      <c r="J333" s="202">
        <v>2018</v>
      </c>
      <c r="K333" s="202" t="s">
        <v>2290</v>
      </c>
      <c r="L333" s="202" t="s">
        <v>2413</v>
      </c>
      <c r="M333" s="202" t="s">
        <v>1404</v>
      </c>
      <c r="N333" s="206">
        <v>43098</v>
      </c>
      <c r="O333" s="206">
        <v>43098</v>
      </c>
      <c r="P333" s="202" t="s">
        <v>2666</v>
      </c>
      <c r="Q333" s="203">
        <v>1000</v>
      </c>
      <c r="R333" s="203">
        <v>14040</v>
      </c>
      <c r="S333" s="204">
        <v>345348.48</v>
      </c>
      <c r="T333" s="203">
        <v>14046</v>
      </c>
      <c r="U333" s="204">
        <v>138139.4</v>
      </c>
      <c r="V333" s="204">
        <f t="shared" si="15"/>
        <v>207209.08</v>
      </c>
      <c r="W333" s="205">
        <v>34534.85</v>
      </c>
      <c r="X333" s="203">
        <v>51260</v>
      </c>
      <c r="Y333" s="204">
        <v>2877.9</v>
      </c>
      <c r="Z333" s="202" t="s">
        <v>97</v>
      </c>
      <c r="AA333" s="202"/>
      <c r="AB333" s="202" t="s">
        <v>2665</v>
      </c>
      <c r="AC333" s="202">
        <v>3667</v>
      </c>
      <c r="AD333" s="202" t="s">
        <v>1152</v>
      </c>
      <c r="AE333" s="202" t="s">
        <v>1153</v>
      </c>
      <c r="AF333" s="203" t="s">
        <v>1154</v>
      </c>
      <c r="AG333" s="202"/>
      <c r="AH333" s="203" t="s">
        <v>1155</v>
      </c>
      <c r="AI333" s="202">
        <v>0</v>
      </c>
      <c r="AJ333" s="202">
        <v>0</v>
      </c>
    </row>
    <row r="334" spans="2:36">
      <c r="B334" s="203">
        <v>2180</v>
      </c>
      <c r="C334" s="207">
        <v>189846</v>
      </c>
      <c r="D334" s="203">
        <v>188923</v>
      </c>
      <c r="E334" s="202" t="s">
        <v>109</v>
      </c>
      <c r="F334" s="203"/>
      <c r="G334" s="202"/>
      <c r="H334" s="202" t="s">
        <v>2567</v>
      </c>
      <c r="I334" s="202"/>
      <c r="J334" s="202">
        <v>0</v>
      </c>
      <c r="K334" s="202"/>
      <c r="L334" s="202" t="s">
        <v>2567</v>
      </c>
      <c r="M334" s="202" t="s">
        <v>1447</v>
      </c>
      <c r="N334" s="206">
        <v>43060</v>
      </c>
      <c r="O334" s="206">
        <v>43060</v>
      </c>
      <c r="P334" s="202" t="s">
        <v>2653</v>
      </c>
      <c r="Q334" s="203">
        <v>500</v>
      </c>
      <c r="R334" s="203">
        <v>14040</v>
      </c>
      <c r="S334" s="204">
        <v>1460.46</v>
      </c>
      <c r="T334" s="203">
        <v>14046</v>
      </c>
      <c r="U334" s="204">
        <v>1192.7</v>
      </c>
      <c r="V334" s="204">
        <f t="shared" ref="V334:V397" si="16">S334-U334</f>
        <v>267.76</v>
      </c>
      <c r="W334" s="205">
        <v>292.08999999999997</v>
      </c>
      <c r="X334" s="203">
        <v>51260</v>
      </c>
      <c r="Y334" s="204">
        <v>24.34</v>
      </c>
      <c r="Z334" s="202" t="s">
        <v>97</v>
      </c>
      <c r="AA334" s="202"/>
      <c r="AB334" s="202">
        <v>2643</v>
      </c>
      <c r="AC334" s="202"/>
      <c r="AD334" s="202" t="s">
        <v>1152</v>
      </c>
      <c r="AE334" s="202" t="s">
        <v>1153</v>
      </c>
      <c r="AF334" s="203" t="s">
        <v>1154</v>
      </c>
      <c r="AG334" s="202"/>
      <c r="AH334" s="203" t="s">
        <v>1155</v>
      </c>
      <c r="AI334" s="202">
        <v>0</v>
      </c>
      <c r="AJ334" s="202">
        <v>0</v>
      </c>
    </row>
    <row r="335" spans="2:36">
      <c r="B335" s="203">
        <v>2180</v>
      </c>
      <c r="C335" s="207">
        <v>189845</v>
      </c>
      <c r="D335" s="203" t="s">
        <v>97</v>
      </c>
      <c r="E335" s="202" t="s">
        <v>116</v>
      </c>
      <c r="F335" s="203"/>
      <c r="G335" s="202"/>
      <c r="H335" s="202" t="s">
        <v>2664</v>
      </c>
      <c r="I335" s="202"/>
      <c r="J335" s="202">
        <v>2017</v>
      </c>
      <c r="K335" s="202" t="s">
        <v>2290</v>
      </c>
      <c r="L335" s="202" t="s">
        <v>2639</v>
      </c>
      <c r="M335" s="202" t="s">
        <v>1394</v>
      </c>
      <c r="N335" s="206">
        <v>43052</v>
      </c>
      <c r="O335" s="206">
        <v>43052</v>
      </c>
      <c r="P335" s="202" t="s">
        <v>2663</v>
      </c>
      <c r="Q335" s="203">
        <v>1000</v>
      </c>
      <c r="R335" s="203">
        <v>14040</v>
      </c>
      <c r="S335" s="204">
        <v>230038.72</v>
      </c>
      <c r="T335" s="203">
        <v>14046</v>
      </c>
      <c r="U335" s="204">
        <v>95849.46</v>
      </c>
      <c r="V335" s="204">
        <f t="shared" si="16"/>
        <v>134189.26</v>
      </c>
      <c r="W335" s="205">
        <v>23003.87</v>
      </c>
      <c r="X335" s="203">
        <v>51260</v>
      </c>
      <c r="Y335" s="204">
        <v>1916.99</v>
      </c>
      <c r="Z335" s="202" t="s">
        <v>97</v>
      </c>
      <c r="AA335" s="202"/>
      <c r="AB335" s="202" t="s">
        <v>2662</v>
      </c>
      <c r="AC335" s="202">
        <v>1080</v>
      </c>
      <c r="AD335" s="202" t="s">
        <v>1152</v>
      </c>
      <c r="AE335" s="202" t="s">
        <v>1153</v>
      </c>
      <c r="AF335" s="203" t="s">
        <v>1154</v>
      </c>
      <c r="AG335" s="202"/>
      <c r="AH335" s="203" t="s">
        <v>1155</v>
      </c>
      <c r="AI335" s="202">
        <v>0</v>
      </c>
      <c r="AJ335" s="202">
        <v>0</v>
      </c>
    </row>
    <row r="336" spans="2:36">
      <c r="B336" s="203">
        <v>2180</v>
      </c>
      <c r="C336" s="207">
        <v>189844</v>
      </c>
      <c r="D336" s="203">
        <v>188922</v>
      </c>
      <c r="E336" s="202" t="s">
        <v>211</v>
      </c>
      <c r="F336" s="203"/>
      <c r="G336" s="202"/>
      <c r="H336" s="202" t="s">
        <v>2567</v>
      </c>
      <c r="I336" s="202"/>
      <c r="J336" s="202">
        <v>0</v>
      </c>
      <c r="K336" s="202"/>
      <c r="L336" s="202" t="s">
        <v>2567</v>
      </c>
      <c r="M336" s="202" t="s">
        <v>1447</v>
      </c>
      <c r="N336" s="206">
        <v>43045</v>
      </c>
      <c r="O336" s="206">
        <v>43045</v>
      </c>
      <c r="P336" s="202" t="s">
        <v>2651</v>
      </c>
      <c r="Q336" s="203">
        <v>1000</v>
      </c>
      <c r="R336" s="203">
        <v>14040</v>
      </c>
      <c r="S336" s="204">
        <v>2205.89</v>
      </c>
      <c r="T336" s="203">
        <v>14046</v>
      </c>
      <c r="U336" s="204">
        <v>919.13</v>
      </c>
      <c r="V336" s="204">
        <f t="shared" si="16"/>
        <v>1286.7599999999998</v>
      </c>
      <c r="W336" s="205">
        <v>220.59</v>
      </c>
      <c r="X336" s="203">
        <v>51260</v>
      </c>
      <c r="Y336" s="204">
        <v>18.38</v>
      </c>
      <c r="Z336" s="202" t="s">
        <v>97</v>
      </c>
      <c r="AA336" s="202"/>
      <c r="AB336" s="202">
        <v>2622</v>
      </c>
      <c r="AC336" s="202"/>
      <c r="AD336" s="202" t="s">
        <v>1152</v>
      </c>
      <c r="AE336" s="202" t="s">
        <v>1153</v>
      </c>
      <c r="AF336" s="203" t="s">
        <v>1154</v>
      </c>
      <c r="AG336" s="202"/>
      <c r="AH336" s="203" t="s">
        <v>1155</v>
      </c>
      <c r="AI336" s="202">
        <v>0</v>
      </c>
      <c r="AJ336" s="202">
        <v>0</v>
      </c>
    </row>
    <row r="337" spans="2:36">
      <c r="B337" s="203">
        <v>2180</v>
      </c>
      <c r="C337" s="207">
        <v>189843</v>
      </c>
      <c r="D337" s="203" t="s">
        <v>97</v>
      </c>
      <c r="E337" s="202" t="s">
        <v>115</v>
      </c>
      <c r="F337" s="203"/>
      <c r="G337" s="202"/>
      <c r="H337" s="202" t="s">
        <v>2661</v>
      </c>
      <c r="I337" s="202"/>
      <c r="J337" s="202">
        <v>2018</v>
      </c>
      <c r="K337" s="202" t="s">
        <v>2290</v>
      </c>
      <c r="L337" s="202" t="s">
        <v>2413</v>
      </c>
      <c r="M337" s="202" t="s">
        <v>1404</v>
      </c>
      <c r="N337" s="206">
        <v>43045</v>
      </c>
      <c r="O337" s="206">
        <v>43045</v>
      </c>
      <c r="P337" s="202" t="s">
        <v>2660</v>
      </c>
      <c r="Q337" s="203">
        <v>1000</v>
      </c>
      <c r="R337" s="203">
        <v>14040</v>
      </c>
      <c r="S337" s="204">
        <v>336216.89</v>
      </c>
      <c r="T337" s="203">
        <v>14046</v>
      </c>
      <c r="U337" s="204">
        <v>140090.38</v>
      </c>
      <c r="V337" s="204">
        <f t="shared" si="16"/>
        <v>196126.51</v>
      </c>
      <c r="W337" s="205">
        <v>33621.69</v>
      </c>
      <c r="X337" s="203">
        <v>51260</v>
      </c>
      <c r="Y337" s="204">
        <v>2801.81</v>
      </c>
      <c r="Z337" s="202" t="s">
        <v>97</v>
      </c>
      <c r="AA337" s="202"/>
      <c r="AB337" s="202" t="s">
        <v>2659</v>
      </c>
      <c r="AC337" s="202">
        <v>3661</v>
      </c>
      <c r="AD337" s="202" t="s">
        <v>1152</v>
      </c>
      <c r="AE337" s="202" t="s">
        <v>1153</v>
      </c>
      <c r="AF337" s="203" t="s">
        <v>1154</v>
      </c>
      <c r="AG337" s="202"/>
      <c r="AH337" s="203" t="s">
        <v>1155</v>
      </c>
      <c r="AI337" s="202">
        <v>0</v>
      </c>
      <c r="AJ337" s="202">
        <v>0</v>
      </c>
    </row>
    <row r="338" spans="2:36">
      <c r="B338" s="203">
        <v>2180</v>
      </c>
      <c r="C338" s="207">
        <v>189842</v>
      </c>
      <c r="D338" s="203" t="s">
        <v>97</v>
      </c>
      <c r="E338" s="202" t="s">
        <v>118</v>
      </c>
      <c r="F338" s="203"/>
      <c r="G338" s="202"/>
      <c r="H338" s="202" t="s">
        <v>2658</v>
      </c>
      <c r="I338" s="202"/>
      <c r="J338" s="202">
        <v>2018</v>
      </c>
      <c r="K338" s="202" t="s">
        <v>2290</v>
      </c>
      <c r="L338" s="202" t="s">
        <v>2584</v>
      </c>
      <c r="M338" s="202" t="s">
        <v>1999</v>
      </c>
      <c r="N338" s="206">
        <v>43052</v>
      </c>
      <c r="O338" s="206">
        <v>43052</v>
      </c>
      <c r="P338" s="202" t="s">
        <v>2657</v>
      </c>
      <c r="Q338" s="203">
        <v>1000</v>
      </c>
      <c r="R338" s="203">
        <v>14040</v>
      </c>
      <c r="S338" s="204">
        <v>318612.62</v>
      </c>
      <c r="T338" s="203">
        <v>14046</v>
      </c>
      <c r="U338" s="204">
        <v>132755.25</v>
      </c>
      <c r="V338" s="204">
        <f t="shared" si="16"/>
        <v>185857.37</v>
      </c>
      <c r="W338" s="205">
        <v>31861.26</v>
      </c>
      <c r="X338" s="203">
        <v>51260</v>
      </c>
      <c r="Y338" s="204">
        <v>2655.1</v>
      </c>
      <c r="Z338" s="202" t="s">
        <v>97</v>
      </c>
      <c r="AA338" s="202"/>
      <c r="AB338" s="202" t="s">
        <v>2656</v>
      </c>
      <c r="AC338" s="202">
        <v>2049</v>
      </c>
      <c r="AD338" s="202" t="s">
        <v>1152</v>
      </c>
      <c r="AE338" s="202" t="s">
        <v>1153</v>
      </c>
      <c r="AF338" s="203" t="s">
        <v>1154</v>
      </c>
      <c r="AG338" s="202"/>
      <c r="AH338" s="203" t="s">
        <v>1155</v>
      </c>
      <c r="AI338" s="202">
        <v>0</v>
      </c>
      <c r="AJ338" s="202">
        <v>0</v>
      </c>
    </row>
    <row r="339" spans="2:36">
      <c r="B339" s="203">
        <v>2180</v>
      </c>
      <c r="C339" s="207">
        <v>189409</v>
      </c>
      <c r="D339" s="203">
        <v>187603</v>
      </c>
      <c r="E339" s="202" t="s">
        <v>120</v>
      </c>
      <c r="F339" s="203"/>
      <c r="G339" s="202"/>
      <c r="H339" s="202"/>
      <c r="I339" s="202" t="s">
        <v>1147</v>
      </c>
      <c r="J339" s="202">
        <v>0</v>
      </c>
      <c r="K339" s="202">
        <v>0</v>
      </c>
      <c r="L339" s="202"/>
      <c r="M339" s="202" t="s">
        <v>1158</v>
      </c>
      <c r="N339" s="206">
        <v>43031</v>
      </c>
      <c r="O339" s="206">
        <v>43031</v>
      </c>
      <c r="P339" s="202" t="s">
        <v>2638</v>
      </c>
      <c r="Q339" s="203">
        <v>500</v>
      </c>
      <c r="R339" s="203">
        <v>14040</v>
      </c>
      <c r="S339" s="204">
        <v>470.89</v>
      </c>
      <c r="T339" s="203">
        <v>14046</v>
      </c>
      <c r="U339" s="204">
        <v>392.42</v>
      </c>
      <c r="V339" s="204">
        <f t="shared" si="16"/>
        <v>78.46999999999997</v>
      </c>
      <c r="W339" s="205">
        <v>94.18</v>
      </c>
      <c r="X339" s="203">
        <v>51260</v>
      </c>
      <c r="Y339" s="204">
        <v>7.85</v>
      </c>
      <c r="Z339" s="202" t="s">
        <v>97</v>
      </c>
      <c r="AA339" s="202"/>
      <c r="AB339" s="202">
        <v>5101728</v>
      </c>
      <c r="AC339" s="202"/>
      <c r="AD339" s="202" t="s">
        <v>1152</v>
      </c>
      <c r="AE339" s="202" t="s">
        <v>1153</v>
      </c>
      <c r="AF339" s="203" t="s">
        <v>1154</v>
      </c>
      <c r="AG339" s="202"/>
      <c r="AH339" s="203" t="s">
        <v>1155</v>
      </c>
      <c r="AI339" s="202">
        <v>0</v>
      </c>
      <c r="AJ339" s="202">
        <v>0</v>
      </c>
    </row>
    <row r="340" spans="2:36">
      <c r="B340" s="203">
        <v>2180</v>
      </c>
      <c r="C340" s="207">
        <v>189264</v>
      </c>
      <c r="D340" s="203">
        <v>187603</v>
      </c>
      <c r="E340" s="202" t="s">
        <v>2655</v>
      </c>
      <c r="F340" s="203"/>
      <c r="G340" s="202"/>
      <c r="H340" s="202">
        <v>0</v>
      </c>
      <c r="I340" s="202" t="s">
        <v>1147</v>
      </c>
      <c r="J340" s="202">
        <v>0</v>
      </c>
      <c r="K340" s="202">
        <v>0</v>
      </c>
      <c r="L340" s="202"/>
      <c r="M340" s="202" t="s">
        <v>1158</v>
      </c>
      <c r="N340" s="206">
        <v>43031</v>
      </c>
      <c r="O340" s="206">
        <v>43031</v>
      </c>
      <c r="P340" s="202" t="s">
        <v>2638</v>
      </c>
      <c r="Q340" s="203">
        <v>1000</v>
      </c>
      <c r="R340" s="203">
        <v>14040</v>
      </c>
      <c r="S340" s="204">
        <v>952.44</v>
      </c>
      <c r="T340" s="203">
        <v>14046</v>
      </c>
      <c r="U340" s="204">
        <v>396.83</v>
      </c>
      <c r="V340" s="204">
        <f t="shared" si="16"/>
        <v>555.61000000000013</v>
      </c>
      <c r="W340" s="205">
        <v>95.24</v>
      </c>
      <c r="X340" s="203">
        <v>51260</v>
      </c>
      <c r="Y340" s="204">
        <v>7.94</v>
      </c>
      <c r="Z340" s="202" t="s">
        <v>97</v>
      </c>
      <c r="AA340" s="202"/>
      <c r="AB340" s="202">
        <v>2630</v>
      </c>
      <c r="AC340" s="202"/>
      <c r="AD340" s="202" t="s">
        <v>1152</v>
      </c>
      <c r="AE340" s="202" t="s">
        <v>1153</v>
      </c>
      <c r="AF340" s="203" t="s">
        <v>1154</v>
      </c>
      <c r="AG340" s="202"/>
      <c r="AH340" s="203" t="s">
        <v>1155</v>
      </c>
      <c r="AI340" s="202">
        <v>0</v>
      </c>
      <c r="AJ340" s="202">
        <v>0</v>
      </c>
    </row>
    <row r="341" spans="2:36">
      <c r="B341" s="203">
        <v>2180</v>
      </c>
      <c r="C341" s="207">
        <v>188923</v>
      </c>
      <c r="D341" s="203" t="s">
        <v>97</v>
      </c>
      <c r="E341" s="202" t="s">
        <v>247</v>
      </c>
      <c r="F341" s="203"/>
      <c r="G341" s="202"/>
      <c r="H341" s="202" t="s">
        <v>2654</v>
      </c>
      <c r="I341" s="202"/>
      <c r="J341" s="202">
        <v>2017</v>
      </c>
      <c r="K341" s="202" t="s">
        <v>2556</v>
      </c>
      <c r="L341" s="202" t="s">
        <v>1830</v>
      </c>
      <c r="M341" s="202" t="s">
        <v>1503</v>
      </c>
      <c r="N341" s="206">
        <v>43060</v>
      </c>
      <c r="O341" s="206">
        <v>43060</v>
      </c>
      <c r="P341" s="202" t="s">
        <v>2653</v>
      </c>
      <c r="Q341" s="203">
        <v>1000</v>
      </c>
      <c r="R341" s="203">
        <v>14040</v>
      </c>
      <c r="S341" s="204">
        <v>68242.36</v>
      </c>
      <c r="T341" s="203">
        <v>14046</v>
      </c>
      <c r="U341" s="204">
        <v>27865.65</v>
      </c>
      <c r="V341" s="204">
        <f t="shared" si="16"/>
        <v>40376.71</v>
      </c>
      <c r="W341" s="205">
        <v>6824.24</v>
      </c>
      <c r="X341" s="203">
        <v>51260</v>
      </c>
      <c r="Y341" s="204">
        <v>568.69000000000005</v>
      </c>
      <c r="Z341" s="202" t="s">
        <v>97</v>
      </c>
      <c r="AA341" s="202"/>
      <c r="AB341" s="202">
        <v>98581</v>
      </c>
      <c r="AC341" s="202">
        <v>9569</v>
      </c>
      <c r="AD341" s="202" t="s">
        <v>1152</v>
      </c>
      <c r="AE341" s="202" t="s">
        <v>1153</v>
      </c>
      <c r="AF341" s="203" t="s">
        <v>1154</v>
      </c>
      <c r="AG341" s="202"/>
      <c r="AH341" s="203" t="s">
        <v>1155</v>
      </c>
      <c r="AI341" s="202">
        <v>0</v>
      </c>
      <c r="AJ341" s="202">
        <v>0</v>
      </c>
    </row>
    <row r="342" spans="2:36">
      <c r="B342" s="203">
        <v>2180</v>
      </c>
      <c r="C342" s="207">
        <v>188922</v>
      </c>
      <c r="D342" s="203" t="s">
        <v>97</v>
      </c>
      <c r="E342" s="202" t="s">
        <v>115</v>
      </c>
      <c r="F342" s="203"/>
      <c r="G342" s="202"/>
      <c r="H342" s="202" t="s">
        <v>2652</v>
      </c>
      <c r="I342" s="202"/>
      <c r="J342" s="202">
        <v>2018</v>
      </c>
      <c r="K342" s="202" t="s">
        <v>2290</v>
      </c>
      <c r="L342" s="202" t="s">
        <v>2413</v>
      </c>
      <c r="M342" s="202" t="s">
        <v>1404</v>
      </c>
      <c r="N342" s="206">
        <v>43045</v>
      </c>
      <c r="O342" s="206">
        <v>43045</v>
      </c>
      <c r="P342" s="202" t="s">
        <v>2651</v>
      </c>
      <c r="Q342" s="203">
        <v>1000</v>
      </c>
      <c r="R342" s="203">
        <v>14040</v>
      </c>
      <c r="S342" s="204">
        <v>333936.34000000003</v>
      </c>
      <c r="T342" s="203">
        <v>14046</v>
      </c>
      <c r="U342" s="204">
        <v>139140.13</v>
      </c>
      <c r="V342" s="204">
        <f t="shared" si="16"/>
        <v>194796.21000000002</v>
      </c>
      <c r="W342" s="205">
        <v>33393.629999999997</v>
      </c>
      <c r="X342" s="203">
        <v>51260</v>
      </c>
      <c r="Y342" s="204">
        <v>2782.8</v>
      </c>
      <c r="Z342" s="202" t="s">
        <v>97</v>
      </c>
      <c r="AA342" s="202"/>
      <c r="AB342" s="202" t="s">
        <v>2650</v>
      </c>
      <c r="AC342" s="202">
        <v>3660</v>
      </c>
      <c r="AD342" s="202" t="s">
        <v>1152</v>
      </c>
      <c r="AE342" s="202" t="s">
        <v>1153</v>
      </c>
      <c r="AF342" s="203" t="s">
        <v>1154</v>
      </c>
      <c r="AG342" s="202"/>
      <c r="AH342" s="203" t="s">
        <v>1155</v>
      </c>
      <c r="AI342" s="202">
        <v>0</v>
      </c>
      <c r="AJ342" s="202">
        <v>0</v>
      </c>
    </row>
    <row r="343" spans="2:36">
      <c r="B343" s="203">
        <v>2180</v>
      </c>
      <c r="C343" s="207">
        <v>188833</v>
      </c>
      <c r="D343" s="203" t="s">
        <v>97</v>
      </c>
      <c r="E343" s="202" t="s">
        <v>2649</v>
      </c>
      <c r="F343" s="203">
        <v>5</v>
      </c>
      <c r="G343" s="202"/>
      <c r="H343" s="202"/>
      <c r="I343" s="202" t="s">
        <v>1147</v>
      </c>
      <c r="J343" s="202">
        <v>0</v>
      </c>
      <c r="K343" s="202" t="s">
        <v>2598</v>
      </c>
      <c r="L343" s="202"/>
      <c r="M343" s="202" t="s">
        <v>1417</v>
      </c>
      <c r="N343" s="206">
        <v>43032</v>
      </c>
      <c r="O343" s="206">
        <v>43032</v>
      </c>
      <c r="P343" s="202" t="s">
        <v>2646</v>
      </c>
      <c r="Q343" s="203">
        <v>1200</v>
      </c>
      <c r="R343" s="203">
        <v>14050</v>
      </c>
      <c r="S343" s="204">
        <v>35596.15</v>
      </c>
      <c r="T343" s="203">
        <v>14056</v>
      </c>
      <c r="U343" s="204">
        <v>12359.79</v>
      </c>
      <c r="V343" s="204">
        <f t="shared" si="16"/>
        <v>23236.36</v>
      </c>
      <c r="W343" s="205">
        <v>2966.35</v>
      </c>
      <c r="X343" s="203">
        <v>54260</v>
      </c>
      <c r="Y343" s="204">
        <v>247.2</v>
      </c>
      <c r="Z343" s="202" t="s">
        <v>97</v>
      </c>
      <c r="AA343" s="202"/>
      <c r="AB343" s="202" t="s">
        <v>2648</v>
      </c>
      <c r="AC343" s="202"/>
      <c r="AD343" s="202" t="s">
        <v>1152</v>
      </c>
      <c r="AE343" s="202" t="s">
        <v>1153</v>
      </c>
      <c r="AF343" s="203" t="s">
        <v>1154</v>
      </c>
      <c r="AG343" s="202"/>
      <c r="AH343" s="203" t="s">
        <v>1155</v>
      </c>
      <c r="AI343" s="202">
        <v>0</v>
      </c>
      <c r="AJ343" s="202">
        <v>0</v>
      </c>
    </row>
    <row r="344" spans="2:36">
      <c r="B344" s="203">
        <v>2180</v>
      </c>
      <c r="C344" s="207">
        <v>188832</v>
      </c>
      <c r="D344" s="203" t="s">
        <v>97</v>
      </c>
      <c r="E344" s="202" t="s">
        <v>2647</v>
      </c>
      <c r="F344" s="203">
        <v>3</v>
      </c>
      <c r="G344" s="202"/>
      <c r="H344" s="202"/>
      <c r="I344" s="202" t="s">
        <v>1147</v>
      </c>
      <c r="J344" s="202">
        <v>0</v>
      </c>
      <c r="K344" s="202" t="s">
        <v>2598</v>
      </c>
      <c r="L344" s="202"/>
      <c r="M344" s="202" t="s">
        <v>1454</v>
      </c>
      <c r="N344" s="206">
        <v>43032</v>
      </c>
      <c r="O344" s="206">
        <v>43032</v>
      </c>
      <c r="P344" s="202" t="s">
        <v>2646</v>
      </c>
      <c r="Q344" s="203">
        <v>1200</v>
      </c>
      <c r="R344" s="203">
        <v>14050</v>
      </c>
      <c r="S344" s="204">
        <v>20104.259999999998</v>
      </c>
      <c r="T344" s="203">
        <v>14056</v>
      </c>
      <c r="U344" s="204">
        <v>6980.67</v>
      </c>
      <c r="V344" s="204">
        <f t="shared" si="16"/>
        <v>13123.589999999998</v>
      </c>
      <c r="W344" s="205">
        <v>1675.36</v>
      </c>
      <c r="X344" s="203">
        <v>54260</v>
      </c>
      <c r="Y344" s="204">
        <v>139.61000000000001</v>
      </c>
      <c r="Z344" s="202" t="s">
        <v>97</v>
      </c>
      <c r="AA344" s="202"/>
      <c r="AB344" s="202" t="s">
        <v>2645</v>
      </c>
      <c r="AC344" s="202"/>
      <c r="AD344" s="202" t="s">
        <v>1152</v>
      </c>
      <c r="AE344" s="202" t="s">
        <v>1153</v>
      </c>
      <c r="AF344" s="203" t="s">
        <v>1154</v>
      </c>
      <c r="AG344" s="202"/>
      <c r="AH344" s="203" t="s">
        <v>1155</v>
      </c>
      <c r="AI344" s="202">
        <v>0</v>
      </c>
      <c r="AJ344" s="202">
        <v>0</v>
      </c>
    </row>
    <row r="345" spans="2:36">
      <c r="B345" s="203">
        <v>2180</v>
      </c>
      <c r="C345" s="207">
        <v>188831</v>
      </c>
      <c r="D345" s="203" t="s">
        <v>97</v>
      </c>
      <c r="E345" s="202" t="s">
        <v>2599</v>
      </c>
      <c r="F345" s="203">
        <v>16</v>
      </c>
      <c r="G345" s="202"/>
      <c r="H345" s="202"/>
      <c r="I345" s="202" t="s">
        <v>1147</v>
      </c>
      <c r="J345" s="202">
        <v>0</v>
      </c>
      <c r="K345" s="202" t="s">
        <v>2598</v>
      </c>
      <c r="L345" s="202"/>
      <c r="M345" s="202" t="s">
        <v>1456</v>
      </c>
      <c r="N345" s="206">
        <v>42996</v>
      </c>
      <c r="O345" s="206">
        <v>42996</v>
      </c>
      <c r="P345" s="202" t="s">
        <v>2618</v>
      </c>
      <c r="Q345" s="203">
        <v>1200</v>
      </c>
      <c r="R345" s="203">
        <v>14050</v>
      </c>
      <c r="S345" s="204">
        <v>13540.65</v>
      </c>
      <c r="T345" s="203">
        <v>14056</v>
      </c>
      <c r="U345" s="204">
        <v>4795.66</v>
      </c>
      <c r="V345" s="204">
        <f t="shared" si="16"/>
        <v>8744.99</v>
      </c>
      <c r="W345" s="205">
        <v>1128.3900000000001</v>
      </c>
      <c r="X345" s="203">
        <v>54260</v>
      </c>
      <c r="Y345" s="204">
        <v>94.03</v>
      </c>
      <c r="Z345" s="202" t="s">
        <v>97</v>
      </c>
      <c r="AA345" s="202"/>
      <c r="AB345" s="202" t="s">
        <v>2644</v>
      </c>
      <c r="AC345" s="202"/>
      <c r="AD345" s="202" t="s">
        <v>1152</v>
      </c>
      <c r="AE345" s="202" t="s">
        <v>1153</v>
      </c>
      <c r="AF345" s="203" t="s">
        <v>1154</v>
      </c>
      <c r="AG345" s="202"/>
      <c r="AH345" s="203" t="s">
        <v>1155</v>
      </c>
      <c r="AI345" s="202">
        <v>0</v>
      </c>
      <c r="AJ345" s="202">
        <v>0</v>
      </c>
    </row>
    <row r="346" spans="2:36">
      <c r="B346" s="203">
        <v>2180</v>
      </c>
      <c r="C346" s="207">
        <v>188505</v>
      </c>
      <c r="D346" s="203">
        <v>187603</v>
      </c>
      <c r="E346" s="202" t="s">
        <v>2643</v>
      </c>
      <c r="F346" s="203"/>
      <c r="G346" s="202"/>
      <c r="H346" s="202"/>
      <c r="I346" s="202" t="s">
        <v>1147</v>
      </c>
      <c r="J346" s="202">
        <v>0</v>
      </c>
      <c r="K346" s="202">
        <v>0</v>
      </c>
      <c r="L346" s="202">
        <v>0</v>
      </c>
      <c r="M346" s="202" t="s">
        <v>1447</v>
      </c>
      <c r="N346" s="206">
        <v>43031</v>
      </c>
      <c r="O346" s="206">
        <v>43031</v>
      </c>
      <c r="P346" s="202" t="s">
        <v>2638</v>
      </c>
      <c r="Q346" s="203">
        <v>500</v>
      </c>
      <c r="R346" s="203">
        <v>14040</v>
      </c>
      <c r="S346" s="204">
        <v>995.61</v>
      </c>
      <c r="T346" s="203">
        <v>14046</v>
      </c>
      <c r="U346" s="204">
        <v>829.67</v>
      </c>
      <c r="V346" s="204">
        <f t="shared" si="16"/>
        <v>165.94000000000005</v>
      </c>
      <c r="W346" s="205">
        <v>199.12</v>
      </c>
      <c r="X346" s="203">
        <v>51260</v>
      </c>
      <c r="Y346" s="204">
        <v>16.59</v>
      </c>
      <c r="Z346" s="202" t="s">
        <v>97</v>
      </c>
      <c r="AA346" s="202"/>
      <c r="AB346" s="202">
        <v>2126</v>
      </c>
      <c r="AC346" s="202"/>
      <c r="AD346" s="202" t="s">
        <v>1152</v>
      </c>
      <c r="AE346" s="202" t="s">
        <v>1153</v>
      </c>
      <c r="AF346" s="203" t="s">
        <v>1154</v>
      </c>
      <c r="AG346" s="202"/>
      <c r="AH346" s="203" t="s">
        <v>1155</v>
      </c>
      <c r="AI346" s="202">
        <v>0</v>
      </c>
      <c r="AJ346" s="202">
        <v>0</v>
      </c>
    </row>
    <row r="347" spans="2:36">
      <c r="B347" s="203">
        <v>2180</v>
      </c>
      <c r="C347" s="207">
        <v>188504</v>
      </c>
      <c r="D347" s="203">
        <v>187603</v>
      </c>
      <c r="E347" s="202" t="s">
        <v>2642</v>
      </c>
      <c r="F347" s="203"/>
      <c r="G347" s="202"/>
      <c r="H347" s="202"/>
      <c r="I347" s="202" t="s">
        <v>1147</v>
      </c>
      <c r="J347" s="202">
        <v>0</v>
      </c>
      <c r="K347" s="202">
        <v>0</v>
      </c>
      <c r="L347" s="202">
        <v>0</v>
      </c>
      <c r="M347" s="202" t="s">
        <v>1447</v>
      </c>
      <c r="N347" s="206">
        <v>43031</v>
      </c>
      <c r="O347" s="206">
        <v>43031</v>
      </c>
      <c r="P347" s="202" t="s">
        <v>2638</v>
      </c>
      <c r="Q347" s="203">
        <v>1000</v>
      </c>
      <c r="R347" s="203">
        <v>14040</v>
      </c>
      <c r="S347" s="204">
        <v>264.51</v>
      </c>
      <c r="T347" s="203">
        <v>14046</v>
      </c>
      <c r="U347" s="204">
        <v>110.21</v>
      </c>
      <c r="V347" s="204">
        <f t="shared" si="16"/>
        <v>154.30000000000001</v>
      </c>
      <c r="W347" s="205">
        <v>26.45</v>
      </c>
      <c r="X347" s="203">
        <v>51260</v>
      </c>
      <c r="Y347" s="204">
        <v>2.2000000000000002</v>
      </c>
      <c r="Z347" s="202" t="s">
        <v>97</v>
      </c>
      <c r="AA347" s="202"/>
      <c r="AB347" s="202">
        <v>98755</v>
      </c>
      <c r="AC347" s="202"/>
      <c r="AD347" s="202" t="s">
        <v>1152</v>
      </c>
      <c r="AE347" s="202" t="s">
        <v>1153</v>
      </c>
      <c r="AF347" s="203" t="s">
        <v>1154</v>
      </c>
      <c r="AG347" s="202"/>
      <c r="AH347" s="203" t="s">
        <v>1155</v>
      </c>
      <c r="AI347" s="202">
        <v>0</v>
      </c>
      <c r="AJ347" s="202">
        <v>0</v>
      </c>
    </row>
    <row r="348" spans="2:36">
      <c r="B348" s="203">
        <v>2180</v>
      </c>
      <c r="C348" s="207">
        <v>188503</v>
      </c>
      <c r="D348" s="203">
        <v>187603</v>
      </c>
      <c r="E348" s="202" t="s">
        <v>2641</v>
      </c>
      <c r="F348" s="203"/>
      <c r="G348" s="202"/>
      <c r="H348" s="202"/>
      <c r="I348" s="202" t="s">
        <v>1147</v>
      </c>
      <c r="J348" s="202">
        <v>0</v>
      </c>
      <c r="K348" s="202">
        <v>0</v>
      </c>
      <c r="L348" s="202">
        <v>0</v>
      </c>
      <c r="M348" s="202" t="s">
        <v>1447</v>
      </c>
      <c r="N348" s="206">
        <v>43031</v>
      </c>
      <c r="O348" s="206">
        <v>43031</v>
      </c>
      <c r="P348" s="202" t="s">
        <v>2638</v>
      </c>
      <c r="Q348" s="203">
        <v>1000</v>
      </c>
      <c r="R348" s="203">
        <v>14040</v>
      </c>
      <c r="S348" s="204">
        <v>6793</v>
      </c>
      <c r="T348" s="203">
        <v>14046</v>
      </c>
      <c r="U348" s="204">
        <v>2830.42</v>
      </c>
      <c r="V348" s="204">
        <f t="shared" si="16"/>
        <v>3962.58</v>
      </c>
      <c r="W348" s="205">
        <v>679.3</v>
      </c>
      <c r="X348" s="203">
        <v>51260</v>
      </c>
      <c r="Y348" s="204">
        <v>56.61</v>
      </c>
      <c r="Z348" s="202" t="s">
        <v>97</v>
      </c>
      <c r="AA348" s="202"/>
      <c r="AB348" s="202">
        <v>98732</v>
      </c>
      <c r="AC348" s="202"/>
      <c r="AD348" s="202" t="s">
        <v>1152</v>
      </c>
      <c r="AE348" s="202" t="s">
        <v>1153</v>
      </c>
      <c r="AF348" s="203" t="s">
        <v>1154</v>
      </c>
      <c r="AG348" s="202"/>
      <c r="AH348" s="203" t="s">
        <v>1155</v>
      </c>
      <c r="AI348" s="202">
        <v>0</v>
      </c>
      <c r="AJ348" s="202">
        <v>0</v>
      </c>
    </row>
    <row r="349" spans="2:36">
      <c r="B349" s="203">
        <v>2180</v>
      </c>
      <c r="C349" s="207">
        <v>187603</v>
      </c>
      <c r="D349" s="203" t="s">
        <v>97</v>
      </c>
      <c r="E349" s="202" t="s">
        <v>116</v>
      </c>
      <c r="F349" s="203"/>
      <c r="G349" s="202"/>
      <c r="H349" s="202" t="s">
        <v>2640</v>
      </c>
      <c r="I349" s="202"/>
      <c r="J349" s="202">
        <v>2018</v>
      </c>
      <c r="K349" s="202" t="s">
        <v>2290</v>
      </c>
      <c r="L349" s="202" t="s">
        <v>2639</v>
      </c>
      <c r="M349" s="202" t="s">
        <v>1394</v>
      </c>
      <c r="N349" s="206">
        <v>43031</v>
      </c>
      <c r="O349" s="206">
        <v>43031</v>
      </c>
      <c r="P349" s="202" t="s">
        <v>2638</v>
      </c>
      <c r="Q349" s="203">
        <v>1000</v>
      </c>
      <c r="R349" s="203">
        <v>14040</v>
      </c>
      <c r="S349" s="204">
        <v>219551.98</v>
      </c>
      <c r="T349" s="203">
        <v>14046</v>
      </c>
      <c r="U349" s="204">
        <v>91480</v>
      </c>
      <c r="V349" s="204">
        <f t="shared" si="16"/>
        <v>128071.98000000001</v>
      </c>
      <c r="W349" s="205">
        <v>21955.200000000001</v>
      </c>
      <c r="X349" s="203">
        <v>51260</v>
      </c>
      <c r="Y349" s="204">
        <v>1829.6</v>
      </c>
      <c r="Z349" s="202" t="s">
        <v>97</v>
      </c>
      <c r="AA349" s="202"/>
      <c r="AB349" s="202" t="s">
        <v>2637</v>
      </c>
      <c r="AC349" s="202">
        <v>1081</v>
      </c>
      <c r="AD349" s="202" t="s">
        <v>1152</v>
      </c>
      <c r="AE349" s="202" t="s">
        <v>1153</v>
      </c>
      <c r="AF349" s="203" t="s">
        <v>1154</v>
      </c>
      <c r="AG349" s="202"/>
      <c r="AH349" s="203" t="s">
        <v>1155</v>
      </c>
      <c r="AI349" s="202">
        <v>0</v>
      </c>
      <c r="AJ349" s="202">
        <v>0</v>
      </c>
    </row>
    <row r="350" spans="2:36">
      <c r="B350" s="203">
        <v>2180</v>
      </c>
      <c r="C350" s="207">
        <v>187421</v>
      </c>
      <c r="D350" s="203" t="s">
        <v>97</v>
      </c>
      <c r="E350" s="202" t="s">
        <v>102</v>
      </c>
      <c r="F350" s="203">
        <v>0</v>
      </c>
      <c r="G350" s="202"/>
      <c r="H350" s="202" t="s">
        <v>2636</v>
      </c>
      <c r="I350" s="202"/>
      <c r="J350" s="202">
        <v>2012</v>
      </c>
      <c r="K350" s="202" t="s">
        <v>1733</v>
      </c>
      <c r="L350" s="202" t="s">
        <v>2635</v>
      </c>
      <c r="M350" s="202" t="s">
        <v>1394</v>
      </c>
      <c r="N350" s="206">
        <v>40968</v>
      </c>
      <c r="O350" s="206">
        <v>40968</v>
      </c>
      <c r="P350" s="202" t="s">
        <v>2634</v>
      </c>
      <c r="Q350" s="203">
        <v>1000</v>
      </c>
      <c r="R350" s="203">
        <v>14040</v>
      </c>
      <c r="S350" s="204">
        <v>247726.06</v>
      </c>
      <c r="T350" s="203">
        <v>14046</v>
      </c>
      <c r="U350" s="204">
        <v>243597.33</v>
      </c>
      <c r="V350" s="204">
        <f t="shared" si="16"/>
        <v>4128.7300000000105</v>
      </c>
      <c r="W350" s="205">
        <v>24772.61</v>
      </c>
      <c r="X350" s="203">
        <v>51260</v>
      </c>
      <c r="Y350" s="204">
        <v>2064.38</v>
      </c>
      <c r="Z350" s="202" t="s">
        <v>97</v>
      </c>
      <c r="AA350" s="202"/>
      <c r="AB350" s="202">
        <v>1674506</v>
      </c>
      <c r="AC350" s="202">
        <v>1078</v>
      </c>
      <c r="AD350" s="202" t="s">
        <v>1152</v>
      </c>
      <c r="AE350" s="202" t="s">
        <v>1153</v>
      </c>
      <c r="AF350" s="203" t="s">
        <v>1154</v>
      </c>
      <c r="AG350" s="208">
        <v>43008</v>
      </c>
      <c r="AH350" s="203" t="s">
        <v>1155</v>
      </c>
      <c r="AI350" s="202">
        <v>0</v>
      </c>
      <c r="AJ350" s="202">
        <v>138313.74</v>
      </c>
    </row>
    <row r="351" spans="2:36">
      <c r="B351" s="203">
        <v>2180</v>
      </c>
      <c r="C351" s="207">
        <v>187205</v>
      </c>
      <c r="D351" s="203" t="s">
        <v>97</v>
      </c>
      <c r="E351" s="202" t="s">
        <v>2633</v>
      </c>
      <c r="F351" s="203">
        <v>16</v>
      </c>
      <c r="G351" s="202"/>
      <c r="H351" s="202"/>
      <c r="I351" s="202" t="s">
        <v>1147</v>
      </c>
      <c r="J351" s="202">
        <v>0</v>
      </c>
      <c r="K351" s="202" t="s">
        <v>2598</v>
      </c>
      <c r="L351" s="202"/>
      <c r="M351" s="202" t="s">
        <v>1456</v>
      </c>
      <c r="N351" s="206">
        <v>42996</v>
      </c>
      <c r="O351" s="206">
        <v>42996</v>
      </c>
      <c r="P351" s="202" t="s">
        <v>2618</v>
      </c>
      <c r="Q351" s="203">
        <v>1200</v>
      </c>
      <c r="R351" s="203">
        <v>14050</v>
      </c>
      <c r="S351" s="204">
        <v>13540.65</v>
      </c>
      <c r="T351" s="203">
        <v>14056</v>
      </c>
      <c r="U351" s="204">
        <v>4795.66</v>
      </c>
      <c r="V351" s="204">
        <f t="shared" si="16"/>
        <v>8744.99</v>
      </c>
      <c r="W351" s="205">
        <v>1128.3900000000001</v>
      </c>
      <c r="X351" s="203">
        <v>54260</v>
      </c>
      <c r="Y351" s="204">
        <v>94.03</v>
      </c>
      <c r="Z351" s="202" t="s">
        <v>97</v>
      </c>
      <c r="AA351" s="202"/>
      <c r="AB351" s="202" t="s">
        <v>2632</v>
      </c>
      <c r="AC351" s="202"/>
      <c r="AD351" s="202" t="s">
        <v>1152</v>
      </c>
      <c r="AE351" s="202" t="s">
        <v>1153</v>
      </c>
      <c r="AF351" s="203" t="s">
        <v>1154</v>
      </c>
      <c r="AG351" s="202"/>
      <c r="AH351" s="203" t="s">
        <v>1155</v>
      </c>
      <c r="AI351" s="202">
        <v>0</v>
      </c>
      <c r="AJ351" s="202">
        <v>0</v>
      </c>
    </row>
    <row r="352" spans="2:36">
      <c r="B352" s="203">
        <v>2180</v>
      </c>
      <c r="C352" s="207">
        <v>187204</v>
      </c>
      <c r="D352" s="203" t="s">
        <v>97</v>
      </c>
      <c r="E352" s="202" t="s">
        <v>2631</v>
      </c>
      <c r="F352" s="203">
        <v>16</v>
      </c>
      <c r="G352" s="202"/>
      <c r="H352" s="202"/>
      <c r="I352" s="202" t="s">
        <v>1147</v>
      </c>
      <c r="J352" s="202">
        <v>0</v>
      </c>
      <c r="K352" s="202" t="s">
        <v>2598</v>
      </c>
      <c r="L352" s="202"/>
      <c r="M352" s="202" t="s">
        <v>1456</v>
      </c>
      <c r="N352" s="206">
        <v>42996</v>
      </c>
      <c r="O352" s="206">
        <v>42996</v>
      </c>
      <c r="P352" s="202" t="s">
        <v>2618</v>
      </c>
      <c r="Q352" s="203">
        <v>1200</v>
      </c>
      <c r="R352" s="203">
        <v>14050</v>
      </c>
      <c r="S352" s="204">
        <v>13540.65</v>
      </c>
      <c r="T352" s="203">
        <v>14056</v>
      </c>
      <c r="U352" s="204">
        <v>4795.66</v>
      </c>
      <c r="V352" s="204">
        <f t="shared" si="16"/>
        <v>8744.99</v>
      </c>
      <c r="W352" s="205">
        <v>1128.3900000000001</v>
      </c>
      <c r="X352" s="203">
        <v>54260</v>
      </c>
      <c r="Y352" s="204">
        <v>94.03</v>
      </c>
      <c r="Z352" s="202" t="s">
        <v>97</v>
      </c>
      <c r="AA352" s="202"/>
      <c r="AB352" s="202" t="s">
        <v>2630</v>
      </c>
      <c r="AC352" s="202"/>
      <c r="AD352" s="202" t="s">
        <v>1152</v>
      </c>
      <c r="AE352" s="202" t="s">
        <v>1153</v>
      </c>
      <c r="AF352" s="203" t="s">
        <v>1154</v>
      </c>
      <c r="AG352" s="202"/>
      <c r="AH352" s="203" t="s">
        <v>1155</v>
      </c>
      <c r="AI352" s="202">
        <v>0</v>
      </c>
      <c r="AJ352" s="202">
        <v>0</v>
      </c>
    </row>
    <row r="353" spans="2:36">
      <c r="B353" s="203">
        <v>2180</v>
      </c>
      <c r="C353" s="207">
        <v>187203</v>
      </c>
      <c r="D353" s="203" t="s">
        <v>97</v>
      </c>
      <c r="E353" s="202" t="s">
        <v>2629</v>
      </c>
      <c r="F353" s="203">
        <v>600</v>
      </c>
      <c r="G353" s="202"/>
      <c r="H353" s="202"/>
      <c r="I353" s="202" t="s">
        <v>1147</v>
      </c>
      <c r="J353" s="202">
        <v>0</v>
      </c>
      <c r="K353" s="202" t="s">
        <v>2601</v>
      </c>
      <c r="L353" s="202"/>
      <c r="M353" s="202"/>
      <c r="N353" s="206">
        <v>42971</v>
      </c>
      <c r="O353" s="206">
        <v>42971</v>
      </c>
      <c r="P353" s="202" t="s">
        <v>2628</v>
      </c>
      <c r="Q353" s="203">
        <v>700</v>
      </c>
      <c r="R353" s="203">
        <v>14050</v>
      </c>
      <c r="S353" s="204">
        <v>31542.89</v>
      </c>
      <c r="T353" s="203">
        <v>14056</v>
      </c>
      <c r="U353" s="204">
        <v>19526.52</v>
      </c>
      <c r="V353" s="204">
        <f t="shared" si="16"/>
        <v>12016.369999999999</v>
      </c>
      <c r="W353" s="205">
        <v>4506.12</v>
      </c>
      <c r="X353" s="203">
        <v>54260</v>
      </c>
      <c r="Y353" s="204">
        <v>375.51</v>
      </c>
      <c r="Z353" s="202" t="s">
        <v>97</v>
      </c>
      <c r="AA353" s="202"/>
      <c r="AB353" s="202">
        <v>1132</v>
      </c>
      <c r="AC353" s="202"/>
      <c r="AD353" s="202" t="s">
        <v>1152</v>
      </c>
      <c r="AE353" s="202" t="s">
        <v>1153</v>
      </c>
      <c r="AF353" s="203" t="s">
        <v>1154</v>
      </c>
      <c r="AG353" s="202"/>
      <c r="AH353" s="203" t="s">
        <v>1155</v>
      </c>
      <c r="AI353" s="202">
        <v>0</v>
      </c>
      <c r="AJ353" s="202">
        <v>0</v>
      </c>
    </row>
    <row r="354" spans="2:36">
      <c r="B354" s="203">
        <v>2180</v>
      </c>
      <c r="C354" s="207">
        <v>186539</v>
      </c>
      <c r="D354" s="203">
        <v>184365</v>
      </c>
      <c r="E354" s="202" t="s">
        <v>2627</v>
      </c>
      <c r="F354" s="203"/>
      <c r="G354" s="202"/>
      <c r="H354" s="202"/>
      <c r="I354" s="202" t="s">
        <v>1147</v>
      </c>
      <c r="J354" s="202">
        <v>0</v>
      </c>
      <c r="K354" s="202" t="s">
        <v>2625</v>
      </c>
      <c r="L354" s="202"/>
      <c r="M354" s="202" t="s">
        <v>1158</v>
      </c>
      <c r="N354" s="206">
        <v>42944</v>
      </c>
      <c r="O354" s="206">
        <v>42944</v>
      </c>
      <c r="P354" s="202" t="s">
        <v>2588</v>
      </c>
      <c r="Q354" s="203">
        <v>1000</v>
      </c>
      <c r="R354" s="203">
        <v>14040</v>
      </c>
      <c r="S354" s="204">
        <v>1720.1</v>
      </c>
      <c r="T354" s="203">
        <v>14046</v>
      </c>
      <c r="U354" s="204">
        <v>759.71</v>
      </c>
      <c r="V354" s="204">
        <f t="shared" si="16"/>
        <v>960.38999999999987</v>
      </c>
      <c r="W354" s="205">
        <v>172.01</v>
      </c>
      <c r="X354" s="203">
        <v>51260</v>
      </c>
      <c r="Y354" s="204">
        <v>14.33</v>
      </c>
      <c r="Z354" s="202" t="s">
        <v>97</v>
      </c>
      <c r="AA354" s="202"/>
      <c r="AB354" s="202">
        <v>2576850</v>
      </c>
      <c r="AC354" s="202"/>
      <c r="AD354" s="202" t="s">
        <v>1152</v>
      </c>
      <c r="AE354" s="202" t="s">
        <v>1153</v>
      </c>
      <c r="AF354" s="203" t="s">
        <v>1154</v>
      </c>
      <c r="AG354" s="202"/>
      <c r="AH354" s="203" t="s">
        <v>1155</v>
      </c>
      <c r="AI354" s="202">
        <v>0</v>
      </c>
      <c r="AJ354" s="202">
        <v>0</v>
      </c>
    </row>
    <row r="355" spans="2:36">
      <c r="B355" s="203">
        <v>2180</v>
      </c>
      <c r="C355" s="207">
        <v>186538</v>
      </c>
      <c r="D355" s="203">
        <v>185372</v>
      </c>
      <c r="E355" s="202" t="s">
        <v>2626</v>
      </c>
      <c r="F355" s="203"/>
      <c r="G355" s="202"/>
      <c r="H355" s="202"/>
      <c r="I355" s="202" t="s">
        <v>1147</v>
      </c>
      <c r="J355" s="202">
        <v>0</v>
      </c>
      <c r="K355" s="202" t="s">
        <v>2625</v>
      </c>
      <c r="L355" s="202"/>
      <c r="M355" s="202" t="s">
        <v>1158</v>
      </c>
      <c r="N355" s="206">
        <v>42944</v>
      </c>
      <c r="O355" s="206">
        <v>42944</v>
      </c>
      <c r="P355" s="202" t="s">
        <v>2610</v>
      </c>
      <c r="Q355" s="203">
        <v>1000</v>
      </c>
      <c r="R355" s="203">
        <v>14040</v>
      </c>
      <c r="S355" s="204">
        <v>703.67</v>
      </c>
      <c r="T355" s="203">
        <v>14046</v>
      </c>
      <c r="U355" s="204">
        <v>310.8</v>
      </c>
      <c r="V355" s="204">
        <f t="shared" si="16"/>
        <v>392.86999999999995</v>
      </c>
      <c r="W355" s="205">
        <v>70.37</v>
      </c>
      <c r="X355" s="203">
        <v>51260</v>
      </c>
      <c r="Y355" s="204">
        <v>5.86</v>
      </c>
      <c r="Z355" s="202" t="s">
        <v>97</v>
      </c>
      <c r="AA355" s="202"/>
      <c r="AB355" s="202">
        <v>2576848</v>
      </c>
      <c r="AC355" s="202"/>
      <c r="AD355" s="202" t="s">
        <v>1152</v>
      </c>
      <c r="AE355" s="202" t="s">
        <v>1153</v>
      </c>
      <c r="AF355" s="203" t="s">
        <v>1154</v>
      </c>
      <c r="AG355" s="202"/>
      <c r="AH355" s="203" t="s">
        <v>1155</v>
      </c>
      <c r="AI355" s="202">
        <v>0</v>
      </c>
      <c r="AJ355" s="202">
        <v>0</v>
      </c>
    </row>
    <row r="356" spans="2:36">
      <c r="B356" s="203">
        <v>2180</v>
      </c>
      <c r="C356" s="207">
        <v>186537</v>
      </c>
      <c r="D356" s="203">
        <v>186155</v>
      </c>
      <c r="E356" s="202" t="s">
        <v>2624</v>
      </c>
      <c r="F356" s="203"/>
      <c r="G356" s="202"/>
      <c r="H356" s="202"/>
      <c r="I356" s="202" t="s">
        <v>1147</v>
      </c>
      <c r="J356" s="202">
        <v>0</v>
      </c>
      <c r="K356" s="202" t="s">
        <v>2623</v>
      </c>
      <c r="L356" s="202"/>
      <c r="M356" s="202" t="s">
        <v>1158</v>
      </c>
      <c r="N356" s="206">
        <v>42982</v>
      </c>
      <c r="O356" s="206">
        <v>42982</v>
      </c>
      <c r="P356" s="202" t="s">
        <v>2620</v>
      </c>
      <c r="Q356" s="203">
        <v>1000</v>
      </c>
      <c r="R356" s="203">
        <v>14040</v>
      </c>
      <c r="S356" s="204">
        <v>682.67</v>
      </c>
      <c r="T356" s="203">
        <v>14046</v>
      </c>
      <c r="U356" s="204">
        <v>295.83999999999997</v>
      </c>
      <c r="V356" s="204">
        <f t="shared" si="16"/>
        <v>386.83</v>
      </c>
      <c r="W356" s="205">
        <v>68.27</v>
      </c>
      <c r="X356" s="203">
        <v>51260</v>
      </c>
      <c r="Y356" s="204">
        <v>5.69</v>
      </c>
      <c r="Z356" s="202" t="s">
        <v>97</v>
      </c>
      <c r="AA356" s="202"/>
      <c r="AB356" s="202" t="s">
        <v>2622</v>
      </c>
      <c r="AC356" s="202"/>
      <c r="AD356" s="202" t="s">
        <v>1152</v>
      </c>
      <c r="AE356" s="202" t="s">
        <v>1153</v>
      </c>
      <c r="AF356" s="203" t="s">
        <v>1154</v>
      </c>
      <c r="AG356" s="202"/>
      <c r="AH356" s="203" t="s">
        <v>1155</v>
      </c>
      <c r="AI356" s="202">
        <v>0</v>
      </c>
      <c r="AJ356" s="202">
        <v>0</v>
      </c>
    </row>
    <row r="357" spans="2:36">
      <c r="B357" s="203">
        <v>2180</v>
      </c>
      <c r="C357" s="207">
        <v>186155</v>
      </c>
      <c r="D357" s="203" t="s">
        <v>97</v>
      </c>
      <c r="E357" s="202" t="s">
        <v>118</v>
      </c>
      <c r="F357" s="203"/>
      <c r="G357" s="202"/>
      <c r="H357" s="202" t="s">
        <v>2621</v>
      </c>
      <c r="I357" s="202"/>
      <c r="J357" s="202">
        <v>2018</v>
      </c>
      <c r="K357" s="202" t="s">
        <v>2290</v>
      </c>
      <c r="L357" s="202" t="s">
        <v>2440</v>
      </c>
      <c r="M357" s="202" t="s">
        <v>1999</v>
      </c>
      <c r="N357" s="206">
        <v>42982</v>
      </c>
      <c r="O357" s="206">
        <v>42982</v>
      </c>
      <c r="P357" s="202" t="s">
        <v>2620</v>
      </c>
      <c r="Q357" s="203">
        <v>1000</v>
      </c>
      <c r="R357" s="203">
        <v>14040</v>
      </c>
      <c r="S357" s="204">
        <v>317063.73</v>
      </c>
      <c r="T357" s="203">
        <v>14046</v>
      </c>
      <c r="U357" s="204">
        <v>137394.26999999999</v>
      </c>
      <c r="V357" s="204">
        <f t="shared" si="16"/>
        <v>179669.46</v>
      </c>
      <c r="W357" s="205">
        <v>31706.37</v>
      </c>
      <c r="X357" s="203">
        <v>51260</v>
      </c>
      <c r="Y357" s="204">
        <v>2642.2</v>
      </c>
      <c r="Z357" s="202" t="s">
        <v>97</v>
      </c>
      <c r="AA357" s="202"/>
      <c r="AB357" s="202">
        <v>98143</v>
      </c>
      <c r="AC357" s="202">
        <v>2048</v>
      </c>
      <c r="AD357" s="202" t="s">
        <v>1152</v>
      </c>
      <c r="AE357" s="202" t="s">
        <v>1153</v>
      </c>
      <c r="AF357" s="203" t="s">
        <v>1154</v>
      </c>
      <c r="AG357" s="202"/>
      <c r="AH357" s="203" t="s">
        <v>1155</v>
      </c>
      <c r="AI357" s="202">
        <v>0</v>
      </c>
      <c r="AJ357" s="202">
        <v>0</v>
      </c>
    </row>
    <row r="358" spans="2:36">
      <c r="B358" s="203">
        <v>2180</v>
      </c>
      <c r="C358" s="207">
        <v>186097</v>
      </c>
      <c r="D358" s="203" t="s">
        <v>97</v>
      </c>
      <c r="E358" s="202" t="s">
        <v>2619</v>
      </c>
      <c r="F358" s="203">
        <v>16</v>
      </c>
      <c r="G358" s="202"/>
      <c r="H358" s="202"/>
      <c r="I358" s="202" t="s">
        <v>1147</v>
      </c>
      <c r="J358" s="202">
        <v>0</v>
      </c>
      <c r="K358" s="202" t="s">
        <v>2598</v>
      </c>
      <c r="L358" s="202"/>
      <c r="M358" s="202" t="s">
        <v>1456</v>
      </c>
      <c r="N358" s="206">
        <v>42990</v>
      </c>
      <c r="O358" s="206">
        <v>42990</v>
      </c>
      <c r="P358" s="202" t="s">
        <v>2618</v>
      </c>
      <c r="Q358" s="203">
        <v>1200</v>
      </c>
      <c r="R358" s="203">
        <v>14050</v>
      </c>
      <c r="S358" s="204">
        <v>13540.65</v>
      </c>
      <c r="T358" s="203">
        <v>14056</v>
      </c>
      <c r="U358" s="204">
        <v>4889.6899999999996</v>
      </c>
      <c r="V358" s="204">
        <f t="shared" si="16"/>
        <v>8650.9599999999991</v>
      </c>
      <c r="W358" s="205">
        <v>1128.3900000000001</v>
      </c>
      <c r="X358" s="203">
        <v>54260</v>
      </c>
      <c r="Y358" s="204">
        <v>94.03</v>
      </c>
      <c r="Z358" s="202" t="s">
        <v>97</v>
      </c>
      <c r="AA358" s="202"/>
      <c r="AB358" s="202" t="s">
        <v>2617</v>
      </c>
      <c r="AC358" s="202"/>
      <c r="AD358" s="202" t="s">
        <v>1152</v>
      </c>
      <c r="AE358" s="202" t="s">
        <v>1153</v>
      </c>
      <c r="AF358" s="203" t="s">
        <v>1154</v>
      </c>
      <c r="AG358" s="202"/>
      <c r="AH358" s="203" t="s">
        <v>1155</v>
      </c>
      <c r="AI358" s="202">
        <v>0</v>
      </c>
      <c r="AJ358" s="202">
        <v>0</v>
      </c>
    </row>
    <row r="359" spans="2:36">
      <c r="B359" s="203">
        <v>2180</v>
      </c>
      <c r="C359" s="207">
        <v>185871</v>
      </c>
      <c r="D359" s="203" t="s">
        <v>97</v>
      </c>
      <c r="E359" s="202" t="s">
        <v>2599</v>
      </c>
      <c r="F359" s="203">
        <v>12</v>
      </c>
      <c r="G359" s="202"/>
      <c r="H359" s="202"/>
      <c r="I359" s="202"/>
      <c r="J359" s="202">
        <v>0</v>
      </c>
      <c r="K359" s="202" t="s">
        <v>2598</v>
      </c>
      <c r="L359" s="202"/>
      <c r="M359" s="202" t="s">
        <v>1456</v>
      </c>
      <c r="N359" s="206">
        <v>42950</v>
      </c>
      <c r="O359" s="206">
        <v>42950</v>
      </c>
      <c r="P359" s="202" t="s">
        <v>2597</v>
      </c>
      <c r="Q359" s="203">
        <v>1200</v>
      </c>
      <c r="R359" s="203">
        <v>14050</v>
      </c>
      <c r="S359" s="204">
        <v>10634.3</v>
      </c>
      <c r="T359" s="203">
        <v>14056</v>
      </c>
      <c r="U359" s="204">
        <v>3914.01</v>
      </c>
      <c r="V359" s="204">
        <f t="shared" si="16"/>
        <v>6720.2899999999991</v>
      </c>
      <c r="W359" s="205">
        <v>886.19</v>
      </c>
      <c r="X359" s="203">
        <v>54260</v>
      </c>
      <c r="Y359" s="204">
        <v>73.849999999999994</v>
      </c>
      <c r="Z359" s="202" t="s">
        <v>97</v>
      </c>
      <c r="AA359" s="202"/>
      <c r="AB359" s="202" t="s">
        <v>2616</v>
      </c>
      <c r="AC359" s="202"/>
      <c r="AD359" s="202" t="s">
        <v>1152</v>
      </c>
      <c r="AE359" s="202" t="s">
        <v>1153</v>
      </c>
      <c r="AF359" s="203" t="s">
        <v>1154</v>
      </c>
      <c r="AG359" s="202"/>
      <c r="AH359" s="203" t="s">
        <v>1155</v>
      </c>
      <c r="AI359" s="202">
        <v>0</v>
      </c>
      <c r="AJ359" s="202">
        <v>0</v>
      </c>
    </row>
    <row r="360" spans="2:36">
      <c r="B360" s="203">
        <v>2180</v>
      </c>
      <c r="C360" s="207">
        <v>185870</v>
      </c>
      <c r="D360" s="203" t="s">
        <v>97</v>
      </c>
      <c r="E360" s="202" t="s">
        <v>2520</v>
      </c>
      <c r="F360" s="203">
        <v>768</v>
      </c>
      <c r="G360" s="202"/>
      <c r="H360" s="202"/>
      <c r="I360" s="202"/>
      <c r="J360" s="202">
        <v>0</v>
      </c>
      <c r="K360" s="202" t="s">
        <v>2601</v>
      </c>
      <c r="L360" s="202"/>
      <c r="M360" s="202"/>
      <c r="N360" s="206">
        <v>42965</v>
      </c>
      <c r="O360" s="206">
        <v>42965</v>
      </c>
      <c r="P360" s="202" t="s">
        <v>2615</v>
      </c>
      <c r="Q360" s="203">
        <v>700</v>
      </c>
      <c r="R360" s="203">
        <v>14050</v>
      </c>
      <c r="S360" s="204">
        <v>34622.35</v>
      </c>
      <c r="T360" s="203">
        <v>14056</v>
      </c>
      <c r="U360" s="204">
        <v>21432.799999999999</v>
      </c>
      <c r="V360" s="204">
        <f t="shared" si="16"/>
        <v>13189.55</v>
      </c>
      <c r="W360" s="205">
        <v>4946.03</v>
      </c>
      <c r="X360" s="203">
        <v>54260</v>
      </c>
      <c r="Y360" s="204">
        <v>412.17</v>
      </c>
      <c r="Z360" s="202" t="s">
        <v>97</v>
      </c>
      <c r="AA360" s="202"/>
      <c r="AB360" s="202">
        <v>1125</v>
      </c>
      <c r="AC360" s="202"/>
      <c r="AD360" s="202" t="s">
        <v>1152</v>
      </c>
      <c r="AE360" s="202" t="s">
        <v>1153</v>
      </c>
      <c r="AF360" s="203" t="s">
        <v>1154</v>
      </c>
      <c r="AG360" s="202"/>
      <c r="AH360" s="203" t="s">
        <v>1155</v>
      </c>
      <c r="AI360" s="202">
        <v>0</v>
      </c>
      <c r="AJ360" s="202">
        <v>0</v>
      </c>
    </row>
    <row r="361" spans="2:36">
      <c r="B361" s="203">
        <v>2180</v>
      </c>
      <c r="C361" s="207">
        <v>185869</v>
      </c>
      <c r="D361" s="203" t="s">
        <v>97</v>
      </c>
      <c r="E361" s="202" t="s">
        <v>2429</v>
      </c>
      <c r="F361" s="203">
        <v>702</v>
      </c>
      <c r="G361" s="202"/>
      <c r="H361" s="202"/>
      <c r="I361" s="202"/>
      <c r="J361" s="202">
        <v>0</v>
      </c>
      <c r="K361" s="202" t="s">
        <v>2445</v>
      </c>
      <c r="L361" s="202"/>
      <c r="M361" s="202"/>
      <c r="N361" s="206">
        <v>42968</v>
      </c>
      <c r="O361" s="206">
        <v>42968</v>
      </c>
      <c r="P361" s="202" t="s">
        <v>2614</v>
      </c>
      <c r="Q361" s="203">
        <v>700</v>
      </c>
      <c r="R361" s="203">
        <v>14050</v>
      </c>
      <c r="S361" s="204">
        <v>37840.54</v>
      </c>
      <c r="T361" s="203">
        <v>14056</v>
      </c>
      <c r="U361" s="204">
        <v>23425.09</v>
      </c>
      <c r="V361" s="204">
        <f t="shared" si="16"/>
        <v>14415.45</v>
      </c>
      <c r="W361" s="205">
        <v>5405.79</v>
      </c>
      <c r="X361" s="203">
        <v>54260</v>
      </c>
      <c r="Y361" s="204">
        <v>450.48</v>
      </c>
      <c r="Z361" s="202" t="s">
        <v>97</v>
      </c>
      <c r="AA361" s="202"/>
      <c r="AB361" s="202" t="s">
        <v>2613</v>
      </c>
      <c r="AC361" s="202"/>
      <c r="AD361" s="202" t="s">
        <v>1152</v>
      </c>
      <c r="AE361" s="202" t="s">
        <v>1153</v>
      </c>
      <c r="AF361" s="203" t="s">
        <v>1154</v>
      </c>
      <c r="AG361" s="202"/>
      <c r="AH361" s="203" t="s">
        <v>1155</v>
      </c>
      <c r="AI361" s="202">
        <v>0</v>
      </c>
      <c r="AJ361" s="202">
        <v>0</v>
      </c>
    </row>
    <row r="362" spans="2:36">
      <c r="B362" s="203">
        <v>2180</v>
      </c>
      <c r="C362" s="207">
        <v>185868</v>
      </c>
      <c r="D362" s="203" t="s">
        <v>97</v>
      </c>
      <c r="E362" s="202" t="s">
        <v>2511</v>
      </c>
      <c r="F362" s="203">
        <v>36</v>
      </c>
      <c r="G362" s="202"/>
      <c r="H362" s="202"/>
      <c r="I362" s="202"/>
      <c r="J362" s="202">
        <v>0</v>
      </c>
      <c r="K362" s="202" t="s">
        <v>2502</v>
      </c>
      <c r="L362" s="202"/>
      <c r="M362" s="202" t="s">
        <v>1555</v>
      </c>
      <c r="N362" s="206">
        <v>42926</v>
      </c>
      <c r="O362" s="206">
        <v>42926</v>
      </c>
      <c r="P362" s="202" t="s">
        <v>2592</v>
      </c>
      <c r="Q362" s="203">
        <v>700</v>
      </c>
      <c r="R362" s="203">
        <v>14050</v>
      </c>
      <c r="S362" s="204">
        <v>22809.35</v>
      </c>
      <c r="T362" s="203">
        <v>14056</v>
      </c>
      <c r="U362" s="204">
        <v>14663.16</v>
      </c>
      <c r="V362" s="204">
        <f t="shared" si="16"/>
        <v>8146.1899999999987</v>
      </c>
      <c r="W362" s="205">
        <v>3258.48</v>
      </c>
      <c r="X362" s="203">
        <v>54260</v>
      </c>
      <c r="Y362" s="204">
        <v>271.54000000000002</v>
      </c>
      <c r="Z362" s="202" t="s">
        <v>97</v>
      </c>
      <c r="AA362" s="202"/>
      <c r="AB362" s="202">
        <v>65487218</v>
      </c>
      <c r="AC362" s="202"/>
      <c r="AD362" s="202" t="s">
        <v>1152</v>
      </c>
      <c r="AE362" s="202" t="s">
        <v>1153</v>
      </c>
      <c r="AF362" s="203" t="s">
        <v>1154</v>
      </c>
      <c r="AG362" s="202"/>
      <c r="AH362" s="203" t="s">
        <v>1155</v>
      </c>
      <c r="AI362" s="202">
        <v>0</v>
      </c>
      <c r="AJ362" s="202">
        <v>0</v>
      </c>
    </row>
    <row r="363" spans="2:36">
      <c r="B363" s="203">
        <v>2180</v>
      </c>
      <c r="C363" s="207">
        <v>185586</v>
      </c>
      <c r="D363" s="203">
        <v>185372</v>
      </c>
      <c r="E363" s="202" t="s">
        <v>2612</v>
      </c>
      <c r="F363" s="203"/>
      <c r="G363" s="202"/>
      <c r="H363" s="202"/>
      <c r="I363" s="202"/>
      <c r="J363" s="202">
        <v>0</v>
      </c>
      <c r="K363" s="202" t="s">
        <v>2136</v>
      </c>
      <c r="L363" s="202"/>
      <c r="M363" s="202" t="s">
        <v>1158</v>
      </c>
      <c r="N363" s="206">
        <v>42944</v>
      </c>
      <c r="O363" s="206">
        <v>42944</v>
      </c>
      <c r="P363" s="202" t="s">
        <v>2610</v>
      </c>
      <c r="Q363" s="203">
        <v>1000</v>
      </c>
      <c r="R363" s="203">
        <v>14040</v>
      </c>
      <c r="S363" s="204">
        <v>1069.3900000000001</v>
      </c>
      <c r="T363" s="203">
        <v>14046</v>
      </c>
      <c r="U363" s="204">
        <v>472.31</v>
      </c>
      <c r="V363" s="204">
        <f t="shared" si="16"/>
        <v>597.08000000000015</v>
      </c>
      <c r="W363" s="205">
        <v>106.94</v>
      </c>
      <c r="X363" s="203">
        <v>51260</v>
      </c>
      <c r="Y363" s="204">
        <v>8.91</v>
      </c>
      <c r="Z363" s="202" t="s">
        <v>97</v>
      </c>
      <c r="AA363" s="202"/>
      <c r="AB363" s="202">
        <v>2559</v>
      </c>
      <c r="AC363" s="202"/>
      <c r="AD363" s="202" t="s">
        <v>1152</v>
      </c>
      <c r="AE363" s="202" t="s">
        <v>1153</v>
      </c>
      <c r="AF363" s="203" t="s">
        <v>1154</v>
      </c>
      <c r="AG363" s="202"/>
      <c r="AH363" s="203" t="s">
        <v>1155</v>
      </c>
      <c r="AI363" s="202">
        <v>0</v>
      </c>
      <c r="AJ363" s="202">
        <v>0</v>
      </c>
    </row>
    <row r="364" spans="2:36">
      <c r="B364" s="203">
        <v>2180</v>
      </c>
      <c r="C364" s="207">
        <v>185372</v>
      </c>
      <c r="D364" s="203" t="s">
        <v>97</v>
      </c>
      <c r="E364" s="202" t="s">
        <v>115</v>
      </c>
      <c r="F364" s="203"/>
      <c r="G364" s="202"/>
      <c r="H364" s="202" t="s">
        <v>2611</v>
      </c>
      <c r="I364" s="202"/>
      <c r="J364" s="202">
        <v>2018</v>
      </c>
      <c r="K364" s="202" t="s">
        <v>2290</v>
      </c>
      <c r="L364" s="202" t="s">
        <v>2413</v>
      </c>
      <c r="M364" s="202" t="s">
        <v>1404</v>
      </c>
      <c r="N364" s="206">
        <v>42944</v>
      </c>
      <c r="O364" s="206">
        <v>42944</v>
      </c>
      <c r="P364" s="202" t="s">
        <v>2610</v>
      </c>
      <c r="Q364" s="203">
        <v>1000</v>
      </c>
      <c r="R364" s="203">
        <v>14040</v>
      </c>
      <c r="S364" s="204">
        <v>333655.94</v>
      </c>
      <c r="T364" s="203">
        <v>14046</v>
      </c>
      <c r="U364" s="204">
        <v>147364.69</v>
      </c>
      <c r="V364" s="204">
        <f t="shared" si="16"/>
        <v>186291.25</v>
      </c>
      <c r="W364" s="205">
        <v>33365.589999999997</v>
      </c>
      <c r="X364" s="203">
        <v>51260</v>
      </c>
      <c r="Y364" s="204">
        <v>2780.47</v>
      </c>
      <c r="Z364" s="202" t="s">
        <v>97</v>
      </c>
      <c r="AA364" s="202"/>
      <c r="AB364" s="202" t="s">
        <v>2609</v>
      </c>
      <c r="AC364" s="202">
        <v>3659</v>
      </c>
      <c r="AD364" s="202" t="s">
        <v>1152</v>
      </c>
      <c r="AE364" s="202" t="s">
        <v>1153</v>
      </c>
      <c r="AF364" s="203" t="s">
        <v>1154</v>
      </c>
      <c r="AG364" s="202"/>
      <c r="AH364" s="203" t="s">
        <v>1155</v>
      </c>
      <c r="AI364" s="202">
        <v>0</v>
      </c>
      <c r="AJ364" s="202">
        <v>0</v>
      </c>
    </row>
    <row r="365" spans="2:36">
      <c r="B365" s="203">
        <v>2180</v>
      </c>
      <c r="C365" s="207">
        <v>185371</v>
      </c>
      <c r="D365" s="203" t="s">
        <v>97</v>
      </c>
      <c r="E365" s="202" t="s">
        <v>115</v>
      </c>
      <c r="F365" s="203"/>
      <c r="G365" s="202"/>
      <c r="H365" s="202" t="s">
        <v>2608</v>
      </c>
      <c r="I365" s="202"/>
      <c r="J365" s="202">
        <v>2018</v>
      </c>
      <c r="K365" s="202" t="s">
        <v>2290</v>
      </c>
      <c r="L365" s="202" t="s">
        <v>2413</v>
      </c>
      <c r="M365" s="202" t="s">
        <v>1404</v>
      </c>
      <c r="N365" s="206">
        <v>42933</v>
      </c>
      <c r="O365" s="206">
        <v>42933</v>
      </c>
      <c r="P365" s="202" t="s">
        <v>2591</v>
      </c>
      <c r="Q365" s="203">
        <v>1000</v>
      </c>
      <c r="R365" s="203">
        <v>14040</v>
      </c>
      <c r="S365" s="204">
        <v>334566.83</v>
      </c>
      <c r="T365" s="203">
        <v>14046</v>
      </c>
      <c r="U365" s="204">
        <v>147767.01</v>
      </c>
      <c r="V365" s="204">
        <f t="shared" si="16"/>
        <v>186799.82</v>
      </c>
      <c r="W365" s="205">
        <v>33456.68</v>
      </c>
      <c r="X365" s="203">
        <v>51260</v>
      </c>
      <c r="Y365" s="204">
        <v>2788.06</v>
      </c>
      <c r="Z365" s="202" t="s">
        <v>97</v>
      </c>
      <c r="AA365" s="202"/>
      <c r="AB365" s="202" t="s">
        <v>2607</v>
      </c>
      <c r="AC365" s="202">
        <v>3658</v>
      </c>
      <c r="AD365" s="202" t="s">
        <v>1152</v>
      </c>
      <c r="AE365" s="202" t="s">
        <v>1153</v>
      </c>
      <c r="AF365" s="203" t="s">
        <v>1154</v>
      </c>
      <c r="AG365" s="202"/>
      <c r="AH365" s="203" t="s">
        <v>1155</v>
      </c>
      <c r="AI365" s="202">
        <v>0</v>
      </c>
      <c r="AJ365" s="202">
        <v>0</v>
      </c>
    </row>
    <row r="366" spans="2:36">
      <c r="B366" s="203">
        <v>2180</v>
      </c>
      <c r="C366" s="207">
        <v>185370</v>
      </c>
      <c r="D366" s="203" t="s">
        <v>97</v>
      </c>
      <c r="E366" s="202" t="s">
        <v>212</v>
      </c>
      <c r="F366" s="203"/>
      <c r="G366" s="202"/>
      <c r="H366" s="202" t="s">
        <v>2606</v>
      </c>
      <c r="I366" s="202"/>
      <c r="J366" s="202">
        <v>2017</v>
      </c>
      <c r="K366" s="202" t="s">
        <v>2290</v>
      </c>
      <c r="L366" s="202" t="s">
        <v>2413</v>
      </c>
      <c r="M366" s="202" t="s">
        <v>1404</v>
      </c>
      <c r="N366" s="206">
        <v>42933</v>
      </c>
      <c r="O366" s="206">
        <v>42933</v>
      </c>
      <c r="P366" s="202" t="s">
        <v>2605</v>
      </c>
      <c r="Q366" s="203">
        <v>1000</v>
      </c>
      <c r="R366" s="203">
        <v>14040</v>
      </c>
      <c r="S366" s="204">
        <v>335381.96999999997</v>
      </c>
      <c r="T366" s="203">
        <v>14046</v>
      </c>
      <c r="U366" s="204">
        <v>148127.04999999999</v>
      </c>
      <c r="V366" s="204">
        <f t="shared" si="16"/>
        <v>187254.91999999998</v>
      </c>
      <c r="W366" s="205">
        <v>33538.199999999997</v>
      </c>
      <c r="X366" s="203">
        <v>51260</v>
      </c>
      <c r="Y366" s="204">
        <v>2794.85</v>
      </c>
      <c r="Z366" s="202" t="s">
        <v>97</v>
      </c>
      <c r="AA366" s="202"/>
      <c r="AB366" s="202" t="s">
        <v>2604</v>
      </c>
      <c r="AC366" s="202">
        <v>3657</v>
      </c>
      <c r="AD366" s="202" t="s">
        <v>1152</v>
      </c>
      <c r="AE366" s="202" t="s">
        <v>1153</v>
      </c>
      <c r="AF366" s="203" t="s">
        <v>1154</v>
      </c>
      <c r="AG366" s="202"/>
      <c r="AH366" s="203" t="s">
        <v>1155</v>
      </c>
      <c r="AI366" s="202">
        <v>0</v>
      </c>
      <c r="AJ366" s="202">
        <v>0</v>
      </c>
    </row>
    <row r="367" spans="2:36">
      <c r="B367" s="203">
        <v>2180</v>
      </c>
      <c r="C367" s="207">
        <v>185323</v>
      </c>
      <c r="D367" s="203" t="s">
        <v>97</v>
      </c>
      <c r="E367" s="202" t="s">
        <v>2603</v>
      </c>
      <c r="F367" s="203">
        <v>16</v>
      </c>
      <c r="G367" s="202"/>
      <c r="H367" s="202"/>
      <c r="I367" s="202"/>
      <c r="J367" s="202">
        <v>0</v>
      </c>
      <c r="K367" s="202" t="s">
        <v>2041</v>
      </c>
      <c r="L367" s="202"/>
      <c r="M367" s="202" t="s">
        <v>1421</v>
      </c>
      <c r="N367" s="206">
        <v>42958</v>
      </c>
      <c r="O367" s="206">
        <v>42958</v>
      </c>
      <c r="P367" s="202" t="s">
        <v>2602</v>
      </c>
      <c r="Q367" s="203">
        <v>1200</v>
      </c>
      <c r="R367" s="203">
        <v>14050</v>
      </c>
      <c r="S367" s="204">
        <v>8656.56</v>
      </c>
      <c r="T367" s="203">
        <v>14056</v>
      </c>
      <c r="U367" s="204">
        <v>3186.1</v>
      </c>
      <c r="V367" s="204">
        <f t="shared" si="16"/>
        <v>5470.4599999999991</v>
      </c>
      <c r="W367" s="205">
        <v>721.38</v>
      </c>
      <c r="X367" s="203">
        <v>54260</v>
      </c>
      <c r="Y367" s="204">
        <v>60.11</v>
      </c>
      <c r="Z367" s="202" t="s">
        <v>97</v>
      </c>
      <c r="AA367" s="202"/>
      <c r="AB367" s="202">
        <v>132265</v>
      </c>
      <c r="AC367" s="202"/>
      <c r="AD367" s="202" t="s">
        <v>1152</v>
      </c>
      <c r="AE367" s="202" t="s">
        <v>1153</v>
      </c>
      <c r="AF367" s="203" t="s">
        <v>1154</v>
      </c>
      <c r="AG367" s="202"/>
      <c r="AH367" s="203" t="s">
        <v>1155</v>
      </c>
      <c r="AI367" s="202">
        <v>0</v>
      </c>
      <c r="AJ367" s="202">
        <v>0</v>
      </c>
    </row>
    <row r="368" spans="2:36">
      <c r="B368" s="203">
        <v>2180</v>
      </c>
      <c r="C368" s="207">
        <v>185322</v>
      </c>
      <c r="D368" s="203" t="s">
        <v>97</v>
      </c>
      <c r="E368" s="202" t="s">
        <v>2520</v>
      </c>
      <c r="F368" s="203">
        <v>792</v>
      </c>
      <c r="G368" s="202"/>
      <c r="H368" s="202"/>
      <c r="I368" s="202"/>
      <c r="J368" s="202">
        <v>0</v>
      </c>
      <c r="K368" s="202" t="s">
        <v>2601</v>
      </c>
      <c r="L368" s="202"/>
      <c r="M368" s="202"/>
      <c r="N368" s="206">
        <v>42947</v>
      </c>
      <c r="O368" s="206">
        <v>42947</v>
      </c>
      <c r="P368" s="202" t="s">
        <v>2600</v>
      </c>
      <c r="Q368" s="203">
        <v>700</v>
      </c>
      <c r="R368" s="203">
        <v>14050</v>
      </c>
      <c r="S368" s="204">
        <v>36039.269999999997</v>
      </c>
      <c r="T368" s="203">
        <v>14056</v>
      </c>
      <c r="U368" s="204">
        <v>22739.08</v>
      </c>
      <c r="V368" s="204">
        <f t="shared" si="16"/>
        <v>13300.189999999995</v>
      </c>
      <c r="W368" s="205">
        <v>5148.47</v>
      </c>
      <c r="X368" s="203">
        <v>54260</v>
      </c>
      <c r="Y368" s="204">
        <v>429.04</v>
      </c>
      <c r="Z368" s="202" t="s">
        <v>97</v>
      </c>
      <c r="AA368" s="202"/>
      <c r="AB368" s="202">
        <v>1097</v>
      </c>
      <c r="AC368" s="202"/>
      <c r="AD368" s="202" t="s">
        <v>1152</v>
      </c>
      <c r="AE368" s="202" t="s">
        <v>1153</v>
      </c>
      <c r="AF368" s="203" t="s">
        <v>1154</v>
      </c>
      <c r="AG368" s="202"/>
      <c r="AH368" s="203" t="s">
        <v>1155</v>
      </c>
      <c r="AI368" s="202">
        <v>0</v>
      </c>
      <c r="AJ368" s="202">
        <v>0</v>
      </c>
    </row>
    <row r="369" spans="2:36">
      <c r="B369" s="203">
        <v>2180</v>
      </c>
      <c r="C369" s="207">
        <v>185181</v>
      </c>
      <c r="D369" s="203" t="s">
        <v>97</v>
      </c>
      <c r="E369" s="202" t="s">
        <v>2599</v>
      </c>
      <c r="F369" s="203">
        <v>13</v>
      </c>
      <c r="G369" s="202"/>
      <c r="H369" s="202"/>
      <c r="I369" s="202"/>
      <c r="J369" s="202">
        <v>0</v>
      </c>
      <c r="K369" s="202" t="s">
        <v>2598</v>
      </c>
      <c r="L369" s="202"/>
      <c r="M369" s="202" t="s">
        <v>1456</v>
      </c>
      <c r="N369" s="206">
        <v>42950</v>
      </c>
      <c r="O369" s="206">
        <v>42950</v>
      </c>
      <c r="P369" s="202" t="s">
        <v>2597</v>
      </c>
      <c r="Q369" s="203">
        <v>1200</v>
      </c>
      <c r="R369" s="203">
        <v>14050</v>
      </c>
      <c r="S369" s="204">
        <v>11103.98</v>
      </c>
      <c r="T369" s="203">
        <v>14056</v>
      </c>
      <c r="U369" s="204">
        <v>4086.88</v>
      </c>
      <c r="V369" s="204">
        <f t="shared" si="16"/>
        <v>7017.0999999999995</v>
      </c>
      <c r="W369" s="205">
        <v>925.33</v>
      </c>
      <c r="X369" s="203">
        <v>54260</v>
      </c>
      <c r="Y369" s="204">
        <v>77.11</v>
      </c>
      <c r="Z369" s="202" t="s">
        <v>97</v>
      </c>
      <c r="AA369" s="202"/>
      <c r="AB369" s="202" t="s">
        <v>2596</v>
      </c>
      <c r="AC369" s="202"/>
      <c r="AD369" s="202" t="s">
        <v>1152</v>
      </c>
      <c r="AE369" s="202" t="s">
        <v>1153</v>
      </c>
      <c r="AF369" s="203" t="s">
        <v>1154</v>
      </c>
      <c r="AG369" s="202"/>
      <c r="AH369" s="203" t="s">
        <v>1155</v>
      </c>
      <c r="AI369" s="202">
        <v>0</v>
      </c>
      <c r="AJ369" s="202">
        <v>0</v>
      </c>
    </row>
    <row r="370" spans="2:36">
      <c r="B370" s="203">
        <v>2180</v>
      </c>
      <c r="C370" s="207">
        <v>185175</v>
      </c>
      <c r="D370" s="203">
        <v>184365</v>
      </c>
      <c r="E370" s="202" t="s">
        <v>2595</v>
      </c>
      <c r="F370" s="203"/>
      <c r="G370" s="202"/>
      <c r="H370" s="202"/>
      <c r="I370" s="202"/>
      <c r="J370" s="202">
        <v>0</v>
      </c>
      <c r="K370" s="202" t="s">
        <v>2594</v>
      </c>
      <c r="L370" s="202"/>
      <c r="M370" s="202" t="s">
        <v>1158</v>
      </c>
      <c r="N370" s="206">
        <v>42944</v>
      </c>
      <c r="O370" s="206">
        <v>42944</v>
      </c>
      <c r="P370" s="202" t="s">
        <v>2588</v>
      </c>
      <c r="Q370" s="203">
        <v>500</v>
      </c>
      <c r="R370" s="203">
        <v>14040</v>
      </c>
      <c r="S370" s="204">
        <v>995.61</v>
      </c>
      <c r="T370" s="203">
        <v>14046</v>
      </c>
      <c r="U370" s="204">
        <v>879.45</v>
      </c>
      <c r="V370" s="204">
        <f t="shared" si="16"/>
        <v>116.15999999999997</v>
      </c>
      <c r="W370" s="205">
        <v>199.12</v>
      </c>
      <c r="X370" s="203">
        <v>51260</v>
      </c>
      <c r="Y370" s="204">
        <v>16.59</v>
      </c>
      <c r="Z370" s="202" t="s">
        <v>97</v>
      </c>
      <c r="AA370" s="202"/>
      <c r="AB370" s="202">
        <v>1857</v>
      </c>
      <c r="AC370" s="202"/>
      <c r="AD370" s="202" t="s">
        <v>1152</v>
      </c>
      <c r="AE370" s="202" t="s">
        <v>1153</v>
      </c>
      <c r="AF370" s="203" t="s">
        <v>1154</v>
      </c>
      <c r="AG370" s="202"/>
      <c r="AH370" s="203" t="s">
        <v>1155</v>
      </c>
      <c r="AI370" s="202">
        <v>0</v>
      </c>
      <c r="AJ370" s="202">
        <v>0</v>
      </c>
    </row>
    <row r="371" spans="2:36">
      <c r="B371" s="203">
        <v>2180</v>
      </c>
      <c r="C371" s="207">
        <v>185090</v>
      </c>
      <c r="D371" s="203" t="s">
        <v>97</v>
      </c>
      <c r="E371" s="202" t="s">
        <v>1379</v>
      </c>
      <c r="F371" s="203">
        <v>28</v>
      </c>
      <c r="G371" s="202"/>
      <c r="H371" s="202"/>
      <c r="I371" s="202"/>
      <c r="J371" s="202">
        <v>0</v>
      </c>
      <c r="K371" s="202" t="s">
        <v>2041</v>
      </c>
      <c r="L371" s="202"/>
      <c r="M371" s="202" t="s">
        <v>1573</v>
      </c>
      <c r="N371" s="206">
        <v>42944</v>
      </c>
      <c r="O371" s="206">
        <v>42944</v>
      </c>
      <c r="P371" s="202" t="s">
        <v>2593</v>
      </c>
      <c r="Q371" s="203">
        <v>1200</v>
      </c>
      <c r="R371" s="203">
        <v>14050</v>
      </c>
      <c r="S371" s="204">
        <v>14995.96</v>
      </c>
      <c r="T371" s="203">
        <v>14056</v>
      </c>
      <c r="U371" s="204">
        <v>5519.33</v>
      </c>
      <c r="V371" s="204">
        <f t="shared" si="16"/>
        <v>9476.6299999999992</v>
      </c>
      <c r="W371" s="205">
        <v>1249.6600000000001</v>
      </c>
      <c r="X371" s="203">
        <v>54260</v>
      </c>
      <c r="Y371" s="204">
        <v>104.14</v>
      </c>
      <c r="Z371" s="202" t="s">
        <v>97</v>
      </c>
      <c r="AA371" s="202"/>
      <c r="AB371" s="202">
        <v>131666</v>
      </c>
      <c r="AC371" s="202"/>
      <c r="AD371" s="202" t="s">
        <v>1152</v>
      </c>
      <c r="AE371" s="202" t="s">
        <v>1153</v>
      </c>
      <c r="AF371" s="203" t="s">
        <v>1154</v>
      </c>
      <c r="AG371" s="202"/>
      <c r="AH371" s="203" t="s">
        <v>1155</v>
      </c>
      <c r="AI371" s="202">
        <v>0</v>
      </c>
      <c r="AJ371" s="202">
        <v>0</v>
      </c>
    </row>
    <row r="372" spans="2:36">
      <c r="B372" s="203">
        <v>2180</v>
      </c>
      <c r="C372" s="207">
        <v>185089</v>
      </c>
      <c r="D372" s="203" t="s">
        <v>97</v>
      </c>
      <c r="E372" s="202" t="s">
        <v>2549</v>
      </c>
      <c r="F372" s="203">
        <v>30</v>
      </c>
      <c r="G372" s="202"/>
      <c r="H372" s="202"/>
      <c r="I372" s="202"/>
      <c r="J372" s="202">
        <v>0</v>
      </c>
      <c r="K372" s="202" t="s">
        <v>2502</v>
      </c>
      <c r="L372" s="202"/>
      <c r="M372" s="202" t="s">
        <v>1582</v>
      </c>
      <c r="N372" s="206">
        <v>42926</v>
      </c>
      <c r="O372" s="206">
        <v>42926</v>
      </c>
      <c r="P372" s="202" t="s">
        <v>2592</v>
      </c>
      <c r="Q372" s="203">
        <v>700</v>
      </c>
      <c r="R372" s="203">
        <v>14050</v>
      </c>
      <c r="S372" s="204">
        <v>27570.46</v>
      </c>
      <c r="T372" s="203">
        <v>14056</v>
      </c>
      <c r="U372" s="204">
        <v>17723.88</v>
      </c>
      <c r="V372" s="204">
        <f t="shared" si="16"/>
        <v>9846.5799999999981</v>
      </c>
      <c r="W372" s="205">
        <v>3938.64</v>
      </c>
      <c r="X372" s="203">
        <v>54260</v>
      </c>
      <c r="Y372" s="204">
        <v>328.22</v>
      </c>
      <c r="Z372" s="202" t="s">
        <v>97</v>
      </c>
      <c r="AA372" s="202"/>
      <c r="AB372" s="202">
        <v>65479470</v>
      </c>
      <c r="AC372" s="202"/>
      <c r="AD372" s="202" t="s">
        <v>1152</v>
      </c>
      <c r="AE372" s="202" t="s">
        <v>1153</v>
      </c>
      <c r="AF372" s="203" t="s">
        <v>1154</v>
      </c>
      <c r="AG372" s="202"/>
      <c r="AH372" s="203" t="s">
        <v>1155</v>
      </c>
      <c r="AI372" s="202">
        <v>0</v>
      </c>
      <c r="AJ372" s="202">
        <v>0</v>
      </c>
    </row>
    <row r="373" spans="2:36">
      <c r="B373" s="203">
        <v>2180</v>
      </c>
      <c r="C373" s="207">
        <v>185087</v>
      </c>
      <c r="D373" s="203">
        <v>185371</v>
      </c>
      <c r="E373" s="202" t="s">
        <v>112</v>
      </c>
      <c r="F373" s="203"/>
      <c r="G373" s="202"/>
      <c r="H373" s="202"/>
      <c r="I373" s="202"/>
      <c r="J373" s="202">
        <v>0</v>
      </c>
      <c r="K373" s="202" t="s">
        <v>1576</v>
      </c>
      <c r="L373" s="202"/>
      <c r="M373" s="202" t="s">
        <v>1447</v>
      </c>
      <c r="N373" s="206">
        <v>42968</v>
      </c>
      <c r="O373" s="206">
        <v>42968</v>
      </c>
      <c r="P373" s="202" t="s">
        <v>2591</v>
      </c>
      <c r="Q373" s="203">
        <v>1000</v>
      </c>
      <c r="R373" s="203">
        <v>14040</v>
      </c>
      <c r="S373" s="204">
        <v>256.86</v>
      </c>
      <c r="T373" s="203">
        <v>14046</v>
      </c>
      <c r="U373" s="204">
        <v>111.28</v>
      </c>
      <c r="V373" s="204">
        <f t="shared" si="16"/>
        <v>145.58000000000001</v>
      </c>
      <c r="W373" s="205">
        <v>25.68</v>
      </c>
      <c r="X373" s="203">
        <v>51260</v>
      </c>
      <c r="Y373" s="204">
        <v>2.14</v>
      </c>
      <c r="Z373" s="202" t="s">
        <v>97</v>
      </c>
      <c r="AA373" s="202"/>
      <c r="AB373" s="202">
        <v>98443</v>
      </c>
      <c r="AC373" s="202"/>
      <c r="AD373" s="202" t="s">
        <v>1152</v>
      </c>
      <c r="AE373" s="202" t="s">
        <v>1153</v>
      </c>
      <c r="AF373" s="203" t="s">
        <v>1154</v>
      </c>
      <c r="AG373" s="202"/>
      <c r="AH373" s="203" t="s">
        <v>1155</v>
      </c>
      <c r="AI373" s="202">
        <v>0</v>
      </c>
      <c r="AJ373" s="202">
        <v>0</v>
      </c>
    </row>
    <row r="374" spans="2:36">
      <c r="B374" s="203">
        <v>2180</v>
      </c>
      <c r="C374" s="207">
        <v>185086</v>
      </c>
      <c r="D374" s="203">
        <v>184365</v>
      </c>
      <c r="E374" s="202" t="s">
        <v>242</v>
      </c>
      <c r="F374" s="203"/>
      <c r="G374" s="202"/>
      <c r="H374" s="202"/>
      <c r="I374" s="202"/>
      <c r="J374" s="202">
        <v>0</v>
      </c>
      <c r="K374" s="202" t="s">
        <v>1576</v>
      </c>
      <c r="L374" s="202"/>
      <c r="M374" s="202" t="s">
        <v>1447</v>
      </c>
      <c r="N374" s="206">
        <v>42944</v>
      </c>
      <c r="O374" s="206">
        <v>42944</v>
      </c>
      <c r="P374" s="202" t="s">
        <v>2588</v>
      </c>
      <c r="Q374" s="203">
        <v>1000</v>
      </c>
      <c r="R374" s="203">
        <v>14040</v>
      </c>
      <c r="S374" s="204">
        <v>7085.38</v>
      </c>
      <c r="T374" s="203">
        <v>14046</v>
      </c>
      <c r="U374" s="204">
        <v>3129.39</v>
      </c>
      <c r="V374" s="204">
        <f t="shared" si="16"/>
        <v>3955.9900000000002</v>
      </c>
      <c r="W374" s="205">
        <v>708.54</v>
      </c>
      <c r="X374" s="203">
        <v>51260</v>
      </c>
      <c r="Y374" s="204">
        <v>59.04</v>
      </c>
      <c r="Z374" s="202" t="s">
        <v>97</v>
      </c>
      <c r="AA374" s="202"/>
      <c r="AB374" s="202">
        <v>98471</v>
      </c>
      <c r="AC374" s="202"/>
      <c r="AD374" s="202" t="s">
        <v>1152</v>
      </c>
      <c r="AE374" s="202" t="s">
        <v>1153</v>
      </c>
      <c r="AF374" s="203" t="s">
        <v>1154</v>
      </c>
      <c r="AG374" s="202"/>
      <c r="AH374" s="203" t="s">
        <v>1155</v>
      </c>
      <c r="AI374" s="202">
        <v>0</v>
      </c>
      <c r="AJ374" s="202">
        <v>0</v>
      </c>
    </row>
    <row r="375" spans="2:36">
      <c r="B375" s="203">
        <v>2180</v>
      </c>
      <c r="C375" s="207">
        <v>184563</v>
      </c>
      <c r="D375" s="203">
        <v>184365</v>
      </c>
      <c r="E375" s="202" t="s">
        <v>243</v>
      </c>
      <c r="F375" s="203"/>
      <c r="G375" s="202"/>
      <c r="H375" s="202"/>
      <c r="I375" s="202"/>
      <c r="J375" s="202">
        <v>2017</v>
      </c>
      <c r="K375" s="202" t="s">
        <v>2590</v>
      </c>
      <c r="L375" s="202"/>
      <c r="M375" s="202" t="s">
        <v>1158</v>
      </c>
      <c r="N375" s="206">
        <v>42944</v>
      </c>
      <c r="O375" s="206">
        <v>42944</v>
      </c>
      <c r="P375" s="202" t="s">
        <v>2588</v>
      </c>
      <c r="Q375" s="203">
        <v>500</v>
      </c>
      <c r="R375" s="203">
        <v>14040</v>
      </c>
      <c r="S375" s="204">
        <v>1913.81</v>
      </c>
      <c r="T375" s="203">
        <v>14046</v>
      </c>
      <c r="U375" s="204">
        <v>1690.53</v>
      </c>
      <c r="V375" s="204">
        <f t="shared" si="16"/>
        <v>223.27999999999997</v>
      </c>
      <c r="W375" s="205">
        <v>382.76</v>
      </c>
      <c r="X375" s="203">
        <v>51260</v>
      </c>
      <c r="Y375" s="204">
        <v>31.9</v>
      </c>
      <c r="Z375" s="202" t="s">
        <v>97</v>
      </c>
      <c r="AA375" s="202"/>
      <c r="AB375" s="202">
        <v>5083750</v>
      </c>
      <c r="AC375" s="202"/>
      <c r="AD375" s="202" t="s">
        <v>1152</v>
      </c>
      <c r="AE375" s="202" t="s">
        <v>1153</v>
      </c>
      <c r="AF375" s="203" t="s">
        <v>1154</v>
      </c>
      <c r="AG375" s="202"/>
      <c r="AH375" s="203" t="s">
        <v>1155</v>
      </c>
      <c r="AI375" s="202">
        <v>0</v>
      </c>
      <c r="AJ375" s="202">
        <v>0</v>
      </c>
    </row>
    <row r="376" spans="2:36">
      <c r="B376" s="203">
        <v>2180</v>
      </c>
      <c r="C376" s="207">
        <v>184562</v>
      </c>
      <c r="D376" s="203">
        <v>184364</v>
      </c>
      <c r="E376" s="202" t="s">
        <v>114</v>
      </c>
      <c r="F376" s="203"/>
      <c r="G376" s="202"/>
      <c r="H376" s="202">
        <v>0</v>
      </c>
      <c r="I376" s="202"/>
      <c r="J376" s="202">
        <v>2017</v>
      </c>
      <c r="K376" s="202">
        <v>0</v>
      </c>
      <c r="L376" s="202">
        <v>0</v>
      </c>
      <c r="M376" s="202" t="s">
        <v>1158</v>
      </c>
      <c r="N376" s="206">
        <v>42942</v>
      </c>
      <c r="O376" s="206">
        <v>42942</v>
      </c>
      <c r="P376" s="202" t="s">
        <v>2583</v>
      </c>
      <c r="Q376" s="203">
        <v>500</v>
      </c>
      <c r="R376" s="203">
        <v>14040</v>
      </c>
      <c r="S376" s="204">
        <v>346.44</v>
      </c>
      <c r="T376" s="203">
        <v>14046</v>
      </c>
      <c r="U376" s="204">
        <v>306.02999999999997</v>
      </c>
      <c r="V376" s="204">
        <f t="shared" si="16"/>
        <v>40.410000000000025</v>
      </c>
      <c r="W376" s="205">
        <v>69.290000000000006</v>
      </c>
      <c r="X376" s="203">
        <v>51260</v>
      </c>
      <c r="Y376" s="204">
        <v>5.77</v>
      </c>
      <c r="Z376" s="202" t="s">
        <v>97</v>
      </c>
      <c r="AA376" s="202"/>
      <c r="AB376" s="202">
        <v>2520</v>
      </c>
      <c r="AC376" s="202"/>
      <c r="AD376" s="202" t="s">
        <v>1152</v>
      </c>
      <c r="AE376" s="202" t="s">
        <v>1153</v>
      </c>
      <c r="AF376" s="203" t="s">
        <v>1154</v>
      </c>
      <c r="AG376" s="202"/>
      <c r="AH376" s="203" t="s">
        <v>1155</v>
      </c>
      <c r="AI376" s="202">
        <v>0</v>
      </c>
      <c r="AJ376" s="202">
        <v>0</v>
      </c>
    </row>
    <row r="377" spans="2:36">
      <c r="B377" s="203">
        <v>2180</v>
      </c>
      <c r="C377" s="207">
        <v>184365</v>
      </c>
      <c r="D377" s="203" t="s">
        <v>97</v>
      </c>
      <c r="E377" s="202" t="s">
        <v>118</v>
      </c>
      <c r="F377" s="203"/>
      <c r="G377" s="202"/>
      <c r="H377" s="202" t="s">
        <v>2589</v>
      </c>
      <c r="I377" s="202"/>
      <c r="J377" s="202">
        <v>2018</v>
      </c>
      <c r="K377" s="202" t="s">
        <v>2290</v>
      </c>
      <c r="L377" s="202" t="s">
        <v>2440</v>
      </c>
      <c r="M377" s="202" t="s">
        <v>1999</v>
      </c>
      <c r="N377" s="206">
        <v>42944</v>
      </c>
      <c r="O377" s="206">
        <v>42944</v>
      </c>
      <c r="P377" s="202" t="s">
        <v>2588</v>
      </c>
      <c r="Q377" s="203">
        <v>1000</v>
      </c>
      <c r="R377" s="203">
        <v>14040</v>
      </c>
      <c r="S377" s="204">
        <v>308316.27</v>
      </c>
      <c r="T377" s="203">
        <v>14046</v>
      </c>
      <c r="U377" s="204">
        <v>136172.98000000001</v>
      </c>
      <c r="V377" s="204">
        <f t="shared" si="16"/>
        <v>172143.29</v>
      </c>
      <c r="W377" s="205">
        <v>30831.62</v>
      </c>
      <c r="X377" s="203">
        <v>51260</v>
      </c>
      <c r="Y377" s="204">
        <v>2569.3000000000002</v>
      </c>
      <c r="Z377" s="202" t="s">
        <v>97</v>
      </c>
      <c r="AA377" s="202"/>
      <c r="AB377" s="202" t="s">
        <v>2587</v>
      </c>
      <c r="AC377" s="202">
        <v>2047</v>
      </c>
      <c r="AD377" s="202" t="s">
        <v>1152</v>
      </c>
      <c r="AE377" s="202" t="s">
        <v>1153</v>
      </c>
      <c r="AF377" s="203" t="s">
        <v>1154</v>
      </c>
      <c r="AG377" s="202"/>
      <c r="AH377" s="203" t="s">
        <v>1155</v>
      </c>
      <c r="AI377" s="202">
        <v>0</v>
      </c>
      <c r="AJ377" s="202">
        <v>0</v>
      </c>
    </row>
    <row r="378" spans="2:36">
      <c r="B378" s="203">
        <v>2180</v>
      </c>
      <c r="C378" s="207">
        <v>184364</v>
      </c>
      <c r="D378" s="203" t="s">
        <v>97</v>
      </c>
      <c r="E378" s="202" t="s">
        <v>2586</v>
      </c>
      <c r="F378" s="203"/>
      <c r="G378" s="202"/>
      <c r="H378" s="202" t="s">
        <v>2585</v>
      </c>
      <c r="I378" s="202"/>
      <c r="J378" s="202">
        <v>2017</v>
      </c>
      <c r="K378" s="202" t="s">
        <v>2556</v>
      </c>
      <c r="L378" s="202" t="s">
        <v>2584</v>
      </c>
      <c r="M378" s="202" t="s">
        <v>2112</v>
      </c>
      <c r="N378" s="206">
        <v>42942</v>
      </c>
      <c r="O378" s="206">
        <v>42942</v>
      </c>
      <c r="P378" s="202" t="s">
        <v>2583</v>
      </c>
      <c r="Q378" s="203">
        <v>1000</v>
      </c>
      <c r="R378" s="203">
        <v>14040</v>
      </c>
      <c r="S378" s="204">
        <v>143024.03</v>
      </c>
      <c r="T378" s="203">
        <v>14046</v>
      </c>
      <c r="U378" s="204">
        <v>63168.94</v>
      </c>
      <c r="V378" s="204">
        <f t="shared" si="16"/>
        <v>79855.09</v>
      </c>
      <c r="W378" s="205">
        <v>14302.4</v>
      </c>
      <c r="X378" s="203">
        <v>51260</v>
      </c>
      <c r="Y378" s="204">
        <v>1191.8699999999999</v>
      </c>
      <c r="Z378" s="202" t="s">
        <v>97</v>
      </c>
      <c r="AA378" s="202"/>
      <c r="AB378" s="202">
        <v>98145</v>
      </c>
      <c r="AC378" s="202">
        <v>3304</v>
      </c>
      <c r="AD378" s="202" t="s">
        <v>1152</v>
      </c>
      <c r="AE378" s="202" t="s">
        <v>1153</v>
      </c>
      <c r="AF378" s="203" t="s">
        <v>1154</v>
      </c>
      <c r="AG378" s="202"/>
      <c r="AH378" s="203" t="s">
        <v>1155</v>
      </c>
      <c r="AI378" s="202">
        <v>0</v>
      </c>
      <c r="AJ378" s="202">
        <v>0</v>
      </c>
    </row>
    <row r="379" spans="2:36">
      <c r="B379" s="203">
        <v>2180</v>
      </c>
      <c r="C379" s="207">
        <v>183935</v>
      </c>
      <c r="D379" s="203" t="s">
        <v>97</v>
      </c>
      <c r="E379" s="202" t="s">
        <v>2582</v>
      </c>
      <c r="F379" s="203">
        <v>13</v>
      </c>
      <c r="G379" s="202"/>
      <c r="H379" s="202"/>
      <c r="I379" s="202"/>
      <c r="J379" s="202">
        <v>0</v>
      </c>
      <c r="K379" s="202" t="s">
        <v>2445</v>
      </c>
      <c r="L379" s="202"/>
      <c r="M379" s="202" t="s">
        <v>2382</v>
      </c>
      <c r="N379" s="206">
        <v>42895</v>
      </c>
      <c r="O379" s="206">
        <v>42895</v>
      </c>
      <c r="P379" s="202" t="s">
        <v>2581</v>
      </c>
      <c r="Q379" s="203">
        <v>700</v>
      </c>
      <c r="R379" s="203">
        <v>14050</v>
      </c>
      <c r="S379" s="204">
        <v>17637.47</v>
      </c>
      <c r="T379" s="203">
        <v>14056</v>
      </c>
      <c r="U379" s="204">
        <v>11548.35</v>
      </c>
      <c r="V379" s="204">
        <f t="shared" si="16"/>
        <v>6089.1200000000008</v>
      </c>
      <c r="W379" s="205">
        <v>2519.64</v>
      </c>
      <c r="X379" s="203">
        <v>54260</v>
      </c>
      <c r="Y379" s="204">
        <v>209.97</v>
      </c>
      <c r="Z379" s="202" t="s">
        <v>97</v>
      </c>
      <c r="AA379" s="202"/>
      <c r="AB379" s="202" t="s">
        <v>2580</v>
      </c>
      <c r="AC379" s="202"/>
      <c r="AD379" s="202" t="s">
        <v>1152</v>
      </c>
      <c r="AE379" s="202" t="s">
        <v>1153</v>
      </c>
      <c r="AF379" s="203" t="s">
        <v>1154</v>
      </c>
      <c r="AG379" s="202"/>
      <c r="AH379" s="203" t="s">
        <v>1155</v>
      </c>
      <c r="AI379" s="202">
        <v>0</v>
      </c>
      <c r="AJ379" s="202">
        <v>0</v>
      </c>
    </row>
    <row r="380" spans="2:36">
      <c r="B380" s="203">
        <v>2180</v>
      </c>
      <c r="C380" s="207">
        <v>183934</v>
      </c>
      <c r="D380" s="203" t="s">
        <v>97</v>
      </c>
      <c r="E380" s="202" t="s">
        <v>2429</v>
      </c>
      <c r="F380" s="203">
        <v>702</v>
      </c>
      <c r="G380" s="202"/>
      <c r="H380" s="202"/>
      <c r="I380" s="202"/>
      <c r="J380" s="202">
        <v>0</v>
      </c>
      <c r="K380" s="202" t="s">
        <v>2445</v>
      </c>
      <c r="L380" s="202"/>
      <c r="M380" s="202"/>
      <c r="N380" s="206">
        <v>42899</v>
      </c>
      <c r="O380" s="206">
        <v>42899</v>
      </c>
      <c r="P380" s="202" t="s">
        <v>2579</v>
      </c>
      <c r="Q380" s="203">
        <v>700</v>
      </c>
      <c r="R380" s="203">
        <v>14050</v>
      </c>
      <c r="S380" s="204">
        <v>38623.17</v>
      </c>
      <c r="T380" s="203">
        <v>14056</v>
      </c>
      <c r="U380" s="204">
        <v>25289</v>
      </c>
      <c r="V380" s="204">
        <f t="shared" si="16"/>
        <v>13334.169999999998</v>
      </c>
      <c r="W380" s="205">
        <v>5517.6</v>
      </c>
      <c r="X380" s="203">
        <v>54260</v>
      </c>
      <c r="Y380" s="204">
        <v>459.8</v>
      </c>
      <c r="Z380" s="202" t="s">
        <v>97</v>
      </c>
      <c r="AA380" s="202"/>
      <c r="AB380" s="202" t="s">
        <v>2578</v>
      </c>
      <c r="AC380" s="202"/>
      <c r="AD380" s="202" t="s">
        <v>1152</v>
      </c>
      <c r="AE380" s="202" t="s">
        <v>1153</v>
      </c>
      <c r="AF380" s="203" t="s">
        <v>1154</v>
      </c>
      <c r="AG380" s="202"/>
      <c r="AH380" s="203" t="s">
        <v>1155</v>
      </c>
      <c r="AI380" s="202">
        <v>0</v>
      </c>
      <c r="AJ380" s="202">
        <v>0</v>
      </c>
    </row>
    <row r="381" spans="2:36">
      <c r="B381" s="203">
        <v>2180</v>
      </c>
      <c r="C381" s="207">
        <v>183933</v>
      </c>
      <c r="D381" s="203" t="s">
        <v>97</v>
      </c>
      <c r="E381" s="202" t="s">
        <v>2552</v>
      </c>
      <c r="F381" s="203">
        <v>702</v>
      </c>
      <c r="G381" s="202"/>
      <c r="H381" s="202"/>
      <c r="I381" s="202"/>
      <c r="J381" s="202">
        <v>0</v>
      </c>
      <c r="K381" s="202" t="s">
        <v>2445</v>
      </c>
      <c r="L381" s="202"/>
      <c r="M381" s="202"/>
      <c r="N381" s="206">
        <v>42899</v>
      </c>
      <c r="O381" s="206">
        <v>42899</v>
      </c>
      <c r="P381" s="202" t="s">
        <v>2577</v>
      </c>
      <c r="Q381" s="203">
        <v>700</v>
      </c>
      <c r="R381" s="203">
        <v>14050</v>
      </c>
      <c r="S381" s="204">
        <v>38623.17</v>
      </c>
      <c r="T381" s="203">
        <v>14056</v>
      </c>
      <c r="U381" s="204">
        <v>25289</v>
      </c>
      <c r="V381" s="204">
        <f t="shared" si="16"/>
        <v>13334.169999999998</v>
      </c>
      <c r="W381" s="205">
        <v>5517.6</v>
      </c>
      <c r="X381" s="203">
        <v>54260</v>
      </c>
      <c r="Y381" s="204">
        <v>459.8</v>
      </c>
      <c r="Z381" s="202" t="s">
        <v>97</v>
      </c>
      <c r="AA381" s="202"/>
      <c r="AB381" s="202" t="s">
        <v>2576</v>
      </c>
      <c r="AC381" s="202"/>
      <c r="AD381" s="202" t="s">
        <v>1152</v>
      </c>
      <c r="AE381" s="202" t="s">
        <v>1153</v>
      </c>
      <c r="AF381" s="203" t="s">
        <v>1154</v>
      </c>
      <c r="AG381" s="202"/>
      <c r="AH381" s="203" t="s">
        <v>1155</v>
      </c>
      <c r="AI381" s="202">
        <v>0</v>
      </c>
      <c r="AJ381" s="202">
        <v>0</v>
      </c>
    </row>
    <row r="382" spans="2:36">
      <c r="B382" s="203">
        <v>2180</v>
      </c>
      <c r="C382" s="207">
        <v>183932</v>
      </c>
      <c r="D382" s="203" t="s">
        <v>97</v>
      </c>
      <c r="E382" s="202" t="s">
        <v>2528</v>
      </c>
      <c r="F382" s="203">
        <v>624</v>
      </c>
      <c r="G382" s="202"/>
      <c r="H382" s="202"/>
      <c r="I382" s="202"/>
      <c r="J382" s="202">
        <v>0</v>
      </c>
      <c r="K382" s="202" t="s">
        <v>2502</v>
      </c>
      <c r="L382" s="202"/>
      <c r="M382" s="202"/>
      <c r="N382" s="206">
        <v>42914</v>
      </c>
      <c r="O382" s="206">
        <v>42914</v>
      </c>
      <c r="P382" s="202" t="s">
        <v>2575</v>
      </c>
      <c r="Q382" s="203">
        <v>700</v>
      </c>
      <c r="R382" s="203">
        <v>14050</v>
      </c>
      <c r="S382" s="204">
        <v>32784.07</v>
      </c>
      <c r="T382" s="203">
        <v>14056</v>
      </c>
      <c r="U382" s="204">
        <v>21075.48</v>
      </c>
      <c r="V382" s="204">
        <f t="shared" si="16"/>
        <v>11708.59</v>
      </c>
      <c r="W382" s="205">
        <v>4683.4399999999996</v>
      </c>
      <c r="X382" s="203">
        <v>54260</v>
      </c>
      <c r="Y382" s="204">
        <v>390.29</v>
      </c>
      <c r="Z382" s="202" t="s">
        <v>97</v>
      </c>
      <c r="AA382" s="202"/>
      <c r="AB382" s="202">
        <v>65474669</v>
      </c>
      <c r="AC382" s="202"/>
      <c r="AD382" s="202" t="s">
        <v>1152</v>
      </c>
      <c r="AE382" s="202" t="s">
        <v>1153</v>
      </c>
      <c r="AF382" s="203" t="s">
        <v>1154</v>
      </c>
      <c r="AG382" s="202"/>
      <c r="AH382" s="203" t="s">
        <v>1155</v>
      </c>
      <c r="AI382" s="202">
        <v>0</v>
      </c>
      <c r="AJ382" s="202">
        <v>0</v>
      </c>
    </row>
    <row r="383" spans="2:36">
      <c r="B383" s="203">
        <v>2180</v>
      </c>
      <c r="C383" s="207">
        <v>183931</v>
      </c>
      <c r="D383" s="203" t="s">
        <v>97</v>
      </c>
      <c r="E383" s="202" t="s">
        <v>2528</v>
      </c>
      <c r="F383" s="203">
        <v>624</v>
      </c>
      <c r="G383" s="202"/>
      <c r="H383" s="202"/>
      <c r="I383" s="202"/>
      <c r="J383" s="202">
        <v>0</v>
      </c>
      <c r="K383" s="202" t="s">
        <v>2502</v>
      </c>
      <c r="L383" s="202"/>
      <c r="M383" s="202"/>
      <c r="N383" s="206">
        <v>42896</v>
      </c>
      <c r="O383" s="206">
        <v>42896</v>
      </c>
      <c r="P383" s="202" t="s">
        <v>2575</v>
      </c>
      <c r="Q383" s="203">
        <v>700</v>
      </c>
      <c r="R383" s="203">
        <v>14050</v>
      </c>
      <c r="S383" s="204">
        <v>32784.07</v>
      </c>
      <c r="T383" s="203">
        <v>14056</v>
      </c>
      <c r="U383" s="204">
        <v>21465.77</v>
      </c>
      <c r="V383" s="204">
        <f t="shared" si="16"/>
        <v>11318.3</v>
      </c>
      <c r="W383" s="205">
        <v>4683.4399999999996</v>
      </c>
      <c r="X383" s="203">
        <v>54260</v>
      </c>
      <c r="Y383" s="204">
        <v>390.29</v>
      </c>
      <c r="Z383" s="202" t="s">
        <v>97</v>
      </c>
      <c r="AA383" s="202"/>
      <c r="AB383" s="202">
        <v>65471581</v>
      </c>
      <c r="AC383" s="202"/>
      <c r="AD383" s="202" t="s">
        <v>1152</v>
      </c>
      <c r="AE383" s="202" t="s">
        <v>1153</v>
      </c>
      <c r="AF383" s="203" t="s">
        <v>1154</v>
      </c>
      <c r="AG383" s="202"/>
      <c r="AH383" s="203" t="s">
        <v>1155</v>
      </c>
      <c r="AI383" s="202">
        <v>0</v>
      </c>
      <c r="AJ383" s="202">
        <v>0</v>
      </c>
    </row>
    <row r="384" spans="2:36">
      <c r="B384" s="203">
        <v>2180</v>
      </c>
      <c r="C384" s="207">
        <v>183887</v>
      </c>
      <c r="D384" s="203" t="s">
        <v>97</v>
      </c>
      <c r="E384" s="202" t="s">
        <v>2574</v>
      </c>
      <c r="F384" s="203">
        <v>5</v>
      </c>
      <c r="G384" s="202"/>
      <c r="H384" s="202"/>
      <c r="I384" s="202"/>
      <c r="J384" s="202">
        <v>0</v>
      </c>
      <c r="K384" s="202" t="s">
        <v>2041</v>
      </c>
      <c r="L384" s="202"/>
      <c r="M384" s="202" t="s">
        <v>1458</v>
      </c>
      <c r="N384" s="206">
        <v>42914</v>
      </c>
      <c r="O384" s="206">
        <v>42914</v>
      </c>
      <c r="P384" s="202" t="s">
        <v>2568</v>
      </c>
      <c r="Q384" s="203">
        <v>1200</v>
      </c>
      <c r="R384" s="203">
        <v>14050</v>
      </c>
      <c r="S384" s="204">
        <v>28000</v>
      </c>
      <c r="T384" s="203">
        <v>14056</v>
      </c>
      <c r="U384" s="204">
        <v>10499.99</v>
      </c>
      <c r="V384" s="204">
        <f t="shared" si="16"/>
        <v>17500.010000000002</v>
      </c>
      <c r="W384" s="205">
        <v>2333.33</v>
      </c>
      <c r="X384" s="203">
        <v>54260</v>
      </c>
      <c r="Y384" s="204">
        <v>194.44</v>
      </c>
      <c r="Z384" s="202" t="s">
        <v>97</v>
      </c>
      <c r="AA384" s="202"/>
      <c r="AB384" s="202">
        <v>130803</v>
      </c>
      <c r="AC384" s="202"/>
      <c r="AD384" s="202" t="s">
        <v>1152</v>
      </c>
      <c r="AE384" s="202" t="s">
        <v>1153</v>
      </c>
      <c r="AF384" s="203" t="s">
        <v>1154</v>
      </c>
      <c r="AG384" s="202"/>
      <c r="AH384" s="203" t="s">
        <v>1155</v>
      </c>
      <c r="AI384" s="202">
        <v>0</v>
      </c>
      <c r="AJ384" s="202">
        <v>0</v>
      </c>
    </row>
    <row r="385" spans="2:36">
      <c r="B385" s="203">
        <v>2180</v>
      </c>
      <c r="C385" s="207">
        <v>183497</v>
      </c>
      <c r="D385" s="203">
        <v>90584</v>
      </c>
      <c r="E385" s="202" t="s">
        <v>2573</v>
      </c>
      <c r="F385" s="203"/>
      <c r="G385" s="202"/>
      <c r="H385" s="202"/>
      <c r="I385" s="202"/>
      <c r="J385" s="202">
        <v>0</v>
      </c>
      <c r="K385" s="202" t="s">
        <v>2296</v>
      </c>
      <c r="L385" s="202"/>
      <c r="M385" s="202" t="s">
        <v>1158</v>
      </c>
      <c r="N385" s="206">
        <v>42886</v>
      </c>
      <c r="O385" s="206">
        <v>42886</v>
      </c>
      <c r="P385" s="202" t="s">
        <v>2572</v>
      </c>
      <c r="Q385" s="203">
        <v>300</v>
      </c>
      <c r="R385" s="203">
        <v>14040</v>
      </c>
      <c r="S385" s="204">
        <v>14357</v>
      </c>
      <c r="T385" s="203">
        <v>14046</v>
      </c>
      <c r="U385" s="204">
        <v>14357</v>
      </c>
      <c r="V385" s="204">
        <f t="shared" si="16"/>
        <v>0</v>
      </c>
      <c r="W385" s="205">
        <v>0</v>
      </c>
      <c r="X385" s="203">
        <v>51260</v>
      </c>
      <c r="Y385" s="204">
        <v>0</v>
      </c>
      <c r="Z385" s="202" t="s">
        <v>97</v>
      </c>
      <c r="AA385" s="202"/>
      <c r="AB385" s="202" t="s">
        <v>2571</v>
      </c>
      <c r="AC385" s="202"/>
      <c r="AD385" s="202" t="s">
        <v>1152</v>
      </c>
      <c r="AE385" s="202" t="s">
        <v>1153</v>
      </c>
      <c r="AF385" s="203" t="s">
        <v>1154</v>
      </c>
      <c r="AG385" s="202"/>
      <c r="AH385" s="203" t="s">
        <v>1155</v>
      </c>
      <c r="AI385" s="202">
        <v>0</v>
      </c>
      <c r="AJ385" s="202">
        <v>0</v>
      </c>
    </row>
    <row r="386" spans="2:36">
      <c r="B386" s="203">
        <v>2180</v>
      </c>
      <c r="C386" s="207">
        <v>183458</v>
      </c>
      <c r="D386" s="203" t="s">
        <v>97</v>
      </c>
      <c r="E386" s="202" t="s">
        <v>2570</v>
      </c>
      <c r="F386" s="203">
        <v>6</v>
      </c>
      <c r="G386" s="202"/>
      <c r="H386" s="202"/>
      <c r="I386" s="202"/>
      <c r="J386" s="202">
        <v>0</v>
      </c>
      <c r="K386" s="202" t="s">
        <v>2041</v>
      </c>
      <c r="L386" s="202"/>
      <c r="M386" s="202" t="s">
        <v>1454</v>
      </c>
      <c r="N386" s="206">
        <v>42914</v>
      </c>
      <c r="O386" s="206">
        <v>42914</v>
      </c>
      <c r="P386" s="202" t="s">
        <v>2568</v>
      </c>
      <c r="Q386" s="203">
        <v>1200</v>
      </c>
      <c r="R386" s="203">
        <v>14050</v>
      </c>
      <c r="S386" s="204">
        <v>37050</v>
      </c>
      <c r="T386" s="203">
        <v>14056</v>
      </c>
      <c r="U386" s="204">
        <v>13893.75</v>
      </c>
      <c r="V386" s="204">
        <f t="shared" si="16"/>
        <v>23156.25</v>
      </c>
      <c r="W386" s="205">
        <v>3087.5</v>
      </c>
      <c r="X386" s="203">
        <v>54260</v>
      </c>
      <c r="Y386" s="204">
        <v>257.29000000000002</v>
      </c>
      <c r="Z386" s="202" t="s">
        <v>97</v>
      </c>
      <c r="AA386" s="202"/>
      <c r="AB386" s="202">
        <v>130726</v>
      </c>
      <c r="AC386" s="202"/>
      <c r="AD386" s="202" t="s">
        <v>1152</v>
      </c>
      <c r="AE386" s="202" t="s">
        <v>1153</v>
      </c>
      <c r="AF386" s="203" t="s">
        <v>1154</v>
      </c>
      <c r="AG386" s="202"/>
      <c r="AH386" s="203" t="s">
        <v>1155</v>
      </c>
      <c r="AI386" s="202">
        <v>0</v>
      </c>
      <c r="AJ386" s="202">
        <v>0</v>
      </c>
    </row>
    <row r="387" spans="2:36">
      <c r="B387" s="203">
        <v>2180</v>
      </c>
      <c r="C387" s="207">
        <v>183457</v>
      </c>
      <c r="D387" s="203" t="s">
        <v>97</v>
      </c>
      <c r="E387" s="202" t="s">
        <v>2569</v>
      </c>
      <c r="F387" s="203">
        <v>6</v>
      </c>
      <c r="G387" s="202"/>
      <c r="H387" s="202"/>
      <c r="I387" s="202"/>
      <c r="J387" s="202">
        <v>0</v>
      </c>
      <c r="K387" s="202" t="s">
        <v>2041</v>
      </c>
      <c r="L387" s="202"/>
      <c r="M387" s="202" t="s">
        <v>1417</v>
      </c>
      <c r="N387" s="206">
        <v>42914</v>
      </c>
      <c r="O387" s="206">
        <v>42914</v>
      </c>
      <c r="P387" s="202" t="s">
        <v>2568</v>
      </c>
      <c r="Q387" s="203">
        <v>1200</v>
      </c>
      <c r="R387" s="203">
        <v>14050</v>
      </c>
      <c r="S387" s="204">
        <v>42870</v>
      </c>
      <c r="T387" s="203">
        <v>14056</v>
      </c>
      <c r="U387" s="204">
        <v>16076.25</v>
      </c>
      <c r="V387" s="204">
        <f t="shared" si="16"/>
        <v>26793.75</v>
      </c>
      <c r="W387" s="205">
        <v>3572.5</v>
      </c>
      <c r="X387" s="203">
        <v>54260</v>
      </c>
      <c r="Y387" s="204">
        <v>297.70999999999998</v>
      </c>
      <c r="Z387" s="202" t="s">
        <v>97</v>
      </c>
      <c r="AA387" s="202"/>
      <c r="AB387" s="202">
        <v>130727</v>
      </c>
      <c r="AC387" s="202"/>
      <c r="AD387" s="202" t="s">
        <v>1152</v>
      </c>
      <c r="AE387" s="202" t="s">
        <v>1153</v>
      </c>
      <c r="AF387" s="203" t="s">
        <v>1154</v>
      </c>
      <c r="AG387" s="202"/>
      <c r="AH387" s="203" t="s">
        <v>1155</v>
      </c>
      <c r="AI387" s="202">
        <v>0</v>
      </c>
      <c r="AJ387" s="202">
        <v>0</v>
      </c>
    </row>
    <row r="388" spans="2:36">
      <c r="B388" s="203">
        <v>2180</v>
      </c>
      <c r="C388" s="207">
        <v>183284</v>
      </c>
      <c r="D388" s="203">
        <v>181935</v>
      </c>
      <c r="E388" s="202" t="s">
        <v>211</v>
      </c>
      <c r="F388" s="203"/>
      <c r="G388" s="202"/>
      <c r="H388" s="202"/>
      <c r="I388" s="202"/>
      <c r="J388" s="202">
        <v>0</v>
      </c>
      <c r="K388" s="202"/>
      <c r="L388" s="202" t="s">
        <v>2567</v>
      </c>
      <c r="M388" s="202" t="s">
        <v>1447</v>
      </c>
      <c r="N388" s="206">
        <v>42900</v>
      </c>
      <c r="O388" s="206">
        <v>42900</v>
      </c>
      <c r="P388" s="202" t="s">
        <v>2555</v>
      </c>
      <c r="Q388" s="203">
        <v>1000</v>
      </c>
      <c r="R388" s="203">
        <v>14040</v>
      </c>
      <c r="S388" s="204">
        <v>8346.19</v>
      </c>
      <c r="T388" s="203">
        <v>14046</v>
      </c>
      <c r="U388" s="204">
        <v>3825.34</v>
      </c>
      <c r="V388" s="204">
        <f t="shared" si="16"/>
        <v>4520.8500000000004</v>
      </c>
      <c r="W388" s="205">
        <v>834.62</v>
      </c>
      <c r="X388" s="203">
        <v>51260</v>
      </c>
      <c r="Y388" s="204">
        <v>69.55</v>
      </c>
      <c r="Z388" s="202" t="s">
        <v>97</v>
      </c>
      <c r="AA388" s="202"/>
      <c r="AB388" s="202">
        <v>98144</v>
      </c>
      <c r="AC388" s="202"/>
      <c r="AD388" s="202" t="s">
        <v>1152</v>
      </c>
      <c r="AE388" s="202" t="s">
        <v>1153</v>
      </c>
      <c r="AF388" s="203" t="s">
        <v>1154</v>
      </c>
      <c r="AG388" s="202"/>
      <c r="AH388" s="203" t="s">
        <v>1155</v>
      </c>
      <c r="AI388" s="202">
        <v>0</v>
      </c>
      <c r="AJ388" s="202">
        <v>0</v>
      </c>
    </row>
    <row r="389" spans="2:36">
      <c r="B389" s="203">
        <v>2180</v>
      </c>
      <c r="C389" s="207">
        <v>182378</v>
      </c>
      <c r="D389" s="203" t="s">
        <v>97</v>
      </c>
      <c r="E389" s="202" t="s">
        <v>2566</v>
      </c>
      <c r="F389" s="203">
        <v>7</v>
      </c>
      <c r="G389" s="202"/>
      <c r="H389" s="202"/>
      <c r="I389" s="202"/>
      <c r="J389" s="202">
        <v>0</v>
      </c>
      <c r="K389" s="202" t="s">
        <v>2041</v>
      </c>
      <c r="L389" s="202"/>
      <c r="M389" s="202" t="s">
        <v>1417</v>
      </c>
      <c r="N389" s="206">
        <v>42216</v>
      </c>
      <c r="O389" s="206">
        <v>42216</v>
      </c>
      <c r="P389" s="202" t="s">
        <v>2565</v>
      </c>
      <c r="Q389" s="203">
        <v>1200</v>
      </c>
      <c r="R389" s="203">
        <v>14050</v>
      </c>
      <c r="S389" s="204">
        <v>43330</v>
      </c>
      <c r="T389" s="203">
        <v>14056</v>
      </c>
      <c r="U389" s="204">
        <v>23169.42</v>
      </c>
      <c r="V389" s="204">
        <f t="shared" si="16"/>
        <v>20160.580000000002</v>
      </c>
      <c r="W389" s="205">
        <v>3610.82</v>
      </c>
      <c r="X389" s="203">
        <v>54260</v>
      </c>
      <c r="Y389" s="204">
        <v>300.89999999999998</v>
      </c>
      <c r="Z389" s="202" t="s">
        <v>97</v>
      </c>
      <c r="AA389" s="202"/>
      <c r="AB389" s="202">
        <v>110872</v>
      </c>
      <c r="AC389" s="202"/>
      <c r="AD389" s="202" t="s">
        <v>1152</v>
      </c>
      <c r="AE389" s="202" t="s">
        <v>1153</v>
      </c>
      <c r="AF389" s="203" t="s">
        <v>1154</v>
      </c>
      <c r="AG389" s="208">
        <v>42886</v>
      </c>
      <c r="AH389" s="203" t="s">
        <v>1155</v>
      </c>
      <c r="AI389" s="202">
        <v>0</v>
      </c>
      <c r="AJ389" s="202">
        <v>6619.83</v>
      </c>
    </row>
    <row r="390" spans="2:36">
      <c r="B390" s="203">
        <v>2180</v>
      </c>
      <c r="C390" s="207">
        <v>182377</v>
      </c>
      <c r="D390" s="203" t="s">
        <v>97</v>
      </c>
      <c r="E390" s="202" t="s">
        <v>2564</v>
      </c>
      <c r="F390" s="203">
        <v>1</v>
      </c>
      <c r="G390" s="202"/>
      <c r="H390" s="202"/>
      <c r="I390" s="202"/>
      <c r="J390" s="202">
        <v>0</v>
      </c>
      <c r="K390" s="202" t="s">
        <v>1574</v>
      </c>
      <c r="L390" s="202"/>
      <c r="M390" s="202" t="s">
        <v>1417</v>
      </c>
      <c r="N390" s="206">
        <v>41214</v>
      </c>
      <c r="O390" s="206">
        <v>41214</v>
      </c>
      <c r="P390" s="202" t="s">
        <v>2561</v>
      </c>
      <c r="Q390" s="203">
        <v>1200</v>
      </c>
      <c r="R390" s="203">
        <v>14050</v>
      </c>
      <c r="S390" s="204">
        <v>6492.89</v>
      </c>
      <c r="T390" s="203">
        <v>14056</v>
      </c>
      <c r="U390" s="204">
        <v>4959.8999999999996</v>
      </c>
      <c r="V390" s="204">
        <f t="shared" si="16"/>
        <v>1532.9900000000007</v>
      </c>
      <c r="W390" s="205">
        <v>541.08000000000004</v>
      </c>
      <c r="X390" s="203">
        <v>54260</v>
      </c>
      <c r="Y390" s="204">
        <v>45.09</v>
      </c>
      <c r="Z390" s="202" t="s">
        <v>97</v>
      </c>
      <c r="AA390" s="202"/>
      <c r="AB390" s="202">
        <v>76589</v>
      </c>
      <c r="AC390" s="202"/>
      <c r="AD390" s="202" t="s">
        <v>1152</v>
      </c>
      <c r="AE390" s="202" t="s">
        <v>1153</v>
      </c>
      <c r="AF390" s="203" t="s">
        <v>1154</v>
      </c>
      <c r="AG390" s="208">
        <v>42886</v>
      </c>
      <c r="AH390" s="203" t="s">
        <v>1155</v>
      </c>
      <c r="AI390" s="202">
        <v>0</v>
      </c>
      <c r="AJ390" s="202">
        <v>2479.9499999999998</v>
      </c>
    </row>
    <row r="391" spans="2:36">
      <c r="B391" s="203">
        <v>2180</v>
      </c>
      <c r="C391" s="207">
        <v>182376</v>
      </c>
      <c r="D391" s="203" t="s">
        <v>97</v>
      </c>
      <c r="E391" s="202" t="s">
        <v>2563</v>
      </c>
      <c r="F391" s="203">
        <v>3</v>
      </c>
      <c r="G391" s="202"/>
      <c r="H391" s="202"/>
      <c r="I391" s="202"/>
      <c r="J391" s="202">
        <v>0</v>
      </c>
      <c r="K391" s="202" t="s">
        <v>1574</v>
      </c>
      <c r="L391" s="202"/>
      <c r="M391" s="202" t="s">
        <v>1417</v>
      </c>
      <c r="N391" s="206">
        <v>41214</v>
      </c>
      <c r="O391" s="206">
        <v>41214</v>
      </c>
      <c r="P391" s="202" t="s">
        <v>2561</v>
      </c>
      <c r="Q391" s="203">
        <v>1200</v>
      </c>
      <c r="R391" s="203">
        <v>14050</v>
      </c>
      <c r="S391" s="204">
        <v>19478.669999999998</v>
      </c>
      <c r="T391" s="203">
        <v>14056</v>
      </c>
      <c r="U391" s="204">
        <v>14879.52</v>
      </c>
      <c r="V391" s="204">
        <f t="shared" si="16"/>
        <v>4599.1499999999978</v>
      </c>
      <c r="W391" s="205">
        <v>1623.22</v>
      </c>
      <c r="X391" s="203">
        <v>54260</v>
      </c>
      <c r="Y391" s="204">
        <v>135.27000000000001</v>
      </c>
      <c r="Z391" s="202" t="s">
        <v>97</v>
      </c>
      <c r="AA391" s="202"/>
      <c r="AB391" s="202">
        <v>76587</v>
      </c>
      <c r="AC391" s="202"/>
      <c r="AD391" s="202" t="s">
        <v>1152</v>
      </c>
      <c r="AE391" s="202" t="s">
        <v>1153</v>
      </c>
      <c r="AF391" s="203" t="s">
        <v>1154</v>
      </c>
      <c r="AG391" s="208">
        <v>42886</v>
      </c>
      <c r="AH391" s="203" t="s">
        <v>1155</v>
      </c>
      <c r="AI391" s="202">
        <v>0</v>
      </c>
      <c r="AJ391" s="202">
        <v>7439.76</v>
      </c>
    </row>
    <row r="392" spans="2:36">
      <c r="B392" s="203">
        <v>2180</v>
      </c>
      <c r="C392" s="207">
        <v>182375</v>
      </c>
      <c r="D392" s="203" t="s">
        <v>97</v>
      </c>
      <c r="E392" s="202" t="s">
        <v>2563</v>
      </c>
      <c r="F392" s="203">
        <v>3</v>
      </c>
      <c r="G392" s="202"/>
      <c r="H392" s="202"/>
      <c r="I392" s="202"/>
      <c r="J392" s="202">
        <v>0</v>
      </c>
      <c r="K392" s="202" t="s">
        <v>1574</v>
      </c>
      <c r="L392" s="202"/>
      <c r="M392" s="202" t="s">
        <v>1417</v>
      </c>
      <c r="N392" s="206">
        <v>41214</v>
      </c>
      <c r="O392" s="206">
        <v>41214</v>
      </c>
      <c r="P392" s="202" t="s">
        <v>2561</v>
      </c>
      <c r="Q392" s="203">
        <v>1200</v>
      </c>
      <c r="R392" s="203">
        <v>14050</v>
      </c>
      <c r="S392" s="204">
        <v>19478.669999999998</v>
      </c>
      <c r="T392" s="203">
        <v>14056</v>
      </c>
      <c r="U392" s="204">
        <v>14879.52</v>
      </c>
      <c r="V392" s="204">
        <f t="shared" si="16"/>
        <v>4599.1499999999978</v>
      </c>
      <c r="W392" s="205">
        <v>1623.22</v>
      </c>
      <c r="X392" s="203">
        <v>54260</v>
      </c>
      <c r="Y392" s="204">
        <v>135.27000000000001</v>
      </c>
      <c r="Z392" s="202" t="s">
        <v>97</v>
      </c>
      <c r="AA392" s="202"/>
      <c r="AB392" s="202">
        <v>76586</v>
      </c>
      <c r="AC392" s="202"/>
      <c r="AD392" s="202" t="s">
        <v>1152</v>
      </c>
      <c r="AE392" s="202" t="s">
        <v>1153</v>
      </c>
      <c r="AF392" s="203" t="s">
        <v>1154</v>
      </c>
      <c r="AG392" s="208">
        <v>42886</v>
      </c>
      <c r="AH392" s="203" t="s">
        <v>1155</v>
      </c>
      <c r="AI392" s="202">
        <v>0</v>
      </c>
      <c r="AJ392" s="202">
        <v>7439.76</v>
      </c>
    </row>
    <row r="393" spans="2:36">
      <c r="B393" s="203">
        <v>2180</v>
      </c>
      <c r="C393" s="207">
        <v>182374</v>
      </c>
      <c r="D393" s="203" t="s">
        <v>97</v>
      </c>
      <c r="E393" s="202" t="s">
        <v>2562</v>
      </c>
      <c r="F393" s="203">
        <v>2</v>
      </c>
      <c r="G393" s="202"/>
      <c r="H393" s="202"/>
      <c r="I393" s="202"/>
      <c r="J393" s="202">
        <v>0</v>
      </c>
      <c r="K393" s="202" t="s">
        <v>1574</v>
      </c>
      <c r="L393" s="202"/>
      <c r="M393" s="202" t="s">
        <v>1417</v>
      </c>
      <c r="N393" s="206">
        <v>41214</v>
      </c>
      <c r="O393" s="206">
        <v>41214</v>
      </c>
      <c r="P393" s="202" t="s">
        <v>2561</v>
      </c>
      <c r="Q393" s="203">
        <v>1200</v>
      </c>
      <c r="R393" s="203">
        <v>14050</v>
      </c>
      <c r="S393" s="204">
        <v>12985.78</v>
      </c>
      <c r="T393" s="203">
        <v>14056</v>
      </c>
      <c r="U393" s="204">
        <v>9919.7099999999991</v>
      </c>
      <c r="V393" s="204">
        <f t="shared" si="16"/>
        <v>3066.0700000000015</v>
      </c>
      <c r="W393" s="205">
        <v>1082.1500000000001</v>
      </c>
      <c r="X393" s="203">
        <v>54260</v>
      </c>
      <c r="Y393" s="204">
        <v>90.18</v>
      </c>
      <c r="Z393" s="202" t="s">
        <v>97</v>
      </c>
      <c r="AA393" s="202"/>
      <c r="AB393" s="202">
        <v>76547</v>
      </c>
      <c r="AC393" s="202"/>
      <c r="AD393" s="202" t="s">
        <v>1152</v>
      </c>
      <c r="AE393" s="202" t="s">
        <v>1153</v>
      </c>
      <c r="AF393" s="203" t="s">
        <v>1154</v>
      </c>
      <c r="AG393" s="208">
        <v>42886</v>
      </c>
      <c r="AH393" s="203" t="s">
        <v>1155</v>
      </c>
      <c r="AI393" s="202">
        <v>0</v>
      </c>
      <c r="AJ393" s="202">
        <v>4959.8599999999997</v>
      </c>
    </row>
    <row r="394" spans="2:36">
      <c r="B394" s="203">
        <v>2180</v>
      </c>
      <c r="C394" s="207">
        <v>182373</v>
      </c>
      <c r="D394" s="203" t="s">
        <v>97</v>
      </c>
      <c r="E394" s="202" t="s">
        <v>580</v>
      </c>
      <c r="F394" s="203">
        <v>3</v>
      </c>
      <c r="G394" s="202"/>
      <c r="H394" s="202"/>
      <c r="I394" s="202"/>
      <c r="J394" s="202">
        <v>0</v>
      </c>
      <c r="K394" s="202" t="s">
        <v>2041</v>
      </c>
      <c r="L394" s="202"/>
      <c r="M394" s="202" t="s">
        <v>1454</v>
      </c>
      <c r="N394" s="206">
        <v>41204</v>
      </c>
      <c r="O394" s="206">
        <v>41204</v>
      </c>
      <c r="P394" s="202" t="s">
        <v>2560</v>
      </c>
      <c r="Q394" s="203">
        <v>1200</v>
      </c>
      <c r="R394" s="203">
        <v>14050</v>
      </c>
      <c r="S394" s="204">
        <v>17804.849999999999</v>
      </c>
      <c r="T394" s="203">
        <v>14056</v>
      </c>
      <c r="U394" s="204">
        <v>13600.95</v>
      </c>
      <c r="V394" s="204">
        <f t="shared" si="16"/>
        <v>4203.8999999999978</v>
      </c>
      <c r="W394" s="205">
        <v>1483.74</v>
      </c>
      <c r="X394" s="203">
        <v>54260</v>
      </c>
      <c r="Y394" s="204">
        <v>123.64</v>
      </c>
      <c r="Z394" s="202" t="s">
        <v>97</v>
      </c>
      <c r="AA394" s="202"/>
      <c r="AB394" s="202">
        <v>75869</v>
      </c>
      <c r="AC394" s="202"/>
      <c r="AD394" s="202" t="s">
        <v>1152</v>
      </c>
      <c r="AE394" s="202" t="s">
        <v>1153</v>
      </c>
      <c r="AF394" s="203" t="s">
        <v>1154</v>
      </c>
      <c r="AG394" s="208">
        <v>42886</v>
      </c>
      <c r="AH394" s="203" t="s">
        <v>1155</v>
      </c>
      <c r="AI394" s="202">
        <v>0</v>
      </c>
      <c r="AJ394" s="202">
        <v>6800.48</v>
      </c>
    </row>
    <row r="395" spans="2:36">
      <c r="B395" s="203">
        <v>2180</v>
      </c>
      <c r="C395" s="207">
        <v>182372</v>
      </c>
      <c r="D395" s="203" t="s">
        <v>97</v>
      </c>
      <c r="E395" s="202" t="s">
        <v>581</v>
      </c>
      <c r="F395" s="203">
        <v>3</v>
      </c>
      <c r="G395" s="202"/>
      <c r="H395" s="202"/>
      <c r="I395" s="202"/>
      <c r="J395" s="202">
        <v>0</v>
      </c>
      <c r="K395" s="202" t="s">
        <v>2041</v>
      </c>
      <c r="L395" s="202"/>
      <c r="M395" s="202" t="s">
        <v>1454</v>
      </c>
      <c r="N395" s="206">
        <v>41204</v>
      </c>
      <c r="O395" s="206">
        <v>41204</v>
      </c>
      <c r="P395" s="202" t="s">
        <v>2560</v>
      </c>
      <c r="Q395" s="203">
        <v>1200</v>
      </c>
      <c r="R395" s="203">
        <v>14050</v>
      </c>
      <c r="S395" s="204">
        <v>17804.849999999999</v>
      </c>
      <c r="T395" s="203">
        <v>14056</v>
      </c>
      <c r="U395" s="204">
        <v>13600.95</v>
      </c>
      <c r="V395" s="204">
        <f t="shared" si="16"/>
        <v>4203.8999999999978</v>
      </c>
      <c r="W395" s="205">
        <v>1483.74</v>
      </c>
      <c r="X395" s="203">
        <v>54260</v>
      </c>
      <c r="Y395" s="204">
        <v>123.64</v>
      </c>
      <c r="Z395" s="202" t="s">
        <v>97</v>
      </c>
      <c r="AA395" s="202"/>
      <c r="AB395" s="202">
        <v>75837</v>
      </c>
      <c r="AC395" s="202"/>
      <c r="AD395" s="202" t="s">
        <v>1152</v>
      </c>
      <c r="AE395" s="202" t="s">
        <v>1153</v>
      </c>
      <c r="AF395" s="203" t="s">
        <v>1154</v>
      </c>
      <c r="AG395" s="208">
        <v>42886</v>
      </c>
      <c r="AH395" s="203" t="s">
        <v>1155</v>
      </c>
      <c r="AI395" s="202">
        <v>0</v>
      </c>
      <c r="AJ395" s="202">
        <v>6800.48</v>
      </c>
    </row>
    <row r="396" spans="2:36">
      <c r="B396" s="203">
        <v>2180</v>
      </c>
      <c r="C396" s="207">
        <v>182371</v>
      </c>
      <c r="D396" s="203" t="s">
        <v>97</v>
      </c>
      <c r="E396" s="202" t="s">
        <v>2559</v>
      </c>
      <c r="F396" s="203">
        <v>1</v>
      </c>
      <c r="G396" s="202"/>
      <c r="H396" s="202"/>
      <c r="I396" s="202"/>
      <c r="J396" s="202">
        <v>0</v>
      </c>
      <c r="K396" s="202"/>
      <c r="L396" s="202"/>
      <c r="M396" s="202" t="s">
        <v>1460</v>
      </c>
      <c r="N396" s="206">
        <v>39755</v>
      </c>
      <c r="O396" s="206">
        <v>39755</v>
      </c>
      <c r="P396" s="202"/>
      <c r="Q396" s="203">
        <v>700</v>
      </c>
      <c r="R396" s="203">
        <v>14050</v>
      </c>
      <c r="S396" s="204">
        <v>1500</v>
      </c>
      <c r="T396" s="203">
        <v>14056</v>
      </c>
      <c r="U396" s="204">
        <v>1500</v>
      </c>
      <c r="V396" s="204">
        <f t="shared" si="16"/>
        <v>0</v>
      </c>
      <c r="W396" s="205">
        <v>0</v>
      </c>
      <c r="X396" s="203">
        <v>54260</v>
      </c>
      <c r="Y396" s="204">
        <v>0</v>
      </c>
      <c r="Z396" s="202" t="s">
        <v>1153</v>
      </c>
      <c r="AA396" s="202" t="s">
        <v>1383</v>
      </c>
      <c r="AB396" s="202"/>
      <c r="AC396" s="202"/>
      <c r="AD396" s="202" t="s">
        <v>1152</v>
      </c>
      <c r="AE396" s="202" t="s">
        <v>1153</v>
      </c>
      <c r="AF396" s="203" t="s">
        <v>1154</v>
      </c>
      <c r="AG396" s="208">
        <v>42886</v>
      </c>
      <c r="AH396" s="203" t="s">
        <v>1155</v>
      </c>
      <c r="AI396" s="202">
        <v>0</v>
      </c>
      <c r="AJ396" s="202">
        <v>1500</v>
      </c>
    </row>
    <row r="397" spans="2:36">
      <c r="B397" s="203">
        <v>2180</v>
      </c>
      <c r="C397" s="207">
        <v>182370</v>
      </c>
      <c r="D397" s="203" t="s">
        <v>97</v>
      </c>
      <c r="E397" s="202" t="s">
        <v>1455</v>
      </c>
      <c r="F397" s="203">
        <v>46</v>
      </c>
      <c r="G397" s="202"/>
      <c r="H397" s="202"/>
      <c r="I397" s="202"/>
      <c r="J397" s="202">
        <v>0</v>
      </c>
      <c r="K397" s="202"/>
      <c r="L397" s="202"/>
      <c r="M397" s="202" t="s">
        <v>1454</v>
      </c>
      <c r="N397" s="206">
        <v>39755</v>
      </c>
      <c r="O397" s="206">
        <v>39755</v>
      </c>
      <c r="P397" s="202"/>
      <c r="Q397" s="203">
        <v>700</v>
      </c>
      <c r="R397" s="203">
        <v>14050</v>
      </c>
      <c r="S397" s="204">
        <v>80500</v>
      </c>
      <c r="T397" s="203">
        <v>14056</v>
      </c>
      <c r="U397" s="204">
        <v>80500</v>
      </c>
      <c r="V397" s="204">
        <f t="shared" si="16"/>
        <v>0</v>
      </c>
      <c r="W397" s="205">
        <v>0</v>
      </c>
      <c r="X397" s="203">
        <v>54260</v>
      </c>
      <c r="Y397" s="204">
        <v>0</v>
      </c>
      <c r="Z397" s="202" t="s">
        <v>1153</v>
      </c>
      <c r="AA397" s="202" t="s">
        <v>1383</v>
      </c>
      <c r="AB397" s="202"/>
      <c r="AC397" s="202"/>
      <c r="AD397" s="202" t="s">
        <v>1152</v>
      </c>
      <c r="AE397" s="202" t="s">
        <v>1153</v>
      </c>
      <c r="AF397" s="203" t="s">
        <v>1154</v>
      </c>
      <c r="AG397" s="208">
        <v>42886</v>
      </c>
      <c r="AH397" s="203" t="s">
        <v>1155</v>
      </c>
      <c r="AI397" s="202">
        <v>0</v>
      </c>
      <c r="AJ397" s="202">
        <v>80500</v>
      </c>
    </row>
    <row r="398" spans="2:36">
      <c r="B398" s="203">
        <v>2180</v>
      </c>
      <c r="C398" s="207">
        <v>182368</v>
      </c>
      <c r="D398" s="203" t="s">
        <v>97</v>
      </c>
      <c r="E398" s="202" t="s">
        <v>1867</v>
      </c>
      <c r="F398" s="203">
        <v>170</v>
      </c>
      <c r="G398" s="202"/>
      <c r="H398" s="202"/>
      <c r="I398" s="202"/>
      <c r="J398" s="202">
        <v>0</v>
      </c>
      <c r="K398" s="202"/>
      <c r="L398" s="202"/>
      <c r="M398" s="202"/>
      <c r="N398" s="206">
        <v>39755</v>
      </c>
      <c r="O398" s="206">
        <v>39755</v>
      </c>
      <c r="P398" s="202"/>
      <c r="Q398" s="203">
        <v>1200</v>
      </c>
      <c r="R398" s="203">
        <v>14050</v>
      </c>
      <c r="S398" s="204">
        <v>41700</v>
      </c>
      <c r="T398" s="203">
        <v>14056</v>
      </c>
      <c r="U398" s="204">
        <v>41700</v>
      </c>
      <c r="V398" s="204">
        <f t="shared" ref="V398:V461" si="17">S398-U398</f>
        <v>0</v>
      </c>
      <c r="W398" s="205">
        <v>0</v>
      </c>
      <c r="X398" s="203">
        <v>54260</v>
      </c>
      <c r="Y398" s="204">
        <v>0</v>
      </c>
      <c r="Z398" s="202" t="s">
        <v>1153</v>
      </c>
      <c r="AA398" s="202" t="s">
        <v>1383</v>
      </c>
      <c r="AB398" s="202"/>
      <c r="AC398" s="202"/>
      <c r="AD398" s="202" t="s">
        <v>1152</v>
      </c>
      <c r="AE398" s="202" t="s">
        <v>1153</v>
      </c>
      <c r="AF398" s="203" t="s">
        <v>1154</v>
      </c>
      <c r="AG398" s="208">
        <v>42886</v>
      </c>
      <c r="AH398" s="203" t="s">
        <v>1155</v>
      </c>
      <c r="AI398" s="202">
        <v>0</v>
      </c>
      <c r="AJ398" s="202">
        <v>29827.08</v>
      </c>
    </row>
    <row r="399" spans="2:36">
      <c r="B399" s="203">
        <v>2180</v>
      </c>
      <c r="C399" s="207">
        <v>181935</v>
      </c>
      <c r="D399" s="203" t="s">
        <v>97</v>
      </c>
      <c r="E399" s="202" t="s">
        <v>2558</v>
      </c>
      <c r="F399" s="203"/>
      <c r="G399" s="202"/>
      <c r="H399" s="202" t="s">
        <v>2557</v>
      </c>
      <c r="I399" s="202"/>
      <c r="J399" s="202">
        <v>2016</v>
      </c>
      <c r="K399" s="202" t="s">
        <v>2556</v>
      </c>
      <c r="L399" s="202" t="s">
        <v>1830</v>
      </c>
      <c r="M399" s="202" t="s">
        <v>1503</v>
      </c>
      <c r="N399" s="206">
        <v>42886</v>
      </c>
      <c r="O399" s="206">
        <v>42886</v>
      </c>
      <c r="P399" s="202" t="s">
        <v>2555</v>
      </c>
      <c r="Q399" s="203">
        <v>1000</v>
      </c>
      <c r="R399" s="203">
        <v>14040</v>
      </c>
      <c r="S399" s="204">
        <v>60070.239999999998</v>
      </c>
      <c r="T399" s="203">
        <v>14046</v>
      </c>
      <c r="U399" s="204">
        <v>27532.18</v>
      </c>
      <c r="V399" s="204">
        <f t="shared" si="17"/>
        <v>32538.059999999998</v>
      </c>
      <c r="W399" s="205">
        <v>6007.02</v>
      </c>
      <c r="X399" s="203">
        <v>51260</v>
      </c>
      <c r="Y399" s="204">
        <v>500.58</v>
      </c>
      <c r="Z399" s="202" t="s">
        <v>97</v>
      </c>
      <c r="AA399" s="202"/>
      <c r="AB399" s="202">
        <v>13325</v>
      </c>
      <c r="AC399" s="202">
        <v>9561</v>
      </c>
      <c r="AD399" s="202" t="s">
        <v>1152</v>
      </c>
      <c r="AE399" s="202" t="s">
        <v>1153</v>
      </c>
      <c r="AF399" s="203" t="s">
        <v>1154</v>
      </c>
      <c r="AG399" s="202"/>
      <c r="AH399" s="203" t="s">
        <v>1155</v>
      </c>
      <c r="AI399" s="202">
        <v>0</v>
      </c>
      <c r="AJ399" s="202">
        <v>0</v>
      </c>
    </row>
    <row r="400" spans="2:36">
      <c r="B400" s="203">
        <v>2180</v>
      </c>
      <c r="C400" s="207">
        <v>181675</v>
      </c>
      <c r="D400" s="203" t="s">
        <v>97</v>
      </c>
      <c r="E400" s="202" t="s">
        <v>2429</v>
      </c>
      <c r="F400" s="203">
        <v>702</v>
      </c>
      <c r="G400" s="202"/>
      <c r="H400" s="202"/>
      <c r="I400" s="202"/>
      <c r="J400" s="202">
        <v>0</v>
      </c>
      <c r="K400" s="202" t="s">
        <v>2445</v>
      </c>
      <c r="L400" s="202"/>
      <c r="M400" s="202"/>
      <c r="N400" s="206">
        <v>42861</v>
      </c>
      <c r="O400" s="206">
        <v>42861</v>
      </c>
      <c r="P400" s="202" t="s">
        <v>2554</v>
      </c>
      <c r="Q400" s="203">
        <v>700</v>
      </c>
      <c r="R400" s="203">
        <v>14050</v>
      </c>
      <c r="S400" s="204">
        <v>36215.9</v>
      </c>
      <c r="T400" s="203">
        <v>14056</v>
      </c>
      <c r="U400" s="204">
        <v>24143.93</v>
      </c>
      <c r="V400" s="204">
        <f t="shared" si="17"/>
        <v>12071.970000000001</v>
      </c>
      <c r="W400" s="205">
        <v>5173.7</v>
      </c>
      <c r="X400" s="203">
        <v>54260</v>
      </c>
      <c r="Y400" s="204">
        <v>431.14</v>
      </c>
      <c r="Z400" s="202" t="s">
        <v>97</v>
      </c>
      <c r="AA400" s="202"/>
      <c r="AB400" s="202" t="s">
        <v>2553</v>
      </c>
      <c r="AC400" s="202"/>
      <c r="AD400" s="202" t="s">
        <v>1152</v>
      </c>
      <c r="AE400" s="202" t="s">
        <v>1153</v>
      </c>
      <c r="AF400" s="203" t="s">
        <v>1154</v>
      </c>
      <c r="AG400" s="202"/>
      <c r="AH400" s="203" t="s">
        <v>1155</v>
      </c>
      <c r="AI400" s="202">
        <v>0</v>
      </c>
      <c r="AJ400" s="202">
        <v>0</v>
      </c>
    </row>
    <row r="401" spans="2:36">
      <c r="B401" s="203">
        <v>2180</v>
      </c>
      <c r="C401" s="207">
        <v>181674</v>
      </c>
      <c r="D401" s="203" t="s">
        <v>97</v>
      </c>
      <c r="E401" s="202" t="s">
        <v>2552</v>
      </c>
      <c r="F401" s="203">
        <v>702</v>
      </c>
      <c r="G401" s="202"/>
      <c r="H401" s="202"/>
      <c r="I401" s="202"/>
      <c r="J401" s="202">
        <v>0</v>
      </c>
      <c r="K401" s="202" t="s">
        <v>2445</v>
      </c>
      <c r="L401" s="202"/>
      <c r="M401" s="202"/>
      <c r="N401" s="206">
        <v>42857</v>
      </c>
      <c r="O401" s="206">
        <v>42857</v>
      </c>
      <c r="P401" s="202" t="s">
        <v>2551</v>
      </c>
      <c r="Q401" s="203">
        <v>700</v>
      </c>
      <c r="R401" s="203">
        <v>14050</v>
      </c>
      <c r="S401" s="204">
        <v>34834.79</v>
      </c>
      <c r="T401" s="203">
        <v>14056</v>
      </c>
      <c r="U401" s="204">
        <v>23223.200000000001</v>
      </c>
      <c r="V401" s="204">
        <f t="shared" si="17"/>
        <v>11611.59</v>
      </c>
      <c r="W401" s="205">
        <v>4976.3999999999996</v>
      </c>
      <c r="X401" s="203">
        <v>54260</v>
      </c>
      <c r="Y401" s="204">
        <v>414.7</v>
      </c>
      <c r="Z401" s="202" t="s">
        <v>97</v>
      </c>
      <c r="AA401" s="202"/>
      <c r="AB401" s="202" t="s">
        <v>2550</v>
      </c>
      <c r="AC401" s="202"/>
      <c r="AD401" s="202" t="s">
        <v>1152</v>
      </c>
      <c r="AE401" s="202" t="s">
        <v>1153</v>
      </c>
      <c r="AF401" s="203" t="s">
        <v>1154</v>
      </c>
      <c r="AG401" s="202"/>
      <c r="AH401" s="203" t="s">
        <v>1155</v>
      </c>
      <c r="AI401" s="202">
        <v>0</v>
      </c>
      <c r="AJ401" s="202">
        <v>0</v>
      </c>
    </row>
    <row r="402" spans="2:36">
      <c r="B402" s="203">
        <v>2180</v>
      </c>
      <c r="C402" s="207">
        <v>181673</v>
      </c>
      <c r="D402" s="203" t="s">
        <v>97</v>
      </c>
      <c r="E402" s="202" t="s">
        <v>2549</v>
      </c>
      <c r="F402" s="203">
        <v>20</v>
      </c>
      <c r="G402" s="202"/>
      <c r="H402" s="202"/>
      <c r="I402" s="202"/>
      <c r="J402" s="202">
        <v>0</v>
      </c>
      <c r="K402" s="202" t="s">
        <v>2445</v>
      </c>
      <c r="L402" s="202"/>
      <c r="M402" s="202" t="s">
        <v>1582</v>
      </c>
      <c r="N402" s="206">
        <v>42846</v>
      </c>
      <c r="O402" s="206">
        <v>42846</v>
      </c>
      <c r="P402" s="202" t="s">
        <v>2548</v>
      </c>
      <c r="Q402" s="203">
        <v>700</v>
      </c>
      <c r="R402" s="203">
        <v>14050</v>
      </c>
      <c r="S402" s="204">
        <v>15378.51</v>
      </c>
      <c r="T402" s="203">
        <v>14056</v>
      </c>
      <c r="U402" s="204">
        <v>10252.34</v>
      </c>
      <c r="V402" s="204">
        <f t="shared" si="17"/>
        <v>5126.17</v>
      </c>
      <c r="W402" s="205">
        <v>2196.9299999999998</v>
      </c>
      <c r="X402" s="203">
        <v>54260</v>
      </c>
      <c r="Y402" s="204">
        <v>183.08</v>
      </c>
      <c r="Z402" s="202" t="s">
        <v>97</v>
      </c>
      <c r="AA402" s="202"/>
      <c r="AB402" s="202" t="s">
        <v>2547</v>
      </c>
      <c r="AC402" s="202"/>
      <c r="AD402" s="202" t="s">
        <v>1152</v>
      </c>
      <c r="AE402" s="202" t="s">
        <v>1153</v>
      </c>
      <c r="AF402" s="203" t="s">
        <v>1154</v>
      </c>
      <c r="AG402" s="202"/>
      <c r="AH402" s="203" t="s">
        <v>1155</v>
      </c>
      <c r="AI402" s="202">
        <v>0</v>
      </c>
      <c r="AJ402" s="202">
        <v>0</v>
      </c>
    </row>
    <row r="403" spans="2:36">
      <c r="B403" s="203">
        <v>2180</v>
      </c>
      <c r="C403" s="207">
        <v>181672</v>
      </c>
      <c r="D403" s="203" t="s">
        <v>97</v>
      </c>
      <c r="E403" s="202" t="s">
        <v>2546</v>
      </c>
      <c r="F403" s="203">
        <v>24</v>
      </c>
      <c r="G403" s="202"/>
      <c r="H403" s="202"/>
      <c r="I403" s="202"/>
      <c r="J403" s="202">
        <v>0</v>
      </c>
      <c r="K403" s="202" t="s">
        <v>2445</v>
      </c>
      <c r="L403" s="202"/>
      <c r="M403" s="202" t="s">
        <v>1555</v>
      </c>
      <c r="N403" s="206">
        <v>42846</v>
      </c>
      <c r="O403" s="206">
        <v>42846</v>
      </c>
      <c r="P403" s="202" t="s">
        <v>2545</v>
      </c>
      <c r="Q403" s="203">
        <v>700</v>
      </c>
      <c r="R403" s="203">
        <v>14050</v>
      </c>
      <c r="S403" s="204">
        <v>13828.86</v>
      </c>
      <c r="T403" s="203">
        <v>14056</v>
      </c>
      <c r="U403" s="204">
        <v>9219.24</v>
      </c>
      <c r="V403" s="204">
        <f t="shared" si="17"/>
        <v>4609.6200000000008</v>
      </c>
      <c r="W403" s="205">
        <v>1975.55</v>
      </c>
      <c r="X403" s="203">
        <v>54260</v>
      </c>
      <c r="Y403" s="204">
        <v>164.63</v>
      </c>
      <c r="Z403" s="202" t="s">
        <v>97</v>
      </c>
      <c r="AA403" s="202"/>
      <c r="AB403" s="202" t="s">
        <v>2544</v>
      </c>
      <c r="AC403" s="202"/>
      <c r="AD403" s="202" t="s">
        <v>1152</v>
      </c>
      <c r="AE403" s="202" t="s">
        <v>1153</v>
      </c>
      <c r="AF403" s="203" t="s">
        <v>1154</v>
      </c>
      <c r="AG403" s="202"/>
      <c r="AH403" s="203" t="s">
        <v>1155</v>
      </c>
      <c r="AI403" s="202">
        <v>0</v>
      </c>
      <c r="AJ403" s="202">
        <v>0</v>
      </c>
    </row>
    <row r="404" spans="2:36">
      <c r="B404" s="203">
        <v>2180</v>
      </c>
      <c r="C404" s="207">
        <v>180957</v>
      </c>
      <c r="D404" s="203" t="s">
        <v>97</v>
      </c>
      <c r="E404" s="202" t="s">
        <v>2543</v>
      </c>
      <c r="F404" s="203">
        <v>0</v>
      </c>
      <c r="G404" s="202"/>
      <c r="H404" s="202" t="s">
        <v>2542</v>
      </c>
      <c r="I404" s="202"/>
      <c r="J404" s="202">
        <v>2006</v>
      </c>
      <c r="K404" s="202" t="s">
        <v>1388</v>
      </c>
      <c r="L404" s="202" t="s">
        <v>1255</v>
      </c>
      <c r="M404" s="202" t="s">
        <v>1385</v>
      </c>
      <c r="N404" s="206">
        <v>39755</v>
      </c>
      <c r="O404" s="206">
        <v>39755</v>
      </c>
      <c r="P404" s="202"/>
      <c r="Q404" s="203">
        <v>300</v>
      </c>
      <c r="R404" s="203">
        <v>14040</v>
      </c>
      <c r="S404" s="204">
        <v>13500</v>
      </c>
      <c r="T404" s="203">
        <v>14046</v>
      </c>
      <c r="U404" s="204">
        <v>13500</v>
      </c>
      <c r="V404" s="204">
        <f t="shared" si="17"/>
        <v>0</v>
      </c>
      <c r="W404" s="205">
        <v>0</v>
      </c>
      <c r="X404" s="203">
        <v>51260</v>
      </c>
      <c r="Y404" s="204">
        <v>0</v>
      </c>
      <c r="Z404" s="202" t="s">
        <v>1153</v>
      </c>
      <c r="AA404" s="202" t="s">
        <v>1383</v>
      </c>
      <c r="AB404" s="202"/>
      <c r="AC404" s="202">
        <v>6038</v>
      </c>
      <c r="AD404" s="202" t="s">
        <v>1152</v>
      </c>
      <c r="AE404" s="202" t="s">
        <v>1153</v>
      </c>
      <c r="AF404" s="203" t="s">
        <v>1154</v>
      </c>
      <c r="AG404" s="208">
        <v>42855</v>
      </c>
      <c r="AH404" s="203" t="s">
        <v>1155</v>
      </c>
      <c r="AI404" s="202">
        <v>0</v>
      </c>
      <c r="AJ404" s="202">
        <v>13500</v>
      </c>
    </row>
    <row r="405" spans="2:36">
      <c r="B405" s="203">
        <v>2180</v>
      </c>
      <c r="C405" s="207">
        <v>180930</v>
      </c>
      <c r="D405" s="203" t="s">
        <v>97</v>
      </c>
      <c r="E405" s="202" t="s">
        <v>2541</v>
      </c>
      <c r="F405" s="203">
        <v>0</v>
      </c>
      <c r="G405" s="202"/>
      <c r="H405" s="202" t="s">
        <v>2540</v>
      </c>
      <c r="I405" s="202"/>
      <c r="J405" s="202">
        <v>2012</v>
      </c>
      <c r="K405" s="202" t="s">
        <v>1733</v>
      </c>
      <c r="L405" s="202" t="s">
        <v>1395</v>
      </c>
      <c r="M405" s="202" t="s">
        <v>1394</v>
      </c>
      <c r="N405" s="206">
        <v>40786</v>
      </c>
      <c r="O405" s="206">
        <v>40786</v>
      </c>
      <c r="P405" s="202" t="s">
        <v>2539</v>
      </c>
      <c r="Q405" s="203">
        <v>1000</v>
      </c>
      <c r="R405" s="203">
        <v>14040</v>
      </c>
      <c r="S405" s="204">
        <v>247726.06</v>
      </c>
      <c r="T405" s="203">
        <v>14046</v>
      </c>
      <c r="U405" s="204">
        <v>247726.06</v>
      </c>
      <c r="V405" s="204">
        <f t="shared" si="17"/>
        <v>0</v>
      </c>
      <c r="W405" s="205">
        <v>16515.03</v>
      </c>
      <c r="X405" s="203">
        <v>51260</v>
      </c>
      <c r="Y405" s="204">
        <v>0</v>
      </c>
      <c r="Z405" s="202" t="s">
        <v>97</v>
      </c>
      <c r="AA405" s="202"/>
      <c r="AB405" s="202">
        <v>1640871</v>
      </c>
      <c r="AC405" s="202">
        <v>1075</v>
      </c>
      <c r="AD405" s="202" t="s">
        <v>1152</v>
      </c>
      <c r="AE405" s="202" t="s">
        <v>1153</v>
      </c>
      <c r="AF405" s="203" t="s">
        <v>1154</v>
      </c>
      <c r="AG405" s="208">
        <v>42855</v>
      </c>
      <c r="AH405" s="203" t="s">
        <v>1155</v>
      </c>
      <c r="AI405" s="202">
        <v>0</v>
      </c>
      <c r="AJ405" s="202">
        <v>140378.13</v>
      </c>
    </row>
    <row r="406" spans="2:36">
      <c r="B406" s="203">
        <v>2180</v>
      </c>
      <c r="C406" s="207">
        <v>180202</v>
      </c>
      <c r="D406" s="203" t="s">
        <v>97</v>
      </c>
      <c r="E406" s="202" t="s">
        <v>2538</v>
      </c>
      <c r="F406" s="203">
        <v>0</v>
      </c>
      <c r="G406" s="202"/>
      <c r="H406" s="202" t="s">
        <v>2537</v>
      </c>
      <c r="I406" s="202"/>
      <c r="J406" s="202">
        <v>2013</v>
      </c>
      <c r="K406" s="202" t="s">
        <v>2536</v>
      </c>
      <c r="L406" s="202" t="s">
        <v>2066</v>
      </c>
      <c r="M406" s="202" t="s">
        <v>2535</v>
      </c>
      <c r="N406" s="206">
        <v>41386</v>
      </c>
      <c r="O406" s="206">
        <v>41386</v>
      </c>
      <c r="P406" s="202" t="s">
        <v>2534</v>
      </c>
      <c r="Q406" s="203">
        <v>500</v>
      </c>
      <c r="R406" s="203">
        <v>14040</v>
      </c>
      <c r="S406" s="204">
        <v>25999.99</v>
      </c>
      <c r="T406" s="203">
        <v>14046</v>
      </c>
      <c r="U406" s="204">
        <v>25999.99</v>
      </c>
      <c r="V406" s="204">
        <f t="shared" si="17"/>
        <v>0</v>
      </c>
      <c r="W406" s="205">
        <v>0</v>
      </c>
      <c r="X406" s="203">
        <v>51260</v>
      </c>
      <c r="Y406" s="204">
        <v>0</v>
      </c>
      <c r="Z406" s="202" t="s">
        <v>97</v>
      </c>
      <c r="AA406" s="202"/>
      <c r="AB406" s="202">
        <v>13368</v>
      </c>
      <c r="AC406" s="202">
        <v>6627</v>
      </c>
      <c r="AD406" s="202" t="s">
        <v>1152</v>
      </c>
      <c r="AE406" s="202" t="s">
        <v>1153</v>
      </c>
      <c r="AF406" s="203" t="s">
        <v>1154</v>
      </c>
      <c r="AG406" s="208">
        <v>42825</v>
      </c>
      <c r="AH406" s="203" t="s">
        <v>1155</v>
      </c>
      <c r="AI406" s="202">
        <v>0</v>
      </c>
      <c r="AJ406" s="202">
        <v>20366.669999999998</v>
      </c>
    </row>
    <row r="407" spans="2:36">
      <c r="B407" s="203">
        <v>2180</v>
      </c>
      <c r="C407" s="207">
        <v>179239</v>
      </c>
      <c r="D407" s="203" t="s">
        <v>97</v>
      </c>
      <c r="E407" s="202" t="s">
        <v>979</v>
      </c>
      <c r="F407" s="203"/>
      <c r="G407" s="202"/>
      <c r="H407" s="202"/>
      <c r="I407" s="202"/>
      <c r="J407" s="202">
        <v>0</v>
      </c>
      <c r="K407" s="202" t="s">
        <v>1429</v>
      </c>
      <c r="L407" s="202"/>
      <c r="M407" s="202"/>
      <c r="N407" s="206">
        <v>42796</v>
      </c>
      <c r="O407" s="206">
        <v>42796</v>
      </c>
      <c r="P407" s="202" t="s">
        <v>2533</v>
      </c>
      <c r="Q407" s="203">
        <v>300</v>
      </c>
      <c r="R407" s="203">
        <v>14110</v>
      </c>
      <c r="S407" s="204">
        <v>1241.69</v>
      </c>
      <c r="T407" s="203">
        <v>14116</v>
      </c>
      <c r="U407" s="204">
        <v>1241.69</v>
      </c>
      <c r="V407" s="204">
        <f t="shared" si="17"/>
        <v>0</v>
      </c>
      <c r="W407" s="205">
        <v>0</v>
      </c>
      <c r="X407" s="203">
        <v>70260</v>
      </c>
      <c r="Y407" s="204">
        <v>0</v>
      </c>
      <c r="Z407" s="202" t="s">
        <v>97</v>
      </c>
      <c r="AA407" s="202"/>
      <c r="AB407" s="202" t="s">
        <v>2532</v>
      </c>
      <c r="AC407" s="202"/>
      <c r="AD407" s="202" t="s">
        <v>1152</v>
      </c>
      <c r="AE407" s="202" t="s">
        <v>1153</v>
      </c>
      <c r="AF407" s="203" t="s">
        <v>1154</v>
      </c>
      <c r="AG407" s="202"/>
      <c r="AH407" s="203" t="s">
        <v>1155</v>
      </c>
      <c r="AI407" s="202">
        <v>0</v>
      </c>
      <c r="AJ407" s="202">
        <v>0</v>
      </c>
    </row>
    <row r="408" spans="2:36">
      <c r="B408" s="203">
        <v>2180</v>
      </c>
      <c r="C408" s="207">
        <v>179238</v>
      </c>
      <c r="D408" s="203" t="s">
        <v>97</v>
      </c>
      <c r="E408" s="202" t="s">
        <v>980</v>
      </c>
      <c r="F408" s="203"/>
      <c r="G408" s="202"/>
      <c r="H408" s="202"/>
      <c r="I408" s="202"/>
      <c r="J408" s="202">
        <v>0</v>
      </c>
      <c r="K408" s="202" t="s">
        <v>1429</v>
      </c>
      <c r="L408" s="202"/>
      <c r="M408" s="202"/>
      <c r="N408" s="206">
        <v>42795</v>
      </c>
      <c r="O408" s="206">
        <v>42795</v>
      </c>
      <c r="P408" s="202" t="s">
        <v>2530</v>
      </c>
      <c r="Q408" s="203">
        <v>300</v>
      </c>
      <c r="R408" s="203">
        <v>14110</v>
      </c>
      <c r="S408" s="204">
        <v>174.34</v>
      </c>
      <c r="T408" s="203">
        <v>14116</v>
      </c>
      <c r="U408" s="204">
        <v>174.34</v>
      </c>
      <c r="V408" s="204">
        <f t="shared" si="17"/>
        <v>0</v>
      </c>
      <c r="W408" s="205">
        <v>0</v>
      </c>
      <c r="X408" s="203">
        <v>70260</v>
      </c>
      <c r="Y408" s="204">
        <v>0</v>
      </c>
      <c r="Z408" s="202" t="s">
        <v>97</v>
      </c>
      <c r="AA408" s="202"/>
      <c r="AB408" s="202" t="s">
        <v>2531</v>
      </c>
      <c r="AC408" s="202"/>
      <c r="AD408" s="202" t="s">
        <v>1152</v>
      </c>
      <c r="AE408" s="202" t="s">
        <v>1153</v>
      </c>
      <c r="AF408" s="203" t="s">
        <v>1154</v>
      </c>
      <c r="AG408" s="202"/>
      <c r="AH408" s="203" t="s">
        <v>1155</v>
      </c>
      <c r="AI408" s="202">
        <v>0</v>
      </c>
      <c r="AJ408" s="202">
        <v>0</v>
      </c>
    </row>
    <row r="409" spans="2:36">
      <c r="B409" s="203">
        <v>2180</v>
      </c>
      <c r="C409" s="207">
        <v>179237</v>
      </c>
      <c r="D409" s="203" t="s">
        <v>97</v>
      </c>
      <c r="E409" s="202" t="s">
        <v>981</v>
      </c>
      <c r="F409" s="203"/>
      <c r="G409" s="202"/>
      <c r="H409" s="202"/>
      <c r="I409" s="202"/>
      <c r="J409" s="202">
        <v>0</v>
      </c>
      <c r="K409" s="202" t="s">
        <v>1429</v>
      </c>
      <c r="L409" s="202"/>
      <c r="M409" s="202"/>
      <c r="N409" s="206">
        <v>42795</v>
      </c>
      <c r="O409" s="206">
        <v>42795</v>
      </c>
      <c r="P409" s="202" t="s">
        <v>2530</v>
      </c>
      <c r="Q409" s="203">
        <v>300</v>
      </c>
      <c r="R409" s="203">
        <v>14110</v>
      </c>
      <c r="S409" s="204">
        <v>1021.58</v>
      </c>
      <c r="T409" s="203">
        <v>14116</v>
      </c>
      <c r="U409" s="204">
        <v>1021.58</v>
      </c>
      <c r="V409" s="204">
        <f t="shared" si="17"/>
        <v>0</v>
      </c>
      <c r="W409" s="205">
        <v>0</v>
      </c>
      <c r="X409" s="203">
        <v>70260</v>
      </c>
      <c r="Y409" s="204">
        <v>0</v>
      </c>
      <c r="Z409" s="202" t="s">
        <v>97</v>
      </c>
      <c r="AA409" s="202"/>
      <c r="AB409" s="202" t="s">
        <v>2529</v>
      </c>
      <c r="AC409" s="202"/>
      <c r="AD409" s="202" t="s">
        <v>1152</v>
      </c>
      <c r="AE409" s="202" t="s">
        <v>1153</v>
      </c>
      <c r="AF409" s="203" t="s">
        <v>1154</v>
      </c>
      <c r="AG409" s="202"/>
      <c r="AH409" s="203" t="s">
        <v>1155</v>
      </c>
      <c r="AI409" s="202">
        <v>0</v>
      </c>
      <c r="AJ409" s="202">
        <v>0</v>
      </c>
    </row>
    <row r="410" spans="2:36">
      <c r="B410" s="203">
        <v>2180</v>
      </c>
      <c r="C410" s="207">
        <v>177914</v>
      </c>
      <c r="D410" s="203" t="s">
        <v>97</v>
      </c>
      <c r="E410" s="202" t="s">
        <v>2528</v>
      </c>
      <c r="F410" s="203">
        <v>702</v>
      </c>
      <c r="G410" s="202"/>
      <c r="H410" s="202"/>
      <c r="I410" s="202"/>
      <c r="J410" s="202">
        <v>0</v>
      </c>
      <c r="K410" s="202" t="s">
        <v>2445</v>
      </c>
      <c r="L410" s="202"/>
      <c r="M410" s="202"/>
      <c r="N410" s="206">
        <v>42803</v>
      </c>
      <c r="O410" s="206">
        <v>42803</v>
      </c>
      <c r="P410" s="202" t="s">
        <v>2527</v>
      </c>
      <c r="Q410" s="203">
        <v>700</v>
      </c>
      <c r="R410" s="203">
        <v>14050</v>
      </c>
      <c r="S410" s="204">
        <v>37138.620000000003</v>
      </c>
      <c r="T410" s="203">
        <v>14056</v>
      </c>
      <c r="U410" s="204">
        <v>25643.35</v>
      </c>
      <c r="V410" s="204">
        <f t="shared" si="17"/>
        <v>11495.270000000004</v>
      </c>
      <c r="W410" s="205">
        <v>5305.52</v>
      </c>
      <c r="X410" s="203">
        <v>54260</v>
      </c>
      <c r="Y410" s="204">
        <v>442.13</v>
      </c>
      <c r="Z410" s="202" t="s">
        <v>97</v>
      </c>
      <c r="AA410" s="202"/>
      <c r="AB410" s="202" t="s">
        <v>2526</v>
      </c>
      <c r="AC410" s="202"/>
      <c r="AD410" s="202" t="s">
        <v>1152</v>
      </c>
      <c r="AE410" s="202" t="s">
        <v>1153</v>
      </c>
      <c r="AF410" s="203" t="s">
        <v>1154</v>
      </c>
      <c r="AG410" s="202"/>
      <c r="AH410" s="203" t="s">
        <v>1155</v>
      </c>
      <c r="AI410" s="202">
        <v>0</v>
      </c>
      <c r="AJ410" s="202">
        <v>0</v>
      </c>
    </row>
    <row r="411" spans="2:36">
      <c r="B411" s="203">
        <v>2180</v>
      </c>
      <c r="C411" s="207">
        <v>177850</v>
      </c>
      <c r="D411" s="203" t="s">
        <v>97</v>
      </c>
      <c r="E411" s="202" t="s">
        <v>2525</v>
      </c>
      <c r="F411" s="203">
        <v>1080</v>
      </c>
      <c r="G411" s="202"/>
      <c r="H411" s="202"/>
      <c r="I411" s="202"/>
      <c r="J411" s="202">
        <v>0</v>
      </c>
      <c r="K411" s="202" t="s">
        <v>2445</v>
      </c>
      <c r="L411" s="202"/>
      <c r="M411" s="202"/>
      <c r="N411" s="206">
        <v>42787</v>
      </c>
      <c r="O411" s="206">
        <v>42787</v>
      </c>
      <c r="P411" s="202" t="s">
        <v>2523</v>
      </c>
      <c r="Q411" s="203">
        <v>700</v>
      </c>
      <c r="R411" s="203">
        <v>14050</v>
      </c>
      <c r="S411" s="204">
        <v>40131.97</v>
      </c>
      <c r="T411" s="203">
        <v>14056</v>
      </c>
      <c r="U411" s="204">
        <v>27710.18</v>
      </c>
      <c r="V411" s="204">
        <f t="shared" si="17"/>
        <v>12421.79</v>
      </c>
      <c r="W411" s="205">
        <v>5733.14</v>
      </c>
      <c r="X411" s="203">
        <v>54260</v>
      </c>
      <c r="Y411" s="204">
        <v>477.76</v>
      </c>
      <c r="Z411" s="202" t="s">
        <v>97</v>
      </c>
      <c r="AA411" s="202"/>
      <c r="AB411" s="202" t="s">
        <v>2524</v>
      </c>
      <c r="AC411" s="202"/>
      <c r="AD411" s="202" t="s">
        <v>1152</v>
      </c>
      <c r="AE411" s="202" t="s">
        <v>1153</v>
      </c>
      <c r="AF411" s="203" t="s">
        <v>1154</v>
      </c>
      <c r="AG411" s="202"/>
      <c r="AH411" s="203" t="s">
        <v>1155</v>
      </c>
      <c r="AI411" s="202">
        <v>0</v>
      </c>
      <c r="AJ411" s="202">
        <v>0</v>
      </c>
    </row>
    <row r="412" spans="2:36">
      <c r="B412" s="203">
        <v>2180</v>
      </c>
      <c r="C412" s="207">
        <v>177849</v>
      </c>
      <c r="D412" s="203" t="s">
        <v>97</v>
      </c>
      <c r="E412" s="202" t="s">
        <v>2395</v>
      </c>
      <c r="F412" s="203">
        <v>1080</v>
      </c>
      <c r="G412" s="202"/>
      <c r="H412" s="202"/>
      <c r="I412" s="202"/>
      <c r="J412" s="202">
        <v>0</v>
      </c>
      <c r="K412" s="202" t="s">
        <v>2445</v>
      </c>
      <c r="L412" s="202"/>
      <c r="M412" s="202"/>
      <c r="N412" s="206">
        <v>42787</v>
      </c>
      <c r="O412" s="206">
        <v>42787</v>
      </c>
      <c r="P412" s="202" t="s">
        <v>2523</v>
      </c>
      <c r="Q412" s="203">
        <v>700</v>
      </c>
      <c r="R412" s="203">
        <v>14050</v>
      </c>
      <c r="S412" s="204">
        <v>40131.97</v>
      </c>
      <c r="T412" s="203">
        <v>14056</v>
      </c>
      <c r="U412" s="204">
        <v>27710.18</v>
      </c>
      <c r="V412" s="204">
        <f t="shared" si="17"/>
        <v>12421.79</v>
      </c>
      <c r="W412" s="205">
        <v>5733.14</v>
      </c>
      <c r="X412" s="203">
        <v>54260</v>
      </c>
      <c r="Y412" s="204">
        <v>477.76</v>
      </c>
      <c r="Z412" s="202" t="s">
        <v>97</v>
      </c>
      <c r="AA412" s="202"/>
      <c r="AB412" s="202" t="s">
        <v>2522</v>
      </c>
      <c r="AC412" s="202"/>
      <c r="AD412" s="202" t="s">
        <v>1152</v>
      </c>
      <c r="AE412" s="202" t="s">
        <v>1153</v>
      </c>
      <c r="AF412" s="203" t="s">
        <v>1154</v>
      </c>
      <c r="AG412" s="202"/>
      <c r="AH412" s="203" t="s">
        <v>1155</v>
      </c>
      <c r="AI412" s="202">
        <v>0</v>
      </c>
      <c r="AJ412" s="202">
        <v>0</v>
      </c>
    </row>
    <row r="413" spans="2:36">
      <c r="B413" s="203">
        <v>2180</v>
      </c>
      <c r="C413" s="207">
        <v>177526</v>
      </c>
      <c r="D413" s="203" t="s">
        <v>97</v>
      </c>
      <c r="E413" s="202" t="s">
        <v>2520</v>
      </c>
      <c r="F413" s="203">
        <v>648</v>
      </c>
      <c r="G413" s="202"/>
      <c r="H413" s="202"/>
      <c r="I413" s="202"/>
      <c r="J413" s="202">
        <v>0</v>
      </c>
      <c r="K413" s="202" t="s">
        <v>2445</v>
      </c>
      <c r="L413" s="202"/>
      <c r="M413" s="202"/>
      <c r="N413" s="206">
        <v>42772</v>
      </c>
      <c r="O413" s="206">
        <v>42772</v>
      </c>
      <c r="P413" s="202" t="s">
        <v>2519</v>
      </c>
      <c r="Q413" s="203">
        <v>700</v>
      </c>
      <c r="R413" s="203">
        <v>14050</v>
      </c>
      <c r="S413" s="204">
        <v>30738.18</v>
      </c>
      <c r="T413" s="203">
        <v>14056</v>
      </c>
      <c r="U413" s="204">
        <v>21589.88</v>
      </c>
      <c r="V413" s="204">
        <f t="shared" si="17"/>
        <v>9148.2999999999993</v>
      </c>
      <c r="W413" s="205">
        <v>4391.16</v>
      </c>
      <c r="X413" s="203">
        <v>54260</v>
      </c>
      <c r="Y413" s="204">
        <v>365.93</v>
      </c>
      <c r="Z413" s="202" t="s">
        <v>97</v>
      </c>
      <c r="AA413" s="202"/>
      <c r="AB413" s="202" t="s">
        <v>2521</v>
      </c>
      <c r="AC413" s="202"/>
      <c r="AD413" s="202" t="s">
        <v>1152</v>
      </c>
      <c r="AE413" s="202" t="s">
        <v>1153</v>
      </c>
      <c r="AF413" s="203" t="s">
        <v>1154</v>
      </c>
      <c r="AG413" s="202"/>
      <c r="AH413" s="203" t="s">
        <v>1155</v>
      </c>
      <c r="AI413" s="202">
        <v>0</v>
      </c>
      <c r="AJ413" s="202">
        <v>0</v>
      </c>
    </row>
    <row r="414" spans="2:36">
      <c r="B414" s="203">
        <v>2180</v>
      </c>
      <c r="C414" s="207">
        <v>176741</v>
      </c>
      <c r="D414" s="203" t="s">
        <v>97</v>
      </c>
      <c r="E414" s="202" t="s">
        <v>2520</v>
      </c>
      <c r="F414" s="203">
        <v>648</v>
      </c>
      <c r="G414" s="202"/>
      <c r="H414" s="202"/>
      <c r="I414" s="202"/>
      <c r="J414" s="202">
        <v>0</v>
      </c>
      <c r="K414" s="202" t="s">
        <v>2445</v>
      </c>
      <c r="L414" s="202"/>
      <c r="M414" s="202"/>
      <c r="N414" s="206">
        <v>42772</v>
      </c>
      <c r="O414" s="206">
        <v>42772</v>
      </c>
      <c r="P414" s="202" t="s">
        <v>2519</v>
      </c>
      <c r="Q414" s="203">
        <v>700</v>
      </c>
      <c r="R414" s="203">
        <v>14050</v>
      </c>
      <c r="S414" s="204">
        <v>30738.18</v>
      </c>
      <c r="T414" s="203">
        <v>14056</v>
      </c>
      <c r="U414" s="204">
        <v>21589.88</v>
      </c>
      <c r="V414" s="204">
        <f t="shared" si="17"/>
        <v>9148.2999999999993</v>
      </c>
      <c r="W414" s="205">
        <v>4391.16</v>
      </c>
      <c r="X414" s="203">
        <v>54260</v>
      </c>
      <c r="Y414" s="204">
        <v>365.93</v>
      </c>
      <c r="Z414" s="202" t="s">
        <v>97</v>
      </c>
      <c r="AA414" s="202"/>
      <c r="AB414" s="202" t="s">
        <v>2518</v>
      </c>
      <c r="AC414" s="202"/>
      <c r="AD414" s="202" t="s">
        <v>1152</v>
      </c>
      <c r="AE414" s="202" t="s">
        <v>1153</v>
      </c>
      <c r="AF414" s="203" t="s">
        <v>1154</v>
      </c>
      <c r="AG414" s="202"/>
      <c r="AH414" s="203" t="s">
        <v>1155</v>
      </c>
      <c r="AI414" s="202">
        <v>0</v>
      </c>
      <c r="AJ414" s="202">
        <v>0</v>
      </c>
    </row>
    <row r="415" spans="2:36">
      <c r="B415" s="203">
        <v>2180</v>
      </c>
      <c r="C415" s="207">
        <v>176740</v>
      </c>
      <c r="D415" s="203" t="s">
        <v>97</v>
      </c>
      <c r="E415" s="202" t="s">
        <v>2517</v>
      </c>
      <c r="F415" s="203">
        <v>12</v>
      </c>
      <c r="G415" s="202"/>
      <c r="H415" s="202"/>
      <c r="I415" s="202"/>
      <c r="J415" s="202">
        <v>0</v>
      </c>
      <c r="K415" s="202" t="s">
        <v>2445</v>
      </c>
      <c r="L415" s="202"/>
      <c r="M415" s="202"/>
      <c r="N415" s="206">
        <v>42779</v>
      </c>
      <c r="O415" s="206">
        <v>42779</v>
      </c>
      <c r="P415" s="202" t="s">
        <v>2516</v>
      </c>
      <c r="Q415" s="203">
        <v>700</v>
      </c>
      <c r="R415" s="203">
        <v>14050</v>
      </c>
      <c r="S415" s="204">
        <v>4688.46</v>
      </c>
      <c r="T415" s="203">
        <v>14056</v>
      </c>
      <c r="U415" s="204">
        <v>3293.05</v>
      </c>
      <c r="V415" s="204">
        <f t="shared" si="17"/>
        <v>1395.4099999999999</v>
      </c>
      <c r="W415" s="205">
        <v>669.77</v>
      </c>
      <c r="X415" s="203">
        <v>54260</v>
      </c>
      <c r="Y415" s="204">
        <v>55.81</v>
      </c>
      <c r="Z415" s="202" t="s">
        <v>97</v>
      </c>
      <c r="AA415" s="202"/>
      <c r="AB415" s="202" t="s">
        <v>2515</v>
      </c>
      <c r="AC415" s="202"/>
      <c r="AD415" s="202" t="s">
        <v>1152</v>
      </c>
      <c r="AE415" s="202" t="s">
        <v>1153</v>
      </c>
      <c r="AF415" s="203" t="s">
        <v>1154</v>
      </c>
      <c r="AG415" s="202"/>
      <c r="AH415" s="203" t="s">
        <v>1155</v>
      </c>
      <c r="AI415" s="202">
        <v>0</v>
      </c>
      <c r="AJ415" s="202">
        <v>0</v>
      </c>
    </row>
    <row r="416" spans="2:36">
      <c r="B416" s="203">
        <v>2180</v>
      </c>
      <c r="C416" s="207">
        <v>174474</v>
      </c>
      <c r="D416" s="203">
        <v>171563</v>
      </c>
      <c r="E416" s="202" t="s">
        <v>2514</v>
      </c>
      <c r="F416" s="203">
        <v>0</v>
      </c>
      <c r="G416" s="202"/>
      <c r="H416" s="202"/>
      <c r="I416" s="202"/>
      <c r="J416" s="202">
        <v>0</v>
      </c>
      <c r="K416" s="202" t="s">
        <v>2513</v>
      </c>
      <c r="L416" s="202"/>
      <c r="M416" s="202"/>
      <c r="N416" s="206">
        <v>42736</v>
      </c>
      <c r="O416" s="206">
        <v>42736</v>
      </c>
      <c r="P416" s="202" t="s">
        <v>2500</v>
      </c>
      <c r="Q416" s="203">
        <v>611</v>
      </c>
      <c r="R416" s="203">
        <v>14050</v>
      </c>
      <c r="S416" s="204">
        <v>-1454.9</v>
      </c>
      <c r="T416" s="203">
        <v>14056</v>
      </c>
      <c r="U416" s="204">
        <v>-1051.75</v>
      </c>
      <c r="V416" s="204">
        <f t="shared" si="17"/>
        <v>-403.15000000000009</v>
      </c>
      <c r="W416" s="205">
        <v>-210.35</v>
      </c>
      <c r="X416" s="203">
        <v>54260</v>
      </c>
      <c r="Y416" s="204">
        <v>-17.53</v>
      </c>
      <c r="Z416" s="202" t="s">
        <v>97</v>
      </c>
      <c r="AA416" s="202"/>
      <c r="AB416" s="202" t="s">
        <v>2512</v>
      </c>
      <c r="AC416" s="202"/>
      <c r="AD416" s="202" t="s">
        <v>1152</v>
      </c>
      <c r="AE416" s="202" t="s">
        <v>1153</v>
      </c>
      <c r="AF416" s="203" t="s">
        <v>1154</v>
      </c>
      <c r="AG416" s="202"/>
      <c r="AH416" s="203" t="s">
        <v>1155</v>
      </c>
      <c r="AI416" s="202">
        <v>0</v>
      </c>
      <c r="AJ416" s="202">
        <v>0</v>
      </c>
    </row>
    <row r="417" spans="2:36">
      <c r="B417" s="203">
        <v>2180</v>
      </c>
      <c r="C417" s="207">
        <v>172666</v>
      </c>
      <c r="D417" s="203" t="s">
        <v>97</v>
      </c>
      <c r="E417" s="202" t="s">
        <v>2511</v>
      </c>
      <c r="F417" s="203">
        <v>32</v>
      </c>
      <c r="G417" s="202"/>
      <c r="H417" s="202"/>
      <c r="I417" s="202"/>
      <c r="J417" s="202">
        <v>0</v>
      </c>
      <c r="K417" s="202" t="s">
        <v>2081</v>
      </c>
      <c r="L417" s="202"/>
      <c r="M417" s="202" t="s">
        <v>1555</v>
      </c>
      <c r="N417" s="206">
        <v>42736</v>
      </c>
      <c r="O417" s="206">
        <v>42736</v>
      </c>
      <c r="P417" s="202" t="s">
        <v>2501</v>
      </c>
      <c r="Q417" s="203">
        <v>611</v>
      </c>
      <c r="R417" s="203">
        <v>14050</v>
      </c>
      <c r="S417" s="204">
        <v>17985.71</v>
      </c>
      <c r="T417" s="203">
        <v>14056</v>
      </c>
      <c r="U417" s="204">
        <v>13001.7</v>
      </c>
      <c r="V417" s="204">
        <f t="shared" si="17"/>
        <v>4984.0099999999984</v>
      </c>
      <c r="W417" s="205">
        <v>2600.34</v>
      </c>
      <c r="X417" s="203">
        <v>54260</v>
      </c>
      <c r="Y417" s="204">
        <v>216.69</v>
      </c>
      <c r="Z417" s="202" t="s">
        <v>97</v>
      </c>
      <c r="AA417" s="202"/>
      <c r="AB417" s="202">
        <v>65437118</v>
      </c>
      <c r="AC417" s="202"/>
      <c r="AD417" s="202" t="s">
        <v>1152</v>
      </c>
      <c r="AE417" s="202" t="s">
        <v>1153</v>
      </c>
      <c r="AF417" s="203" t="s">
        <v>1154</v>
      </c>
      <c r="AG417" s="202"/>
      <c r="AH417" s="203" t="s">
        <v>1155</v>
      </c>
      <c r="AI417" s="202">
        <v>0</v>
      </c>
      <c r="AJ417" s="202">
        <v>0</v>
      </c>
    </row>
    <row r="418" spans="2:36">
      <c r="B418" s="203">
        <v>2180</v>
      </c>
      <c r="C418" s="207">
        <v>172665</v>
      </c>
      <c r="D418" s="203" t="s">
        <v>97</v>
      </c>
      <c r="E418" s="202" t="s">
        <v>2468</v>
      </c>
      <c r="F418" s="203">
        <v>102</v>
      </c>
      <c r="G418" s="202"/>
      <c r="H418" s="202"/>
      <c r="I418" s="202"/>
      <c r="J418" s="202">
        <v>0</v>
      </c>
      <c r="K418" s="202" t="s">
        <v>1658</v>
      </c>
      <c r="L418" s="202"/>
      <c r="M418" s="202"/>
      <c r="N418" s="206">
        <v>42736</v>
      </c>
      <c r="O418" s="206">
        <v>42736</v>
      </c>
      <c r="P418" s="202" t="s">
        <v>2500</v>
      </c>
      <c r="Q418" s="203">
        <v>611</v>
      </c>
      <c r="R418" s="203">
        <v>14050</v>
      </c>
      <c r="S418" s="204">
        <v>4419.07</v>
      </c>
      <c r="T418" s="203">
        <v>14056</v>
      </c>
      <c r="U418" s="204">
        <v>3194.5</v>
      </c>
      <c r="V418" s="204">
        <f t="shared" si="17"/>
        <v>1224.5699999999997</v>
      </c>
      <c r="W418" s="205">
        <v>638.9</v>
      </c>
      <c r="X418" s="203">
        <v>54260</v>
      </c>
      <c r="Y418" s="204">
        <v>53.24</v>
      </c>
      <c r="Z418" s="202" t="s">
        <v>97</v>
      </c>
      <c r="AA418" s="202"/>
      <c r="AB418" s="202" t="s">
        <v>2510</v>
      </c>
      <c r="AC418" s="202"/>
      <c r="AD418" s="202" t="s">
        <v>1152</v>
      </c>
      <c r="AE418" s="202" t="s">
        <v>1153</v>
      </c>
      <c r="AF418" s="203" t="s">
        <v>1154</v>
      </c>
      <c r="AG418" s="202"/>
      <c r="AH418" s="203" t="s">
        <v>1155</v>
      </c>
      <c r="AI418" s="202">
        <v>0</v>
      </c>
      <c r="AJ418" s="202">
        <v>0</v>
      </c>
    </row>
    <row r="419" spans="2:36">
      <c r="B419" s="203">
        <v>2180</v>
      </c>
      <c r="C419" s="207">
        <v>171585</v>
      </c>
      <c r="D419" s="203" t="s">
        <v>97</v>
      </c>
      <c r="E419" s="202" t="s">
        <v>2496</v>
      </c>
      <c r="F419" s="203">
        <v>9</v>
      </c>
      <c r="G419" s="202"/>
      <c r="H419" s="202"/>
      <c r="I419" s="202"/>
      <c r="J419" s="202">
        <v>0</v>
      </c>
      <c r="K419" s="202" t="s">
        <v>1574</v>
      </c>
      <c r="L419" s="202"/>
      <c r="M419" s="202" t="s">
        <v>1417</v>
      </c>
      <c r="N419" s="206">
        <v>42726</v>
      </c>
      <c r="O419" s="206">
        <v>42726</v>
      </c>
      <c r="P419" s="202" t="s">
        <v>2495</v>
      </c>
      <c r="Q419" s="203">
        <v>1200</v>
      </c>
      <c r="R419" s="203">
        <v>14050</v>
      </c>
      <c r="S419" s="204">
        <v>61632</v>
      </c>
      <c r="T419" s="203">
        <v>14056</v>
      </c>
      <c r="U419" s="204">
        <v>25680</v>
      </c>
      <c r="V419" s="204">
        <f t="shared" si="17"/>
        <v>35952</v>
      </c>
      <c r="W419" s="205">
        <v>5136</v>
      </c>
      <c r="X419" s="203">
        <v>54260</v>
      </c>
      <c r="Y419" s="204">
        <v>428</v>
      </c>
      <c r="Z419" s="202" t="s">
        <v>97</v>
      </c>
      <c r="AA419" s="202"/>
      <c r="AB419" s="202">
        <v>126133</v>
      </c>
      <c r="AC419" s="202"/>
      <c r="AD419" s="202" t="s">
        <v>1152</v>
      </c>
      <c r="AE419" s="202" t="s">
        <v>1153</v>
      </c>
      <c r="AF419" s="203" t="s">
        <v>1154</v>
      </c>
      <c r="AG419" s="202"/>
      <c r="AH419" s="203" t="s">
        <v>1155</v>
      </c>
      <c r="AI419" s="202">
        <v>0</v>
      </c>
      <c r="AJ419" s="202">
        <v>0</v>
      </c>
    </row>
    <row r="420" spans="2:36">
      <c r="B420" s="203">
        <v>2180</v>
      </c>
      <c r="C420" s="207">
        <v>171584</v>
      </c>
      <c r="D420" s="203" t="s">
        <v>97</v>
      </c>
      <c r="E420" s="202" t="s">
        <v>2509</v>
      </c>
      <c r="F420" s="203">
        <v>10</v>
      </c>
      <c r="G420" s="202"/>
      <c r="H420" s="202"/>
      <c r="I420" s="202"/>
      <c r="J420" s="202">
        <v>0</v>
      </c>
      <c r="K420" s="202" t="s">
        <v>1574</v>
      </c>
      <c r="L420" s="202"/>
      <c r="M420" s="202" t="s">
        <v>1454</v>
      </c>
      <c r="N420" s="206">
        <v>42726</v>
      </c>
      <c r="O420" s="206">
        <v>42726</v>
      </c>
      <c r="P420" s="202" t="s">
        <v>2495</v>
      </c>
      <c r="Q420" s="203">
        <v>1200</v>
      </c>
      <c r="R420" s="203">
        <v>14050</v>
      </c>
      <c r="S420" s="204">
        <v>59850</v>
      </c>
      <c r="T420" s="203">
        <v>14056</v>
      </c>
      <c r="U420" s="204">
        <v>24937.5</v>
      </c>
      <c r="V420" s="204">
        <f t="shared" si="17"/>
        <v>34912.5</v>
      </c>
      <c r="W420" s="205">
        <v>4987.5</v>
      </c>
      <c r="X420" s="203">
        <v>54260</v>
      </c>
      <c r="Y420" s="204">
        <v>415.62</v>
      </c>
      <c r="Z420" s="202" t="s">
        <v>97</v>
      </c>
      <c r="AA420" s="202"/>
      <c r="AB420" s="202">
        <v>126099</v>
      </c>
      <c r="AC420" s="202"/>
      <c r="AD420" s="202" t="s">
        <v>1152</v>
      </c>
      <c r="AE420" s="202" t="s">
        <v>1153</v>
      </c>
      <c r="AF420" s="203" t="s">
        <v>1154</v>
      </c>
      <c r="AG420" s="202"/>
      <c r="AH420" s="203" t="s">
        <v>1155</v>
      </c>
      <c r="AI420" s="202">
        <v>0</v>
      </c>
      <c r="AJ420" s="202">
        <v>0</v>
      </c>
    </row>
    <row r="421" spans="2:36">
      <c r="B421" s="203">
        <v>2180</v>
      </c>
      <c r="C421" s="207">
        <v>171566</v>
      </c>
      <c r="D421" s="203" t="s">
        <v>97</v>
      </c>
      <c r="E421" s="202" t="s">
        <v>2508</v>
      </c>
      <c r="F421" s="203">
        <v>648</v>
      </c>
      <c r="G421" s="202"/>
      <c r="H421" s="202"/>
      <c r="I421" s="202"/>
      <c r="J421" s="202">
        <v>0</v>
      </c>
      <c r="K421" s="202" t="s">
        <v>2445</v>
      </c>
      <c r="L421" s="202"/>
      <c r="M421" s="202"/>
      <c r="N421" s="206">
        <v>42712</v>
      </c>
      <c r="O421" s="206">
        <v>42712</v>
      </c>
      <c r="P421" s="202" t="s">
        <v>2500</v>
      </c>
      <c r="Q421" s="203">
        <v>700</v>
      </c>
      <c r="R421" s="203">
        <v>14050</v>
      </c>
      <c r="S421" s="204">
        <v>31283.66</v>
      </c>
      <c r="T421" s="203">
        <v>14056</v>
      </c>
      <c r="U421" s="204">
        <v>22717.93</v>
      </c>
      <c r="V421" s="204">
        <f t="shared" si="17"/>
        <v>8565.73</v>
      </c>
      <c r="W421" s="205">
        <v>4469.1000000000004</v>
      </c>
      <c r="X421" s="203">
        <v>54260</v>
      </c>
      <c r="Y421" s="204">
        <v>372.42</v>
      </c>
      <c r="Z421" s="202" t="s">
        <v>97</v>
      </c>
      <c r="AA421" s="202"/>
      <c r="AB421" s="202" t="s">
        <v>2507</v>
      </c>
      <c r="AC421" s="202"/>
      <c r="AD421" s="202" t="s">
        <v>1152</v>
      </c>
      <c r="AE421" s="202" t="s">
        <v>1153</v>
      </c>
      <c r="AF421" s="203" t="s">
        <v>1154</v>
      </c>
      <c r="AG421" s="202"/>
      <c r="AH421" s="203" t="s">
        <v>1155</v>
      </c>
      <c r="AI421" s="202">
        <v>0</v>
      </c>
      <c r="AJ421" s="202">
        <v>0</v>
      </c>
    </row>
    <row r="422" spans="2:36">
      <c r="B422" s="203">
        <v>2180</v>
      </c>
      <c r="C422" s="207">
        <v>171565</v>
      </c>
      <c r="D422" s="203" t="s">
        <v>97</v>
      </c>
      <c r="E422" s="202" t="s">
        <v>2506</v>
      </c>
      <c r="F422" s="203">
        <v>15</v>
      </c>
      <c r="G422" s="202"/>
      <c r="H422" s="202"/>
      <c r="I422" s="202"/>
      <c r="J422" s="202">
        <v>0</v>
      </c>
      <c r="K422" s="202" t="s">
        <v>2445</v>
      </c>
      <c r="L422" s="202"/>
      <c r="M422" s="202" t="s">
        <v>1464</v>
      </c>
      <c r="N422" s="206">
        <v>42719</v>
      </c>
      <c r="O422" s="206">
        <v>42719</v>
      </c>
      <c r="P422" s="202" t="s">
        <v>2505</v>
      </c>
      <c r="Q422" s="203">
        <v>700</v>
      </c>
      <c r="R422" s="203">
        <v>14050</v>
      </c>
      <c r="S422" s="204">
        <v>12240</v>
      </c>
      <c r="T422" s="203">
        <v>14056</v>
      </c>
      <c r="U422" s="204">
        <v>8888.57</v>
      </c>
      <c r="V422" s="204">
        <f t="shared" si="17"/>
        <v>3351.4300000000003</v>
      </c>
      <c r="W422" s="205">
        <v>1748.57</v>
      </c>
      <c r="X422" s="203">
        <v>54260</v>
      </c>
      <c r="Y422" s="204">
        <v>145.71</v>
      </c>
      <c r="Z422" s="202" t="s">
        <v>97</v>
      </c>
      <c r="AA422" s="202"/>
      <c r="AB422" s="202" t="s">
        <v>2504</v>
      </c>
      <c r="AC422" s="202"/>
      <c r="AD422" s="202" t="s">
        <v>1152</v>
      </c>
      <c r="AE422" s="202" t="s">
        <v>1153</v>
      </c>
      <c r="AF422" s="203" t="s">
        <v>1154</v>
      </c>
      <c r="AG422" s="202"/>
      <c r="AH422" s="203" t="s">
        <v>1155</v>
      </c>
      <c r="AI422" s="202">
        <v>0</v>
      </c>
      <c r="AJ422" s="202">
        <v>0</v>
      </c>
    </row>
    <row r="423" spans="2:36">
      <c r="B423" s="203">
        <v>2180</v>
      </c>
      <c r="C423" s="207">
        <v>171564</v>
      </c>
      <c r="D423" s="203" t="s">
        <v>97</v>
      </c>
      <c r="E423" s="202" t="s">
        <v>2503</v>
      </c>
      <c r="F423" s="203">
        <v>32</v>
      </c>
      <c r="G423" s="202"/>
      <c r="H423" s="202"/>
      <c r="I423" s="202"/>
      <c r="J423" s="202">
        <v>0</v>
      </c>
      <c r="K423" s="202" t="s">
        <v>2502</v>
      </c>
      <c r="L423" s="202"/>
      <c r="M423" s="202" t="s">
        <v>1582</v>
      </c>
      <c r="N423" s="206">
        <v>42689</v>
      </c>
      <c r="O423" s="206">
        <v>42689</v>
      </c>
      <c r="P423" s="202" t="s">
        <v>2501</v>
      </c>
      <c r="Q423" s="203">
        <v>700</v>
      </c>
      <c r="R423" s="203">
        <v>14050</v>
      </c>
      <c r="S423" s="204">
        <v>23208.11</v>
      </c>
      <c r="T423" s="203">
        <v>14056</v>
      </c>
      <c r="U423" s="204">
        <v>17129.82</v>
      </c>
      <c r="V423" s="204">
        <f t="shared" si="17"/>
        <v>6078.2900000000009</v>
      </c>
      <c r="W423" s="205">
        <v>3315.45</v>
      </c>
      <c r="X423" s="203">
        <v>54260</v>
      </c>
      <c r="Y423" s="204">
        <v>276.29000000000002</v>
      </c>
      <c r="Z423" s="202" t="s">
        <v>97</v>
      </c>
      <c r="AA423" s="202"/>
      <c r="AB423" s="202">
        <v>65436919</v>
      </c>
      <c r="AC423" s="202"/>
      <c r="AD423" s="202" t="s">
        <v>1152</v>
      </c>
      <c r="AE423" s="202" t="s">
        <v>1153</v>
      </c>
      <c r="AF423" s="203" t="s">
        <v>1154</v>
      </c>
      <c r="AG423" s="202"/>
      <c r="AH423" s="203" t="s">
        <v>1155</v>
      </c>
      <c r="AI423" s="202">
        <v>0</v>
      </c>
      <c r="AJ423" s="202">
        <v>0</v>
      </c>
    </row>
    <row r="424" spans="2:36">
      <c r="B424" s="203">
        <v>2180</v>
      </c>
      <c r="C424" s="207">
        <v>171563</v>
      </c>
      <c r="D424" s="203" t="s">
        <v>97</v>
      </c>
      <c r="E424" s="202" t="s">
        <v>2486</v>
      </c>
      <c r="F424" s="203">
        <v>750</v>
      </c>
      <c r="G424" s="202"/>
      <c r="H424" s="202"/>
      <c r="I424" s="202"/>
      <c r="J424" s="202">
        <v>0</v>
      </c>
      <c r="K424" s="202" t="s">
        <v>1658</v>
      </c>
      <c r="L424" s="202"/>
      <c r="M424" s="202"/>
      <c r="N424" s="206">
        <v>42716</v>
      </c>
      <c r="O424" s="206">
        <v>42716</v>
      </c>
      <c r="P424" s="202" t="s">
        <v>2500</v>
      </c>
      <c r="Q424" s="203">
        <v>700</v>
      </c>
      <c r="R424" s="203">
        <v>14050</v>
      </c>
      <c r="S424" s="204">
        <v>29778.560000000001</v>
      </c>
      <c r="T424" s="203">
        <v>14056</v>
      </c>
      <c r="U424" s="204">
        <v>21624.91</v>
      </c>
      <c r="V424" s="204">
        <f t="shared" si="17"/>
        <v>8153.6500000000015</v>
      </c>
      <c r="W424" s="205">
        <v>4254.08</v>
      </c>
      <c r="X424" s="203">
        <v>54260</v>
      </c>
      <c r="Y424" s="204">
        <v>354.51</v>
      </c>
      <c r="Z424" s="202" t="s">
        <v>97</v>
      </c>
      <c r="AA424" s="202"/>
      <c r="AB424" s="202" t="s">
        <v>2499</v>
      </c>
      <c r="AC424" s="202"/>
      <c r="AD424" s="202" t="s">
        <v>1152</v>
      </c>
      <c r="AE424" s="202" t="s">
        <v>1153</v>
      </c>
      <c r="AF424" s="203" t="s">
        <v>1154</v>
      </c>
      <c r="AG424" s="202"/>
      <c r="AH424" s="203" t="s">
        <v>1155</v>
      </c>
      <c r="AI424" s="202">
        <v>0</v>
      </c>
      <c r="AJ424" s="202">
        <v>0</v>
      </c>
    </row>
    <row r="425" spans="2:36">
      <c r="B425" s="203">
        <v>2180</v>
      </c>
      <c r="C425" s="207">
        <v>171562</v>
      </c>
      <c r="D425" s="203" t="s">
        <v>97</v>
      </c>
      <c r="E425" s="202" t="s">
        <v>2498</v>
      </c>
      <c r="F425" s="203">
        <v>32</v>
      </c>
      <c r="G425" s="202"/>
      <c r="H425" s="202"/>
      <c r="I425" s="202"/>
      <c r="J425" s="202">
        <v>0</v>
      </c>
      <c r="K425" s="202" t="s">
        <v>1574</v>
      </c>
      <c r="L425" s="202"/>
      <c r="M425" s="202" t="s">
        <v>1462</v>
      </c>
      <c r="N425" s="206">
        <v>42717</v>
      </c>
      <c r="O425" s="206">
        <v>42717</v>
      </c>
      <c r="P425" s="202" t="s">
        <v>2497</v>
      </c>
      <c r="Q425" s="203">
        <v>1200</v>
      </c>
      <c r="R425" s="203">
        <v>14050</v>
      </c>
      <c r="S425" s="204">
        <v>18452.48</v>
      </c>
      <c r="T425" s="203">
        <v>14056</v>
      </c>
      <c r="U425" s="204">
        <v>7816.64</v>
      </c>
      <c r="V425" s="204">
        <f t="shared" si="17"/>
        <v>10635.84</v>
      </c>
      <c r="W425" s="205">
        <v>1537.7</v>
      </c>
      <c r="X425" s="203">
        <v>54260</v>
      </c>
      <c r="Y425" s="204">
        <v>128.13999999999999</v>
      </c>
      <c r="Z425" s="202" t="s">
        <v>97</v>
      </c>
      <c r="AA425" s="202"/>
      <c r="AB425" s="202">
        <v>126088</v>
      </c>
      <c r="AC425" s="202"/>
      <c r="AD425" s="202" t="s">
        <v>1152</v>
      </c>
      <c r="AE425" s="202" t="s">
        <v>1153</v>
      </c>
      <c r="AF425" s="203" t="s">
        <v>1154</v>
      </c>
      <c r="AG425" s="202"/>
      <c r="AH425" s="203" t="s">
        <v>1155</v>
      </c>
      <c r="AI425" s="202">
        <v>0</v>
      </c>
      <c r="AJ425" s="202">
        <v>0</v>
      </c>
    </row>
    <row r="426" spans="2:36">
      <c r="B426" s="203">
        <v>2180</v>
      </c>
      <c r="C426" s="207">
        <v>171561</v>
      </c>
      <c r="D426" s="203" t="s">
        <v>97</v>
      </c>
      <c r="E426" s="202" t="s">
        <v>2496</v>
      </c>
      <c r="F426" s="203">
        <v>6</v>
      </c>
      <c r="G426" s="202"/>
      <c r="H426" s="202"/>
      <c r="I426" s="202"/>
      <c r="J426" s="202">
        <v>0</v>
      </c>
      <c r="K426" s="202" t="s">
        <v>1574</v>
      </c>
      <c r="L426" s="202"/>
      <c r="M426" s="202" t="s">
        <v>1417</v>
      </c>
      <c r="N426" s="206">
        <v>42726</v>
      </c>
      <c r="O426" s="206">
        <v>42726</v>
      </c>
      <c r="P426" s="202" t="s">
        <v>2495</v>
      </c>
      <c r="Q426" s="203">
        <v>1200</v>
      </c>
      <c r="R426" s="203">
        <v>14050</v>
      </c>
      <c r="S426" s="204">
        <v>41088</v>
      </c>
      <c r="T426" s="203">
        <v>14056</v>
      </c>
      <c r="U426" s="204">
        <v>17120</v>
      </c>
      <c r="V426" s="204">
        <f t="shared" si="17"/>
        <v>23968</v>
      </c>
      <c r="W426" s="205">
        <v>3424</v>
      </c>
      <c r="X426" s="203">
        <v>54260</v>
      </c>
      <c r="Y426" s="204">
        <v>285.33</v>
      </c>
      <c r="Z426" s="202" t="s">
        <v>97</v>
      </c>
      <c r="AA426" s="202"/>
      <c r="AB426" s="202">
        <v>126132</v>
      </c>
      <c r="AC426" s="202"/>
      <c r="AD426" s="202" t="s">
        <v>1152</v>
      </c>
      <c r="AE426" s="202" t="s">
        <v>1153</v>
      </c>
      <c r="AF426" s="203" t="s">
        <v>1154</v>
      </c>
      <c r="AG426" s="202"/>
      <c r="AH426" s="203" t="s">
        <v>1155</v>
      </c>
      <c r="AI426" s="202">
        <v>0</v>
      </c>
      <c r="AJ426" s="202">
        <v>0</v>
      </c>
    </row>
    <row r="427" spans="2:36">
      <c r="B427" s="203">
        <v>2180</v>
      </c>
      <c r="C427" s="207">
        <v>170306</v>
      </c>
      <c r="D427" s="203" t="s">
        <v>97</v>
      </c>
      <c r="E427" s="202" t="s">
        <v>978</v>
      </c>
      <c r="F427" s="203"/>
      <c r="G427" s="202"/>
      <c r="H427" s="202"/>
      <c r="I427" s="202"/>
      <c r="J427" s="202">
        <v>0</v>
      </c>
      <c r="K427" s="202" t="s">
        <v>1429</v>
      </c>
      <c r="L427" s="202"/>
      <c r="M427" s="202"/>
      <c r="N427" s="206">
        <v>42664</v>
      </c>
      <c r="O427" s="206">
        <v>42664</v>
      </c>
      <c r="P427" s="202" t="s">
        <v>2479</v>
      </c>
      <c r="Q427" s="203">
        <v>200</v>
      </c>
      <c r="R427" s="203">
        <v>14110</v>
      </c>
      <c r="S427" s="204">
        <v>123.9</v>
      </c>
      <c r="T427" s="203">
        <v>14116</v>
      </c>
      <c r="U427" s="204">
        <v>123.9</v>
      </c>
      <c r="V427" s="204">
        <f t="shared" si="17"/>
        <v>0</v>
      </c>
      <c r="W427" s="205">
        <v>0</v>
      </c>
      <c r="X427" s="203">
        <v>70260</v>
      </c>
      <c r="Y427" s="204">
        <v>0</v>
      </c>
      <c r="Z427" s="202" t="s">
        <v>97</v>
      </c>
      <c r="AA427" s="202"/>
      <c r="AB427" s="202" t="s">
        <v>2494</v>
      </c>
      <c r="AC427" s="202"/>
      <c r="AD427" s="202" t="s">
        <v>1152</v>
      </c>
      <c r="AE427" s="202" t="s">
        <v>1153</v>
      </c>
      <c r="AF427" s="203" t="s">
        <v>1154</v>
      </c>
      <c r="AG427" s="202"/>
      <c r="AH427" s="203" t="s">
        <v>1155</v>
      </c>
      <c r="AI427" s="202">
        <v>0</v>
      </c>
      <c r="AJ427" s="202">
        <v>0</v>
      </c>
    </row>
    <row r="428" spans="2:36">
      <c r="B428" s="203">
        <v>2180</v>
      </c>
      <c r="C428" s="207">
        <v>170192</v>
      </c>
      <c r="D428" s="203" t="s">
        <v>97</v>
      </c>
      <c r="E428" s="202" t="s">
        <v>2468</v>
      </c>
      <c r="F428" s="203">
        <v>3</v>
      </c>
      <c r="G428" s="202"/>
      <c r="H428" s="202"/>
      <c r="I428" s="202"/>
      <c r="J428" s="202">
        <v>0</v>
      </c>
      <c r="K428" s="202" t="s">
        <v>2445</v>
      </c>
      <c r="L428" s="202"/>
      <c r="M428" s="202"/>
      <c r="N428" s="206">
        <v>42676</v>
      </c>
      <c r="O428" s="206">
        <v>42676</v>
      </c>
      <c r="P428" s="202" t="s">
        <v>2465</v>
      </c>
      <c r="Q428" s="203">
        <v>700</v>
      </c>
      <c r="R428" s="203">
        <v>14050</v>
      </c>
      <c r="S428" s="204">
        <v>96.85</v>
      </c>
      <c r="T428" s="203">
        <v>14056</v>
      </c>
      <c r="U428" s="204">
        <v>71.510000000000005</v>
      </c>
      <c r="V428" s="204">
        <f t="shared" si="17"/>
        <v>25.339999999999989</v>
      </c>
      <c r="W428" s="205">
        <v>13.84</v>
      </c>
      <c r="X428" s="203">
        <v>54260</v>
      </c>
      <c r="Y428" s="204">
        <v>1.1499999999999999</v>
      </c>
      <c r="Z428" s="202" t="s">
        <v>97</v>
      </c>
      <c r="AA428" s="202"/>
      <c r="AB428" s="202" t="s">
        <v>2493</v>
      </c>
      <c r="AC428" s="202"/>
      <c r="AD428" s="202" t="s">
        <v>1152</v>
      </c>
      <c r="AE428" s="202" t="s">
        <v>1153</v>
      </c>
      <c r="AF428" s="203" t="s">
        <v>1154</v>
      </c>
      <c r="AG428" s="202"/>
      <c r="AH428" s="203" t="s">
        <v>1155</v>
      </c>
      <c r="AI428" s="202">
        <v>0</v>
      </c>
      <c r="AJ428" s="202">
        <v>0</v>
      </c>
    </row>
    <row r="429" spans="2:36">
      <c r="B429" s="203">
        <v>2180</v>
      </c>
      <c r="C429" s="207">
        <v>170191</v>
      </c>
      <c r="D429" s="203" t="s">
        <v>97</v>
      </c>
      <c r="E429" s="202" t="s">
        <v>2468</v>
      </c>
      <c r="F429" s="203">
        <v>43</v>
      </c>
      <c r="G429" s="202"/>
      <c r="H429" s="202"/>
      <c r="I429" s="202"/>
      <c r="J429" s="202">
        <v>0</v>
      </c>
      <c r="K429" s="202" t="s">
        <v>2445</v>
      </c>
      <c r="L429" s="202"/>
      <c r="M429" s="202"/>
      <c r="N429" s="206">
        <v>42657</v>
      </c>
      <c r="O429" s="206">
        <v>42657</v>
      </c>
      <c r="P429" s="202" t="s">
        <v>2398</v>
      </c>
      <c r="Q429" s="203">
        <v>700</v>
      </c>
      <c r="R429" s="203">
        <v>14050</v>
      </c>
      <c r="S429" s="204">
        <v>3669</v>
      </c>
      <c r="T429" s="203">
        <v>14056</v>
      </c>
      <c r="U429" s="204">
        <v>2751.74</v>
      </c>
      <c r="V429" s="204">
        <f t="shared" si="17"/>
        <v>917.26000000000022</v>
      </c>
      <c r="W429" s="205">
        <v>524.14</v>
      </c>
      <c r="X429" s="203">
        <v>54260</v>
      </c>
      <c r="Y429" s="204">
        <v>43.68</v>
      </c>
      <c r="Z429" s="202" t="s">
        <v>97</v>
      </c>
      <c r="AA429" s="202"/>
      <c r="AB429" s="202" t="s">
        <v>2493</v>
      </c>
      <c r="AC429" s="202"/>
      <c r="AD429" s="202" t="s">
        <v>1152</v>
      </c>
      <c r="AE429" s="202" t="s">
        <v>1153</v>
      </c>
      <c r="AF429" s="203" t="s">
        <v>1154</v>
      </c>
      <c r="AG429" s="202"/>
      <c r="AH429" s="203" t="s">
        <v>1155</v>
      </c>
      <c r="AI429" s="202">
        <v>0</v>
      </c>
      <c r="AJ429" s="202">
        <v>0</v>
      </c>
    </row>
    <row r="430" spans="2:36">
      <c r="B430" s="203">
        <v>2180</v>
      </c>
      <c r="C430" s="207">
        <v>170190</v>
      </c>
      <c r="D430" s="203" t="s">
        <v>97</v>
      </c>
      <c r="E430" s="202" t="s">
        <v>2429</v>
      </c>
      <c r="F430" s="203">
        <v>486</v>
      </c>
      <c r="G430" s="202"/>
      <c r="H430" s="202"/>
      <c r="I430" s="202"/>
      <c r="J430" s="202">
        <v>0</v>
      </c>
      <c r="K430" s="202" t="s">
        <v>2445</v>
      </c>
      <c r="L430" s="202"/>
      <c r="M430" s="202"/>
      <c r="N430" s="206">
        <v>42667</v>
      </c>
      <c r="O430" s="206">
        <v>42667</v>
      </c>
      <c r="P430" s="202" t="s">
        <v>2491</v>
      </c>
      <c r="Q430" s="203">
        <v>700</v>
      </c>
      <c r="R430" s="203">
        <v>14050</v>
      </c>
      <c r="S430" s="204">
        <v>25718.36</v>
      </c>
      <c r="T430" s="203">
        <v>14056</v>
      </c>
      <c r="U430" s="204">
        <v>18982.490000000002</v>
      </c>
      <c r="V430" s="204">
        <f t="shared" si="17"/>
        <v>6735.869999999999</v>
      </c>
      <c r="W430" s="205">
        <v>3674.03</v>
      </c>
      <c r="X430" s="203">
        <v>54260</v>
      </c>
      <c r="Y430" s="204">
        <v>306.17</v>
      </c>
      <c r="Z430" s="202" t="s">
        <v>97</v>
      </c>
      <c r="AA430" s="202"/>
      <c r="AB430" s="202" t="s">
        <v>2492</v>
      </c>
      <c r="AC430" s="202"/>
      <c r="AD430" s="202" t="s">
        <v>1152</v>
      </c>
      <c r="AE430" s="202" t="s">
        <v>1153</v>
      </c>
      <c r="AF430" s="203" t="s">
        <v>1154</v>
      </c>
      <c r="AG430" s="202"/>
      <c r="AH430" s="203" t="s">
        <v>1155</v>
      </c>
      <c r="AI430" s="202">
        <v>0</v>
      </c>
      <c r="AJ430" s="202">
        <v>0</v>
      </c>
    </row>
    <row r="431" spans="2:36">
      <c r="B431" s="203">
        <v>2180</v>
      </c>
      <c r="C431" s="207">
        <v>170189</v>
      </c>
      <c r="D431" s="203" t="s">
        <v>97</v>
      </c>
      <c r="E431" s="202" t="s">
        <v>2429</v>
      </c>
      <c r="F431" s="203">
        <v>486</v>
      </c>
      <c r="G431" s="202"/>
      <c r="H431" s="202"/>
      <c r="I431" s="202"/>
      <c r="J431" s="202">
        <v>0</v>
      </c>
      <c r="K431" s="202" t="s">
        <v>2445</v>
      </c>
      <c r="L431" s="202"/>
      <c r="M431" s="202"/>
      <c r="N431" s="206">
        <v>42667</v>
      </c>
      <c r="O431" s="206">
        <v>42667</v>
      </c>
      <c r="P431" s="202" t="s">
        <v>2491</v>
      </c>
      <c r="Q431" s="203">
        <v>700</v>
      </c>
      <c r="R431" s="203">
        <v>14050</v>
      </c>
      <c r="S431" s="204">
        <v>25718.36</v>
      </c>
      <c r="T431" s="203">
        <v>14056</v>
      </c>
      <c r="U431" s="204">
        <v>18982.490000000002</v>
      </c>
      <c r="V431" s="204">
        <f t="shared" si="17"/>
        <v>6735.869999999999</v>
      </c>
      <c r="W431" s="205">
        <v>3674.03</v>
      </c>
      <c r="X431" s="203">
        <v>54260</v>
      </c>
      <c r="Y431" s="204">
        <v>306.17</v>
      </c>
      <c r="Z431" s="202" t="s">
        <v>97</v>
      </c>
      <c r="AA431" s="202"/>
      <c r="AB431" s="202" t="s">
        <v>2490</v>
      </c>
      <c r="AC431" s="202"/>
      <c r="AD431" s="202" t="s">
        <v>1152</v>
      </c>
      <c r="AE431" s="202" t="s">
        <v>1153</v>
      </c>
      <c r="AF431" s="203" t="s">
        <v>1154</v>
      </c>
      <c r="AG431" s="202"/>
      <c r="AH431" s="203" t="s">
        <v>1155</v>
      </c>
      <c r="AI431" s="202">
        <v>0</v>
      </c>
      <c r="AJ431" s="202">
        <v>0</v>
      </c>
    </row>
    <row r="432" spans="2:36">
      <c r="B432" s="203">
        <v>2180</v>
      </c>
      <c r="C432" s="207">
        <v>170164</v>
      </c>
      <c r="D432" s="203" t="s">
        <v>97</v>
      </c>
      <c r="E432" s="202" t="s">
        <v>2466</v>
      </c>
      <c r="F432" s="203">
        <v>504</v>
      </c>
      <c r="G432" s="202"/>
      <c r="H432" s="202"/>
      <c r="I432" s="202"/>
      <c r="J432" s="202">
        <v>0</v>
      </c>
      <c r="K432" s="202" t="s">
        <v>2445</v>
      </c>
      <c r="L432" s="202"/>
      <c r="M432" s="202"/>
      <c r="N432" s="206">
        <v>42676</v>
      </c>
      <c r="O432" s="206">
        <v>42676</v>
      </c>
      <c r="P432" s="202" t="s">
        <v>2465</v>
      </c>
      <c r="Q432" s="203">
        <v>700</v>
      </c>
      <c r="R432" s="203">
        <v>14050</v>
      </c>
      <c r="S432" s="204">
        <v>26710.19</v>
      </c>
      <c r="T432" s="203">
        <v>14056</v>
      </c>
      <c r="U432" s="204">
        <v>19714.66</v>
      </c>
      <c r="V432" s="204">
        <f t="shared" si="17"/>
        <v>6995.5299999999988</v>
      </c>
      <c r="W432" s="205">
        <v>3815.74</v>
      </c>
      <c r="X432" s="203">
        <v>54260</v>
      </c>
      <c r="Y432" s="204">
        <v>317.98</v>
      </c>
      <c r="Z432" s="202" t="s">
        <v>97</v>
      </c>
      <c r="AA432" s="202"/>
      <c r="AB432" s="202" t="s">
        <v>2489</v>
      </c>
      <c r="AC432" s="202"/>
      <c r="AD432" s="202" t="s">
        <v>1152</v>
      </c>
      <c r="AE432" s="202" t="s">
        <v>1153</v>
      </c>
      <c r="AF432" s="203" t="s">
        <v>1154</v>
      </c>
      <c r="AG432" s="202"/>
      <c r="AH432" s="203" t="s">
        <v>1155</v>
      </c>
      <c r="AI432" s="202">
        <v>0</v>
      </c>
      <c r="AJ432" s="202">
        <v>0</v>
      </c>
    </row>
    <row r="433" spans="2:36">
      <c r="B433" s="203">
        <v>2180</v>
      </c>
      <c r="C433" s="207">
        <v>169624</v>
      </c>
      <c r="D433" s="203" t="s">
        <v>97</v>
      </c>
      <c r="E433" s="202" t="s">
        <v>2460</v>
      </c>
      <c r="F433" s="203">
        <v>16</v>
      </c>
      <c r="G433" s="202"/>
      <c r="H433" s="202"/>
      <c r="I433" s="202"/>
      <c r="J433" s="202">
        <v>0</v>
      </c>
      <c r="K433" s="202" t="s">
        <v>1658</v>
      </c>
      <c r="L433" s="202"/>
      <c r="M433" s="202" t="s">
        <v>2382</v>
      </c>
      <c r="N433" s="206">
        <v>42664</v>
      </c>
      <c r="O433" s="206">
        <v>42664</v>
      </c>
      <c r="P433" s="202" t="s">
        <v>2481</v>
      </c>
      <c r="Q433" s="203">
        <v>700</v>
      </c>
      <c r="R433" s="203">
        <v>14050</v>
      </c>
      <c r="S433" s="204">
        <v>18430.72</v>
      </c>
      <c r="T433" s="203">
        <v>14056</v>
      </c>
      <c r="U433" s="204">
        <v>13603.63</v>
      </c>
      <c r="V433" s="204">
        <f t="shared" si="17"/>
        <v>4827.090000000002</v>
      </c>
      <c r="W433" s="205">
        <v>2632.96</v>
      </c>
      <c r="X433" s="203">
        <v>54260</v>
      </c>
      <c r="Y433" s="204">
        <v>219.41</v>
      </c>
      <c r="Z433" s="202" t="s">
        <v>97</v>
      </c>
      <c r="AA433" s="202"/>
      <c r="AB433" s="202" t="s">
        <v>2488</v>
      </c>
      <c r="AC433" s="202"/>
      <c r="AD433" s="202" t="s">
        <v>1152</v>
      </c>
      <c r="AE433" s="202" t="s">
        <v>1153</v>
      </c>
      <c r="AF433" s="203" t="s">
        <v>1154</v>
      </c>
      <c r="AG433" s="202"/>
      <c r="AH433" s="203" t="s">
        <v>1155</v>
      </c>
      <c r="AI433" s="202">
        <v>0</v>
      </c>
      <c r="AJ433" s="202">
        <v>0</v>
      </c>
    </row>
    <row r="434" spans="2:36">
      <c r="B434" s="203">
        <v>2180</v>
      </c>
      <c r="C434" s="207">
        <v>169623</v>
      </c>
      <c r="D434" s="203" t="s">
        <v>97</v>
      </c>
      <c r="E434" s="202" t="s">
        <v>2486</v>
      </c>
      <c r="F434" s="203">
        <v>1080</v>
      </c>
      <c r="G434" s="202"/>
      <c r="H434" s="202"/>
      <c r="I434" s="202"/>
      <c r="J434" s="202">
        <v>0</v>
      </c>
      <c r="K434" s="202" t="s">
        <v>1658</v>
      </c>
      <c r="L434" s="202"/>
      <c r="M434" s="202"/>
      <c r="N434" s="206">
        <v>42664</v>
      </c>
      <c r="O434" s="206">
        <v>42664</v>
      </c>
      <c r="P434" s="202" t="s">
        <v>2485</v>
      </c>
      <c r="Q434" s="203">
        <v>700</v>
      </c>
      <c r="R434" s="203">
        <v>14050</v>
      </c>
      <c r="S434" s="204">
        <v>39812.97</v>
      </c>
      <c r="T434" s="203">
        <v>14056</v>
      </c>
      <c r="U434" s="204">
        <v>29385.78</v>
      </c>
      <c r="V434" s="204">
        <f t="shared" si="17"/>
        <v>10427.190000000002</v>
      </c>
      <c r="W434" s="205">
        <v>5687.57</v>
      </c>
      <c r="X434" s="203">
        <v>54260</v>
      </c>
      <c r="Y434" s="204">
        <v>473.96</v>
      </c>
      <c r="Z434" s="202" t="s">
        <v>97</v>
      </c>
      <c r="AA434" s="202"/>
      <c r="AB434" s="202" t="s">
        <v>2487</v>
      </c>
      <c r="AC434" s="202"/>
      <c r="AD434" s="202" t="s">
        <v>1152</v>
      </c>
      <c r="AE434" s="202" t="s">
        <v>1153</v>
      </c>
      <c r="AF434" s="203" t="s">
        <v>1154</v>
      </c>
      <c r="AG434" s="202"/>
      <c r="AH434" s="203" t="s">
        <v>1155</v>
      </c>
      <c r="AI434" s="202">
        <v>0</v>
      </c>
      <c r="AJ434" s="202">
        <v>0</v>
      </c>
    </row>
    <row r="435" spans="2:36">
      <c r="B435" s="203">
        <v>2180</v>
      </c>
      <c r="C435" s="207">
        <v>169622</v>
      </c>
      <c r="D435" s="203" t="s">
        <v>97</v>
      </c>
      <c r="E435" s="202" t="s">
        <v>2486</v>
      </c>
      <c r="F435" s="203">
        <v>1080</v>
      </c>
      <c r="G435" s="202"/>
      <c r="H435" s="202"/>
      <c r="I435" s="202"/>
      <c r="J435" s="202">
        <v>0</v>
      </c>
      <c r="K435" s="202" t="s">
        <v>1658</v>
      </c>
      <c r="L435" s="202"/>
      <c r="M435" s="202"/>
      <c r="N435" s="206">
        <v>42664</v>
      </c>
      <c r="O435" s="206">
        <v>42664</v>
      </c>
      <c r="P435" s="202" t="s">
        <v>2485</v>
      </c>
      <c r="Q435" s="203">
        <v>700</v>
      </c>
      <c r="R435" s="203">
        <v>14050</v>
      </c>
      <c r="S435" s="204">
        <v>39812.97</v>
      </c>
      <c r="T435" s="203">
        <v>14056</v>
      </c>
      <c r="U435" s="204">
        <v>29385.78</v>
      </c>
      <c r="V435" s="204">
        <f t="shared" si="17"/>
        <v>10427.190000000002</v>
      </c>
      <c r="W435" s="205">
        <v>5687.57</v>
      </c>
      <c r="X435" s="203">
        <v>54260</v>
      </c>
      <c r="Y435" s="204">
        <v>473.96</v>
      </c>
      <c r="Z435" s="202" t="s">
        <v>97</v>
      </c>
      <c r="AA435" s="202"/>
      <c r="AB435" s="202" t="s">
        <v>2484</v>
      </c>
      <c r="AC435" s="202"/>
      <c r="AD435" s="202" t="s">
        <v>1152</v>
      </c>
      <c r="AE435" s="202" t="s">
        <v>1153</v>
      </c>
      <c r="AF435" s="203" t="s">
        <v>1154</v>
      </c>
      <c r="AG435" s="202"/>
      <c r="AH435" s="203" t="s">
        <v>1155</v>
      </c>
      <c r="AI435" s="202">
        <v>0</v>
      </c>
      <c r="AJ435" s="202">
        <v>0</v>
      </c>
    </row>
    <row r="436" spans="2:36">
      <c r="B436" s="203">
        <v>2180</v>
      </c>
      <c r="C436" s="207">
        <v>169621</v>
      </c>
      <c r="D436" s="203" t="s">
        <v>97</v>
      </c>
      <c r="E436" s="202" t="s">
        <v>2468</v>
      </c>
      <c r="F436" s="203">
        <v>568</v>
      </c>
      <c r="G436" s="202"/>
      <c r="H436" s="202"/>
      <c r="I436" s="202"/>
      <c r="J436" s="202">
        <v>0</v>
      </c>
      <c r="K436" s="202" t="s">
        <v>1658</v>
      </c>
      <c r="L436" s="202"/>
      <c r="M436" s="202"/>
      <c r="N436" s="206">
        <v>42657</v>
      </c>
      <c r="O436" s="206">
        <v>42657</v>
      </c>
      <c r="P436" s="202" t="s">
        <v>2398</v>
      </c>
      <c r="Q436" s="203">
        <v>700</v>
      </c>
      <c r="R436" s="203">
        <v>14050</v>
      </c>
      <c r="S436" s="204">
        <v>29848.33</v>
      </c>
      <c r="T436" s="203">
        <v>14056</v>
      </c>
      <c r="U436" s="204">
        <v>22386.26</v>
      </c>
      <c r="V436" s="204">
        <f t="shared" si="17"/>
        <v>7462.0700000000033</v>
      </c>
      <c r="W436" s="205">
        <v>4264.05</v>
      </c>
      <c r="X436" s="203">
        <v>54260</v>
      </c>
      <c r="Y436" s="204">
        <v>355.34</v>
      </c>
      <c r="Z436" s="202" t="s">
        <v>97</v>
      </c>
      <c r="AA436" s="202"/>
      <c r="AB436" s="202" t="s">
        <v>2483</v>
      </c>
      <c r="AC436" s="202"/>
      <c r="AD436" s="202" t="s">
        <v>1152</v>
      </c>
      <c r="AE436" s="202" t="s">
        <v>1153</v>
      </c>
      <c r="AF436" s="203" t="s">
        <v>1154</v>
      </c>
      <c r="AG436" s="202"/>
      <c r="AH436" s="203" t="s">
        <v>1155</v>
      </c>
      <c r="AI436" s="202">
        <v>0</v>
      </c>
      <c r="AJ436" s="202">
        <v>0</v>
      </c>
    </row>
    <row r="437" spans="2:36">
      <c r="B437" s="203">
        <v>2180</v>
      </c>
      <c r="C437" s="207">
        <v>169574</v>
      </c>
      <c r="D437" s="203" t="s">
        <v>97</v>
      </c>
      <c r="E437" s="202" t="s">
        <v>2468</v>
      </c>
      <c r="F437" s="203">
        <v>648</v>
      </c>
      <c r="G437" s="202"/>
      <c r="H437" s="202"/>
      <c r="I437" s="202"/>
      <c r="J437" s="202">
        <v>0</v>
      </c>
      <c r="K437" s="202" t="s">
        <v>1658</v>
      </c>
      <c r="L437" s="202"/>
      <c r="M437" s="202"/>
      <c r="N437" s="206">
        <v>42657</v>
      </c>
      <c r="O437" s="206">
        <v>42657</v>
      </c>
      <c r="P437" s="202" t="s">
        <v>2398</v>
      </c>
      <c r="Q437" s="203">
        <v>700</v>
      </c>
      <c r="R437" s="203">
        <v>14050</v>
      </c>
      <c r="S437" s="204">
        <v>29848.33</v>
      </c>
      <c r="T437" s="203">
        <v>14056</v>
      </c>
      <c r="U437" s="204">
        <v>22386.26</v>
      </c>
      <c r="V437" s="204">
        <f t="shared" si="17"/>
        <v>7462.0700000000033</v>
      </c>
      <c r="W437" s="205">
        <v>4264.05</v>
      </c>
      <c r="X437" s="203">
        <v>54260</v>
      </c>
      <c r="Y437" s="204">
        <v>355.34</v>
      </c>
      <c r="Z437" s="202" t="s">
        <v>97</v>
      </c>
      <c r="AA437" s="202"/>
      <c r="AB437" s="202" t="s">
        <v>2482</v>
      </c>
      <c r="AC437" s="202"/>
      <c r="AD437" s="202" t="s">
        <v>1152</v>
      </c>
      <c r="AE437" s="202" t="s">
        <v>1153</v>
      </c>
      <c r="AF437" s="203" t="s">
        <v>1154</v>
      </c>
      <c r="AG437" s="202"/>
      <c r="AH437" s="203" t="s">
        <v>1155</v>
      </c>
      <c r="AI437" s="202">
        <v>0</v>
      </c>
      <c r="AJ437" s="202">
        <v>0</v>
      </c>
    </row>
    <row r="438" spans="2:36">
      <c r="B438" s="203">
        <v>2180</v>
      </c>
      <c r="C438" s="207">
        <v>169573</v>
      </c>
      <c r="D438" s="203" t="s">
        <v>97</v>
      </c>
      <c r="E438" s="202" t="s">
        <v>2460</v>
      </c>
      <c r="F438" s="203">
        <v>16</v>
      </c>
      <c r="G438" s="202"/>
      <c r="H438" s="202"/>
      <c r="I438" s="202"/>
      <c r="J438" s="202">
        <v>0</v>
      </c>
      <c r="K438" s="202" t="s">
        <v>1658</v>
      </c>
      <c r="L438" s="202"/>
      <c r="M438" s="202" t="s">
        <v>2382</v>
      </c>
      <c r="N438" s="206">
        <v>42664</v>
      </c>
      <c r="O438" s="206">
        <v>42664</v>
      </c>
      <c r="P438" s="202" t="s">
        <v>2481</v>
      </c>
      <c r="Q438" s="203">
        <v>700</v>
      </c>
      <c r="R438" s="203">
        <v>14050</v>
      </c>
      <c r="S438" s="204">
        <v>18430.72</v>
      </c>
      <c r="T438" s="203">
        <v>14056</v>
      </c>
      <c r="U438" s="204">
        <v>13603.63</v>
      </c>
      <c r="V438" s="204">
        <f t="shared" si="17"/>
        <v>4827.090000000002</v>
      </c>
      <c r="W438" s="205">
        <v>2632.96</v>
      </c>
      <c r="X438" s="203">
        <v>54260</v>
      </c>
      <c r="Y438" s="204">
        <v>219.41</v>
      </c>
      <c r="Z438" s="202" t="s">
        <v>97</v>
      </c>
      <c r="AA438" s="202"/>
      <c r="AB438" s="202" t="s">
        <v>2480</v>
      </c>
      <c r="AC438" s="202"/>
      <c r="AD438" s="202" t="s">
        <v>1152</v>
      </c>
      <c r="AE438" s="202" t="s">
        <v>1153</v>
      </c>
      <c r="AF438" s="203" t="s">
        <v>1154</v>
      </c>
      <c r="AG438" s="202"/>
      <c r="AH438" s="203" t="s">
        <v>1155</v>
      </c>
      <c r="AI438" s="202">
        <v>0</v>
      </c>
      <c r="AJ438" s="202">
        <v>0</v>
      </c>
    </row>
    <row r="439" spans="2:36">
      <c r="B439" s="203">
        <v>2180</v>
      </c>
      <c r="C439" s="207">
        <v>169369</v>
      </c>
      <c r="D439" s="203" t="s">
        <v>97</v>
      </c>
      <c r="E439" s="202" t="s">
        <v>977</v>
      </c>
      <c r="F439" s="203"/>
      <c r="G439" s="202"/>
      <c r="H439" s="202"/>
      <c r="I439" s="202"/>
      <c r="J439" s="202">
        <v>0</v>
      </c>
      <c r="K439" s="202" t="s">
        <v>1429</v>
      </c>
      <c r="L439" s="202"/>
      <c r="M439" s="202"/>
      <c r="N439" s="206">
        <v>42664</v>
      </c>
      <c r="O439" s="206">
        <v>42664</v>
      </c>
      <c r="P439" s="202" t="s">
        <v>2479</v>
      </c>
      <c r="Q439" s="203">
        <v>200</v>
      </c>
      <c r="R439" s="203">
        <v>14110</v>
      </c>
      <c r="S439" s="204">
        <v>1311.95</v>
      </c>
      <c r="T439" s="203">
        <v>14116</v>
      </c>
      <c r="U439" s="204">
        <v>1311.95</v>
      </c>
      <c r="V439" s="204">
        <f t="shared" si="17"/>
        <v>0</v>
      </c>
      <c r="W439" s="205">
        <v>0</v>
      </c>
      <c r="X439" s="203">
        <v>70260</v>
      </c>
      <c r="Y439" s="204">
        <v>0</v>
      </c>
      <c r="Z439" s="202" t="s">
        <v>97</v>
      </c>
      <c r="AA439" s="202"/>
      <c r="AB439" s="202" t="s">
        <v>2478</v>
      </c>
      <c r="AC439" s="202"/>
      <c r="AD439" s="202" t="s">
        <v>1152</v>
      </c>
      <c r="AE439" s="202" t="s">
        <v>1153</v>
      </c>
      <c r="AF439" s="203" t="s">
        <v>1154</v>
      </c>
      <c r="AG439" s="202"/>
      <c r="AH439" s="203" t="s">
        <v>1155</v>
      </c>
      <c r="AI439" s="202">
        <v>0</v>
      </c>
      <c r="AJ439" s="202">
        <v>0</v>
      </c>
    </row>
    <row r="440" spans="2:36">
      <c r="B440" s="203">
        <v>2180</v>
      </c>
      <c r="C440" s="207">
        <v>169028</v>
      </c>
      <c r="D440" s="203" t="s">
        <v>97</v>
      </c>
      <c r="E440" s="202" t="s">
        <v>247</v>
      </c>
      <c r="F440" s="203"/>
      <c r="G440" s="202"/>
      <c r="H440" s="202" t="s">
        <v>2477</v>
      </c>
      <c r="I440" s="202"/>
      <c r="J440" s="202">
        <v>2017</v>
      </c>
      <c r="K440" s="202" t="s">
        <v>2290</v>
      </c>
      <c r="L440" s="202" t="s">
        <v>2476</v>
      </c>
      <c r="M440" s="202" t="s">
        <v>1503</v>
      </c>
      <c r="N440" s="206">
        <v>42643</v>
      </c>
      <c r="O440" s="206">
        <v>42643</v>
      </c>
      <c r="P440" s="202" t="s">
        <v>2475</v>
      </c>
      <c r="Q440" s="203">
        <v>1000</v>
      </c>
      <c r="R440" s="203">
        <v>14040</v>
      </c>
      <c r="S440" s="204">
        <v>198848.06</v>
      </c>
      <c r="T440" s="203">
        <v>14046</v>
      </c>
      <c r="U440" s="204">
        <v>104395.25</v>
      </c>
      <c r="V440" s="204">
        <f t="shared" si="17"/>
        <v>94452.81</v>
      </c>
      <c r="W440" s="205">
        <v>19884.810000000001</v>
      </c>
      <c r="X440" s="203">
        <v>51260</v>
      </c>
      <c r="Y440" s="204">
        <v>1657.07</v>
      </c>
      <c r="Z440" s="202" t="s">
        <v>97</v>
      </c>
      <c r="AA440" s="202"/>
      <c r="AB440" s="202" t="s">
        <v>2474</v>
      </c>
      <c r="AC440" s="202">
        <v>4521</v>
      </c>
      <c r="AD440" s="202" t="s">
        <v>1152</v>
      </c>
      <c r="AE440" s="202" t="s">
        <v>1153</v>
      </c>
      <c r="AF440" s="203" t="s">
        <v>1154</v>
      </c>
      <c r="AG440" s="202"/>
      <c r="AH440" s="203" t="s">
        <v>1155</v>
      </c>
      <c r="AI440" s="202">
        <v>0</v>
      </c>
      <c r="AJ440" s="202">
        <v>0</v>
      </c>
    </row>
    <row r="441" spans="2:36">
      <c r="B441" s="203">
        <v>2180</v>
      </c>
      <c r="C441" s="207">
        <v>168985</v>
      </c>
      <c r="D441" s="203" t="s">
        <v>97</v>
      </c>
      <c r="E441" s="202" t="s">
        <v>2359</v>
      </c>
      <c r="F441" s="203">
        <v>486</v>
      </c>
      <c r="G441" s="202"/>
      <c r="H441" s="202"/>
      <c r="I441" s="202"/>
      <c r="J441" s="202">
        <v>0</v>
      </c>
      <c r="K441" s="202" t="s">
        <v>1658</v>
      </c>
      <c r="L441" s="202"/>
      <c r="M441" s="202"/>
      <c r="N441" s="206">
        <v>42650</v>
      </c>
      <c r="O441" s="206">
        <v>42650</v>
      </c>
      <c r="P441" s="202" t="s">
        <v>2472</v>
      </c>
      <c r="Q441" s="203">
        <v>700</v>
      </c>
      <c r="R441" s="203">
        <v>14050</v>
      </c>
      <c r="S441" s="204">
        <v>26099.16</v>
      </c>
      <c r="T441" s="203">
        <v>14056</v>
      </c>
      <c r="U441" s="204">
        <v>19574.36</v>
      </c>
      <c r="V441" s="204">
        <f t="shared" si="17"/>
        <v>6524.7999999999993</v>
      </c>
      <c r="W441" s="205">
        <v>3728.45</v>
      </c>
      <c r="X441" s="203">
        <v>54260</v>
      </c>
      <c r="Y441" s="204">
        <v>310.7</v>
      </c>
      <c r="Z441" s="202" t="s">
        <v>97</v>
      </c>
      <c r="AA441" s="202"/>
      <c r="AB441" s="202" t="s">
        <v>2473</v>
      </c>
      <c r="AC441" s="202"/>
      <c r="AD441" s="202" t="s">
        <v>1152</v>
      </c>
      <c r="AE441" s="202" t="s">
        <v>1153</v>
      </c>
      <c r="AF441" s="203" t="s">
        <v>1154</v>
      </c>
      <c r="AG441" s="202"/>
      <c r="AH441" s="203" t="s">
        <v>1155</v>
      </c>
      <c r="AI441" s="202">
        <v>0</v>
      </c>
      <c r="AJ441" s="202">
        <v>0</v>
      </c>
    </row>
    <row r="442" spans="2:36">
      <c r="B442" s="203">
        <v>2180</v>
      </c>
      <c r="C442" s="207">
        <v>168984</v>
      </c>
      <c r="D442" s="203" t="s">
        <v>97</v>
      </c>
      <c r="E442" s="202" t="s">
        <v>2359</v>
      </c>
      <c r="F442" s="203">
        <v>486</v>
      </c>
      <c r="G442" s="202"/>
      <c r="H442" s="202"/>
      <c r="I442" s="202"/>
      <c r="J442" s="202">
        <v>0</v>
      </c>
      <c r="K442" s="202" t="s">
        <v>1658</v>
      </c>
      <c r="L442" s="202"/>
      <c r="M442" s="202"/>
      <c r="N442" s="206">
        <v>42650</v>
      </c>
      <c r="O442" s="206">
        <v>42650</v>
      </c>
      <c r="P442" s="202" t="s">
        <v>2472</v>
      </c>
      <c r="Q442" s="203">
        <v>700</v>
      </c>
      <c r="R442" s="203">
        <v>14050</v>
      </c>
      <c r="S442" s="204">
        <v>26099.16</v>
      </c>
      <c r="T442" s="203">
        <v>14056</v>
      </c>
      <c r="U442" s="204">
        <v>19574.36</v>
      </c>
      <c r="V442" s="204">
        <f t="shared" si="17"/>
        <v>6524.7999999999993</v>
      </c>
      <c r="W442" s="205">
        <v>3728.45</v>
      </c>
      <c r="X442" s="203">
        <v>54260</v>
      </c>
      <c r="Y442" s="204">
        <v>310.7</v>
      </c>
      <c r="Z442" s="202" t="s">
        <v>97</v>
      </c>
      <c r="AA442" s="202"/>
      <c r="AB442" s="202" t="s">
        <v>2471</v>
      </c>
      <c r="AC442" s="202"/>
      <c r="AD442" s="202" t="s">
        <v>1152</v>
      </c>
      <c r="AE442" s="202" t="s">
        <v>1153</v>
      </c>
      <c r="AF442" s="203" t="s">
        <v>1154</v>
      </c>
      <c r="AG442" s="202"/>
      <c r="AH442" s="203" t="s">
        <v>1155</v>
      </c>
      <c r="AI442" s="202">
        <v>0</v>
      </c>
      <c r="AJ442" s="202">
        <v>0</v>
      </c>
    </row>
    <row r="443" spans="2:36">
      <c r="B443" s="203">
        <v>2180</v>
      </c>
      <c r="C443" s="207">
        <v>168783</v>
      </c>
      <c r="D443" s="203" t="s">
        <v>97</v>
      </c>
      <c r="E443" s="202" t="s">
        <v>2470</v>
      </c>
      <c r="F443" s="203">
        <v>29</v>
      </c>
      <c r="G443" s="202"/>
      <c r="H443" s="202"/>
      <c r="I443" s="202"/>
      <c r="J443" s="202">
        <v>0</v>
      </c>
      <c r="K443" s="202" t="s">
        <v>1574</v>
      </c>
      <c r="L443" s="202"/>
      <c r="M443" s="202" t="s">
        <v>1573</v>
      </c>
      <c r="N443" s="206">
        <v>42636</v>
      </c>
      <c r="O443" s="206">
        <v>42636</v>
      </c>
      <c r="P443" s="202" t="s">
        <v>2461</v>
      </c>
      <c r="Q443" s="203">
        <v>1200</v>
      </c>
      <c r="R443" s="203">
        <v>14050</v>
      </c>
      <c r="S443" s="204">
        <v>13409.6</v>
      </c>
      <c r="T443" s="203">
        <v>14056</v>
      </c>
      <c r="U443" s="204">
        <v>5866.72</v>
      </c>
      <c r="V443" s="204">
        <f t="shared" si="17"/>
        <v>7542.88</v>
      </c>
      <c r="W443" s="205">
        <v>1117.47</v>
      </c>
      <c r="X443" s="203">
        <v>54260</v>
      </c>
      <c r="Y443" s="204">
        <v>93.12</v>
      </c>
      <c r="Z443" s="202" t="s">
        <v>97</v>
      </c>
      <c r="AA443" s="202"/>
      <c r="AB443" s="202">
        <v>123763</v>
      </c>
      <c r="AC443" s="202"/>
      <c r="AD443" s="202" t="s">
        <v>1152</v>
      </c>
      <c r="AE443" s="202" t="s">
        <v>1153</v>
      </c>
      <c r="AF443" s="203" t="s">
        <v>1154</v>
      </c>
      <c r="AG443" s="202"/>
      <c r="AH443" s="203" t="s">
        <v>1155</v>
      </c>
      <c r="AI443" s="202">
        <v>0</v>
      </c>
      <c r="AJ443" s="202">
        <v>0</v>
      </c>
    </row>
    <row r="444" spans="2:36">
      <c r="B444" s="203">
        <v>2180</v>
      </c>
      <c r="C444" s="207">
        <v>168668</v>
      </c>
      <c r="D444" s="203" t="s">
        <v>97</v>
      </c>
      <c r="E444" s="202" t="s">
        <v>2468</v>
      </c>
      <c r="F444" s="203">
        <v>648</v>
      </c>
      <c r="G444" s="202"/>
      <c r="H444" s="202"/>
      <c r="I444" s="202"/>
      <c r="J444" s="202">
        <v>0</v>
      </c>
      <c r="K444" s="202" t="s">
        <v>1658</v>
      </c>
      <c r="L444" s="202"/>
      <c r="M444" s="202"/>
      <c r="N444" s="206">
        <v>42604</v>
      </c>
      <c r="O444" s="206">
        <v>42604</v>
      </c>
      <c r="P444" s="202" t="s">
        <v>2398</v>
      </c>
      <c r="Q444" s="203">
        <v>700</v>
      </c>
      <c r="R444" s="203">
        <v>14050</v>
      </c>
      <c r="S444" s="204">
        <v>29821.13</v>
      </c>
      <c r="T444" s="203">
        <v>14056</v>
      </c>
      <c r="U444" s="204">
        <v>22720.85</v>
      </c>
      <c r="V444" s="204">
        <f t="shared" si="17"/>
        <v>7100.2800000000025</v>
      </c>
      <c r="W444" s="205">
        <v>4260.16</v>
      </c>
      <c r="X444" s="203">
        <v>54260</v>
      </c>
      <c r="Y444" s="204">
        <v>355.01</v>
      </c>
      <c r="Z444" s="202" t="s">
        <v>97</v>
      </c>
      <c r="AA444" s="202"/>
      <c r="AB444" s="202" t="s">
        <v>2469</v>
      </c>
      <c r="AC444" s="202"/>
      <c r="AD444" s="202" t="s">
        <v>1152</v>
      </c>
      <c r="AE444" s="202" t="s">
        <v>1153</v>
      </c>
      <c r="AF444" s="203" t="s">
        <v>1154</v>
      </c>
      <c r="AG444" s="202"/>
      <c r="AH444" s="203" t="s">
        <v>1155</v>
      </c>
      <c r="AI444" s="202">
        <v>0</v>
      </c>
      <c r="AJ444" s="202">
        <v>0</v>
      </c>
    </row>
    <row r="445" spans="2:36">
      <c r="B445" s="203">
        <v>2180</v>
      </c>
      <c r="C445" s="207">
        <v>168667</v>
      </c>
      <c r="D445" s="203" t="s">
        <v>97</v>
      </c>
      <c r="E445" s="202" t="s">
        <v>2468</v>
      </c>
      <c r="F445" s="203">
        <v>648</v>
      </c>
      <c r="G445" s="202"/>
      <c r="H445" s="202"/>
      <c r="I445" s="202"/>
      <c r="J445" s="202">
        <v>0</v>
      </c>
      <c r="K445" s="202" t="s">
        <v>1658</v>
      </c>
      <c r="L445" s="202"/>
      <c r="M445" s="202"/>
      <c r="N445" s="206">
        <v>42604</v>
      </c>
      <c r="O445" s="206">
        <v>42604</v>
      </c>
      <c r="P445" s="202" t="s">
        <v>2398</v>
      </c>
      <c r="Q445" s="203">
        <v>700</v>
      </c>
      <c r="R445" s="203">
        <v>14050</v>
      </c>
      <c r="S445" s="204">
        <v>29821.13</v>
      </c>
      <c r="T445" s="203">
        <v>14056</v>
      </c>
      <c r="U445" s="204">
        <v>22720.85</v>
      </c>
      <c r="V445" s="204">
        <f t="shared" si="17"/>
        <v>7100.2800000000025</v>
      </c>
      <c r="W445" s="205">
        <v>4260.16</v>
      </c>
      <c r="X445" s="203">
        <v>54260</v>
      </c>
      <c r="Y445" s="204">
        <v>355.01</v>
      </c>
      <c r="Z445" s="202" t="s">
        <v>97</v>
      </c>
      <c r="AA445" s="202"/>
      <c r="AB445" s="202" t="s">
        <v>2467</v>
      </c>
      <c r="AC445" s="202"/>
      <c r="AD445" s="202" t="s">
        <v>1152</v>
      </c>
      <c r="AE445" s="202" t="s">
        <v>1153</v>
      </c>
      <c r="AF445" s="203" t="s">
        <v>1154</v>
      </c>
      <c r="AG445" s="202"/>
      <c r="AH445" s="203" t="s">
        <v>1155</v>
      </c>
      <c r="AI445" s="202">
        <v>0</v>
      </c>
      <c r="AJ445" s="202">
        <v>0</v>
      </c>
    </row>
    <row r="446" spans="2:36">
      <c r="B446" s="203">
        <v>2180</v>
      </c>
      <c r="C446" s="207">
        <v>168666</v>
      </c>
      <c r="D446" s="203" t="s">
        <v>97</v>
      </c>
      <c r="E446" s="202" t="s">
        <v>2466</v>
      </c>
      <c r="F446" s="203">
        <v>486</v>
      </c>
      <c r="G446" s="202"/>
      <c r="H446" s="202"/>
      <c r="I446" s="202"/>
      <c r="J446" s="202">
        <v>0</v>
      </c>
      <c r="K446" s="202" t="s">
        <v>1658</v>
      </c>
      <c r="L446" s="202"/>
      <c r="M446" s="202"/>
      <c r="N446" s="206">
        <v>42619</v>
      </c>
      <c r="O446" s="206">
        <v>42619</v>
      </c>
      <c r="P446" s="202" t="s">
        <v>2465</v>
      </c>
      <c r="Q446" s="203">
        <v>700</v>
      </c>
      <c r="R446" s="203">
        <v>14050</v>
      </c>
      <c r="S446" s="204">
        <v>25827.17</v>
      </c>
      <c r="T446" s="203">
        <v>14056</v>
      </c>
      <c r="U446" s="204">
        <v>19677.87</v>
      </c>
      <c r="V446" s="204">
        <f t="shared" si="17"/>
        <v>6149.2999999999993</v>
      </c>
      <c r="W446" s="205">
        <v>3689.6</v>
      </c>
      <c r="X446" s="203">
        <v>54260</v>
      </c>
      <c r="Y446" s="204">
        <v>307.47000000000003</v>
      </c>
      <c r="Z446" s="202" t="s">
        <v>97</v>
      </c>
      <c r="AA446" s="202"/>
      <c r="AB446" s="202" t="s">
        <v>2464</v>
      </c>
      <c r="AC446" s="202"/>
      <c r="AD446" s="202" t="s">
        <v>1152</v>
      </c>
      <c r="AE446" s="202" t="s">
        <v>1153</v>
      </c>
      <c r="AF446" s="203" t="s">
        <v>1154</v>
      </c>
      <c r="AG446" s="202"/>
      <c r="AH446" s="203" t="s">
        <v>1155</v>
      </c>
      <c r="AI446" s="202">
        <v>0</v>
      </c>
      <c r="AJ446" s="202">
        <v>0</v>
      </c>
    </row>
    <row r="447" spans="2:36">
      <c r="B447" s="203">
        <v>2180</v>
      </c>
      <c r="C447" s="207">
        <v>168665</v>
      </c>
      <c r="D447" s="203" t="s">
        <v>97</v>
      </c>
      <c r="E447" s="202" t="s">
        <v>2359</v>
      </c>
      <c r="F447" s="203">
        <v>486</v>
      </c>
      <c r="G447" s="202"/>
      <c r="H447" s="202"/>
      <c r="I447" s="202"/>
      <c r="J447" s="202">
        <v>0</v>
      </c>
      <c r="K447" s="202" t="s">
        <v>1658</v>
      </c>
      <c r="L447" s="202"/>
      <c r="M447" s="202"/>
      <c r="N447" s="206">
        <v>42629</v>
      </c>
      <c r="O447" s="206">
        <v>42629</v>
      </c>
      <c r="P447" s="202" t="s">
        <v>2437</v>
      </c>
      <c r="Q447" s="203">
        <v>700</v>
      </c>
      <c r="R447" s="203">
        <v>14050</v>
      </c>
      <c r="S447" s="204">
        <v>26240.6</v>
      </c>
      <c r="T447" s="203">
        <v>14056</v>
      </c>
      <c r="U447" s="204">
        <v>19680.47</v>
      </c>
      <c r="V447" s="204">
        <f t="shared" si="17"/>
        <v>6560.1299999999974</v>
      </c>
      <c r="W447" s="205">
        <v>3748.66</v>
      </c>
      <c r="X447" s="203">
        <v>54260</v>
      </c>
      <c r="Y447" s="204">
        <v>312.39</v>
      </c>
      <c r="Z447" s="202" t="s">
        <v>97</v>
      </c>
      <c r="AA447" s="202"/>
      <c r="AB447" s="202" t="s">
        <v>2463</v>
      </c>
      <c r="AC447" s="202"/>
      <c r="AD447" s="202" t="s">
        <v>1152</v>
      </c>
      <c r="AE447" s="202" t="s">
        <v>1153</v>
      </c>
      <c r="AF447" s="203" t="s">
        <v>1154</v>
      </c>
      <c r="AG447" s="202"/>
      <c r="AH447" s="203" t="s">
        <v>1155</v>
      </c>
      <c r="AI447" s="202">
        <v>0</v>
      </c>
      <c r="AJ447" s="202">
        <v>0</v>
      </c>
    </row>
    <row r="448" spans="2:36">
      <c r="B448" s="203">
        <v>2180</v>
      </c>
      <c r="C448" s="207">
        <v>168664</v>
      </c>
      <c r="D448" s="203" t="s">
        <v>97</v>
      </c>
      <c r="E448" s="202" t="s">
        <v>2462</v>
      </c>
      <c r="F448" s="203">
        <v>7</v>
      </c>
      <c r="G448" s="202"/>
      <c r="H448" s="202"/>
      <c r="I448" s="202"/>
      <c r="J448" s="202">
        <v>0</v>
      </c>
      <c r="K448" s="202" t="s">
        <v>1574</v>
      </c>
      <c r="L448" s="202"/>
      <c r="M448" s="202" t="s">
        <v>1573</v>
      </c>
      <c r="N448" s="206">
        <v>42634</v>
      </c>
      <c r="O448" s="206">
        <v>42634</v>
      </c>
      <c r="P448" s="202" t="s">
        <v>2461</v>
      </c>
      <c r="Q448" s="203">
        <v>1200</v>
      </c>
      <c r="R448" s="203">
        <v>14050</v>
      </c>
      <c r="S448" s="204">
        <v>3236.8</v>
      </c>
      <c r="T448" s="203">
        <v>14056</v>
      </c>
      <c r="U448" s="204">
        <v>1416.08</v>
      </c>
      <c r="V448" s="204">
        <f t="shared" si="17"/>
        <v>1820.7200000000003</v>
      </c>
      <c r="W448" s="205">
        <v>269.73</v>
      </c>
      <c r="X448" s="203">
        <v>54260</v>
      </c>
      <c r="Y448" s="204">
        <v>22.48</v>
      </c>
      <c r="Z448" s="202" t="s">
        <v>97</v>
      </c>
      <c r="AA448" s="202"/>
      <c r="AB448" s="202">
        <v>123862</v>
      </c>
      <c r="AC448" s="202"/>
      <c r="AD448" s="202" t="s">
        <v>1152</v>
      </c>
      <c r="AE448" s="202" t="s">
        <v>1153</v>
      </c>
      <c r="AF448" s="203" t="s">
        <v>1154</v>
      </c>
      <c r="AG448" s="202"/>
      <c r="AH448" s="203" t="s">
        <v>1155</v>
      </c>
      <c r="AI448" s="202">
        <v>0</v>
      </c>
      <c r="AJ448" s="202">
        <v>0</v>
      </c>
    </row>
    <row r="449" spans="2:36">
      <c r="B449" s="203">
        <v>2180</v>
      </c>
      <c r="C449" s="207">
        <v>167285</v>
      </c>
      <c r="D449" s="203" t="s">
        <v>97</v>
      </c>
      <c r="E449" s="202" t="s">
        <v>2460</v>
      </c>
      <c r="F449" s="203">
        <v>32</v>
      </c>
      <c r="G449" s="202"/>
      <c r="H449" s="202"/>
      <c r="I449" s="202"/>
      <c r="J449" s="202">
        <v>0</v>
      </c>
      <c r="K449" s="202" t="s">
        <v>1658</v>
      </c>
      <c r="L449" s="202"/>
      <c r="M449" s="202" t="s">
        <v>2382</v>
      </c>
      <c r="N449" s="206">
        <v>42613</v>
      </c>
      <c r="O449" s="206">
        <v>42613</v>
      </c>
      <c r="P449" s="202" t="s">
        <v>2459</v>
      </c>
      <c r="Q449" s="203">
        <v>700</v>
      </c>
      <c r="R449" s="203">
        <v>14050</v>
      </c>
      <c r="S449" s="204">
        <v>41648.639999999999</v>
      </c>
      <c r="T449" s="203">
        <v>14056</v>
      </c>
      <c r="U449" s="204">
        <v>31732.32</v>
      </c>
      <c r="V449" s="204">
        <f t="shared" si="17"/>
        <v>9916.32</v>
      </c>
      <c r="W449" s="205">
        <v>5949.81</v>
      </c>
      <c r="X449" s="203">
        <v>54260</v>
      </c>
      <c r="Y449" s="204">
        <v>495.82</v>
      </c>
      <c r="Z449" s="202" t="s">
        <v>97</v>
      </c>
      <c r="AA449" s="202"/>
      <c r="AB449" s="202" t="s">
        <v>2458</v>
      </c>
      <c r="AC449" s="202"/>
      <c r="AD449" s="202" t="s">
        <v>1152</v>
      </c>
      <c r="AE449" s="202" t="s">
        <v>1153</v>
      </c>
      <c r="AF449" s="203" t="s">
        <v>1154</v>
      </c>
      <c r="AG449" s="202"/>
      <c r="AH449" s="203" t="s">
        <v>1155</v>
      </c>
      <c r="AI449" s="202">
        <v>0</v>
      </c>
      <c r="AJ449" s="202">
        <v>0</v>
      </c>
    </row>
    <row r="450" spans="2:36">
      <c r="B450" s="203">
        <v>2180</v>
      </c>
      <c r="C450" s="207">
        <v>166606</v>
      </c>
      <c r="D450" s="203">
        <v>60779</v>
      </c>
      <c r="E450" s="202" t="s">
        <v>2457</v>
      </c>
      <c r="F450" s="203"/>
      <c r="G450" s="202"/>
      <c r="H450" s="202"/>
      <c r="I450" s="202"/>
      <c r="J450" s="202">
        <v>0</v>
      </c>
      <c r="K450" s="202" t="s">
        <v>2296</v>
      </c>
      <c r="L450" s="202"/>
      <c r="M450" s="202" t="s">
        <v>1158</v>
      </c>
      <c r="N450" s="206">
        <v>42580</v>
      </c>
      <c r="O450" s="206">
        <v>42580</v>
      </c>
      <c r="P450" s="202" t="s">
        <v>2456</v>
      </c>
      <c r="Q450" s="203">
        <v>300</v>
      </c>
      <c r="R450" s="203">
        <v>14040</v>
      </c>
      <c r="S450" s="204">
        <v>16305.92</v>
      </c>
      <c r="T450" s="203">
        <v>14046</v>
      </c>
      <c r="U450" s="204">
        <v>16305.92</v>
      </c>
      <c r="V450" s="204">
        <f t="shared" si="17"/>
        <v>0</v>
      </c>
      <c r="W450" s="205">
        <v>0</v>
      </c>
      <c r="X450" s="203">
        <v>51260</v>
      </c>
      <c r="Y450" s="204">
        <v>0</v>
      </c>
      <c r="Z450" s="202" t="s">
        <v>97</v>
      </c>
      <c r="AA450" s="202"/>
      <c r="AB450" s="202" t="s">
        <v>2455</v>
      </c>
      <c r="AC450" s="202"/>
      <c r="AD450" s="202" t="s">
        <v>1152</v>
      </c>
      <c r="AE450" s="202" t="s">
        <v>1153</v>
      </c>
      <c r="AF450" s="203" t="s">
        <v>1154</v>
      </c>
      <c r="AG450" s="202"/>
      <c r="AH450" s="203" t="s">
        <v>1155</v>
      </c>
      <c r="AI450" s="202">
        <v>0</v>
      </c>
      <c r="AJ450" s="202">
        <v>0</v>
      </c>
    </row>
    <row r="451" spans="2:36">
      <c r="B451" s="203">
        <v>2180</v>
      </c>
      <c r="C451" s="207">
        <v>166253</v>
      </c>
      <c r="D451" s="203">
        <v>133441</v>
      </c>
      <c r="E451" s="202" t="s">
        <v>2454</v>
      </c>
      <c r="F451" s="203"/>
      <c r="G451" s="202"/>
      <c r="H451" s="202"/>
      <c r="I451" s="202"/>
      <c r="J451" s="202">
        <v>0</v>
      </c>
      <c r="K451" s="202" t="s">
        <v>1576</v>
      </c>
      <c r="L451" s="202"/>
      <c r="M451" s="202" t="s">
        <v>2453</v>
      </c>
      <c r="N451" s="206">
        <v>42551</v>
      </c>
      <c r="O451" s="206">
        <v>42551</v>
      </c>
      <c r="P451" s="202" t="s">
        <v>2439</v>
      </c>
      <c r="Q451" s="203">
        <v>1000</v>
      </c>
      <c r="R451" s="203">
        <v>14040</v>
      </c>
      <c r="S451" s="204">
        <v>6375.7</v>
      </c>
      <c r="T451" s="203">
        <v>14046</v>
      </c>
      <c r="U451" s="204">
        <v>3506.64</v>
      </c>
      <c r="V451" s="204">
        <f t="shared" si="17"/>
        <v>2869.06</v>
      </c>
      <c r="W451" s="205">
        <v>637.57000000000005</v>
      </c>
      <c r="X451" s="203">
        <v>51260</v>
      </c>
      <c r="Y451" s="204">
        <v>53.13</v>
      </c>
      <c r="Z451" s="202" t="s">
        <v>97</v>
      </c>
      <c r="AA451" s="202"/>
      <c r="AB451" s="202">
        <v>97499</v>
      </c>
      <c r="AC451" s="202"/>
      <c r="AD451" s="202" t="s">
        <v>1152</v>
      </c>
      <c r="AE451" s="202" t="s">
        <v>1153</v>
      </c>
      <c r="AF451" s="203" t="s">
        <v>1154</v>
      </c>
      <c r="AG451" s="202"/>
      <c r="AH451" s="203" t="s">
        <v>1155</v>
      </c>
      <c r="AI451" s="202">
        <v>0</v>
      </c>
      <c r="AJ451" s="202">
        <v>0</v>
      </c>
    </row>
    <row r="452" spans="2:36">
      <c r="B452" s="203">
        <v>2180</v>
      </c>
      <c r="C452" s="207">
        <v>166068</v>
      </c>
      <c r="D452" s="203" t="s">
        <v>97</v>
      </c>
      <c r="E452" s="202" t="s">
        <v>2452</v>
      </c>
      <c r="F452" s="203">
        <v>549</v>
      </c>
      <c r="G452" s="202"/>
      <c r="H452" s="202"/>
      <c r="I452" s="202"/>
      <c r="J452" s="202">
        <v>0</v>
      </c>
      <c r="K452" s="202" t="s">
        <v>2165</v>
      </c>
      <c r="L452" s="202"/>
      <c r="M452" s="202"/>
      <c r="N452" s="206">
        <v>42563</v>
      </c>
      <c r="O452" s="206">
        <v>42563</v>
      </c>
      <c r="P452" s="202" t="s">
        <v>2437</v>
      </c>
      <c r="Q452" s="203">
        <v>700</v>
      </c>
      <c r="R452" s="203">
        <v>14050</v>
      </c>
      <c r="S452" s="204">
        <v>26801.4</v>
      </c>
      <c r="T452" s="203">
        <v>14056</v>
      </c>
      <c r="U452" s="204">
        <v>21058.240000000002</v>
      </c>
      <c r="V452" s="204">
        <f t="shared" si="17"/>
        <v>5743.16</v>
      </c>
      <c r="W452" s="205">
        <v>3828.77</v>
      </c>
      <c r="X452" s="203">
        <v>54260</v>
      </c>
      <c r="Y452" s="204">
        <v>319.06</v>
      </c>
      <c r="Z452" s="202" t="s">
        <v>97</v>
      </c>
      <c r="AA452" s="202"/>
      <c r="AB452" s="202" t="s">
        <v>2451</v>
      </c>
      <c r="AC452" s="202"/>
      <c r="AD452" s="202" t="s">
        <v>1152</v>
      </c>
      <c r="AE452" s="202" t="s">
        <v>1153</v>
      </c>
      <c r="AF452" s="203" t="s">
        <v>1154</v>
      </c>
      <c r="AG452" s="202"/>
      <c r="AH452" s="203" t="s">
        <v>1155</v>
      </c>
      <c r="AI452" s="202">
        <v>0</v>
      </c>
      <c r="AJ452" s="202">
        <v>0</v>
      </c>
    </row>
    <row r="453" spans="2:36">
      <c r="B453" s="203">
        <v>2180</v>
      </c>
      <c r="C453" s="207">
        <v>165737</v>
      </c>
      <c r="D453" s="203" t="s">
        <v>97</v>
      </c>
      <c r="E453" s="202" t="s">
        <v>2450</v>
      </c>
      <c r="F453" s="203">
        <v>16</v>
      </c>
      <c r="G453" s="202"/>
      <c r="H453" s="202"/>
      <c r="I453" s="202"/>
      <c r="J453" s="202">
        <v>0</v>
      </c>
      <c r="K453" s="202" t="s">
        <v>1658</v>
      </c>
      <c r="L453" s="202"/>
      <c r="M453" s="202" t="s">
        <v>2382</v>
      </c>
      <c r="N453" s="206">
        <v>42508</v>
      </c>
      <c r="O453" s="206">
        <v>42508</v>
      </c>
      <c r="P453" s="202" t="s">
        <v>2423</v>
      </c>
      <c r="Q453" s="203">
        <v>700</v>
      </c>
      <c r="R453" s="203">
        <v>14050</v>
      </c>
      <c r="S453" s="204">
        <v>17712.64</v>
      </c>
      <c r="T453" s="203">
        <v>14056</v>
      </c>
      <c r="U453" s="204">
        <v>14127.95</v>
      </c>
      <c r="V453" s="204">
        <f t="shared" si="17"/>
        <v>3584.6899999999987</v>
      </c>
      <c r="W453" s="205">
        <v>2530.38</v>
      </c>
      <c r="X453" s="203">
        <v>54260</v>
      </c>
      <c r="Y453" s="204">
        <v>210.86</v>
      </c>
      <c r="Z453" s="202" t="s">
        <v>97</v>
      </c>
      <c r="AA453" s="202"/>
      <c r="AB453" s="202" t="s">
        <v>2449</v>
      </c>
      <c r="AC453" s="202"/>
      <c r="AD453" s="202" t="s">
        <v>1152</v>
      </c>
      <c r="AE453" s="202" t="s">
        <v>1153</v>
      </c>
      <c r="AF453" s="203" t="s">
        <v>1154</v>
      </c>
      <c r="AG453" s="202"/>
      <c r="AH453" s="203" t="s">
        <v>1155</v>
      </c>
      <c r="AI453" s="202">
        <v>0</v>
      </c>
      <c r="AJ453" s="202">
        <v>0</v>
      </c>
    </row>
    <row r="454" spans="2:36">
      <c r="B454" s="203">
        <v>2180</v>
      </c>
      <c r="C454" s="207">
        <v>165690</v>
      </c>
      <c r="D454" s="203" t="s">
        <v>97</v>
      </c>
      <c r="E454" s="202" t="s">
        <v>2448</v>
      </c>
      <c r="F454" s="203">
        <v>66</v>
      </c>
      <c r="G454" s="202"/>
      <c r="H454" s="202"/>
      <c r="I454" s="202"/>
      <c r="J454" s="202">
        <v>0</v>
      </c>
      <c r="K454" s="202" t="s">
        <v>1658</v>
      </c>
      <c r="L454" s="202"/>
      <c r="M454" s="202" t="s">
        <v>1555</v>
      </c>
      <c r="N454" s="206">
        <v>42508</v>
      </c>
      <c r="O454" s="206">
        <v>42508</v>
      </c>
      <c r="P454" s="202" t="s">
        <v>2423</v>
      </c>
      <c r="Q454" s="203">
        <v>700</v>
      </c>
      <c r="R454" s="203">
        <v>14050</v>
      </c>
      <c r="S454" s="204">
        <v>39173.440000000002</v>
      </c>
      <c r="T454" s="203">
        <v>14056</v>
      </c>
      <c r="U454" s="204">
        <v>31245.5</v>
      </c>
      <c r="V454" s="204">
        <f t="shared" si="17"/>
        <v>7927.9400000000023</v>
      </c>
      <c r="W454" s="205">
        <v>5596.21</v>
      </c>
      <c r="X454" s="203">
        <v>54260</v>
      </c>
      <c r="Y454" s="204">
        <v>466.35</v>
      </c>
      <c r="Z454" s="202" t="s">
        <v>97</v>
      </c>
      <c r="AA454" s="202"/>
      <c r="AB454" s="202" t="s">
        <v>2447</v>
      </c>
      <c r="AC454" s="202"/>
      <c r="AD454" s="202" t="s">
        <v>1152</v>
      </c>
      <c r="AE454" s="202" t="s">
        <v>1153</v>
      </c>
      <c r="AF454" s="203" t="s">
        <v>1154</v>
      </c>
      <c r="AG454" s="202"/>
      <c r="AH454" s="203" t="s">
        <v>1155</v>
      </c>
      <c r="AI454" s="202">
        <v>0</v>
      </c>
      <c r="AJ454" s="202">
        <v>0</v>
      </c>
    </row>
    <row r="455" spans="2:36">
      <c r="B455" s="203">
        <v>2180</v>
      </c>
      <c r="C455" s="207">
        <v>139652</v>
      </c>
      <c r="D455" s="203" t="s">
        <v>97</v>
      </c>
      <c r="E455" s="202" t="s">
        <v>2443</v>
      </c>
      <c r="F455" s="203">
        <v>3</v>
      </c>
      <c r="G455" s="202"/>
      <c r="H455" s="202"/>
      <c r="I455" s="202"/>
      <c r="J455" s="202">
        <v>0</v>
      </c>
      <c r="K455" s="202" t="s">
        <v>1574</v>
      </c>
      <c r="L455" s="202"/>
      <c r="M455" s="202" t="s">
        <v>1462</v>
      </c>
      <c r="N455" s="206">
        <v>42537</v>
      </c>
      <c r="O455" s="206">
        <v>42537</v>
      </c>
      <c r="P455" s="202" t="s">
        <v>2423</v>
      </c>
      <c r="Q455" s="203">
        <v>700</v>
      </c>
      <c r="R455" s="203">
        <v>14050</v>
      </c>
      <c r="S455" s="204">
        <v>1419.84</v>
      </c>
      <c r="T455" s="203">
        <v>14056</v>
      </c>
      <c r="U455" s="204">
        <v>1115.6199999999999</v>
      </c>
      <c r="V455" s="204">
        <f t="shared" si="17"/>
        <v>304.22000000000003</v>
      </c>
      <c r="W455" s="205">
        <v>202.84</v>
      </c>
      <c r="X455" s="203">
        <v>54260</v>
      </c>
      <c r="Y455" s="204">
        <v>16.899999999999999</v>
      </c>
      <c r="Z455" s="202" t="s">
        <v>97</v>
      </c>
      <c r="AA455" s="202"/>
      <c r="AB455" s="202">
        <v>120717</v>
      </c>
      <c r="AC455" s="202"/>
      <c r="AD455" s="202" t="s">
        <v>1152</v>
      </c>
      <c r="AE455" s="202" t="s">
        <v>1153</v>
      </c>
      <c r="AF455" s="203" t="s">
        <v>1154</v>
      </c>
      <c r="AG455" s="202"/>
      <c r="AH455" s="203" t="s">
        <v>1155</v>
      </c>
      <c r="AI455" s="202">
        <v>0</v>
      </c>
      <c r="AJ455" s="202">
        <v>0</v>
      </c>
    </row>
    <row r="456" spans="2:36">
      <c r="B456" s="203">
        <v>2180</v>
      </c>
      <c r="C456" s="207">
        <v>133568</v>
      </c>
      <c r="D456" s="203" t="s">
        <v>97</v>
      </c>
      <c r="E456" s="202" t="s">
        <v>2446</v>
      </c>
      <c r="F456" s="203">
        <v>36</v>
      </c>
      <c r="G456" s="202"/>
      <c r="H456" s="202"/>
      <c r="I456" s="202"/>
      <c r="J456" s="202">
        <v>0</v>
      </c>
      <c r="K456" s="202" t="s">
        <v>2445</v>
      </c>
      <c r="L456" s="202"/>
      <c r="M456" s="202" t="s">
        <v>1558</v>
      </c>
      <c r="N456" s="206">
        <v>42534</v>
      </c>
      <c r="O456" s="206">
        <v>42534</v>
      </c>
      <c r="P456" s="202" t="s">
        <v>2423</v>
      </c>
      <c r="Q456" s="203">
        <v>700</v>
      </c>
      <c r="R456" s="203">
        <v>14050</v>
      </c>
      <c r="S456" s="204">
        <v>24382.080000000002</v>
      </c>
      <c r="T456" s="203">
        <v>14056</v>
      </c>
      <c r="U456" s="204">
        <v>19447.64</v>
      </c>
      <c r="V456" s="204">
        <f t="shared" si="17"/>
        <v>4934.4400000000023</v>
      </c>
      <c r="W456" s="205">
        <v>3483.16</v>
      </c>
      <c r="X456" s="203">
        <v>54260</v>
      </c>
      <c r="Y456" s="204">
        <v>290.26</v>
      </c>
      <c r="Z456" s="202" t="s">
        <v>97</v>
      </c>
      <c r="AA456" s="202"/>
      <c r="AB456" s="202" t="s">
        <v>2444</v>
      </c>
      <c r="AC456" s="202"/>
      <c r="AD456" s="202" t="s">
        <v>1152</v>
      </c>
      <c r="AE456" s="202" t="s">
        <v>1153</v>
      </c>
      <c r="AF456" s="203" t="s">
        <v>1154</v>
      </c>
      <c r="AG456" s="202"/>
      <c r="AH456" s="203" t="s">
        <v>1155</v>
      </c>
      <c r="AI456" s="202">
        <v>0</v>
      </c>
      <c r="AJ456" s="202">
        <v>0</v>
      </c>
    </row>
    <row r="457" spans="2:36">
      <c r="B457" s="203">
        <v>2180</v>
      </c>
      <c r="C457" s="207">
        <v>133567</v>
      </c>
      <c r="D457" s="203" t="s">
        <v>97</v>
      </c>
      <c r="E457" s="202" t="s">
        <v>2443</v>
      </c>
      <c r="F457" s="203">
        <v>12</v>
      </c>
      <c r="G457" s="202"/>
      <c r="H457" s="202"/>
      <c r="I457" s="202"/>
      <c r="J457" s="202">
        <v>0</v>
      </c>
      <c r="K457" s="202" t="s">
        <v>1574</v>
      </c>
      <c r="L457" s="202"/>
      <c r="M457" s="202" t="s">
        <v>1462</v>
      </c>
      <c r="N457" s="206">
        <v>42537</v>
      </c>
      <c r="O457" s="206">
        <v>42537</v>
      </c>
      <c r="P457" s="202" t="s">
        <v>2423</v>
      </c>
      <c r="Q457" s="203">
        <v>700</v>
      </c>
      <c r="R457" s="203">
        <v>14050</v>
      </c>
      <c r="S457" s="204">
        <v>5679.36</v>
      </c>
      <c r="T457" s="203">
        <v>14056</v>
      </c>
      <c r="U457" s="204">
        <v>4462.37</v>
      </c>
      <c r="V457" s="204">
        <f t="shared" si="17"/>
        <v>1216.9899999999998</v>
      </c>
      <c r="W457" s="205">
        <v>811.34</v>
      </c>
      <c r="X457" s="203">
        <v>54260</v>
      </c>
      <c r="Y457" s="204">
        <v>67.61</v>
      </c>
      <c r="Z457" s="202" t="s">
        <v>97</v>
      </c>
      <c r="AA457" s="202"/>
      <c r="AB457" s="202">
        <v>120705</v>
      </c>
      <c r="AC457" s="202"/>
      <c r="AD457" s="202" t="s">
        <v>1152</v>
      </c>
      <c r="AE457" s="202" t="s">
        <v>1153</v>
      </c>
      <c r="AF457" s="203" t="s">
        <v>1154</v>
      </c>
      <c r="AG457" s="202"/>
      <c r="AH457" s="203" t="s">
        <v>1155</v>
      </c>
      <c r="AI457" s="202">
        <v>0</v>
      </c>
      <c r="AJ457" s="202">
        <v>0</v>
      </c>
    </row>
    <row r="458" spans="2:36">
      <c r="B458" s="203">
        <v>2180</v>
      </c>
      <c r="C458" s="207">
        <v>133441</v>
      </c>
      <c r="D458" s="203" t="s">
        <v>97</v>
      </c>
      <c r="E458" s="202" t="s">
        <v>2442</v>
      </c>
      <c r="F458" s="203"/>
      <c r="G458" s="202"/>
      <c r="H458" s="202" t="s">
        <v>2441</v>
      </c>
      <c r="I458" s="202"/>
      <c r="J458" s="202">
        <v>2016</v>
      </c>
      <c r="K458" s="202" t="s">
        <v>2290</v>
      </c>
      <c r="L458" s="202" t="s">
        <v>2440</v>
      </c>
      <c r="M458" s="202" t="s">
        <v>1999</v>
      </c>
      <c r="N458" s="206">
        <v>42551</v>
      </c>
      <c r="O458" s="206">
        <v>42551</v>
      </c>
      <c r="P458" s="202" t="s">
        <v>2439</v>
      </c>
      <c r="Q458" s="203">
        <v>1000</v>
      </c>
      <c r="R458" s="203">
        <v>14040</v>
      </c>
      <c r="S458" s="204">
        <v>315919.88</v>
      </c>
      <c r="T458" s="203">
        <v>14046</v>
      </c>
      <c r="U458" s="204">
        <v>173755.94</v>
      </c>
      <c r="V458" s="204">
        <f t="shared" si="17"/>
        <v>142163.94</v>
      </c>
      <c r="W458" s="205">
        <v>31591.99</v>
      </c>
      <c r="X458" s="203">
        <v>51260</v>
      </c>
      <c r="Y458" s="204">
        <v>2632.67</v>
      </c>
      <c r="Z458" s="202" t="s">
        <v>97</v>
      </c>
      <c r="AA458" s="202"/>
      <c r="AB458" s="202" t="s">
        <v>2438</v>
      </c>
      <c r="AC458" s="202">
        <v>2045</v>
      </c>
      <c r="AD458" s="202" t="s">
        <v>1152</v>
      </c>
      <c r="AE458" s="202" t="s">
        <v>1153</v>
      </c>
      <c r="AF458" s="203" t="s">
        <v>1154</v>
      </c>
      <c r="AG458" s="202"/>
      <c r="AH458" s="203" t="s">
        <v>1155</v>
      </c>
      <c r="AI458" s="202">
        <v>0</v>
      </c>
      <c r="AJ458" s="202">
        <v>0</v>
      </c>
    </row>
    <row r="459" spans="2:36">
      <c r="B459" s="203">
        <v>2180</v>
      </c>
      <c r="C459" s="207">
        <v>133406</v>
      </c>
      <c r="D459" s="203" t="s">
        <v>97</v>
      </c>
      <c r="E459" s="202" t="s">
        <v>2359</v>
      </c>
      <c r="F459" s="203">
        <v>549</v>
      </c>
      <c r="G459" s="202"/>
      <c r="H459" s="202"/>
      <c r="I459" s="202"/>
      <c r="J459" s="202">
        <v>0</v>
      </c>
      <c r="K459" s="202" t="s">
        <v>2165</v>
      </c>
      <c r="L459" s="202"/>
      <c r="M459" s="202"/>
      <c r="N459" s="206">
        <v>42527</v>
      </c>
      <c r="O459" s="206">
        <v>42527</v>
      </c>
      <c r="P459" s="202" t="s">
        <v>2437</v>
      </c>
      <c r="Q459" s="203">
        <v>700</v>
      </c>
      <c r="R459" s="203">
        <v>14050</v>
      </c>
      <c r="S459" s="204">
        <v>27028.37</v>
      </c>
      <c r="T459" s="203">
        <v>14056</v>
      </c>
      <c r="U459" s="204">
        <v>21558.37</v>
      </c>
      <c r="V459" s="204">
        <f t="shared" si="17"/>
        <v>5470</v>
      </c>
      <c r="W459" s="205">
        <v>3861.2</v>
      </c>
      <c r="X459" s="203">
        <v>54260</v>
      </c>
      <c r="Y459" s="204">
        <v>321.77</v>
      </c>
      <c r="Z459" s="202" t="s">
        <v>97</v>
      </c>
      <c r="AA459" s="202"/>
      <c r="AB459" s="202" t="s">
        <v>2436</v>
      </c>
      <c r="AC459" s="202"/>
      <c r="AD459" s="202" t="s">
        <v>1152</v>
      </c>
      <c r="AE459" s="202" t="s">
        <v>1153</v>
      </c>
      <c r="AF459" s="203" t="s">
        <v>1154</v>
      </c>
      <c r="AG459" s="202"/>
      <c r="AH459" s="203" t="s">
        <v>1155</v>
      </c>
      <c r="AI459" s="202">
        <v>0</v>
      </c>
      <c r="AJ459" s="202">
        <v>0</v>
      </c>
    </row>
    <row r="460" spans="2:36">
      <c r="B460" s="203">
        <v>2180</v>
      </c>
      <c r="C460" s="207">
        <v>133364</v>
      </c>
      <c r="D460" s="203" t="s">
        <v>97</v>
      </c>
      <c r="E460" s="202" t="s">
        <v>2435</v>
      </c>
      <c r="F460" s="203">
        <v>3</v>
      </c>
      <c r="G460" s="202"/>
      <c r="H460" s="202"/>
      <c r="I460" s="202"/>
      <c r="J460" s="202">
        <v>0</v>
      </c>
      <c r="K460" s="202" t="s">
        <v>1658</v>
      </c>
      <c r="L460" s="202"/>
      <c r="M460" s="202" t="s">
        <v>1421</v>
      </c>
      <c r="N460" s="206">
        <v>42503</v>
      </c>
      <c r="O460" s="206">
        <v>42503</v>
      </c>
      <c r="P460" s="202" t="s">
        <v>2423</v>
      </c>
      <c r="Q460" s="203">
        <v>700</v>
      </c>
      <c r="R460" s="203">
        <v>14050</v>
      </c>
      <c r="S460" s="204">
        <v>1715.95</v>
      </c>
      <c r="T460" s="203">
        <v>14056</v>
      </c>
      <c r="U460" s="204">
        <v>1389.12</v>
      </c>
      <c r="V460" s="204">
        <f t="shared" si="17"/>
        <v>326.83000000000015</v>
      </c>
      <c r="W460" s="205">
        <v>245.14</v>
      </c>
      <c r="X460" s="203">
        <v>54260</v>
      </c>
      <c r="Y460" s="204">
        <v>20.43</v>
      </c>
      <c r="Z460" s="202" t="s">
        <v>97</v>
      </c>
      <c r="AA460" s="202"/>
      <c r="AB460" s="202" t="s">
        <v>2434</v>
      </c>
      <c r="AC460" s="202"/>
      <c r="AD460" s="202" t="s">
        <v>1152</v>
      </c>
      <c r="AE460" s="202" t="s">
        <v>1153</v>
      </c>
      <c r="AF460" s="203" t="s">
        <v>1154</v>
      </c>
      <c r="AG460" s="202"/>
      <c r="AH460" s="203" t="s">
        <v>1155</v>
      </c>
      <c r="AI460" s="202">
        <v>0</v>
      </c>
      <c r="AJ460" s="202">
        <v>0</v>
      </c>
    </row>
    <row r="461" spans="2:36">
      <c r="B461" s="203">
        <v>2180</v>
      </c>
      <c r="C461" s="207">
        <v>133363</v>
      </c>
      <c r="D461" s="203" t="s">
        <v>97</v>
      </c>
      <c r="E461" s="202" t="s">
        <v>2433</v>
      </c>
      <c r="F461" s="203">
        <v>38</v>
      </c>
      <c r="G461" s="202"/>
      <c r="H461" s="202"/>
      <c r="I461" s="202"/>
      <c r="J461" s="202">
        <v>0</v>
      </c>
      <c r="K461" s="202" t="s">
        <v>1658</v>
      </c>
      <c r="L461" s="202"/>
      <c r="M461" s="202" t="s">
        <v>1582</v>
      </c>
      <c r="N461" s="206">
        <v>42516</v>
      </c>
      <c r="O461" s="206">
        <v>42516</v>
      </c>
      <c r="P461" s="202" t="s">
        <v>2423</v>
      </c>
      <c r="Q461" s="203">
        <v>700</v>
      </c>
      <c r="R461" s="203">
        <v>14050</v>
      </c>
      <c r="S461" s="204">
        <v>30292.639999999999</v>
      </c>
      <c r="T461" s="203">
        <v>14056</v>
      </c>
      <c r="U461" s="204">
        <v>24161.99</v>
      </c>
      <c r="V461" s="204">
        <f t="shared" si="17"/>
        <v>6130.6499999999978</v>
      </c>
      <c r="W461" s="205">
        <v>4327.5200000000004</v>
      </c>
      <c r="X461" s="203">
        <v>54260</v>
      </c>
      <c r="Y461" s="204">
        <v>360.63</v>
      </c>
      <c r="Z461" s="202" t="s">
        <v>97</v>
      </c>
      <c r="AA461" s="202"/>
      <c r="AB461" s="202" t="s">
        <v>2432</v>
      </c>
      <c r="AC461" s="202"/>
      <c r="AD461" s="202" t="s">
        <v>1152</v>
      </c>
      <c r="AE461" s="202" t="s">
        <v>1153</v>
      </c>
      <c r="AF461" s="203" t="s">
        <v>1154</v>
      </c>
      <c r="AG461" s="202"/>
      <c r="AH461" s="203" t="s">
        <v>1155</v>
      </c>
      <c r="AI461" s="202">
        <v>0</v>
      </c>
      <c r="AJ461" s="202">
        <v>0</v>
      </c>
    </row>
    <row r="462" spans="2:36">
      <c r="B462" s="203">
        <v>2180</v>
      </c>
      <c r="C462" s="207">
        <v>133011</v>
      </c>
      <c r="D462" s="203" t="s">
        <v>97</v>
      </c>
      <c r="E462" s="202" t="s">
        <v>2431</v>
      </c>
      <c r="F462" s="203"/>
      <c r="G462" s="202"/>
      <c r="H462" s="202"/>
      <c r="I462" s="202"/>
      <c r="J462" s="202">
        <v>0</v>
      </c>
      <c r="K462" s="202" t="s">
        <v>1585</v>
      </c>
      <c r="L462" s="202"/>
      <c r="M462" s="202"/>
      <c r="N462" s="206">
        <v>42489</v>
      </c>
      <c r="O462" s="206">
        <v>42489</v>
      </c>
      <c r="P462" s="202" t="s">
        <v>2430</v>
      </c>
      <c r="Q462" s="203">
        <v>500</v>
      </c>
      <c r="R462" s="203">
        <v>14070</v>
      </c>
      <c r="S462" s="204">
        <v>16000</v>
      </c>
      <c r="T462" s="203">
        <v>14076</v>
      </c>
      <c r="U462" s="204">
        <v>16000</v>
      </c>
      <c r="V462" s="204">
        <f t="shared" ref="V462:V525" si="18">S462-U462</f>
        <v>0</v>
      </c>
      <c r="W462" s="205">
        <v>1066.67</v>
      </c>
      <c r="X462" s="203">
        <v>51260</v>
      </c>
      <c r="Y462" s="204">
        <v>0</v>
      </c>
      <c r="Z462" s="202" t="s">
        <v>97</v>
      </c>
      <c r="AA462" s="202"/>
      <c r="AB462" s="202">
        <v>913798789</v>
      </c>
      <c r="AC462" s="202"/>
      <c r="AD462" s="202" t="s">
        <v>1152</v>
      </c>
      <c r="AE462" s="202" t="s">
        <v>1153</v>
      </c>
      <c r="AF462" s="203" t="s">
        <v>1154</v>
      </c>
      <c r="AG462" s="202"/>
      <c r="AH462" s="203" t="s">
        <v>1155</v>
      </c>
      <c r="AI462" s="202">
        <v>0</v>
      </c>
      <c r="AJ462" s="202">
        <v>0</v>
      </c>
    </row>
    <row r="463" spans="2:36">
      <c r="B463" s="203">
        <v>2180</v>
      </c>
      <c r="C463" s="207">
        <v>132892</v>
      </c>
      <c r="D463" s="203" t="s">
        <v>97</v>
      </c>
      <c r="E463" s="202" t="s">
        <v>2429</v>
      </c>
      <c r="F463" s="203">
        <v>1008</v>
      </c>
      <c r="G463" s="202"/>
      <c r="H463" s="202"/>
      <c r="I463" s="202"/>
      <c r="J463" s="202">
        <v>0</v>
      </c>
      <c r="K463" s="202" t="s">
        <v>2315</v>
      </c>
      <c r="L463" s="202"/>
      <c r="M463" s="202"/>
      <c r="N463" s="206">
        <v>42471</v>
      </c>
      <c r="O463" s="206">
        <v>42471</v>
      </c>
      <c r="P463" s="202" t="s">
        <v>2428</v>
      </c>
      <c r="Q463" s="203">
        <v>700</v>
      </c>
      <c r="R463" s="203">
        <v>14050</v>
      </c>
      <c r="S463" s="204">
        <v>51665.81</v>
      </c>
      <c r="T463" s="203">
        <v>14056</v>
      </c>
      <c r="U463" s="204">
        <v>42439.77</v>
      </c>
      <c r="V463" s="204">
        <f t="shared" si="18"/>
        <v>9226.0400000000009</v>
      </c>
      <c r="W463" s="205">
        <v>7380.83</v>
      </c>
      <c r="X463" s="203">
        <v>54260</v>
      </c>
      <c r="Y463" s="204">
        <v>615.07000000000005</v>
      </c>
      <c r="Z463" s="202" t="s">
        <v>97</v>
      </c>
      <c r="AA463" s="202"/>
      <c r="AB463" s="202">
        <v>5343072</v>
      </c>
      <c r="AC463" s="202"/>
      <c r="AD463" s="202" t="s">
        <v>1152</v>
      </c>
      <c r="AE463" s="202" t="s">
        <v>1153</v>
      </c>
      <c r="AF463" s="203" t="s">
        <v>1154</v>
      </c>
      <c r="AG463" s="202"/>
      <c r="AH463" s="203" t="s">
        <v>1155</v>
      </c>
      <c r="AI463" s="202">
        <v>0</v>
      </c>
      <c r="AJ463" s="202">
        <v>0</v>
      </c>
    </row>
    <row r="464" spans="2:36">
      <c r="B464" s="203">
        <v>2180</v>
      </c>
      <c r="C464" s="207">
        <v>132891</v>
      </c>
      <c r="D464" s="203" t="s">
        <v>97</v>
      </c>
      <c r="E464" s="202" t="s">
        <v>2427</v>
      </c>
      <c r="F464" s="203">
        <v>16</v>
      </c>
      <c r="G464" s="202"/>
      <c r="H464" s="202"/>
      <c r="I464" s="202"/>
      <c r="J464" s="202">
        <v>0</v>
      </c>
      <c r="K464" s="202" t="s">
        <v>1658</v>
      </c>
      <c r="L464" s="202"/>
      <c r="M464" s="202" t="s">
        <v>2382</v>
      </c>
      <c r="N464" s="206">
        <v>42490</v>
      </c>
      <c r="O464" s="206">
        <v>42490</v>
      </c>
      <c r="P464" s="202" t="s">
        <v>2423</v>
      </c>
      <c r="Q464" s="203">
        <v>700</v>
      </c>
      <c r="R464" s="203">
        <v>14050</v>
      </c>
      <c r="S464" s="204">
        <v>18430.72</v>
      </c>
      <c r="T464" s="203">
        <v>14056</v>
      </c>
      <c r="U464" s="204">
        <v>14920.11</v>
      </c>
      <c r="V464" s="204">
        <f t="shared" si="18"/>
        <v>3510.6100000000006</v>
      </c>
      <c r="W464" s="205">
        <v>2632.96</v>
      </c>
      <c r="X464" s="203">
        <v>54260</v>
      </c>
      <c r="Y464" s="204">
        <v>219.41</v>
      </c>
      <c r="Z464" s="202" t="s">
        <v>97</v>
      </c>
      <c r="AA464" s="202"/>
      <c r="AB464" s="202" t="s">
        <v>2426</v>
      </c>
      <c r="AC464" s="202"/>
      <c r="AD464" s="202" t="s">
        <v>1152</v>
      </c>
      <c r="AE464" s="202" t="s">
        <v>1153</v>
      </c>
      <c r="AF464" s="203" t="s">
        <v>1154</v>
      </c>
      <c r="AG464" s="202"/>
      <c r="AH464" s="203" t="s">
        <v>1155</v>
      </c>
      <c r="AI464" s="202">
        <v>0</v>
      </c>
      <c r="AJ464" s="202">
        <v>0</v>
      </c>
    </row>
    <row r="465" spans="2:36">
      <c r="B465" s="203">
        <v>2180</v>
      </c>
      <c r="C465" s="207">
        <v>132890</v>
      </c>
      <c r="D465" s="203" t="s">
        <v>97</v>
      </c>
      <c r="E465" s="202" t="s">
        <v>2425</v>
      </c>
      <c r="F465" s="203">
        <v>2</v>
      </c>
      <c r="G465" s="202"/>
      <c r="H465" s="202"/>
      <c r="I465" s="202"/>
      <c r="J465" s="202">
        <v>0</v>
      </c>
      <c r="K465" s="202" t="s">
        <v>1658</v>
      </c>
      <c r="L465" s="202"/>
      <c r="M465" s="202" t="s">
        <v>1582</v>
      </c>
      <c r="N465" s="206">
        <v>42498</v>
      </c>
      <c r="O465" s="206">
        <v>42498</v>
      </c>
      <c r="P465" s="202" t="s">
        <v>2423</v>
      </c>
      <c r="Q465" s="203">
        <v>700</v>
      </c>
      <c r="R465" s="203">
        <v>14050</v>
      </c>
      <c r="S465" s="204">
        <v>1585.76</v>
      </c>
      <c r="T465" s="203">
        <v>14056</v>
      </c>
      <c r="U465" s="204">
        <v>1283.73</v>
      </c>
      <c r="V465" s="204">
        <f t="shared" si="18"/>
        <v>302.02999999999997</v>
      </c>
      <c r="W465" s="205">
        <v>226.54</v>
      </c>
      <c r="X465" s="203">
        <v>54260</v>
      </c>
      <c r="Y465" s="204">
        <v>18.88</v>
      </c>
      <c r="Z465" s="202" t="s">
        <v>97</v>
      </c>
      <c r="AA465" s="202"/>
      <c r="AB465" s="202" t="s">
        <v>2424</v>
      </c>
      <c r="AC465" s="202"/>
      <c r="AD465" s="202" t="s">
        <v>1152</v>
      </c>
      <c r="AE465" s="202" t="s">
        <v>1153</v>
      </c>
      <c r="AF465" s="203" t="s">
        <v>1154</v>
      </c>
      <c r="AG465" s="202"/>
      <c r="AH465" s="203" t="s">
        <v>1155</v>
      </c>
      <c r="AI465" s="202">
        <v>0</v>
      </c>
      <c r="AJ465" s="202">
        <v>0</v>
      </c>
    </row>
    <row r="466" spans="2:36">
      <c r="B466" s="203">
        <v>2180</v>
      </c>
      <c r="C466" s="207">
        <v>132889</v>
      </c>
      <c r="D466" s="203" t="s">
        <v>97</v>
      </c>
      <c r="E466" s="202" t="s">
        <v>2401</v>
      </c>
      <c r="F466" s="203">
        <v>39</v>
      </c>
      <c r="G466" s="202"/>
      <c r="H466" s="202"/>
      <c r="I466" s="202"/>
      <c r="J466" s="202">
        <v>0</v>
      </c>
      <c r="K466" s="202" t="s">
        <v>1658</v>
      </c>
      <c r="L466" s="202"/>
      <c r="M466" s="202" t="s">
        <v>1555</v>
      </c>
      <c r="N466" s="206">
        <v>42498</v>
      </c>
      <c r="O466" s="206">
        <v>42498</v>
      </c>
      <c r="P466" s="202" t="s">
        <v>2423</v>
      </c>
      <c r="Q466" s="203">
        <v>700</v>
      </c>
      <c r="R466" s="203">
        <v>14050</v>
      </c>
      <c r="S466" s="204">
        <v>22307.26</v>
      </c>
      <c r="T466" s="203">
        <v>14056</v>
      </c>
      <c r="U466" s="204">
        <v>18058.25</v>
      </c>
      <c r="V466" s="204">
        <f t="shared" si="18"/>
        <v>4249.0099999999984</v>
      </c>
      <c r="W466" s="205">
        <v>3186.75</v>
      </c>
      <c r="X466" s="203">
        <v>54260</v>
      </c>
      <c r="Y466" s="204">
        <v>265.56</v>
      </c>
      <c r="Z466" s="202" t="s">
        <v>97</v>
      </c>
      <c r="AA466" s="202"/>
      <c r="AB466" s="202" t="s">
        <v>2422</v>
      </c>
      <c r="AC466" s="202"/>
      <c r="AD466" s="202" t="s">
        <v>1152</v>
      </c>
      <c r="AE466" s="202" t="s">
        <v>1153</v>
      </c>
      <c r="AF466" s="203" t="s">
        <v>1154</v>
      </c>
      <c r="AG466" s="202"/>
      <c r="AH466" s="203" t="s">
        <v>1155</v>
      </c>
      <c r="AI466" s="202">
        <v>0</v>
      </c>
      <c r="AJ466" s="202">
        <v>0</v>
      </c>
    </row>
    <row r="467" spans="2:36">
      <c r="B467" s="203">
        <v>2180</v>
      </c>
      <c r="C467" s="207">
        <v>132590</v>
      </c>
      <c r="D467" s="203" t="s">
        <v>97</v>
      </c>
      <c r="E467" s="202" t="s">
        <v>2421</v>
      </c>
      <c r="F467" s="203">
        <v>556</v>
      </c>
      <c r="G467" s="202"/>
      <c r="H467" s="202"/>
      <c r="I467" s="202"/>
      <c r="J467" s="202">
        <v>0</v>
      </c>
      <c r="K467" s="202" t="s">
        <v>2315</v>
      </c>
      <c r="L467" s="202"/>
      <c r="M467" s="202"/>
      <c r="N467" s="206">
        <v>42451</v>
      </c>
      <c r="O467" s="206">
        <v>42451</v>
      </c>
      <c r="P467" s="202" t="s">
        <v>2407</v>
      </c>
      <c r="Q467" s="203">
        <v>700</v>
      </c>
      <c r="R467" s="203">
        <v>14050</v>
      </c>
      <c r="S467" s="204">
        <v>25010.16</v>
      </c>
      <c r="T467" s="203">
        <v>14056</v>
      </c>
      <c r="U467" s="204">
        <v>20544.060000000001</v>
      </c>
      <c r="V467" s="204">
        <f t="shared" si="18"/>
        <v>4466.0999999999985</v>
      </c>
      <c r="W467" s="205">
        <v>3572.88</v>
      </c>
      <c r="X467" s="203">
        <v>54260</v>
      </c>
      <c r="Y467" s="204">
        <v>297.74</v>
      </c>
      <c r="Z467" s="202" t="s">
        <v>97</v>
      </c>
      <c r="AA467" s="202"/>
      <c r="AB467" s="202">
        <v>5342808</v>
      </c>
      <c r="AC467" s="202"/>
      <c r="AD467" s="202" t="s">
        <v>1152</v>
      </c>
      <c r="AE467" s="202" t="s">
        <v>1153</v>
      </c>
      <c r="AF467" s="203" t="s">
        <v>1154</v>
      </c>
      <c r="AG467" s="202"/>
      <c r="AH467" s="203" t="s">
        <v>1155</v>
      </c>
      <c r="AI467" s="202">
        <v>0</v>
      </c>
      <c r="AJ467" s="202">
        <v>0</v>
      </c>
    </row>
    <row r="468" spans="2:36">
      <c r="B468" s="203">
        <v>2180</v>
      </c>
      <c r="C468" s="207">
        <v>132589</v>
      </c>
      <c r="D468" s="203" t="s">
        <v>97</v>
      </c>
      <c r="E468" s="202" t="s">
        <v>2421</v>
      </c>
      <c r="F468" s="203">
        <v>884</v>
      </c>
      <c r="G468" s="202"/>
      <c r="H468" s="202"/>
      <c r="I468" s="202"/>
      <c r="J468" s="202">
        <v>0</v>
      </c>
      <c r="K468" s="202" t="s">
        <v>2315</v>
      </c>
      <c r="L468" s="202"/>
      <c r="M468" s="202"/>
      <c r="N468" s="206">
        <v>42451</v>
      </c>
      <c r="O468" s="206">
        <v>42451</v>
      </c>
      <c r="P468" s="202" t="s">
        <v>2409</v>
      </c>
      <c r="Q468" s="203">
        <v>700</v>
      </c>
      <c r="R468" s="203">
        <v>14050</v>
      </c>
      <c r="S468" s="204">
        <v>39802</v>
      </c>
      <c r="T468" s="203">
        <v>14056</v>
      </c>
      <c r="U468" s="204">
        <v>32694.5</v>
      </c>
      <c r="V468" s="204">
        <f t="shared" si="18"/>
        <v>7107.5</v>
      </c>
      <c r="W468" s="205">
        <v>5686</v>
      </c>
      <c r="X468" s="203">
        <v>54260</v>
      </c>
      <c r="Y468" s="204">
        <v>473.83</v>
      </c>
      <c r="Z468" s="202" t="s">
        <v>97</v>
      </c>
      <c r="AA468" s="202"/>
      <c r="AB468" s="202">
        <v>5342808</v>
      </c>
      <c r="AC468" s="202"/>
      <c r="AD468" s="202" t="s">
        <v>1152</v>
      </c>
      <c r="AE468" s="202" t="s">
        <v>1153</v>
      </c>
      <c r="AF468" s="203" t="s">
        <v>1154</v>
      </c>
      <c r="AG468" s="202"/>
      <c r="AH468" s="203" t="s">
        <v>1155</v>
      </c>
      <c r="AI468" s="202">
        <v>0</v>
      </c>
      <c r="AJ468" s="202">
        <v>0</v>
      </c>
    </row>
    <row r="469" spans="2:36">
      <c r="B469" s="203">
        <v>2180</v>
      </c>
      <c r="C469" s="207">
        <v>132079</v>
      </c>
      <c r="D469" s="203" t="s">
        <v>97</v>
      </c>
      <c r="E469" s="202" t="s">
        <v>2292</v>
      </c>
      <c r="F469" s="203"/>
      <c r="G469" s="202"/>
      <c r="H469" s="202" t="s">
        <v>2420</v>
      </c>
      <c r="I469" s="202"/>
      <c r="J469" s="202">
        <v>2016</v>
      </c>
      <c r="K469" s="202" t="s">
        <v>2290</v>
      </c>
      <c r="L469" s="202" t="s">
        <v>2413</v>
      </c>
      <c r="M469" s="202" t="s">
        <v>1404</v>
      </c>
      <c r="N469" s="206">
        <v>42480</v>
      </c>
      <c r="O469" s="206">
        <v>42480</v>
      </c>
      <c r="P469" s="202" t="s">
        <v>2419</v>
      </c>
      <c r="Q469" s="203">
        <v>1000</v>
      </c>
      <c r="R469" s="203">
        <v>14040</v>
      </c>
      <c r="S469" s="204">
        <v>337626.52</v>
      </c>
      <c r="T469" s="203">
        <v>14046</v>
      </c>
      <c r="U469" s="204">
        <v>191321.69</v>
      </c>
      <c r="V469" s="204">
        <f t="shared" si="18"/>
        <v>146304.83000000002</v>
      </c>
      <c r="W469" s="205">
        <v>33762.65</v>
      </c>
      <c r="X469" s="203">
        <v>51260</v>
      </c>
      <c r="Y469" s="204">
        <v>2813.55</v>
      </c>
      <c r="Z469" s="202" t="s">
        <v>97</v>
      </c>
      <c r="AA469" s="202"/>
      <c r="AB469" s="202" t="s">
        <v>2418</v>
      </c>
      <c r="AC469" s="202">
        <v>3651</v>
      </c>
      <c r="AD469" s="202" t="s">
        <v>1152</v>
      </c>
      <c r="AE469" s="202" t="s">
        <v>1153</v>
      </c>
      <c r="AF469" s="203" t="s">
        <v>1154</v>
      </c>
      <c r="AG469" s="202"/>
      <c r="AH469" s="203" t="s">
        <v>1155</v>
      </c>
      <c r="AI469" s="202">
        <v>0</v>
      </c>
      <c r="AJ469" s="202">
        <v>0</v>
      </c>
    </row>
    <row r="470" spans="2:36">
      <c r="B470" s="203">
        <v>2180</v>
      </c>
      <c r="C470" s="207">
        <v>132078</v>
      </c>
      <c r="D470" s="203" t="s">
        <v>97</v>
      </c>
      <c r="E470" s="202" t="s">
        <v>2292</v>
      </c>
      <c r="F470" s="203"/>
      <c r="G470" s="202"/>
      <c r="H470" s="202" t="s">
        <v>2417</v>
      </c>
      <c r="I470" s="202"/>
      <c r="J470" s="202">
        <v>2016</v>
      </c>
      <c r="K470" s="202" t="s">
        <v>2290</v>
      </c>
      <c r="L470" s="202" t="s">
        <v>2413</v>
      </c>
      <c r="M470" s="202" t="s">
        <v>1404</v>
      </c>
      <c r="N470" s="206">
        <v>42480</v>
      </c>
      <c r="O470" s="206">
        <v>42480</v>
      </c>
      <c r="P470" s="202" t="s">
        <v>2416</v>
      </c>
      <c r="Q470" s="203">
        <v>1000</v>
      </c>
      <c r="R470" s="203">
        <v>14040</v>
      </c>
      <c r="S470" s="204">
        <v>336680.5</v>
      </c>
      <c r="T470" s="203">
        <v>14046</v>
      </c>
      <c r="U470" s="204">
        <v>190785.62</v>
      </c>
      <c r="V470" s="204">
        <f t="shared" si="18"/>
        <v>145894.88</v>
      </c>
      <c r="W470" s="205">
        <v>33668.050000000003</v>
      </c>
      <c r="X470" s="203">
        <v>51260</v>
      </c>
      <c r="Y470" s="204">
        <v>2805.67</v>
      </c>
      <c r="Z470" s="202" t="s">
        <v>97</v>
      </c>
      <c r="AA470" s="202"/>
      <c r="AB470" s="202" t="s">
        <v>2415</v>
      </c>
      <c r="AC470" s="202">
        <v>3652</v>
      </c>
      <c r="AD470" s="202" t="s">
        <v>1152</v>
      </c>
      <c r="AE470" s="202" t="s">
        <v>1153</v>
      </c>
      <c r="AF470" s="203" t="s">
        <v>1154</v>
      </c>
      <c r="AG470" s="202"/>
      <c r="AH470" s="203" t="s">
        <v>1155</v>
      </c>
      <c r="AI470" s="202">
        <v>0</v>
      </c>
      <c r="AJ470" s="202">
        <v>0</v>
      </c>
    </row>
    <row r="471" spans="2:36">
      <c r="B471" s="203">
        <v>2180</v>
      </c>
      <c r="C471" s="207">
        <v>132077</v>
      </c>
      <c r="D471" s="203" t="s">
        <v>97</v>
      </c>
      <c r="E471" s="202" t="s">
        <v>2292</v>
      </c>
      <c r="F471" s="203"/>
      <c r="G471" s="202"/>
      <c r="H471" s="202" t="s">
        <v>2414</v>
      </c>
      <c r="I471" s="202"/>
      <c r="J471" s="202">
        <v>2016</v>
      </c>
      <c r="K471" s="202" t="s">
        <v>2290</v>
      </c>
      <c r="L471" s="202" t="s">
        <v>2413</v>
      </c>
      <c r="M471" s="202" t="s">
        <v>1404</v>
      </c>
      <c r="N471" s="206">
        <v>42480</v>
      </c>
      <c r="O471" s="206">
        <v>42480</v>
      </c>
      <c r="P471" s="202" t="s">
        <v>2412</v>
      </c>
      <c r="Q471" s="203">
        <v>1000</v>
      </c>
      <c r="R471" s="203">
        <v>14040</v>
      </c>
      <c r="S471" s="204">
        <v>339573.74</v>
      </c>
      <c r="T471" s="203">
        <v>14046</v>
      </c>
      <c r="U471" s="204">
        <v>192425.1</v>
      </c>
      <c r="V471" s="204">
        <f t="shared" si="18"/>
        <v>147148.63999999998</v>
      </c>
      <c r="W471" s="205">
        <v>33957.370000000003</v>
      </c>
      <c r="X471" s="203">
        <v>51260</v>
      </c>
      <c r="Y471" s="204">
        <v>2829.78</v>
      </c>
      <c r="Z471" s="202" t="s">
        <v>97</v>
      </c>
      <c r="AA471" s="202"/>
      <c r="AB471" s="202" t="s">
        <v>2411</v>
      </c>
      <c r="AC471" s="202">
        <v>3650</v>
      </c>
      <c r="AD471" s="202" t="s">
        <v>1152</v>
      </c>
      <c r="AE471" s="202" t="s">
        <v>1153</v>
      </c>
      <c r="AF471" s="203" t="s">
        <v>1154</v>
      </c>
      <c r="AG471" s="202"/>
      <c r="AH471" s="203" t="s">
        <v>1155</v>
      </c>
      <c r="AI471" s="202">
        <v>0</v>
      </c>
      <c r="AJ471" s="202">
        <v>0</v>
      </c>
    </row>
    <row r="472" spans="2:36">
      <c r="B472" s="203">
        <v>2180</v>
      </c>
      <c r="C472" s="207">
        <v>132009</v>
      </c>
      <c r="D472" s="203" t="s">
        <v>97</v>
      </c>
      <c r="E472" s="202" t="s">
        <v>2410</v>
      </c>
      <c r="F472" s="203">
        <v>504</v>
      </c>
      <c r="G472" s="202"/>
      <c r="H472" s="202"/>
      <c r="I472" s="202"/>
      <c r="J472" s="202">
        <v>0</v>
      </c>
      <c r="K472" s="202" t="s">
        <v>2315</v>
      </c>
      <c r="L472" s="202"/>
      <c r="M472" s="202"/>
      <c r="N472" s="206">
        <v>42460</v>
      </c>
      <c r="O472" s="206">
        <v>42460</v>
      </c>
      <c r="P472" s="202" t="s">
        <v>2409</v>
      </c>
      <c r="Q472" s="203">
        <v>700</v>
      </c>
      <c r="R472" s="203">
        <v>14050</v>
      </c>
      <c r="S472" s="204">
        <v>25010.38</v>
      </c>
      <c r="T472" s="203">
        <v>14056</v>
      </c>
      <c r="U472" s="204">
        <v>20544.23</v>
      </c>
      <c r="V472" s="204">
        <f t="shared" si="18"/>
        <v>4466.1500000000015</v>
      </c>
      <c r="W472" s="205">
        <v>3572.91</v>
      </c>
      <c r="X472" s="203">
        <v>54260</v>
      </c>
      <c r="Y472" s="204">
        <v>297.74</v>
      </c>
      <c r="Z472" s="202" t="s">
        <v>97</v>
      </c>
      <c r="AA472" s="202"/>
      <c r="AB472" s="202">
        <v>19713</v>
      </c>
      <c r="AC472" s="202"/>
      <c r="AD472" s="202" t="s">
        <v>1152</v>
      </c>
      <c r="AE472" s="202" t="s">
        <v>1153</v>
      </c>
      <c r="AF472" s="203" t="s">
        <v>1154</v>
      </c>
      <c r="AG472" s="202"/>
      <c r="AH472" s="203" t="s">
        <v>1155</v>
      </c>
      <c r="AI472" s="202">
        <v>0</v>
      </c>
      <c r="AJ472" s="202">
        <v>0</v>
      </c>
    </row>
    <row r="473" spans="2:36">
      <c r="B473" s="203">
        <v>2180</v>
      </c>
      <c r="C473" s="207">
        <v>132008</v>
      </c>
      <c r="D473" s="203" t="s">
        <v>97</v>
      </c>
      <c r="E473" s="202" t="s">
        <v>2408</v>
      </c>
      <c r="F473" s="203">
        <v>504</v>
      </c>
      <c r="G473" s="202"/>
      <c r="H473" s="202"/>
      <c r="I473" s="202"/>
      <c r="J473" s="202">
        <v>0</v>
      </c>
      <c r="K473" s="202" t="s">
        <v>2315</v>
      </c>
      <c r="L473" s="202"/>
      <c r="M473" s="202"/>
      <c r="N473" s="206">
        <v>42460</v>
      </c>
      <c r="O473" s="206">
        <v>42460</v>
      </c>
      <c r="P473" s="202" t="s">
        <v>2407</v>
      </c>
      <c r="Q473" s="203">
        <v>700</v>
      </c>
      <c r="R473" s="203">
        <v>14050</v>
      </c>
      <c r="S473" s="204">
        <v>25010.38</v>
      </c>
      <c r="T473" s="203">
        <v>14056</v>
      </c>
      <c r="U473" s="204">
        <v>20544.23</v>
      </c>
      <c r="V473" s="204">
        <f t="shared" si="18"/>
        <v>4466.1500000000015</v>
      </c>
      <c r="W473" s="205">
        <v>3572.91</v>
      </c>
      <c r="X473" s="203">
        <v>54260</v>
      </c>
      <c r="Y473" s="204">
        <v>297.74</v>
      </c>
      <c r="Z473" s="202" t="s">
        <v>97</v>
      </c>
      <c r="AA473" s="202"/>
      <c r="AB473" s="202">
        <v>19713</v>
      </c>
      <c r="AC473" s="202"/>
      <c r="AD473" s="202" t="s">
        <v>1152</v>
      </c>
      <c r="AE473" s="202" t="s">
        <v>1153</v>
      </c>
      <c r="AF473" s="203" t="s">
        <v>1154</v>
      </c>
      <c r="AG473" s="202"/>
      <c r="AH473" s="203" t="s">
        <v>1155</v>
      </c>
      <c r="AI473" s="202">
        <v>0</v>
      </c>
      <c r="AJ473" s="202">
        <v>0</v>
      </c>
    </row>
    <row r="474" spans="2:36">
      <c r="B474" s="203">
        <v>2180</v>
      </c>
      <c r="C474" s="207">
        <v>132007</v>
      </c>
      <c r="D474" s="203" t="s">
        <v>97</v>
      </c>
      <c r="E474" s="202" t="s">
        <v>2408</v>
      </c>
      <c r="F474" s="203">
        <v>504</v>
      </c>
      <c r="G474" s="202"/>
      <c r="H474" s="202"/>
      <c r="I474" s="202"/>
      <c r="J474" s="202">
        <v>0</v>
      </c>
      <c r="K474" s="202" t="s">
        <v>2315</v>
      </c>
      <c r="L474" s="202"/>
      <c r="M474" s="202"/>
      <c r="N474" s="206">
        <v>42468</v>
      </c>
      <c r="O474" s="206">
        <v>42468</v>
      </c>
      <c r="P474" s="202" t="s">
        <v>2407</v>
      </c>
      <c r="Q474" s="203">
        <v>700</v>
      </c>
      <c r="R474" s="203">
        <v>14050</v>
      </c>
      <c r="S474" s="204">
        <v>25010.39</v>
      </c>
      <c r="T474" s="203">
        <v>14056</v>
      </c>
      <c r="U474" s="204">
        <v>20544.240000000002</v>
      </c>
      <c r="V474" s="204">
        <f t="shared" si="18"/>
        <v>4466.1499999999978</v>
      </c>
      <c r="W474" s="205">
        <v>3572.91</v>
      </c>
      <c r="X474" s="203">
        <v>54260</v>
      </c>
      <c r="Y474" s="204">
        <v>297.74</v>
      </c>
      <c r="Z474" s="202" t="s">
        <v>97</v>
      </c>
      <c r="AA474" s="202"/>
      <c r="AB474" s="202">
        <v>5343051</v>
      </c>
      <c r="AC474" s="202"/>
      <c r="AD474" s="202" t="s">
        <v>1152</v>
      </c>
      <c r="AE474" s="202" t="s">
        <v>1153</v>
      </c>
      <c r="AF474" s="203" t="s">
        <v>1154</v>
      </c>
      <c r="AG474" s="202"/>
      <c r="AH474" s="203" t="s">
        <v>1155</v>
      </c>
      <c r="AI474" s="202">
        <v>0</v>
      </c>
      <c r="AJ474" s="202">
        <v>0</v>
      </c>
    </row>
    <row r="475" spans="2:36">
      <c r="B475" s="203">
        <v>2180</v>
      </c>
      <c r="C475" s="207">
        <v>131778</v>
      </c>
      <c r="D475" s="203" t="s">
        <v>97</v>
      </c>
      <c r="E475" s="202" t="s">
        <v>2399</v>
      </c>
      <c r="F475" s="203">
        <v>864</v>
      </c>
      <c r="G475" s="202"/>
      <c r="H475" s="202"/>
      <c r="I475" s="202"/>
      <c r="J475" s="202">
        <v>0</v>
      </c>
      <c r="K475" s="202" t="s">
        <v>2081</v>
      </c>
      <c r="L475" s="202"/>
      <c r="M475" s="202"/>
      <c r="N475" s="206">
        <v>42418</v>
      </c>
      <c r="O475" s="206">
        <v>42418</v>
      </c>
      <c r="P475" s="202" t="s">
        <v>2398</v>
      </c>
      <c r="Q475" s="203">
        <v>700</v>
      </c>
      <c r="R475" s="203">
        <v>14050</v>
      </c>
      <c r="S475" s="204">
        <v>36644.400000000001</v>
      </c>
      <c r="T475" s="203">
        <v>14056</v>
      </c>
      <c r="U475" s="204">
        <v>30537.03</v>
      </c>
      <c r="V475" s="204">
        <f t="shared" si="18"/>
        <v>6107.3700000000026</v>
      </c>
      <c r="W475" s="205">
        <v>5234.92</v>
      </c>
      <c r="X475" s="203">
        <v>54260</v>
      </c>
      <c r="Y475" s="204">
        <v>436.24</v>
      </c>
      <c r="Z475" s="202" t="s">
        <v>97</v>
      </c>
      <c r="AA475" s="202"/>
      <c r="AB475" s="202">
        <v>65396951</v>
      </c>
      <c r="AC475" s="202"/>
      <c r="AD475" s="202" t="s">
        <v>1152</v>
      </c>
      <c r="AE475" s="202" t="s">
        <v>1153</v>
      </c>
      <c r="AF475" s="203" t="s">
        <v>1154</v>
      </c>
      <c r="AG475" s="202"/>
      <c r="AH475" s="203" t="s">
        <v>1155</v>
      </c>
      <c r="AI475" s="202">
        <v>0</v>
      </c>
      <c r="AJ475" s="202">
        <v>0</v>
      </c>
    </row>
    <row r="476" spans="2:36">
      <c r="B476" s="203">
        <v>2180</v>
      </c>
      <c r="C476" s="207">
        <v>131755</v>
      </c>
      <c r="D476" s="203" t="s">
        <v>97</v>
      </c>
      <c r="E476" s="202" t="s">
        <v>2343</v>
      </c>
      <c r="F476" s="203">
        <v>624</v>
      </c>
      <c r="G476" s="202"/>
      <c r="H476" s="202"/>
      <c r="I476" s="202"/>
      <c r="J476" s="202">
        <v>0</v>
      </c>
      <c r="K476" s="202" t="s">
        <v>2081</v>
      </c>
      <c r="L476" s="202"/>
      <c r="M476" s="202"/>
      <c r="N476" s="206">
        <v>42427</v>
      </c>
      <c r="O476" s="206">
        <v>42427</v>
      </c>
      <c r="P476" s="202" t="s">
        <v>2396</v>
      </c>
      <c r="Q476" s="203">
        <v>700</v>
      </c>
      <c r="R476" s="203">
        <v>14050</v>
      </c>
      <c r="S476" s="204">
        <v>31260.11</v>
      </c>
      <c r="T476" s="203">
        <v>14056</v>
      </c>
      <c r="U476" s="204">
        <v>26050.09</v>
      </c>
      <c r="V476" s="204">
        <f t="shared" si="18"/>
        <v>5210.0200000000004</v>
      </c>
      <c r="W476" s="205">
        <v>4465.7299999999996</v>
      </c>
      <c r="X476" s="203">
        <v>54260</v>
      </c>
      <c r="Y476" s="204">
        <v>372.14</v>
      </c>
      <c r="Z476" s="202" t="s">
        <v>97</v>
      </c>
      <c r="AA476" s="202"/>
      <c r="AB476" s="202">
        <v>65399288</v>
      </c>
      <c r="AC476" s="202"/>
      <c r="AD476" s="202" t="s">
        <v>1152</v>
      </c>
      <c r="AE476" s="202" t="s">
        <v>1153</v>
      </c>
      <c r="AF476" s="203" t="s">
        <v>1154</v>
      </c>
      <c r="AG476" s="202"/>
      <c r="AH476" s="203" t="s">
        <v>1155</v>
      </c>
      <c r="AI476" s="202">
        <v>0</v>
      </c>
      <c r="AJ476" s="202">
        <v>0</v>
      </c>
    </row>
    <row r="477" spans="2:36">
      <c r="B477" s="203">
        <v>2180</v>
      </c>
      <c r="C477" s="207">
        <v>131546</v>
      </c>
      <c r="D477" s="203" t="s">
        <v>97</v>
      </c>
      <c r="E477" s="202" t="s">
        <v>2406</v>
      </c>
      <c r="F477" s="203"/>
      <c r="G477" s="202"/>
      <c r="H477" s="202"/>
      <c r="I477" s="202"/>
      <c r="J477" s="202">
        <v>0</v>
      </c>
      <c r="K477" s="202" t="s">
        <v>1429</v>
      </c>
      <c r="L477" s="202"/>
      <c r="M477" s="202"/>
      <c r="N477" s="206">
        <v>42446</v>
      </c>
      <c r="O477" s="206">
        <v>42446</v>
      </c>
      <c r="P477" s="202" t="s">
        <v>2403</v>
      </c>
      <c r="Q477" s="203">
        <v>300</v>
      </c>
      <c r="R477" s="203">
        <v>14110</v>
      </c>
      <c r="S477" s="204">
        <v>155.91999999999999</v>
      </c>
      <c r="T477" s="203">
        <v>14116</v>
      </c>
      <c r="U477" s="204">
        <v>155.91999999999999</v>
      </c>
      <c r="V477" s="204">
        <f t="shared" si="18"/>
        <v>0</v>
      </c>
      <c r="W477" s="205">
        <v>0</v>
      </c>
      <c r="X477" s="203">
        <v>70260</v>
      </c>
      <c r="Y477" s="204">
        <v>0</v>
      </c>
      <c r="Z477" s="202" t="s">
        <v>97</v>
      </c>
      <c r="AA477" s="202"/>
      <c r="AB477" s="202" t="s">
        <v>2405</v>
      </c>
      <c r="AC477" s="202"/>
      <c r="AD477" s="202" t="s">
        <v>1152</v>
      </c>
      <c r="AE477" s="202" t="s">
        <v>1153</v>
      </c>
      <c r="AF477" s="203" t="s">
        <v>1154</v>
      </c>
      <c r="AG477" s="202"/>
      <c r="AH477" s="203" t="s">
        <v>1155</v>
      </c>
      <c r="AI477" s="202">
        <v>0</v>
      </c>
      <c r="AJ477" s="202">
        <v>0</v>
      </c>
    </row>
    <row r="478" spans="2:36">
      <c r="B478" s="203">
        <v>2180</v>
      </c>
      <c r="C478" s="207">
        <v>131296</v>
      </c>
      <c r="D478" s="203" t="s">
        <v>97</v>
      </c>
      <c r="E478" s="202" t="s">
        <v>2404</v>
      </c>
      <c r="F478" s="203"/>
      <c r="G478" s="202"/>
      <c r="H478" s="202"/>
      <c r="I478" s="202"/>
      <c r="J478" s="202">
        <v>0</v>
      </c>
      <c r="K478" s="202" t="s">
        <v>1429</v>
      </c>
      <c r="L478" s="202"/>
      <c r="M478" s="202"/>
      <c r="N478" s="206">
        <v>42446</v>
      </c>
      <c r="O478" s="206">
        <v>42446</v>
      </c>
      <c r="P478" s="202" t="s">
        <v>2403</v>
      </c>
      <c r="Q478" s="203">
        <v>300</v>
      </c>
      <c r="R478" s="203">
        <v>14110</v>
      </c>
      <c r="S478" s="204">
        <v>980.25</v>
      </c>
      <c r="T478" s="203">
        <v>14116</v>
      </c>
      <c r="U478" s="204">
        <v>980.25</v>
      </c>
      <c r="V478" s="204">
        <f t="shared" si="18"/>
        <v>0</v>
      </c>
      <c r="W478" s="205">
        <v>0</v>
      </c>
      <c r="X478" s="203">
        <v>70260</v>
      </c>
      <c r="Y478" s="204">
        <v>0</v>
      </c>
      <c r="Z478" s="202" t="s">
        <v>97</v>
      </c>
      <c r="AA478" s="202"/>
      <c r="AB478" s="202" t="s">
        <v>2402</v>
      </c>
      <c r="AC478" s="202"/>
      <c r="AD478" s="202" t="s">
        <v>1152</v>
      </c>
      <c r="AE478" s="202" t="s">
        <v>1153</v>
      </c>
      <c r="AF478" s="203" t="s">
        <v>1154</v>
      </c>
      <c r="AG478" s="202"/>
      <c r="AH478" s="203" t="s">
        <v>1155</v>
      </c>
      <c r="AI478" s="202">
        <v>0</v>
      </c>
      <c r="AJ478" s="202">
        <v>0</v>
      </c>
    </row>
    <row r="479" spans="2:36">
      <c r="B479" s="203">
        <v>2180</v>
      </c>
      <c r="C479" s="207">
        <v>130994</v>
      </c>
      <c r="D479" s="203" t="s">
        <v>97</v>
      </c>
      <c r="E479" s="202" t="s">
        <v>2401</v>
      </c>
      <c r="F479" s="203">
        <v>41</v>
      </c>
      <c r="G479" s="202"/>
      <c r="H479" s="202"/>
      <c r="I479" s="202"/>
      <c r="J479" s="202">
        <v>0</v>
      </c>
      <c r="K479" s="202" t="s">
        <v>1658</v>
      </c>
      <c r="L479" s="202"/>
      <c r="M479" s="202" t="s">
        <v>1555</v>
      </c>
      <c r="N479" s="206">
        <v>42370</v>
      </c>
      <c r="O479" s="206">
        <v>42370</v>
      </c>
      <c r="P479" s="202" t="s">
        <v>2352</v>
      </c>
      <c r="Q479" s="203">
        <v>611</v>
      </c>
      <c r="R479" s="203">
        <v>14050</v>
      </c>
      <c r="S479" s="204">
        <v>23454.97</v>
      </c>
      <c r="T479" s="203">
        <v>14056</v>
      </c>
      <c r="U479" s="204">
        <v>20346.48</v>
      </c>
      <c r="V479" s="204">
        <f t="shared" si="18"/>
        <v>3108.4900000000016</v>
      </c>
      <c r="W479" s="205">
        <v>3391.08</v>
      </c>
      <c r="X479" s="203">
        <v>54260</v>
      </c>
      <c r="Y479" s="204">
        <v>282.58999999999997</v>
      </c>
      <c r="Z479" s="202" t="s">
        <v>97</v>
      </c>
      <c r="AA479" s="202"/>
      <c r="AB479" s="202" t="s">
        <v>2400</v>
      </c>
      <c r="AC479" s="202"/>
      <c r="AD479" s="202" t="s">
        <v>1152</v>
      </c>
      <c r="AE479" s="202" t="s">
        <v>1153</v>
      </c>
      <c r="AF479" s="203" t="s">
        <v>1154</v>
      </c>
      <c r="AG479" s="202"/>
      <c r="AH479" s="203" t="s">
        <v>1155</v>
      </c>
      <c r="AI479" s="202">
        <v>0</v>
      </c>
      <c r="AJ479" s="202">
        <v>0</v>
      </c>
    </row>
    <row r="480" spans="2:36">
      <c r="B480" s="203">
        <v>2180</v>
      </c>
      <c r="C480" s="207">
        <v>130763</v>
      </c>
      <c r="D480" s="203" t="s">
        <v>97</v>
      </c>
      <c r="E480" s="202" t="s">
        <v>2399</v>
      </c>
      <c r="F480" s="203">
        <v>864</v>
      </c>
      <c r="G480" s="202"/>
      <c r="H480" s="202"/>
      <c r="I480" s="202"/>
      <c r="J480" s="202">
        <v>0</v>
      </c>
      <c r="K480" s="202" t="s">
        <v>2081</v>
      </c>
      <c r="L480" s="202"/>
      <c r="M480" s="202"/>
      <c r="N480" s="206">
        <v>42418</v>
      </c>
      <c r="O480" s="206">
        <v>42418</v>
      </c>
      <c r="P480" s="202" t="s">
        <v>2398</v>
      </c>
      <c r="Q480" s="203">
        <v>700</v>
      </c>
      <c r="R480" s="203">
        <v>14050</v>
      </c>
      <c r="S480" s="204">
        <v>36644.400000000001</v>
      </c>
      <c r="T480" s="203">
        <v>14056</v>
      </c>
      <c r="U480" s="204">
        <v>30537.03</v>
      </c>
      <c r="V480" s="204">
        <f t="shared" si="18"/>
        <v>6107.3700000000026</v>
      </c>
      <c r="W480" s="205">
        <v>5234.92</v>
      </c>
      <c r="X480" s="203">
        <v>54260</v>
      </c>
      <c r="Y480" s="204">
        <v>436.24</v>
      </c>
      <c r="Z480" s="202" t="s">
        <v>97</v>
      </c>
      <c r="AA480" s="202"/>
      <c r="AB480" s="202">
        <v>65396943</v>
      </c>
      <c r="AC480" s="202"/>
      <c r="AD480" s="202" t="s">
        <v>1152</v>
      </c>
      <c r="AE480" s="202" t="s">
        <v>1153</v>
      </c>
      <c r="AF480" s="203" t="s">
        <v>1154</v>
      </c>
      <c r="AG480" s="202"/>
      <c r="AH480" s="203" t="s">
        <v>1155</v>
      </c>
      <c r="AI480" s="202">
        <v>0</v>
      </c>
      <c r="AJ480" s="202">
        <v>0</v>
      </c>
    </row>
    <row r="481" spans="2:36">
      <c r="B481" s="203">
        <v>2180</v>
      </c>
      <c r="C481" s="207">
        <v>130762</v>
      </c>
      <c r="D481" s="203" t="s">
        <v>97</v>
      </c>
      <c r="E481" s="202" t="s">
        <v>2397</v>
      </c>
      <c r="F481" s="203">
        <v>624</v>
      </c>
      <c r="G481" s="202"/>
      <c r="H481" s="202"/>
      <c r="I481" s="202"/>
      <c r="J481" s="202">
        <v>0</v>
      </c>
      <c r="K481" s="202" t="s">
        <v>2081</v>
      </c>
      <c r="L481" s="202"/>
      <c r="M481" s="202"/>
      <c r="N481" s="206">
        <v>42419</v>
      </c>
      <c r="O481" s="206">
        <v>42419</v>
      </c>
      <c r="P481" s="202" t="s">
        <v>2396</v>
      </c>
      <c r="Q481" s="203">
        <v>700</v>
      </c>
      <c r="R481" s="203">
        <v>14050</v>
      </c>
      <c r="S481" s="204">
        <v>31260.11</v>
      </c>
      <c r="T481" s="203">
        <v>14056</v>
      </c>
      <c r="U481" s="204">
        <v>26050.09</v>
      </c>
      <c r="V481" s="204">
        <f t="shared" si="18"/>
        <v>5210.0200000000004</v>
      </c>
      <c r="W481" s="205">
        <v>4465.7299999999996</v>
      </c>
      <c r="X481" s="203">
        <v>54260</v>
      </c>
      <c r="Y481" s="204">
        <v>372.14</v>
      </c>
      <c r="Z481" s="202" t="s">
        <v>97</v>
      </c>
      <c r="AA481" s="202"/>
      <c r="AB481" s="202">
        <v>65397383</v>
      </c>
      <c r="AC481" s="202"/>
      <c r="AD481" s="202" t="s">
        <v>1152</v>
      </c>
      <c r="AE481" s="202" t="s">
        <v>1153</v>
      </c>
      <c r="AF481" s="203" t="s">
        <v>1154</v>
      </c>
      <c r="AG481" s="202"/>
      <c r="AH481" s="203" t="s">
        <v>1155</v>
      </c>
      <c r="AI481" s="202">
        <v>0</v>
      </c>
      <c r="AJ481" s="202">
        <v>0</v>
      </c>
    </row>
    <row r="482" spans="2:36">
      <c r="B482" s="203">
        <v>2180</v>
      </c>
      <c r="C482" s="207">
        <v>130455</v>
      </c>
      <c r="D482" s="203">
        <v>128671</v>
      </c>
      <c r="E482" s="202" t="s">
        <v>110</v>
      </c>
      <c r="F482" s="203"/>
      <c r="G482" s="202"/>
      <c r="H482" s="202"/>
      <c r="I482" s="202"/>
      <c r="J482" s="202">
        <v>0</v>
      </c>
      <c r="K482" s="202" t="s">
        <v>1732</v>
      </c>
      <c r="L482" s="202" t="s">
        <v>2375</v>
      </c>
      <c r="M482" s="202" t="s">
        <v>1158</v>
      </c>
      <c r="N482" s="206">
        <v>42370</v>
      </c>
      <c r="O482" s="206">
        <v>42370</v>
      </c>
      <c r="P482" s="202" t="s">
        <v>2374</v>
      </c>
      <c r="Q482" s="203">
        <v>1000</v>
      </c>
      <c r="R482" s="203">
        <v>14040</v>
      </c>
      <c r="S482" s="204">
        <v>951.46</v>
      </c>
      <c r="T482" s="203">
        <v>14046</v>
      </c>
      <c r="U482" s="204">
        <v>570.9</v>
      </c>
      <c r="V482" s="204">
        <f t="shared" si="18"/>
        <v>380.56000000000006</v>
      </c>
      <c r="W482" s="205">
        <v>95.15</v>
      </c>
      <c r="X482" s="203">
        <v>51260</v>
      </c>
      <c r="Y482" s="204">
        <v>7.93</v>
      </c>
      <c r="Z482" s="202" t="s">
        <v>97</v>
      </c>
      <c r="AA482" s="202"/>
      <c r="AB482" s="202">
        <v>10740</v>
      </c>
      <c r="AC482" s="202"/>
      <c r="AD482" s="202" t="s">
        <v>1152</v>
      </c>
      <c r="AE482" s="202" t="s">
        <v>1153</v>
      </c>
      <c r="AF482" s="203" t="s">
        <v>1154</v>
      </c>
      <c r="AG482" s="202"/>
      <c r="AH482" s="203" t="s">
        <v>1155</v>
      </c>
      <c r="AI482" s="202">
        <v>0</v>
      </c>
      <c r="AJ482" s="202">
        <v>0</v>
      </c>
    </row>
    <row r="483" spans="2:36">
      <c r="B483" s="203">
        <v>2180</v>
      </c>
      <c r="C483" s="207">
        <v>129839</v>
      </c>
      <c r="D483" s="203" t="s">
        <v>97</v>
      </c>
      <c r="E483" s="202" t="s">
        <v>2395</v>
      </c>
      <c r="F483" s="203">
        <v>580</v>
      </c>
      <c r="G483" s="202"/>
      <c r="H483" s="202"/>
      <c r="I483" s="202"/>
      <c r="J483" s="202">
        <v>0</v>
      </c>
      <c r="K483" s="202" t="s">
        <v>2318</v>
      </c>
      <c r="L483" s="202"/>
      <c r="M483" s="202"/>
      <c r="N483" s="206">
        <v>42370</v>
      </c>
      <c r="O483" s="206">
        <v>42370</v>
      </c>
      <c r="P483" s="202" t="s">
        <v>2307</v>
      </c>
      <c r="Q483" s="203">
        <v>700</v>
      </c>
      <c r="R483" s="203">
        <v>14050</v>
      </c>
      <c r="S483" s="204">
        <v>20519.68</v>
      </c>
      <c r="T483" s="203">
        <v>14056</v>
      </c>
      <c r="U483" s="204">
        <v>17588.28</v>
      </c>
      <c r="V483" s="204">
        <f t="shared" si="18"/>
        <v>2931.4000000000015</v>
      </c>
      <c r="W483" s="205">
        <v>2931.38</v>
      </c>
      <c r="X483" s="203">
        <v>54260</v>
      </c>
      <c r="Y483" s="204">
        <v>244.28</v>
      </c>
      <c r="Z483" s="202" t="s">
        <v>97</v>
      </c>
      <c r="AA483" s="202"/>
      <c r="AB483" s="202">
        <v>65392283</v>
      </c>
      <c r="AC483" s="202"/>
      <c r="AD483" s="202" t="s">
        <v>1152</v>
      </c>
      <c r="AE483" s="202" t="s">
        <v>1153</v>
      </c>
      <c r="AF483" s="203" t="s">
        <v>1154</v>
      </c>
      <c r="AG483" s="202"/>
      <c r="AH483" s="203" t="s">
        <v>1155</v>
      </c>
      <c r="AI483" s="202">
        <v>0</v>
      </c>
      <c r="AJ483" s="202">
        <v>0</v>
      </c>
    </row>
    <row r="484" spans="2:36">
      <c r="B484" s="203">
        <v>2180</v>
      </c>
      <c r="C484" s="207">
        <v>129382</v>
      </c>
      <c r="D484" s="203" t="s">
        <v>97</v>
      </c>
      <c r="E484" s="202" t="s">
        <v>2394</v>
      </c>
      <c r="F484" s="203">
        <v>864</v>
      </c>
      <c r="G484" s="202"/>
      <c r="H484" s="202"/>
      <c r="I484" s="202"/>
      <c r="J484" s="202">
        <v>0</v>
      </c>
      <c r="K484" s="202" t="s">
        <v>2081</v>
      </c>
      <c r="L484" s="202"/>
      <c r="M484" s="202"/>
      <c r="N484" s="206">
        <v>42370</v>
      </c>
      <c r="O484" s="206">
        <v>42370</v>
      </c>
      <c r="P484" s="202" t="s">
        <v>2314</v>
      </c>
      <c r="Q484" s="203">
        <v>700</v>
      </c>
      <c r="R484" s="203">
        <v>14050</v>
      </c>
      <c r="S484" s="204">
        <v>37847.26</v>
      </c>
      <c r="T484" s="203">
        <v>14056</v>
      </c>
      <c r="U484" s="204">
        <v>32440.5</v>
      </c>
      <c r="V484" s="204">
        <f t="shared" si="18"/>
        <v>5406.760000000002</v>
      </c>
      <c r="W484" s="205">
        <v>5406.75</v>
      </c>
      <c r="X484" s="203">
        <v>54260</v>
      </c>
      <c r="Y484" s="204">
        <v>450.56</v>
      </c>
      <c r="Z484" s="202" t="s">
        <v>97</v>
      </c>
      <c r="AA484" s="202"/>
      <c r="AB484" s="202">
        <v>65388020</v>
      </c>
      <c r="AC484" s="202"/>
      <c r="AD484" s="202" t="s">
        <v>1152</v>
      </c>
      <c r="AE484" s="202" t="s">
        <v>1153</v>
      </c>
      <c r="AF484" s="203" t="s">
        <v>1154</v>
      </c>
      <c r="AG484" s="202"/>
      <c r="AH484" s="203" t="s">
        <v>1155</v>
      </c>
      <c r="AI484" s="202">
        <v>0</v>
      </c>
      <c r="AJ484" s="202">
        <v>0</v>
      </c>
    </row>
    <row r="485" spans="2:36">
      <c r="B485" s="203">
        <v>2180</v>
      </c>
      <c r="C485" s="207">
        <v>129323</v>
      </c>
      <c r="D485" s="203" t="s">
        <v>97</v>
      </c>
      <c r="E485" s="202" t="s">
        <v>2394</v>
      </c>
      <c r="F485" s="203">
        <v>864</v>
      </c>
      <c r="G485" s="202"/>
      <c r="H485" s="202"/>
      <c r="I485" s="202"/>
      <c r="J485" s="202">
        <v>0</v>
      </c>
      <c r="K485" s="202" t="s">
        <v>2081</v>
      </c>
      <c r="L485" s="202"/>
      <c r="M485" s="202"/>
      <c r="N485" s="206">
        <v>42370</v>
      </c>
      <c r="O485" s="206">
        <v>42370</v>
      </c>
      <c r="P485" s="202" t="s">
        <v>2314</v>
      </c>
      <c r="Q485" s="203">
        <v>700</v>
      </c>
      <c r="R485" s="203">
        <v>14050</v>
      </c>
      <c r="S485" s="204">
        <v>37847.26</v>
      </c>
      <c r="T485" s="203">
        <v>14056</v>
      </c>
      <c r="U485" s="204">
        <v>32440.5</v>
      </c>
      <c r="V485" s="204">
        <f t="shared" si="18"/>
        <v>5406.760000000002</v>
      </c>
      <c r="W485" s="205">
        <v>5406.75</v>
      </c>
      <c r="X485" s="203">
        <v>54260</v>
      </c>
      <c r="Y485" s="204">
        <v>450.56</v>
      </c>
      <c r="Z485" s="202" t="s">
        <v>97</v>
      </c>
      <c r="AA485" s="202"/>
      <c r="AB485" s="202">
        <v>65388416</v>
      </c>
      <c r="AC485" s="202"/>
      <c r="AD485" s="202" t="s">
        <v>1152</v>
      </c>
      <c r="AE485" s="202" t="s">
        <v>1153</v>
      </c>
      <c r="AF485" s="203" t="s">
        <v>1154</v>
      </c>
      <c r="AG485" s="202"/>
      <c r="AH485" s="203" t="s">
        <v>1155</v>
      </c>
      <c r="AI485" s="202">
        <v>0</v>
      </c>
      <c r="AJ485" s="202">
        <v>0</v>
      </c>
    </row>
    <row r="486" spans="2:36">
      <c r="B486" s="203">
        <v>2180</v>
      </c>
      <c r="C486" s="207">
        <v>128930</v>
      </c>
      <c r="D486" s="203">
        <v>128671</v>
      </c>
      <c r="E486" s="202" t="s">
        <v>2393</v>
      </c>
      <c r="F486" s="203"/>
      <c r="G486" s="202"/>
      <c r="H486" s="202"/>
      <c r="I486" s="202"/>
      <c r="J486" s="202">
        <v>0</v>
      </c>
      <c r="K486" s="202" t="s">
        <v>1732</v>
      </c>
      <c r="L486" s="202" t="s">
        <v>2375</v>
      </c>
      <c r="M486" s="202" t="s">
        <v>1158</v>
      </c>
      <c r="N486" s="206">
        <v>42369</v>
      </c>
      <c r="O486" s="206">
        <v>42369</v>
      </c>
      <c r="P486" s="202" t="s">
        <v>2374</v>
      </c>
      <c r="Q486" s="203">
        <v>1000</v>
      </c>
      <c r="R486" s="203">
        <v>14040</v>
      </c>
      <c r="S486" s="204">
        <v>637.96</v>
      </c>
      <c r="T486" s="203">
        <v>14046</v>
      </c>
      <c r="U486" s="204">
        <v>382.8</v>
      </c>
      <c r="V486" s="204">
        <f t="shared" si="18"/>
        <v>255.16000000000003</v>
      </c>
      <c r="W486" s="205">
        <v>63.8</v>
      </c>
      <c r="X486" s="203">
        <v>51260</v>
      </c>
      <c r="Y486" s="204">
        <v>5.32</v>
      </c>
      <c r="Z486" s="202" t="s">
        <v>97</v>
      </c>
      <c r="AA486" s="202"/>
      <c r="AB486" s="202">
        <v>5032494</v>
      </c>
      <c r="AC486" s="202"/>
      <c r="AD486" s="202" t="s">
        <v>1152</v>
      </c>
      <c r="AE486" s="202" t="s">
        <v>1153</v>
      </c>
      <c r="AF486" s="203" t="s">
        <v>1154</v>
      </c>
      <c r="AG486" s="202"/>
      <c r="AH486" s="203" t="s">
        <v>1155</v>
      </c>
      <c r="AI486" s="202">
        <v>0</v>
      </c>
      <c r="AJ486" s="202">
        <v>0</v>
      </c>
    </row>
    <row r="487" spans="2:36">
      <c r="B487" s="203">
        <v>2180</v>
      </c>
      <c r="C487" s="207">
        <v>128929</v>
      </c>
      <c r="D487" s="203">
        <v>128662</v>
      </c>
      <c r="E487" s="202" t="s">
        <v>108</v>
      </c>
      <c r="F487" s="203"/>
      <c r="G487" s="202"/>
      <c r="H487" s="202"/>
      <c r="I487" s="202"/>
      <c r="J487" s="202">
        <v>0</v>
      </c>
      <c r="K487" s="202" t="s">
        <v>2136</v>
      </c>
      <c r="L487" s="202"/>
      <c r="M487" s="202" t="s">
        <v>1158</v>
      </c>
      <c r="N487" s="206">
        <v>42341</v>
      </c>
      <c r="O487" s="206">
        <v>42341</v>
      </c>
      <c r="P487" s="202" t="s">
        <v>2368</v>
      </c>
      <c r="Q487" s="203">
        <v>1000</v>
      </c>
      <c r="R487" s="203">
        <v>14040</v>
      </c>
      <c r="S487" s="204">
        <v>1607.35</v>
      </c>
      <c r="T487" s="203">
        <v>14046</v>
      </c>
      <c r="U487" s="204">
        <v>977.78</v>
      </c>
      <c r="V487" s="204">
        <f t="shared" si="18"/>
        <v>629.56999999999994</v>
      </c>
      <c r="W487" s="205">
        <v>160.72999999999999</v>
      </c>
      <c r="X487" s="203">
        <v>51260</v>
      </c>
      <c r="Y487" s="204">
        <v>13.39</v>
      </c>
      <c r="Z487" s="202" t="s">
        <v>97</v>
      </c>
      <c r="AA487" s="202"/>
      <c r="AB487" s="202">
        <v>1964</v>
      </c>
      <c r="AC487" s="202"/>
      <c r="AD487" s="202" t="s">
        <v>1152</v>
      </c>
      <c r="AE487" s="202" t="s">
        <v>1153</v>
      </c>
      <c r="AF487" s="203" t="s">
        <v>1154</v>
      </c>
      <c r="AG487" s="202"/>
      <c r="AH487" s="203" t="s">
        <v>1155</v>
      </c>
      <c r="AI487" s="202">
        <v>0</v>
      </c>
      <c r="AJ487" s="202">
        <v>0</v>
      </c>
    </row>
    <row r="488" spans="2:36">
      <c r="B488" s="203">
        <v>2180</v>
      </c>
      <c r="C488" s="207">
        <v>128928</v>
      </c>
      <c r="D488" s="203">
        <v>128671</v>
      </c>
      <c r="E488" s="202" t="s">
        <v>108</v>
      </c>
      <c r="F488" s="203"/>
      <c r="G488" s="202"/>
      <c r="H488" s="202"/>
      <c r="I488" s="202"/>
      <c r="J488" s="202">
        <v>0</v>
      </c>
      <c r="K488" s="202" t="s">
        <v>1732</v>
      </c>
      <c r="L488" s="202" t="s">
        <v>2375</v>
      </c>
      <c r="M488" s="202" t="s">
        <v>1158</v>
      </c>
      <c r="N488" s="206">
        <v>42369</v>
      </c>
      <c r="O488" s="206">
        <v>42369</v>
      </c>
      <c r="P488" s="202" t="s">
        <v>2374</v>
      </c>
      <c r="Q488" s="203">
        <v>1000</v>
      </c>
      <c r="R488" s="203">
        <v>14040</v>
      </c>
      <c r="S488" s="204">
        <v>969.39</v>
      </c>
      <c r="T488" s="203">
        <v>14046</v>
      </c>
      <c r="U488" s="204">
        <v>581.64</v>
      </c>
      <c r="V488" s="204">
        <f t="shared" si="18"/>
        <v>387.75</v>
      </c>
      <c r="W488" s="205">
        <v>96.94</v>
      </c>
      <c r="X488" s="203">
        <v>51260</v>
      </c>
      <c r="Y488" s="204">
        <v>8.08</v>
      </c>
      <c r="Z488" s="202" t="s">
        <v>97</v>
      </c>
      <c r="AA488" s="202"/>
      <c r="AB488" s="202">
        <v>1965</v>
      </c>
      <c r="AC488" s="202"/>
      <c r="AD488" s="202" t="s">
        <v>1152</v>
      </c>
      <c r="AE488" s="202" t="s">
        <v>1153</v>
      </c>
      <c r="AF488" s="203" t="s">
        <v>1154</v>
      </c>
      <c r="AG488" s="202"/>
      <c r="AH488" s="203" t="s">
        <v>1155</v>
      </c>
      <c r="AI488" s="202">
        <v>0</v>
      </c>
      <c r="AJ488" s="202">
        <v>0</v>
      </c>
    </row>
    <row r="489" spans="2:36">
      <c r="B489" s="203">
        <v>2180</v>
      </c>
      <c r="C489" s="207">
        <v>128909</v>
      </c>
      <c r="D489" s="203" t="s">
        <v>97</v>
      </c>
      <c r="E489" s="202" t="s">
        <v>2392</v>
      </c>
      <c r="F489" s="203"/>
      <c r="G489" s="202"/>
      <c r="H489" s="202"/>
      <c r="I489" s="202"/>
      <c r="J489" s="202">
        <v>0</v>
      </c>
      <c r="K489" s="202" t="s">
        <v>1429</v>
      </c>
      <c r="L489" s="202"/>
      <c r="M489" s="202"/>
      <c r="N489" s="206">
        <v>42342</v>
      </c>
      <c r="O489" s="206">
        <v>42342</v>
      </c>
      <c r="P489" s="202" t="s">
        <v>2389</v>
      </c>
      <c r="Q489" s="203">
        <v>300</v>
      </c>
      <c r="R489" s="203">
        <v>14110</v>
      </c>
      <c r="S489" s="204">
        <v>1087.92</v>
      </c>
      <c r="T489" s="203">
        <v>14116</v>
      </c>
      <c r="U489" s="204">
        <v>1087.92</v>
      </c>
      <c r="V489" s="204">
        <f t="shared" si="18"/>
        <v>0</v>
      </c>
      <c r="W489" s="205">
        <v>0</v>
      </c>
      <c r="X489" s="203">
        <v>70260</v>
      </c>
      <c r="Y489" s="204">
        <v>0</v>
      </c>
      <c r="Z489" s="202" t="s">
        <v>97</v>
      </c>
      <c r="AA489" s="202"/>
      <c r="AB489" s="202" t="s">
        <v>2391</v>
      </c>
      <c r="AC489" s="202"/>
      <c r="AD489" s="202" t="s">
        <v>1152</v>
      </c>
      <c r="AE489" s="202" t="s">
        <v>1153</v>
      </c>
      <c r="AF489" s="203" t="s">
        <v>1154</v>
      </c>
      <c r="AG489" s="202"/>
      <c r="AH489" s="203" t="s">
        <v>1155</v>
      </c>
      <c r="AI489" s="202">
        <v>0</v>
      </c>
      <c r="AJ489" s="202">
        <v>0</v>
      </c>
    </row>
    <row r="490" spans="2:36">
      <c r="B490" s="203">
        <v>2180</v>
      </c>
      <c r="C490" s="207">
        <v>128908</v>
      </c>
      <c r="D490" s="203" t="s">
        <v>97</v>
      </c>
      <c r="E490" s="202" t="s">
        <v>2390</v>
      </c>
      <c r="F490" s="203"/>
      <c r="G490" s="202"/>
      <c r="H490" s="202"/>
      <c r="I490" s="202"/>
      <c r="J490" s="202">
        <v>0</v>
      </c>
      <c r="K490" s="202" t="s">
        <v>1429</v>
      </c>
      <c r="L490" s="202"/>
      <c r="M490" s="202"/>
      <c r="N490" s="206">
        <v>42342</v>
      </c>
      <c r="O490" s="206">
        <v>42342</v>
      </c>
      <c r="P490" s="202" t="s">
        <v>2389</v>
      </c>
      <c r="Q490" s="203">
        <v>300</v>
      </c>
      <c r="R490" s="203">
        <v>14110</v>
      </c>
      <c r="S490" s="204">
        <v>1087.92</v>
      </c>
      <c r="T490" s="203">
        <v>14116</v>
      </c>
      <c r="U490" s="204">
        <v>1087.92</v>
      </c>
      <c r="V490" s="204">
        <f t="shared" si="18"/>
        <v>0</v>
      </c>
      <c r="W490" s="205">
        <v>0</v>
      </c>
      <c r="X490" s="203">
        <v>70260</v>
      </c>
      <c r="Y490" s="204">
        <v>0</v>
      </c>
      <c r="Z490" s="202" t="s">
        <v>97</v>
      </c>
      <c r="AA490" s="202"/>
      <c r="AB490" s="202" t="s">
        <v>2388</v>
      </c>
      <c r="AC490" s="202"/>
      <c r="AD490" s="202" t="s">
        <v>1152</v>
      </c>
      <c r="AE490" s="202" t="s">
        <v>1153</v>
      </c>
      <c r="AF490" s="203" t="s">
        <v>1154</v>
      </c>
      <c r="AG490" s="202"/>
      <c r="AH490" s="203" t="s">
        <v>1155</v>
      </c>
      <c r="AI490" s="202">
        <v>0</v>
      </c>
      <c r="AJ490" s="202">
        <v>0</v>
      </c>
    </row>
    <row r="491" spans="2:36">
      <c r="B491" s="203">
        <v>2180</v>
      </c>
      <c r="C491" s="207">
        <v>128768</v>
      </c>
      <c r="D491" s="203" t="s">
        <v>97</v>
      </c>
      <c r="E491" s="202" t="s">
        <v>2387</v>
      </c>
      <c r="F491" s="203">
        <v>624</v>
      </c>
      <c r="G491" s="202"/>
      <c r="H491" s="202"/>
      <c r="I491" s="202"/>
      <c r="J491" s="202">
        <v>0</v>
      </c>
      <c r="K491" s="202" t="s">
        <v>2081</v>
      </c>
      <c r="L491" s="202"/>
      <c r="M491" s="202"/>
      <c r="N491" s="206">
        <v>42139</v>
      </c>
      <c r="O491" s="206">
        <v>42139</v>
      </c>
      <c r="P491" s="202" t="s">
        <v>2307</v>
      </c>
      <c r="Q491" s="203">
        <v>700</v>
      </c>
      <c r="R491" s="203">
        <v>14050</v>
      </c>
      <c r="S491" s="204">
        <v>32423.49</v>
      </c>
      <c r="T491" s="203">
        <v>14056</v>
      </c>
      <c r="U491" s="204">
        <v>30879.53</v>
      </c>
      <c r="V491" s="204">
        <f t="shared" si="18"/>
        <v>1543.9600000000028</v>
      </c>
      <c r="W491" s="205">
        <v>4631.93</v>
      </c>
      <c r="X491" s="203">
        <v>54260</v>
      </c>
      <c r="Y491" s="204">
        <v>385.99</v>
      </c>
      <c r="Z491" s="202" t="s">
        <v>97</v>
      </c>
      <c r="AA491" s="202"/>
      <c r="AB491" s="202">
        <v>65391878</v>
      </c>
      <c r="AC491" s="202"/>
      <c r="AD491" s="202" t="s">
        <v>1152</v>
      </c>
      <c r="AE491" s="202" t="s">
        <v>1153</v>
      </c>
      <c r="AF491" s="203" t="s">
        <v>1154</v>
      </c>
      <c r="AG491" s="202"/>
      <c r="AH491" s="203" t="s">
        <v>1155</v>
      </c>
      <c r="AI491" s="202">
        <v>0</v>
      </c>
      <c r="AJ491" s="202">
        <v>0</v>
      </c>
    </row>
    <row r="492" spans="2:36">
      <c r="B492" s="203">
        <v>2180</v>
      </c>
      <c r="C492" s="207">
        <v>128767</v>
      </c>
      <c r="D492" s="203" t="s">
        <v>97</v>
      </c>
      <c r="E492" s="202" t="s">
        <v>2386</v>
      </c>
      <c r="F492" s="203">
        <v>624</v>
      </c>
      <c r="G492" s="202"/>
      <c r="H492" s="202"/>
      <c r="I492" s="202"/>
      <c r="J492" s="202">
        <v>0</v>
      </c>
      <c r="K492" s="202" t="s">
        <v>2081</v>
      </c>
      <c r="L492" s="202"/>
      <c r="M492" s="202"/>
      <c r="N492" s="206">
        <v>42139</v>
      </c>
      <c r="O492" s="206">
        <v>42139</v>
      </c>
      <c r="P492" s="202" t="s">
        <v>2307</v>
      </c>
      <c r="Q492" s="203">
        <v>700</v>
      </c>
      <c r="R492" s="203">
        <v>14050</v>
      </c>
      <c r="S492" s="204">
        <v>31744.58</v>
      </c>
      <c r="T492" s="203">
        <v>14056</v>
      </c>
      <c r="U492" s="204">
        <v>30232.93</v>
      </c>
      <c r="V492" s="204">
        <f t="shared" si="18"/>
        <v>1511.6500000000015</v>
      </c>
      <c r="W492" s="205">
        <v>4534.9399999999996</v>
      </c>
      <c r="X492" s="203">
        <v>54260</v>
      </c>
      <c r="Y492" s="204">
        <v>377.91</v>
      </c>
      <c r="Z492" s="202" t="s">
        <v>97</v>
      </c>
      <c r="AA492" s="202"/>
      <c r="AB492" s="202">
        <v>65391613</v>
      </c>
      <c r="AC492" s="202"/>
      <c r="AD492" s="202" t="s">
        <v>1152</v>
      </c>
      <c r="AE492" s="202" t="s">
        <v>1153</v>
      </c>
      <c r="AF492" s="203" t="s">
        <v>1154</v>
      </c>
      <c r="AG492" s="202"/>
      <c r="AH492" s="203" t="s">
        <v>1155</v>
      </c>
      <c r="AI492" s="202">
        <v>0</v>
      </c>
      <c r="AJ492" s="202">
        <v>0</v>
      </c>
    </row>
    <row r="493" spans="2:36">
      <c r="B493" s="203">
        <v>2180</v>
      </c>
      <c r="C493" s="207">
        <v>128766</v>
      </c>
      <c r="D493" s="203" t="s">
        <v>97</v>
      </c>
      <c r="E493" s="202" t="s">
        <v>2385</v>
      </c>
      <c r="F493" s="203">
        <v>25</v>
      </c>
      <c r="G493" s="202"/>
      <c r="H493" s="202"/>
      <c r="I493" s="202"/>
      <c r="J493" s="202">
        <v>0</v>
      </c>
      <c r="K493" s="202" t="s">
        <v>1658</v>
      </c>
      <c r="L493" s="202"/>
      <c r="M493" s="202" t="s">
        <v>1555</v>
      </c>
      <c r="N493" s="206">
        <v>42266</v>
      </c>
      <c r="O493" s="206">
        <v>42266</v>
      </c>
      <c r="P493" s="202" t="s">
        <v>2352</v>
      </c>
      <c r="Q493" s="203">
        <v>700</v>
      </c>
      <c r="R493" s="203">
        <v>14050</v>
      </c>
      <c r="S493" s="204">
        <v>18973.75</v>
      </c>
      <c r="T493" s="203">
        <v>14056</v>
      </c>
      <c r="U493" s="204">
        <v>16940.87</v>
      </c>
      <c r="V493" s="204">
        <f t="shared" si="18"/>
        <v>2032.880000000001</v>
      </c>
      <c r="W493" s="205">
        <v>2710.54</v>
      </c>
      <c r="X493" s="203">
        <v>54260</v>
      </c>
      <c r="Y493" s="204">
        <v>225.88</v>
      </c>
      <c r="Z493" s="202" t="s">
        <v>97</v>
      </c>
      <c r="AA493" s="202"/>
      <c r="AB493" s="202" t="s">
        <v>2384</v>
      </c>
      <c r="AC493" s="202"/>
      <c r="AD493" s="202" t="s">
        <v>1152</v>
      </c>
      <c r="AE493" s="202" t="s">
        <v>1153</v>
      </c>
      <c r="AF493" s="203" t="s">
        <v>1154</v>
      </c>
      <c r="AG493" s="202"/>
      <c r="AH493" s="203" t="s">
        <v>1155</v>
      </c>
      <c r="AI493" s="202">
        <v>0</v>
      </c>
      <c r="AJ493" s="202">
        <v>0</v>
      </c>
    </row>
    <row r="494" spans="2:36">
      <c r="B494" s="203">
        <v>2180</v>
      </c>
      <c r="C494" s="207">
        <v>128765</v>
      </c>
      <c r="D494" s="203" t="s">
        <v>97</v>
      </c>
      <c r="E494" s="202" t="s">
        <v>2383</v>
      </c>
      <c r="F494" s="203">
        <v>55</v>
      </c>
      <c r="G494" s="202"/>
      <c r="H494" s="202"/>
      <c r="I494" s="202"/>
      <c r="J494" s="202">
        <v>0</v>
      </c>
      <c r="K494" s="202" t="s">
        <v>1658</v>
      </c>
      <c r="L494" s="202"/>
      <c r="M494" s="202" t="s">
        <v>2382</v>
      </c>
      <c r="N494" s="206">
        <v>42266</v>
      </c>
      <c r="O494" s="206">
        <v>42266</v>
      </c>
      <c r="P494" s="202" t="s">
        <v>2352</v>
      </c>
      <c r="Q494" s="203">
        <v>700</v>
      </c>
      <c r="R494" s="203">
        <v>14050</v>
      </c>
      <c r="S494" s="204">
        <v>36034.559999999998</v>
      </c>
      <c r="T494" s="203">
        <v>14056</v>
      </c>
      <c r="U494" s="204">
        <v>32173.75</v>
      </c>
      <c r="V494" s="204">
        <f t="shared" si="18"/>
        <v>3860.8099999999977</v>
      </c>
      <c r="W494" s="205">
        <v>5147.8</v>
      </c>
      <c r="X494" s="203">
        <v>54260</v>
      </c>
      <c r="Y494" s="204">
        <v>428.98</v>
      </c>
      <c r="Z494" s="202" t="s">
        <v>97</v>
      </c>
      <c r="AA494" s="202"/>
      <c r="AB494" s="202" t="s">
        <v>2381</v>
      </c>
      <c r="AC494" s="202"/>
      <c r="AD494" s="202" t="s">
        <v>1152</v>
      </c>
      <c r="AE494" s="202" t="s">
        <v>1153</v>
      </c>
      <c r="AF494" s="203" t="s">
        <v>1154</v>
      </c>
      <c r="AG494" s="202"/>
      <c r="AH494" s="203" t="s">
        <v>1155</v>
      </c>
      <c r="AI494" s="202">
        <v>0</v>
      </c>
      <c r="AJ494" s="202">
        <v>0</v>
      </c>
    </row>
    <row r="495" spans="2:36">
      <c r="B495" s="203">
        <v>2180</v>
      </c>
      <c r="C495" s="207">
        <v>128672</v>
      </c>
      <c r="D495" s="203" t="s">
        <v>97</v>
      </c>
      <c r="E495" s="202" t="s">
        <v>2380</v>
      </c>
      <c r="F495" s="203"/>
      <c r="G495" s="202"/>
      <c r="H495" s="202" t="s">
        <v>2379</v>
      </c>
      <c r="I495" s="202"/>
      <c r="J495" s="202">
        <v>2016</v>
      </c>
      <c r="K495" s="202" t="s">
        <v>2066</v>
      </c>
      <c r="L495" s="202" t="s">
        <v>2066</v>
      </c>
      <c r="M495" s="202" t="s">
        <v>1391</v>
      </c>
      <c r="N495" s="206">
        <v>42369</v>
      </c>
      <c r="O495" s="206">
        <v>42369</v>
      </c>
      <c r="P495" s="202" t="s">
        <v>2378</v>
      </c>
      <c r="Q495" s="203">
        <v>900</v>
      </c>
      <c r="R495" s="203">
        <v>14040</v>
      </c>
      <c r="S495" s="204">
        <v>73306.22</v>
      </c>
      <c r="T495" s="203">
        <v>14046</v>
      </c>
      <c r="U495" s="204">
        <v>48870.84</v>
      </c>
      <c r="V495" s="204">
        <f t="shared" si="18"/>
        <v>24435.380000000005</v>
      </c>
      <c r="W495" s="205">
        <v>8145.14</v>
      </c>
      <c r="X495" s="203">
        <v>51260</v>
      </c>
      <c r="Y495" s="204">
        <v>678.76</v>
      </c>
      <c r="Z495" s="202" t="s">
        <v>97</v>
      </c>
      <c r="AA495" s="202"/>
      <c r="AB495" s="202" t="s">
        <v>2377</v>
      </c>
      <c r="AC495" s="202">
        <v>6055</v>
      </c>
      <c r="AD495" s="202" t="s">
        <v>1152</v>
      </c>
      <c r="AE495" s="202" t="s">
        <v>1153</v>
      </c>
      <c r="AF495" s="203" t="s">
        <v>1154</v>
      </c>
      <c r="AG495" s="202"/>
      <c r="AH495" s="203" t="s">
        <v>1155</v>
      </c>
      <c r="AI495" s="202">
        <v>0</v>
      </c>
      <c r="AJ495" s="202">
        <v>0</v>
      </c>
    </row>
    <row r="496" spans="2:36">
      <c r="B496" s="203">
        <v>2180</v>
      </c>
      <c r="C496" s="207">
        <v>128671</v>
      </c>
      <c r="D496" s="203" t="s">
        <v>97</v>
      </c>
      <c r="E496" s="202" t="s">
        <v>2292</v>
      </c>
      <c r="F496" s="203"/>
      <c r="G496" s="202"/>
      <c r="H496" s="202" t="s">
        <v>2376</v>
      </c>
      <c r="I496" s="202"/>
      <c r="J496" s="202">
        <v>2016</v>
      </c>
      <c r="K496" s="202" t="s">
        <v>2290</v>
      </c>
      <c r="L496" s="202" t="s">
        <v>2375</v>
      </c>
      <c r="M496" s="202" t="s">
        <v>1404</v>
      </c>
      <c r="N496" s="206">
        <v>42369</v>
      </c>
      <c r="O496" s="206">
        <v>42369</v>
      </c>
      <c r="P496" s="202" t="s">
        <v>2374</v>
      </c>
      <c r="Q496" s="203">
        <v>1000</v>
      </c>
      <c r="R496" s="203">
        <v>14040</v>
      </c>
      <c r="S496" s="204">
        <v>335414.45</v>
      </c>
      <c r="T496" s="203">
        <v>14046</v>
      </c>
      <c r="U496" s="204">
        <v>201248.7</v>
      </c>
      <c r="V496" s="204">
        <f t="shared" si="18"/>
        <v>134165.75</v>
      </c>
      <c r="W496" s="205">
        <v>33541.449999999997</v>
      </c>
      <c r="X496" s="203">
        <v>51260</v>
      </c>
      <c r="Y496" s="204">
        <v>2795.12</v>
      </c>
      <c r="Z496" s="202" t="s">
        <v>97</v>
      </c>
      <c r="AA496" s="202"/>
      <c r="AB496" s="202" t="s">
        <v>2373</v>
      </c>
      <c r="AC496" s="202">
        <v>3649</v>
      </c>
      <c r="AD496" s="202" t="s">
        <v>1152</v>
      </c>
      <c r="AE496" s="202" t="s">
        <v>1153</v>
      </c>
      <c r="AF496" s="203" t="s">
        <v>1154</v>
      </c>
      <c r="AG496" s="202"/>
      <c r="AH496" s="203" t="s">
        <v>1155</v>
      </c>
      <c r="AI496" s="202">
        <v>0</v>
      </c>
      <c r="AJ496" s="202">
        <v>0</v>
      </c>
    </row>
    <row r="497" spans="2:36">
      <c r="B497" s="203">
        <v>2180</v>
      </c>
      <c r="C497" s="207">
        <v>128670</v>
      </c>
      <c r="D497" s="203" t="s">
        <v>97</v>
      </c>
      <c r="E497" s="202" t="s">
        <v>2292</v>
      </c>
      <c r="F497" s="203"/>
      <c r="G497" s="202"/>
      <c r="H497" s="202" t="s">
        <v>2372</v>
      </c>
      <c r="I497" s="202"/>
      <c r="J497" s="202">
        <v>2016</v>
      </c>
      <c r="K497" s="202" t="s">
        <v>2290</v>
      </c>
      <c r="L497" s="202" t="s">
        <v>1406</v>
      </c>
      <c r="M497" s="202" t="s">
        <v>1404</v>
      </c>
      <c r="N497" s="206">
        <v>42369</v>
      </c>
      <c r="O497" s="206">
        <v>42369</v>
      </c>
      <c r="P497" s="202" t="s">
        <v>2371</v>
      </c>
      <c r="Q497" s="203">
        <v>1000</v>
      </c>
      <c r="R497" s="203">
        <v>14040</v>
      </c>
      <c r="S497" s="204">
        <v>327882.52</v>
      </c>
      <c r="T497" s="203">
        <v>14046</v>
      </c>
      <c r="U497" s="204">
        <v>196729.5</v>
      </c>
      <c r="V497" s="204">
        <f t="shared" si="18"/>
        <v>131153.02000000002</v>
      </c>
      <c r="W497" s="205">
        <v>32788.25</v>
      </c>
      <c r="X497" s="203">
        <v>51260</v>
      </c>
      <c r="Y497" s="204">
        <v>2732.35</v>
      </c>
      <c r="Z497" s="202" t="s">
        <v>97</v>
      </c>
      <c r="AA497" s="202"/>
      <c r="AB497" s="202" t="s">
        <v>2370</v>
      </c>
      <c r="AC497" s="202">
        <v>3647</v>
      </c>
      <c r="AD497" s="202" t="s">
        <v>1152</v>
      </c>
      <c r="AE497" s="202" t="s">
        <v>1153</v>
      </c>
      <c r="AF497" s="203" t="s">
        <v>1154</v>
      </c>
      <c r="AG497" s="202"/>
      <c r="AH497" s="203" t="s">
        <v>1155</v>
      </c>
      <c r="AI497" s="202">
        <v>0</v>
      </c>
      <c r="AJ497" s="202">
        <v>0</v>
      </c>
    </row>
    <row r="498" spans="2:36">
      <c r="B498" s="203">
        <v>2180</v>
      </c>
      <c r="C498" s="207">
        <v>128669</v>
      </c>
      <c r="D498" s="203" t="s">
        <v>97</v>
      </c>
      <c r="E498" s="202" t="s">
        <v>2292</v>
      </c>
      <c r="F498" s="203"/>
      <c r="G498" s="202"/>
      <c r="H498" s="202" t="s">
        <v>2369</v>
      </c>
      <c r="I498" s="202"/>
      <c r="J498" s="202">
        <v>2016</v>
      </c>
      <c r="K498" s="202" t="s">
        <v>2290</v>
      </c>
      <c r="L498" s="202" t="s">
        <v>1406</v>
      </c>
      <c r="M498" s="202" t="s">
        <v>1404</v>
      </c>
      <c r="N498" s="206">
        <v>42369</v>
      </c>
      <c r="O498" s="206">
        <v>42369</v>
      </c>
      <c r="P498" s="202" t="s">
        <v>2368</v>
      </c>
      <c r="Q498" s="203">
        <v>900</v>
      </c>
      <c r="R498" s="203">
        <v>14040</v>
      </c>
      <c r="S498" s="204">
        <v>335912.58</v>
      </c>
      <c r="T498" s="203">
        <v>14046</v>
      </c>
      <c r="U498" s="204">
        <v>223941.72</v>
      </c>
      <c r="V498" s="204">
        <f t="shared" si="18"/>
        <v>111970.86000000002</v>
      </c>
      <c r="W498" s="205">
        <v>37323.620000000003</v>
      </c>
      <c r="X498" s="203">
        <v>51260</v>
      </c>
      <c r="Y498" s="204">
        <v>3110.3</v>
      </c>
      <c r="Z498" s="202" t="s">
        <v>97</v>
      </c>
      <c r="AA498" s="202"/>
      <c r="AB498" s="202" t="s">
        <v>2367</v>
      </c>
      <c r="AC498" s="202">
        <v>3648</v>
      </c>
      <c r="AD498" s="202" t="s">
        <v>1152</v>
      </c>
      <c r="AE498" s="202" t="s">
        <v>1153</v>
      </c>
      <c r="AF498" s="203" t="s">
        <v>1154</v>
      </c>
      <c r="AG498" s="202"/>
      <c r="AH498" s="203" t="s">
        <v>1155</v>
      </c>
      <c r="AI498" s="202">
        <v>0</v>
      </c>
      <c r="AJ498" s="202">
        <v>0</v>
      </c>
    </row>
    <row r="499" spans="2:36">
      <c r="B499" s="203">
        <v>2180</v>
      </c>
      <c r="C499" s="207">
        <v>127691</v>
      </c>
      <c r="D499" s="203" t="s">
        <v>97</v>
      </c>
      <c r="E499" s="202" t="s">
        <v>2366</v>
      </c>
      <c r="F499" s="203">
        <v>0</v>
      </c>
      <c r="G499" s="202"/>
      <c r="H499" s="202"/>
      <c r="I499" s="202"/>
      <c r="J499" s="202">
        <v>0</v>
      </c>
      <c r="K499" s="202" t="s">
        <v>2365</v>
      </c>
      <c r="L499" s="202"/>
      <c r="M499" s="202"/>
      <c r="N499" s="206">
        <v>42286</v>
      </c>
      <c r="O499" s="206">
        <v>42286</v>
      </c>
      <c r="P499" s="202" t="s">
        <v>2364</v>
      </c>
      <c r="Q499" s="203">
        <v>500</v>
      </c>
      <c r="R499" s="203">
        <v>14050</v>
      </c>
      <c r="S499" s="204">
        <v>19344.64</v>
      </c>
      <c r="T499" s="203">
        <v>14056</v>
      </c>
      <c r="U499" s="204">
        <v>19344.64</v>
      </c>
      <c r="V499" s="204">
        <f t="shared" si="18"/>
        <v>0</v>
      </c>
      <c r="W499" s="205">
        <v>0</v>
      </c>
      <c r="X499" s="203">
        <v>54260</v>
      </c>
      <c r="Y499" s="204">
        <v>0</v>
      </c>
      <c r="Z499" s="202" t="s">
        <v>97</v>
      </c>
      <c r="AA499" s="202"/>
      <c r="AB499" s="202" t="s">
        <v>2363</v>
      </c>
      <c r="AC499" s="202"/>
      <c r="AD499" s="202" t="s">
        <v>1152</v>
      </c>
      <c r="AE499" s="202" t="s">
        <v>1153</v>
      </c>
      <c r="AF499" s="203" t="s">
        <v>1154</v>
      </c>
      <c r="AG499" s="202"/>
      <c r="AH499" s="203" t="s">
        <v>1155</v>
      </c>
      <c r="AI499" s="202">
        <v>0</v>
      </c>
      <c r="AJ499" s="202">
        <v>0</v>
      </c>
    </row>
    <row r="500" spans="2:36">
      <c r="B500" s="203">
        <v>2180</v>
      </c>
      <c r="C500" s="207">
        <v>126494</v>
      </c>
      <c r="D500" s="203">
        <v>60789</v>
      </c>
      <c r="E500" s="202" t="s">
        <v>2362</v>
      </c>
      <c r="F500" s="203"/>
      <c r="G500" s="202"/>
      <c r="H500" s="202"/>
      <c r="I500" s="202"/>
      <c r="J500" s="202">
        <v>0</v>
      </c>
      <c r="K500" s="202" t="s">
        <v>2296</v>
      </c>
      <c r="L500" s="202"/>
      <c r="M500" s="202" t="s">
        <v>1158</v>
      </c>
      <c r="N500" s="206">
        <v>42270</v>
      </c>
      <c r="O500" s="206">
        <v>42270</v>
      </c>
      <c r="P500" s="202" t="s">
        <v>2361</v>
      </c>
      <c r="Q500" s="203">
        <v>300</v>
      </c>
      <c r="R500" s="203">
        <v>14040</v>
      </c>
      <c r="S500" s="204">
        <v>20740.36</v>
      </c>
      <c r="T500" s="203">
        <v>14046</v>
      </c>
      <c r="U500" s="204">
        <v>20740.36</v>
      </c>
      <c r="V500" s="204">
        <f t="shared" si="18"/>
        <v>0</v>
      </c>
      <c r="W500" s="205">
        <v>0</v>
      </c>
      <c r="X500" s="203">
        <v>51260</v>
      </c>
      <c r="Y500" s="204">
        <v>0</v>
      </c>
      <c r="Z500" s="202" t="s">
        <v>97</v>
      </c>
      <c r="AA500" s="202"/>
      <c r="AB500" s="202" t="s">
        <v>2360</v>
      </c>
      <c r="AC500" s="202"/>
      <c r="AD500" s="202" t="s">
        <v>1152</v>
      </c>
      <c r="AE500" s="202" t="s">
        <v>1153</v>
      </c>
      <c r="AF500" s="203" t="s">
        <v>1154</v>
      </c>
      <c r="AG500" s="202"/>
      <c r="AH500" s="203" t="s">
        <v>1155</v>
      </c>
      <c r="AI500" s="202">
        <v>0</v>
      </c>
      <c r="AJ500" s="202">
        <v>0</v>
      </c>
    </row>
    <row r="501" spans="2:36">
      <c r="B501" s="203">
        <v>2180</v>
      </c>
      <c r="C501" s="207">
        <v>126471</v>
      </c>
      <c r="D501" s="203" t="s">
        <v>97</v>
      </c>
      <c r="E501" s="202" t="s">
        <v>2359</v>
      </c>
      <c r="F501" s="203">
        <v>624</v>
      </c>
      <c r="G501" s="202"/>
      <c r="H501" s="202"/>
      <c r="I501" s="202"/>
      <c r="J501" s="202">
        <v>0</v>
      </c>
      <c r="K501" s="202" t="s">
        <v>2318</v>
      </c>
      <c r="L501" s="202"/>
      <c r="M501" s="202"/>
      <c r="N501" s="206">
        <v>42289</v>
      </c>
      <c r="O501" s="206">
        <v>42289</v>
      </c>
      <c r="P501" s="202" t="s">
        <v>2309</v>
      </c>
      <c r="Q501" s="203">
        <v>700</v>
      </c>
      <c r="R501" s="203">
        <v>14050</v>
      </c>
      <c r="S501" s="204">
        <v>32121.15</v>
      </c>
      <c r="T501" s="203">
        <v>14056</v>
      </c>
      <c r="U501" s="204">
        <v>28679.62</v>
      </c>
      <c r="V501" s="204">
        <f t="shared" si="18"/>
        <v>3441.5300000000025</v>
      </c>
      <c r="W501" s="205">
        <v>4588.74</v>
      </c>
      <c r="X501" s="203">
        <v>54260</v>
      </c>
      <c r="Y501" s="204">
        <v>382.39</v>
      </c>
      <c r="Z501" s="202" t="s">
        <v>97</v>
      </c>
      <c r="AA501" s="202"/>
      <c r="AB501" s="202">
        <v>65384969</v>
      </c>
      <c r="AC501" s="202"/>
      <c r="AD501" s="202" t="s">
        <v>1152</v>
      </c>
      <c r="AE501" s="202" t="s">
        <v>1153</v>
      </c>
      <c r="AF501" s="203" t="s">
        <v>1154</v>
      </c>
      <c r="AG501" s="202"/>
      <c r="AH501" s="203" t="s">
        <v>1155</v>
      </c>
      <c r="AI501" s="202">
        <v>0</v>
      </c>
      <c r="AJ501" s="202">
        <v>0</v>
      </c>
    </row>
    <row r="502" spans="2:36">
      <c r="B502" s="203">
        <v>2180</v>
      </c>
      <c r="C502" s="207">
        <v>126470</v>
      </c>
      <c r="D502" s="203" t="s">
        <v>97</v>
      </c>
      <c r="E502" s="202" t="s">
        <v>2359</v>
      </c>
      <c r="F502" s="203">
        <v>624</v>
      </c>
      <c r="G502" s="202"/>
      <c r="H502" s="202"/>
      <c r="I502" s="202"/>
      <c r="J502" s="202">
        <v>0</v>
      </c>
      <c r="K502" s="202" t="s">
        <v>2318</v>
      </c>
      <c r="L502" s="202"/>
      <c r="M502" s="202"/>
      <c r="N502" s="206">
        <v>42289</v>
      </c>
      <c r="O502" s="206">
        <v>42289</v>
      </c>
      <c r="P502" s="202" t="s">
        <v>2309</v>
      </c>
      <c r="Q502" s="203">
        <v>700</v>
      </c>
      <c r="R502" s="203">
        <v>14050</v>
      </c>
      <c r="S502" s="204">
        <v>32121.15</v>
      </c>
      <c r="T502" s="203">
        <v>14056</v>
      </c>
      <c r="U502" s="204">
        <v>28679.62</v>
      </c>
      <c r="V502" s="204">
        <f t="shared" si="18"/>
        <v>3441.5300000000025</v>
      </c>
      <c r="W502" s="205">
        <v>4588.74</v>
      </c>
      <c r="X502" s="203">
        <v>54260</v>
      </c>
      <c r="Y502" s="204">
        <v>382.39</v>
      </c>
      <c r="Z502" s="202" t="s">
        <v>97</v>
      </c>
      <c r="AA502" s="202"/>
      <c r="AB502" s="202">
        <v>65385023</v>
      </c>
      <c r="AC502" s="202"/>
      <c r="AD502" s="202" t="s">
        <v>1152</v>
      </c>
      <c r="AE502" s="202" t="s">
        <v>1153</v>
      </c>
      <c r="AF502" s="203" t="s">
        <v>1154</v>
      </c>
      <c r="AG502" s="202"/>
      <c r="AH502" s="203" t="s">
        <v>1155</v>
      </c>
      <c r="AI502" s="202">
        <v>0</v>
      </c>
      <c r="AJ502" s="202">
        <v>0</v>
      </c>
    </row>
    <row r="503" spans="2:36">
      <c r="B503" s="203">
        <v>2180</v>
      </c>
      <c r="C503" s="207">
        <v>126469</v>
      </c>
      <c r="D503" s="203" t="s">
        <v>97</v>
      </c>
      <c r="E503" s="202" t="s">
        <v>2358</v>
      </c>
      <c r="F503" s="203">
        <v>14</v>
      </c>
      <c r="G503" s="202"/>
      <c r="H503" s="202"/>
      <c r="I503" s="202"/>
      <c r="J503" s="202">
        <v>0</v>
      </c>
      <c r="K503" s="202" t="s">
        <v>2041</v>
      </c>
      <c r="L503" s="202"/>
      <c r="M503" s="202" t="s">
        <v>1421</v>
      </c>
      <c r="N503" s="206">
        <v>42209</v>
      </c>
      <c r="O503" s="206">
        <v>42209</v>
      </c>
      <c r="P503" s="202" t="s">
        <v>2333</v>
      </c>
      <c r="Q503" s="203">
        <v>1200</v>
      </c>
      <c r="R503" s="203">
        <v>14050</v>
      </c>
      <c r="S503" s="204">
        <v>7996.8</v>
      </c>
      <c r="T503" s="203">
        <v>14056</v>
      </c>
      <c r="U503" s="204">
        <v>4276</v>
      </c>
      <c r="V503" s="204">
        <f t="shared" si="18"/>
        <v>3720.8</v>
      </c>
      <c r="W503" s="205">
        <v>666.39</v>
      </c>
      <c r="X503" s="203">
        <v>54260</v>
      </c>
      <c r="Y503" s="204">
        <v>55.53</v>
      </c>
      <c r="Z503" s="202" t="s">
        <v>97</v>
      </c>
      <c r="AA503" s="202"/>
      <c r="AB503" s="202">
        <v>110884</v>
      </c>
      <c r="AC503" s="202"/>
      <c r="AD503" s="202" t="s">
        <v>1152</v>
      </c>
      <c r="AE503" s="202" t="s">
        <v>1153</v>
      </c>
      <c r="AF503" s="203" t="s">
        <v>1154</v>
      </c>
      <c r="AG503" s="202"/>
      <c r="AH503" s="203" t="s">
        <v>1155</v>
      </c>
      <c r="AI503" s="202">
        <v>0</v>
      </c>
      <c r="AJ503" s="202">
        <v>0</v>
      </c>
    </row>
    <row r="504" spans="2:36">
      <c r="B504" s="203">
        <v>2180</v>
      </c>
      <c r="C504" s="207">
        <v>126212</v>
      </c>
      <c r="D504" s="203" t="s">
        <v>97</v>
      </c>
      <c r="E504" s="202" t="s">
        <v>2357</v>
      </c>
      <c r="F504" s="203">
        <v>15</v>
      </c>
      <c r="G504" s="202"/>
      <c r="H504" s="202"/>
      <c r="I504" s="202"/>
      <c r="J504" s="202">
        <v>0</v>
      </c>
      <c r="K504" s="202" t="s">
        <v>2041</v>
      </c>
      <c r="L504" s="202"/>
      <c r="M504" s="202" t="s">
        <v>1421</v>
      </c>
      <c r="N504" s="206">
        <v>42275</v>
      </c>
      <c r="O504" s="206">
        <v>42275</v>
      </c>
      <c r="P504" s="202" t="s">
        <v>2333</v>
      </c>
      <c r="Q504" s="203">
        <v>1200</v>
      </c>
      <c r="R504" s="203">
        <v>14050</v>
      </c>
      <c r="S504" s="204">
        <v>7670.4</v>
      </c>
      <c r="T504" s="203">
        <v>14056</v>
      </c>
      <c r="U504" s="204">
        <v>3995</v>
      </c>
      <c r="V504" s="204">
        <f t="shared" si="18"/>
        <v>3675.3999999999996</v>
      </c>
      <c r="W504" s="205">
        <v>639.20000000000005</v>
      </c>
      <c r="X504" s="203">
        <v>54260</v>
      </c>
      <c r="Y504" s="204">
        <v>53.27</v>
      </c>
      <c r="Z504" s="202" t="s">
        <v>97</v>
      </c>
      <c r="AA504" s="202"/>
      <c r="AB504" s="202">
        <v>113117</v>
      </c>
      <c r="AC504" s="202"/>
      <c r="AD504" s="202" t="s">
        <v>1152</v>
      </c>
      <c r="AE504" s="202" t="s">
        <v>1153</v>
      </c>
      <c r="AF504" s="203" t="s">
        <v>1154</v>
      </c>
      <c r="AG504" s="202"/>
      <c r="AH504" s="203" t="s">
        <v>1155</v>
      </c>
      <c r="AI504" s="202">
        <v>0</v>
      </c>
      <c r="AJ504" s="202">
        <v>0</v>
      </c>
    </row>
    <row r="505" spans="2:36">
      <c r="B505" s="203">
        <v>2180</v>
      </c>
      <c r="C505" s="207">
        <v>126211</v>
      </c>
      <c r="D505" s="203" t="s">
        <v>97</v>
      </c>
      <c r="E505" s="202" t="s">
        <v>2356</v>
      </c>
      <c r="F505" s="203">
        <v>10</v>
      </c>
      <c r="G505" s="202"/>
      <c r="H505" s="202"/>
      <c r="I505" s="202"/>
      <c r="J505" s="202">
        <v>0</v>
      </c>
      <c r="K505" s="202" t="s">
        <v>2041</v>
      </c>
      <c r="L505" s="202"/>
      <c r="M505" s="202" t="s">
        <v>1417</v>
      </c>
      <c r="N505" s="206">
        <v>42275</v>
      </c>
      <c r="O505" s="206">
        <v>42275</v>
      </c>
      <c r="P505" s="202" t="s">
        <v>2345</v>
      </c>
      <c r="Q505" s="203">
        <v>1200</v>
      </c>
      <c r="R505" s="203">
        <v>14050</v>
      </c>
      <c r="S505" s="204">
        <v>61900</v>
      </c>
      <c r="T505" s="203">
        <v>14056</v>
      </c>
      <c r="U505" s="204">
        <v>32239.439999999999</v>
      </c>
      <c r="V505" s="204">
        <f t="shared" si="18"/>
        <v>29660.560000000001</v>
      </c>
      <c r="W505" s="205">
        <v>5158.3100000000004</v>
      </c>
      <c r="X505" s="203">
        <v>54260</v>
      </c>
      <c r="Y505" s="204">
        <v>429.86</v>
      </c>
      <c r="Z505" s="202" t="s">
        <v>97</v>
      </c>
      <c r="AA505" s="202"/>
      <c r="AB505" s="202">
        <v>113116</v>
      </c>
      <c r="AC505" s="202"/>
      <c r="AD505" s="202" t="s">
        <v>1152</v>
      </c>
      <c r="AE505" s="202" t="s">
        <v>1153</v>
      </c>
      <c r="AF505" s="203" t="s">
        <v>1154</v>
      </c>
      <c r="AG505" s="202"/>
      <c r="AH505" s="203" t="s">
        <v>1155</v>
      </c>
      <c r="AI505" s="202">
        <v>0</v>
      </c>
      <c r="AJ505" s="202">
        <v>0</v>
      </c>
    </row>
    <row r="506" spans="2:36">
      <c r="B506" s="203">
        <v>2180</v>
      </c>
      <c r="C506" s="207">
        <v>126210</v>
      </c>
      <c r="D506" s="203" t="s">
        <v>97</v>
      </c>
      <c r="E506" s="202" t="s">
        <v>2355</v>
      </c>
      <c r="F506" s="203">
        <v>42</v>
      </c>
      <c r="G506" s="202"/>
      <c r="H506" s="202"/>
      <c r="I506" s="202"/>
      <c r="J506" s="202">
        <v>0</v>
      </c>
      <c r="K506" s="202" t="s">
        <v>1658</v>
      </c>
      <c r="L506" s="202"/>
      <c r="M506" s="202" t="s">
        <v>1555</v>
      </c>
      <c r="N506" s="206">
        <v>42263</v>
      </c>
      <c r="O506" s="206">
        <v>42263</v>
      </c>
      <c r="P506" s="202" t="s">
        <v>2352</v>
      </c>
      <c r="Q506" s="203">
        <v>700</v>
      </c>
      <c r="R506" s="203">
        <v>14050</v>
      </c>
      <c r="S506" s="204">
        <v>24186.240000000002</v>
      </c>
      <c r="T506" s="203">
        <v>14056</v>
      </c>
      <c r="U506" s="204">
        <v>21594.880000000001</v>
      </c>
      <c r="V506" s="204">
        <f t="shared" si="18"/>
        <v>2591.3600000000006</v>
      </c>
      <c r="W506" s="205">
        <v>3455.18</v>
      </c>
      <c r="X506" s="203">
        <v>54260</v>
      </c>
      <c r="Y506" s="204">
        <v>287.93</v>
      </c>
      <c r="Z506" s="202" t="s">
        <v>97</v>
      </c>
      <c r="AA506" s="202"/>
      <c r="AB506" s="202" t="s">
        <v>2354</v>
      </c>
      <c r="AC506" s="202"/>
      <c r="AD506" s="202" t="s">
        <v>1152</v>
      </c>
      <c r="AE506" s="202" t="s">
        <v>1153</v>
      </c>
      <c r="AF506" s="203" t="s">
        <v>1154</v>
      </c>
      <c r="AG506" s="202"/>
      <c r="AH506" s="203" t="s">
        <v>1155</v>
      </c>
      <c r="AI506" s="202">
        <v>0</v>
      </c>
      <c r="AJ506" s="202">
        <v>0</v>
      </c>
    </row>
    <row r="507" spans="2:36">
      <c r="B507" s="203">
        <v>2180</v>
      </c>
      <c r="C507" s="207">
        <v>126209</v>
      </c>
      <c r="D507" s="203" t="s">
        <v>97</v>
      </c>
      <c r="E507" s="202" t="s">
        <v>2353</v>
      </c>
      <c r="F507" s="203">
        <v>36</v>
      </c>
      <c r="G507" s="202"/>
      <c r="H507" s="202"/>
      <c r="I507" s="202"/>
      <c r="J507" s="202">
        <v>0</v>
      </c>
      <c r="K507" s="202" t="s">
        <v>1658</v>
      </c>
      <c r="L507" s="202"/>
      <c r="M507" s="202" t="s">
        <v>1558</v>
      </c>
      <c r="N507" s="206">
        <v>42263</v>
      </c>
      <c r="O507" s="206">
        <v>42263</v>
      </c>
      <c r="P507" s="202" t="s">
        <v>2352</v>
      </c>
      <c r="Q507" s="203">
        <v>700</v>
      </c>
      <c r="R507" s="203">
        <v>14050</v>
      </c>
      <c r="S507" s="204">
        <v>24545.279999999999</v>
      </c>
      <c r="T507" s="203">
        <v>14056</v>
      </c>
      <c r="U507" s="204">
        <v>21915.439999999999</v>
      </c>
      <c r="V507" s="204">
        <f t="shared" si="18"/>
        <v>2629.84</v>
      </c>
      <c r="W507" s="205">
        <v>3506.47</v>
      </c>
      <c r="X507" s="203">
        <v>54260</v>
      </c>
      <c r="Y507" s="204">
        <v>292.20999999999998</v>
      </c>
      <c r="Z507" s="202" t="s">
        <v>97</v>
      </c>
      <c r="AA507" s="202"/>
      <c r="AB507" s="202" t="s">
        <v>2351</v>
      </c>
      <c r="AC507" s="202"/>
      <c r="AD507" s="202" t="s">
        <v>1152</v>
      </c>
      <c r="AE507" s="202" t="s">
        <v>1153</v>
      </c>
      <c r="AF507" s="203" t="s">
        <v>1154</v>
      </c>
      <c r="AG507" s="202"/>
      <c r="AH507" s="203" t="s">
        <v>1155</v>
      </c>
      <c r="AI507" s="202">
        <v>0</v>
      </c>
      <c r="AJ507" s="202">
        <v>0</v>
      </c>
    </row>
    <row r="508" spans="2:36">
      <c r="B508" s="203">
        <v>2180</v>
      </c>
      <c r="C508" s="207">
        <v>125751</v>
      </c>
      <c r="D508" s="203">
        <v>125550</v>
      </c>
      <c r="E508" s="202" t="s">
        <v>2350</v>
      </c>
      <c r="F508" s="203"/>
      <c r="G508" s="202"/>
      <c r="H508" s="202"/>
      <c r="I508" s="202"/>
      <c r="J508" s="202">
        <v>2015</v>
      </c>
      <c r="K508" s="202" t="s">
        <v>2138</v>
      </c>
      <c r="L508" s="202"/>
      <c r="M508" s="202" t="s">
        <v>1158</v>
      </c>
      <c r="N508" s="206">
        <v>42249</v>
      </c>
      <c r="O508" s="206">
        <v>42249</v>
      </c>
      <c r="P508" s="202" t="s">
        <v>2348</v>
      </c>
      <c r="Q508" s="203">
        <v>1000</v>
      </c>
      <c r="R508" s="203">
        <v>14040</v>
      </c>
      <c r="S508" s="204">
        <v>3252.04</v>
      </c>
      <c r="T508" s="203">
        <v>14046</v>
      </c>
      <c r="U508" s="204">
        <v>2059.6</v>
      </c>
      <c r="V508" s="204">
        <f t="shared" si="18"/>
        <v>1192.44</v>
      </c>
      <c r="W508" s="205">
        <v>325.2</v>
      </c>
      <c r="X508" s="203">
        <v>51260</v>
      </c>
      <c r="Y508" s="204">
        <v>27.1</v>
      </c>
      <c r="Z508" s="202" t="s">
        <v>97</v>
      </c>
      <c r="AA508" s="202"/>
      <c r="AB508" s="202">
        <v>96790</v>
      </c>
      <c r="AC508" s="202"/>
      <c r="AD508" s="202" t="s">
        <v>1152</v>
      </c>
      <c r="AE508" s="202" t="s">
        <v>1153</v>
      </c>
      <c r="AF508" s="203" t="s">
        <v>1154</v>
      </c>
      <c r="AG508" s="202"/>
      <c r="AH508" s="203" t="s">
        <v>1155</v>
      </c>
      <c r="AI508" s="202">
        <v>0</v>
      </c>
      <c r="AJ508" s="202">
        <v>0</v>
      </c>
    </row>
    <row r="509" spans="2:36">
      <c r="B509" s="203">
        <v>2180</v>
      </c>
      <c r="C509" s="207">
        <v>125550</v>
      </c>
      <c r="D509" s="203" t="s">
        <v>97</v>
      </c>
      <c r="E509" s="202" t="s">
        <v>2292</v>
      </c>
      <c r="F509" s="203"/>
      <c r="G509" s="202"/>
      <c r="H509" s="202" t="s">
        <v>2349</v>
      </c>
      <c r="I509" s="202"/>
      <c r="J509" s="202">
        <v>2016</v>
      </c>
      <c r="K509" s="202" t="s">
        <v>2290</v>
      </c>
      <c r="L509" s="202" t="s">
        <v>1406</v>
      </c>
      <c r="M509" s="202" t="s">
        <v>1404</v>
      </c>
      <c r="N509" s="206">
        <v>42277</v>
      </c>
      <c r="O509" s="206">
        <v>42277</v>
      </c>
      <c r="P509" s="202" t="s">
        <v>2348</v>
      </c>
      <c r="Q509" s="203">
        <v>1000</v>
      </c>
      <c r="R509" s="203">
        <v>14040</v>
      </c>
      <c r="S509" s="204">
        <v>341500.78</v>
      </c>
      <c r="T509" s="203">
        <v>14046</v>
      </c>
      <c r="U509" s="204">
        <v>213438</v>
      </c>
      <c r="V509" s="204">
        <f t="shared" si="18"/>
        <v>128062.78000000003</v>
      </c>
      <c r="W509" s="205">
        <v>34150.080000000002</v>
      </c>
      <c r="X509" s="203">
        <v>51260</v>
      </c>
      <c r="Y509" s="204">
        <v>2845.84</v>
      </c>
      <c r="Z509" s="202" t="s">
        <v>97</v>
      </c>
      <c r="AA509" s="202"/>
      <c r="AB509" s="202" t="s">
        <v>2347</v>
      </c>
      <c r="AC509" s="202">
        <v>3644</v>
      </c>
      <c r="AD509" s="202" t="s">
        <v>1152</v>
      </c>
      <c r="AE509" s="202" t="s">
        <v>1153</v>
      </c>
      <c r="AF509" s="203" t="s">
        <v>1154</v>
      </c>
      <c r="AG509" s="202"/>
      <c r="AH509" s="203" t="s">
        <v>1155</v>
      </c>
      <c r="AI509" s="202">
        <v>0</v>
      </c>
      <c r="AJ509" s="202">
        <v>0</v>
      </c>
    </row>
    <row r="510" spans="2:36">
      <c r="B510" s="203">
        <v>2180</v>
      </c>
      <c r="C510" s="207">
        <v>125537</v>
      </c>
      <c r="D510" s="203" t="s">
        <v>97</v>
      </c>
      <c r="E510" s="202" t="s">
        <v>2346</v>
      </c>
      <c r="F510" s="203">
        <v>10</v>
      </c>
      <c r="G510" s="202"/>
      <c r="H510" s="202"/>
      <c r="I510" s="202"/>
      <c r="J510" s="202">
        <v>0</v>
      </c>
      <c r="K510" s="202" t="s">
        <v>2041</v>
      </c>
      <c r="L510" s="202"/>
      <c r="M510" s="202" t="s">
        <v>1454</v>
      </c>
      <c r="N510" s="206">
        <v>42262</v>
      </c>
      <c r="O510" s="206">
        <v>42262</v>
      </c>
      <c r="P510" s="202" t="s">
        <v>2345</v>
      </c>
      <c r="Q510" s="203">
        <v>1200</v>
      </c>
      <c r="R510" s="203">
        <v>14050</v>
      </c>
      <c r="S510" s="204">
        <v>55700</v>
      </c>
      <c r="T510" s="203">
        <v>14056</v>
      </c>
      <c r="U510" s="204">
        <v>29397.24</v>
      </c>
      <c r="V510" s="204">
        <f t="shared" si="18"/>
        <v>26302.76</v>
      </c>
      <c r="W510" s="205">
        <v>4641.67</v>
      </c>
      <c r="X510" s="203">
        <v>54260</v>
      </c>
      <c r="Y510" s="204">
        <v>386.81</v>
      </c>
      <c r="Z510" s="202" t="s">
        <v>97</v>
      </c>
      <c r="AA510" s="202"/>
      <c r="AB510" s="202">
        <v>112699</v>
      </c>
      <c r="AC510" s="202"/>
      <c r="AD510" s="202" t="s">
        <v>1152</v>
      </c>
      <c r="AE510" s="202" t="s">
        <v>1153</v>
      </c>
      <c r="AF510" s="203" t="s">
        <v>1154</v>
      </c>
      <c r="AG510" s="202"/>
      <c r="AH510" s="203" t="s">
        <v>1155</v>
      </c>
      <c r="AI510" s="202">
        <v>0</v>
      </c>
      <c r="AJ510" s="202">
        <v>0</v>
      </c>
    </row>
    <row r="511" spans="2:36">
      <c r="B511" s="203">
        <v>2180</v>
      </c>
      <c r="C511" s="207">
        <v>125536</v>
      </c>
      <c r="D511" s="203" t="s">
        <v>97</v>
      </c>
      <c r="E511" s="202" t="s">
        <v>2344</v>
      </c>
      <c r="F511" s="203">
        <v>10</v>
      </c>
      <c r="G511" s="202"/>
      <c r="H511" s="202"/>
      <c r="I511" s="202"/>
      <c r="J511" s="202">
        <v>0</v>
      </c>
      <c r="K511" s="202" t="s">
        <v>2041</v>
      </c>
      <c r="L511" s="202"/>
      <c r="M511" s="202" t="s">
        <v>1462</v>
      </c>
      <c r="N511" s="206">
        <v>42262</v>
      </c>
      <c r="O511" s="206">
        <v>42262</v>
      </c>
      <c r="P511" s="202" t="s">
        <v>2333</v>
      </c>
      <c r="Q511" s="203">
        <v>1200</v>
      </c>
      <c r="R511" s="203">
        <v>14050</v>
      </c>
      <c r="S511" s="204">
        <v>4732.8</v>
      </c>
      <c r="T511" s="203">
        <v>14056</v>
      </c>
      <c r="U511" s="204">
        <v>2497.87</v>
      </c>
      <c r="V511" s="204">
        <f t="shared" si="18"/>
        <v>2234.9300000000003</v>
      </c>
      <c r="W511" s="205">
        <v>394.4</v>
      </c>
      <c r="X511" s="203">
        <v>54260</v>
      </c>
      <c r="Y511" s="204">
        <v>32.869999999999997</v>
      </c>
      <c r="Z511" s="202" t="s">
        <v>97</v>
      </c>
      <c r="AA511" s="202"/>
      <c r="AB511" s="202">
        <v>112700</v>
      </c>
      <c r="AC511" s="202"/>
      <c r="AD511" s="202" t="s">
        <v>1152</v>
      </c>
      <c r="AE511" s="202" t="s">
        <v>1153</v>
      </c>
      <c r="AF511" s="203" t="s">
        <v>1154</v>
      </c>
      <c r="AG511" s="202"/>
      <c r="AH511" s="203" t="s">
        <v>1155</v>
      </c>
      <c r="AI511" s="202">
        <v>0</v>
      </c>
      <c r="AJ511" s="202">
        <v>0</v>
      </c>
    </row>
    <row r="512" spans="2:36">
      <c r="B512" s="203">
        <v>2180</v>
      </c>
      <c r="C512" s="207">
        <v>125423</v>
      </c>
      <c r="D512" s="203" t="s">
        <v>97</v>
      </c>
      <c r="E512" s="202" t="s">
        <v>2343</v>
      </c>
      <c r="F512" s="203">
        <v>624</v>
      </c>
      <c r="G512" s="202"/>
      <c r="H512" s="202"/>
      <c r="I512" s="202"/>
      <c r="J512" s="202">
        <v>0</v>
      </c>
      <c r="K512" s="202" t="s">
        <v>2318</v>
      </c>
      <c r="L512" s="202"/>
      <c r="M512" s="202"/>
      <c r="N512" s="206">
        <v>42237</v>
      </c>
      <c r="O512" s="206">
        <v>42237</v>
      </c>
      <c r="P512" s="202" t="s">
        <v>2285</v>
      </c>
      <c r="Q512" s="203">
        <v>700</v>
      </c>
      <c r="R512" s="203">
        <v>14050</v>
      </c>
      <c r="S512" s="204">
        <v>30890.5</v>
      </c>
      <c r="T512" s="203">
        <v>14056</v>
      </c>
      <c r="U512" s="204">
        <v>27948.560000000001</v>
      </c>
      <c r="V512" s="204">
        <f t="shared" si="18"/>
        <v>2941.9399999999987</v>
      </c>
      <c r="W512" s="205">
        <v>4412.93</v>
      </c>
      <c r="X512" s="203">
        <v>54260</v>
      </c>
      <c r="Y512" s="204">
        <v>367.74</v>
      </c>
      <c r="Z512" s="202" t="s">
        <v>97</v>
      </c>
      <c r="AA512" s="202"/>
      <c r="AB512" s="202">
        <v>65379585</v>
      </c>
      <c r="AC512" s="202"/>
      <c r="AD512" s="202" t="s">
        <v>1152</v>
      </c>
      <c r="AE512" s="202" t="s">
        <v>1153</v>
      </c>
      <c r="AF512" s="203" t="s">
        <v>1154</v>
      </c>
      <c r="AG512" s="202"/>
      <c r="AH512" s="203" t="s">
        <v>1155</v>
      </c>
      <c r="AI512" s="202">
        <v>0</v>
      </c>
      <c r="AJ512" s="202">
        <v>0</v>
      </c>
    </row>
    <row r="513" spans="2:36">
      <c r="B513" s="203">
        <v>2180</v>
      </c>
      <c r="C513" s="207">
        <v>125040</v>
      </c>
      <c r="D513" s="203" t="s">
        <v>97</v>
      </c>
      <c r="E513" s="202" t="s">
        <v>2342</v>
      </c>
      <c r="F513" s="203"/>
      <c r="G513" s="202"/>
      <c r="H513" s="202">
        <v>56213147</v>
      </c>
      <c r="I513" s="202"/>
      <c r="J513" s="202">
        <v>2004</v>
      </c>
      <c r="K513" s="202" t="s">
        <v>2341</v>
      </c>
      <c r="L513" s="202" t="s">
        <v>2340</v>
      </c>
      <c r="M513" s="202" t="s">
        <v>2339</v>
      </c>
      <c r="N513" s="206">
        <v>42208</v>
      </c>
      <c r="O513" s="206">
        <v>42208</v>
      </c>
      <c r="P513" s="202" t="s">
        <v>2338</v>
      </c>
      <c r="Q513" s="203">
        <v>300</v>
      </c>
      <c r="R513" s="203">
        <v>14030</v>
      </c>
      <c r="S513" s="204">
        <v>25833</v>
      </c>
      <c r="T513" s="203">
        <v>14036</v>
      </c>
      <c r="U513" s="204">
        <v>25833</v>
      </c>
      <c r="V513" s="204">
        <f t="shared" si="18"/>
        <v>0</v>
      </c>
      <c r="W513" s="205">
        <v>0</v>
      </c>
      <c r="X513" s="203">
        <v>51260</v>
      </c>
      <c r="Y513" s="204">
        <v>0</v>
      </c>
      <c r="Z513" s="202" t="s">
        <v>97</v>
      </c>
      <c r="AA513" s="202"/>
      <c r="AB513" s="202">
        <v>56213147</v>
      </c>
      <c r="AC513" s="202">
        <v>7366</v>
      </c>
      <c r="AD513" s="202" t="s">
        <v>1152</v>
      </c>
      <c r="AE513" s="202" t="s">
        <v>1153</v>
      </c>
      <c r="AF513" s="203" t="s">
        <v>1154</v>
      </c>
      <c r="AG513" s="202"/>
      <c r="AH513" s="203" t="s">
        <v>1155</v>
      </c>
      <c r="AI513" s="202">
        <v>0</v>
      </c>
      <c r="AJ513" s="202">
        <v>0</v>
      </c>
    </row>
    <row r="514" spans="2:36">
      <c r="B514" s="203">
        <v>2180</v>
      </c>
      <c r="C514" s="207">
        <v>124722</v>
      </c>
      <c r="D514" s="203" t="s">
        <v>97</v>
      </c>
      <c r="E514" s="202" t="s">
        <v>2337</v>
      </c>
      <c r="F514" s="203">
        <v>624</v>
      </c>
      <c r="G514" s="202"/>
      <c r="H514" s="202"/>
      <c r="I514" s="202"/>
      <c r="J514" s="202">
        <v>0</v>
      </c>
      <c r="K514" s="202" t="s">
        <v>2318</v>
      </c>
      <c r="L514" s="202"/>
      <c r="M514" s="202"/>
      <c r="N514" s="206">
        <v>42227</v>
      </c>
      <c r="O514" s="206">
        <v>42227</v>
      </c>
      <c r="P514" s="202" t="s">
        <v>2285</v>
      </c>
      <c r="Q514" s="203">
        <v>700</v>
      </c>
      <c r="R514" s="203">
        <v>14050</v>
      </c>
      <c r="S514" s="204">
        <v>34841.589999999997</v>
      </c>
      <c r="T514" s="203">
        <v>14056</v>
      </c>
      <c r="U514" s="204">
        <v>31938.07</v>
      </c>
      <c r="V514" s="204">
        <f t="shared" si="18"/>
        <v>2903.5199999999968</v>
      </c>
      <c r="W514" s="205">
        <v>4977.3599999999997</v>
      </c>
      <c r="X514" s="203">
        <v>54260</v>
      </c>
      <c r="Y514" s="204">
        <v>414.78</v>
      </c>
      <c r="Z514" s="202" t="s">
        <v>97</v>
      </c>
      <c r="AA514" s="202"/>
      <c r="AB514" s="202">
        <v>65378523</v>
      </c>
      <c r="AC514" s="202"/>
      <c r="AD514" s="202" t="s">
        <v>1152</v>
      </c>
      <c r="AE514" s="202" t="s">
        <v>1153</v>
      </c>
      <c r="AF514" s="203" t="s">
        <v>1154</v>
      </c>
      <c r="AG514" s="202"/>
      <c r="AH514" s="203" t="s">
        <v>1155</v>
      </c>
      <c r="AI514" s="202">
        <v>0</v>
      </c>
      <c r="AJ514" s="202">
        <v>0</v>
      </c>
    </row>
    <row r="515" spans="2:36">
      <c r="B515" s="203">
        <v>2180</v>
      </c>
      <c r="C515" s="207">
        <v>124608</v>
      </c>
      <c r="D515" s="203" t="s">
        <v>97</v>
      </c>
      <c r="E515" s="202" t="s">
        <v>2336</v>
      </c>
      <c r="F515" s="203">
        <v>8</v>
      </c>
      <c r="G515" s="202"/>
      <c r="H515" s="202"/>
      <c r="I515" s="202"/>
      <c r="J515" s="202">
        <v>0</v>
      </c>
      <c r="K515" s="202" t="s">
        <v>2041</v>
      </c>
      <c r="L515" s="202"/>
      <c r="M515" s="202" t="s">
        <v>1462</v>
      </c>
      <c r="N515" s="206">
        <v>42216</v>
      </c>
      <c r="O515" s="206">
        <v>42216</v>
      </c>
      <c r="P515" s="202" t="s">
        <v>2333</v>
      </c>
      <c r="Q515" s="203">
        <v>1200</v>
      </c>
      <c r="R515" s="203">
        <v>14050</v>
      </c>
      <c r="S515" s="204">
        <v>5624.96</v>
      </c>
      <c r="T515" s="203">
        <v>14056</v>
      </c>
      <c r="U515" s="204">
        <v>3007.74</v>
      </c>
      <c r="V515" s="204">
        <f t="shared" si="18"/>
        <v>2617.2200000000003</v>
      </c>
      <c r="W515" s="205">
        <v>468.74</v>
      </c>
      <c r="X515" s="203">
        <v>54260</v>
      </c>
      <c r="Y515" s="204">
        <v>39.06</v>
      </c>
      <c r="Z515" s="202" t="s">
        <v>97</v>
      </c>
      <c r="AA515" s="202"/>
      <c r="AB515" s="202">
        <v>110676</v>
      </c>
      <c r="AC515" s="202"/>
      <c r="AD515" s="202" t="s">
        <v>1152</v>
      </c>
      <c r="AE515" s="202" t="s">
        <v>1153</v>
      </c>
      <c r="AF515" s="203" t="s">
        <v>1154</v>
      </c>
      <c r="AG515" s="202"/>
      <c r="AH515" s="203" t="s">
        <v>1155</v>
      </c>
      <c r="AI515" s="202">
        <v>0</v>
      </c>
      <c r="AJ515" s="202">
        <v>0</v>
      </c>
    </row>
    <row r="516" spans="2:36">
      <c r="B516" s="203">
        <v>2180</v>
      </c>
      <c r="C516" s="207">
        <v>124560</v>
      </c>
      <c r="D516" s="203" t="s">
        <v>97</v>
      </c>
      <c r="E516" s="202" t="s">
        <v>2335</v>
      </c>
      <c r="F516" s="203">
        <v>1</v>
      </c>
      <c r="G516" s="202"/>
      <c r="H516" s="202"/>
      <c r="I516" s="202"/>
      <c r="J516" s="202">
        <v>0</v>
      </c>
      <c r="K516" s="202" t="s">
        <v>2041</v>
      </c>
      <c r="L516" s="202"/>
      <c r="M516" s="202" t="s">
        <v>1421</v>
      </c>
      <c r="N516" s="206">
        <v>42209</v>
      </c>
      <c r="O516" s="206">
        <v>42209</v>
      </c>
      <c r="P516" s="202" t="s">
        <v>2333</v>
      </c>
      <c r="Q516" s="203">
        <v>1200</v>
      </c>
      <c r="R516" s="203">
        <v>14050</v>
      </c>
      <c r="S516" s="204">
        <v>571.20000000000005</v>
      </c>
      <c r="T516" s="203">
        <v>14056</v>
      </c>
      <c r="U516" s="204">
        <v>305.43</v>
      </c>
      <c r="V516" s="204">
        <f t="shared" si="18"/>
        <v>265.77000000000004</v>
      </c>
      <c r="W516" s="205">
        <v>47.6</v>
      </c>
      <c r="X516" s="203">
        <v>54260</v>
      </c>
      <c r="Y516" s="204">
        <v>3.97</v>
      </c>
      <c r="Z516" s="202" t="s">
        <v>97</v>
      </c>
      <c r="AA516" s="202"/>
      <c r="AB516" s="202">
        <v>110874</v>
      </c>
      <c r="AC516" s="202"/>
      <c r="AD516" s="202" t="s">
        <v>1152</v>
      </c>
      <c r="AE516" s="202" t="s">
        <v>1153</v>
      </c>
      <c r="AF516" s="203" t="s">
        <v>1154</v>
      </c>
      <c r="AG516" s="202"/>
      <c r="AH516" s="203" t="s">
        <v>1155</v>
      </c>
      <c r="AI516" s="202">
        <v>0</v>
      </c>
      <c r="AJ516" s="202">
        <v>0</v>
      </c>
    </row>
    <row r="517" spans="2:36">
      <c r="B517" s="203">
        <v>2180</v>
      </c>
      <c r="C517" s="207">
        <v>124559</v>
      </c>
      <c r="D517" s="203" t="s">
        <v>97</v>
      </c>
      <c r="E517" s="202" t="s">
        <v>2334</v>
      </c>
      <c r="F517" s="203">
        <v>10</v>
      </c>
      <c r="G517" s="202"/>
      <c r="H517" s="202"/>
      <c r="I517" s="202"/>
      <c r="J517" s="202">
        <v>0</v>
      </c>
      <c r="K517" s="202" t="s">
        <v>2041</v>
      </c>
      <c r="L517" s="202"/>
      <c r="M517" s="202" t="s">
        <v>1456</v>
      </c>
      <c r="N517" s="206">
        <v>42209</v>
      </c>
      <c r="O517" s="206">
        <v>42209</v>
      </c>
      <c r="P517" s="202" t="s">
        <v>2333</v>
      </c>
      <c r="Q517" s="203">
        <v>1200</v>
      </c>
      <c r="R517" s="203">
        <v>14050</v>
      </c>
      <c r="S517" s="204">
        <v>8997.76</v>
      </c>
      <c r="T517" s="203">
        <v>14056</v>
      </c>
      <c r="U517" s="204">
        <v>4811.28</v>
      </c>
      <c r="V517" s="204">
        <f t="shared" si="18"/>
        <v>4186.4800000000005</v>
      </c>
      <c r="W517" s="205">
        <v>749.81</v>
      </c>
      <c r="X517" s="203">
        <v>54260</v>
      </c>
      <c r="Y517" s="204">
        <v>62.48</v>
      </c>
      <c r="Z517" s="202" t="s">
        <v>97</v>
      </c>
      <c r="AA517" s="202"/>
      <c r="AB517" s="202">
        <v>110677</v>
      </c>
      <c r="AC517" s="202"/>
      <c r="AD517" s="202" t="s">
        <v>1152</v>
      </c>
      <c r="AE517" s="202" t="s">
        <v>1153</v>
      </c>
      <c r="AF517" s="203" t="s">
        <v>1154</v>
      </c>
      <c r="AG517" s="202"/>
      <c r="AH517" s="203" t="s">
        <v>1155</v>
      </c>
      <c r="AI517" s="202">
        <v>0</v>
      </c>
      <c r="AJ517" s="202">
        <v>0</v>
      </c>
    </row>
    <row r="518" spans="2:36">
      <c r="B518" s="203">
        <v>2180</v>
      </c>
      <c r="C518" s="207">
        <v>124285</v>
      </c>
      <c r="D518" s="203" t="s">
        <v>97</v>
      </c>
      <c r="E518" s="202" t="s">
        <v>2332</v>
      </c>
      <c r="F518" s="203"/>
      <c r="G518" s="202"/>
      <c r="H518" s="202"/>
      <c r="I518" s="202"/>
      <c r="J518" s="202">
        <v>0</v>
      </c>
      <c r="K518" s="202" t="s">
        <v>1429</v>
      </c>
      <c r="L518" s="202"/>
      <c r="M518" s="202"/>
      <c r="N518" s="206">
        <v>42201</v>
      </c>
      <c r="O518" s="206">
        <v>42201</v>
      </c>
      <c r="P518" s="202" t="s">
        <v>2331</v>
      </c>
      <c r="Q518" s="203">
        <v>300</v>
      </c>
      <c r="R518" s="203">
        <v>14110</v>
      </c>
      <c r="S518" s="204">
        <v>1034.5999999999999</v>
      </c>
      <c r="T518" s="203">
        <v>14116</v>
      </c>
      <c r="U518" s="204">
        <v>1034.5999999999999</v>
      </c>
      <c r="V518" s="204">
        <f t="shared" si="18"/>
        <v>0</v>
      </c>
      <c r="W518" s="205">
        <v>0</v>
      </c>
      <c r="X518" s="203">
        <v>70260</v>
      </c>
      <c r="Y518" s="204">
        <v>0</v>
      </c>
      <c r="Z518" s="202" t="s">
        <v>97</v>
      </c>
      <c r="AA518" s="202"/>
      <c r="AB518" s="202" t="s">
        <v>2330</v>
      </c>
      <c r="AC518" s="202"/>
      <c r="AD518" s="202" t="s">
        <v>1152</v>
      </c>
      <c r="AE518" s="202" t="s">
        <v>1153</v>
      </c>
      <c r="AF518" s="203" t="s">
        <v>1154</v>
      </c>
      <c r="AG518" s="202"/>
      <c r="AH518" s="203" t="s">
        <v>1155</v>
      </c>
      <c r="AI518" s="202">
        <v>0</v>
      </c>
      <c r="AJ518" s="202">
        <v>0</v>
      </c>
    </row>
    <row r="519" spans="2:36">
      <c r="B519" s="203">
        <v>2180</v>
      </c>
      <c r="C519" s="207">
        <v>124224</v>
      </c>
      <c r="D519" s="203">
        <v>122561</v>
      </c>
      <c r="E519" s="202" t="s">
        <v>2329</v>
      </c>
      <c r="F519" s="203"/>
      <c r="G519" s="202"/>
      <c r="H519" s="202"/>
      <c r="I519" s="202"/>
      <c r="J519" s="202">
        <v>0</v>
      </c>
      <c r="K519" s="202" t="s">
        <v>2138</v>
      </c>
      <c r="L519" s="202"/>
      <c r="M519" s="202" t="s">
        <v>1158</v>
      </c>
      <c r="N519" s="206">
        <v>42154</v>
      </c>
      <c r="O519" s="206">
        <v>42154</v>
      </c>
      <c r="P519" s="202" t="s">
        <v>2289</v>
      </c>
      <c r="Q519" s="203">
        <v>1000</v>
      </c>
      <c r="R519" s="203">
        <v>14040</v>
      </c>
      <c r="S519" s="204">
        <v>5973.14</v>
      </c>
      <c r="T519" s="203">
        <v>14046</v>
      </c>
      <c r="U519" s="204">
        <v>3932.29</v>
      </c>
      <c r="V519" s="204">
        <f t="shared" si="18"/>
        <v>2040.8500000000004</v>
      </c>
      <c r="W519" s="205">
        <v>597.30999999999995</v>
      </c>
      <c r="X519" s="203">
        <v>51260</v>
      </c>
      <c r="Y519" s="204">
        <v>49.78</v>
      </c>
      <c r="Z519" s="202" t="s">
        <v>97</v>
      </c>
      <c r="AA519" s="202"/>
      <c r="AB519" s="202">
        <v>96544</v>
      </c>
      <c r="AC519" s="202"/>
      <c r="AD519" s="202" t="s">
        <v>1152</v>
      </c>
      <c r="AE519" s="202" t="s">
        <v>1153</v>
      </c>
      <c r="AF519" s="203" t="s">
        <v>1154</v>
      </c>
      <c r="AG519" s="202"/>
      <c r="AH519" s="203" t="s">
        <v>1155</v>
      </c>
      <c r="AI519" s="202">
        <v>0</v>
      </c>
      <c r="AJ519" s="202">
        <v>0</v>
      </c>
    </row>
    <row r="520" spans="2:36">
      <c r="B520" s="203">
        <v>2180</v>
      </c>
      <c r="C520" s="207">
        <v>123931</v>
      </c>
      <c r="D520" s="203" t="s">
        <v>97</v>
      </c>
      <c r="E520" s="202" t="s">
        <v>2316</v>
      </c>
      <c r="F520" s="203">
        <v>864</v>
      </c>
      <c r="G520" s="202"/>
      <c r="H520" s="202"/>
      <c r="I520" s="202"/>
      <c r="J520" s="202">
        <v>0</v>
      </c>
      <c r="K520" s="202" t="s">
        <v>2318</v>
      </c>
      <c r="L520" s="202"/>
      <c r="M520" s="202"/>
      <c r="N520" s="206">
        <v>42195</v>
      </c>
      <c r="O520" s="206">
        <v>42195</v>
      </c>
      <c r="P520" s="202" t="s">
        <v>2314</v>
      </c>
      <c r="Q520" s="203">
        <v>700</v>
      </c>
      <c r="R520" s="203">
        <v>14050</v>
      </c>
      <c r="S520" s="204">
        <v>37601.279999999999</v>
      </c>
      <c r="T520" s="203">
        <v>14056</v>
      </c>
      <c r="U520" s="204">
        <v>34915.47</v>
      </c>
      <c r="V520" s="204">
        <f t="shared" si="18"/>
        <v>2685.8099999999977</v>
      </c>
      <c r="W520" s="205">
        <v>5371.61</v>
      </c>
      <c r="X520" s="203">
        <v>54260</v>
      </c>
      <c r="Y520" s="204">
        <v>447.63</v>
      </c>
      <c r="Z520" s="202" t="s">
        <v>97</v>
      </c>
      <c r="AA520" s="202"/>
      <c r="AB520" s="202">
        <v>65374787</v>
      </c>
      <c r="AC520" s="202"/>
      <c r="AD520" s="202" t="s">
        <v>1152</v>
      </c>
      <c r="AE520" s="202" t="s">
        <v>1153</v>
      </c>
      <c r="AF520" s="203" t="s">
        <v>1154</v>
      </c>
      <c r="AG520" s="202"/>
      <c r="AH520" s="203" t="s">
        <v>1155</v>
      </c>
      <c r="AI520" s="202">
        <v>0</v>
      </c>
      <c r="AJ520" s="202">
        <v>0</v>
      </c>
    </row>
    <row r="521" spans="2:36">
      <c r="B521" s="203">
        <v>2180</v>
      </c>
      <c r="C521" s="207">
        <v>123708</v>
      </c>
      <c r="D521" s="203" t="s">
        <v>97</v>
      </c>
      <c r="E521" s="202" t="s">
        <v>2316</v>
      </c>
      <c r="F521" s="203">
        <v>864</v>
      </c>
      <c r="G521" s="202"/>
      <c r="H521" s="202"/>
      <c r="I521" s="202"/>
      <c r="J521" s="202">
        <v>0</v>
      </c>
      <c r="K521" s="202" t="s">
        <v>2318</v>
      </c>
      <c r="L521" s="202"/>
      <c r="M521" s="202"/>
      <c r="N521" s="206">
        <v>42187</v>
      </c>
      <c r="O521" s="206">
        <v>42187</v>
      </c>
      <c r="P521" s="202" t="s">
        <v>2314</v>
      </c>
      <c r="Q521" s="203">
        <v>700</v>
      </c>
      <c r="R521" s="203">
        <v>14050</v>
      </c>
      <c r="S521" s="204">
        <v>41476.04</v>
      </c>
      <c r="T521" s="203">
        <v>14056</v>
      </c>
      <c r="U521" s="204">
        <v>38513.480000000003</v>
      </c>
      <c r="V521" s="204">
        <f t="shared" si="18"/>
        <v>2962.5599999999977</v>
      </c>
      <c r="W521" s="205">
        <v>5925.15</v>
      </c>
      <c r="X521" s="203">
        <v>54260</v>
      </c>
      <c r="Y521" s="204">
        <v>493.76</v>
      </c>
      <c r="Z521" s="202" t="s">
        <v>97</v>
      </c>
      <c r="AA521" s="202"/>
      <c r="AB521" s="202">
        <v>65374415</v>
      </c>
      <c r="AC521" s="202"/>
      <c r="AD521" s="202" t="s">
        <v>1152</v>
      </c>
      <c r="AE521" s="202" t="s">
        <v>1153</v>
      </c>
      <c r="AF521" s="203" t="s">
        <v>1154</v>
      </c>
      <c r="AG521" s="202"/>
      <c r="AH521" s="203" t="s">
        <v>1155</v>
      </c>
      <c r="AI521" s="202">
        <v>0</v>
      </c>
      <c r="AJ521" s="202">
        <v>0</v>
      </c>
    </row>
    <row r="522" spans="2:36">
      <c r="B522" s="203">
        <v>2180</v>
      </c>
      <c r="C522" s="207">
        <v>123629</v>
      </c>
      <c r="D522" s="203" t="s">
        <v>97</v>
      </c>
      <c r="E522" s="202" t="s">
        <v>2328</v>
      </c>
      <c r="F522" s="203"/>
      <c r="G522" s="202"/>
      <c r="H522" s="202" t="s">
        <v>2327</v>
      </c>
      <c r="I522" s="202"/>
      <c r="J522" s="202">
        <v>2016</v>
      </c>
      <c r="K522" s="202" t="s">
        <v>2290</v>
      </c>
      <c r="L522" s="202" t="s">
        <v>1830</v>
      </c>
      <c r="M522" s="202" t="s">
        <v>1824</v>
      </c>
      <c r="N522" s="206">
        <v>42185</v>
      </c>
      <c r="O522" s="206">
        <v>42185</v>
      </c>
      <c r="P522" s="202" t="s">
        <v>2326</v>
      </c>
      <c r="Q522" s="203">
        <v>1000</v>
      </c>
      <c r="R522" s="203">
        <v>14040</v>
      </c>
      <c r="S522" s="204">
        <v>202299.47</v>
      </c>
      <c r="T522" s="203">
        <v>14046</v>
      </c>
      <c r="U522" s="204">
        <v>131494.67000000001</v>
      </c>
      <c r="V522" s="204">
        <f t="shared" si="18"/>
        <v>70804.799999999988</v>
      </c>
      <c r="W522" s="205">
        <v>20229.95</v>
      </c>
      <c r="X522" s="203">
        <v>51260</v>
      </c>
      <c r="Y522" s="204">
        <v>1685.83</v>
      </c>
      <c r="Z522" s="202" t="s">
        <v>97</v>
      </c>
      <c r="AA522" s="202"/>
      <c r="AB522" s="202" t="s">
        <v>2325</v>
      </c>
      <c r="AC522" s="202">
        <v>4075</v>
      </c>
      <c r="AD522" s="202" t="s">
        <v>1152</v>
      </c>
      <c r="AE522" s="202" t="s">
        <v>1153</v>
      </c>
      <c r="AF522" s="203" t="s">
        <v>1154</v>
      </c>
      <c r="AG522" s="208">
        <v>42185</v>
      </c>
      <c r="AH522" s="203" t="s">
        <v>1155</v>
      </c>
      <c r="AI522" s="202">
        <v>0</v>
      </c>
      <c r="AJ522" s="202">
        <v>0</v>
      </c>
    </row>
    <row r="523" spans="2:36">
      <c r="B523" s="203">
        <v>2180</v>
      </c>
      <c r="C523" s="207">
        <v>123428</v>
      </c>
      <c r="D523" s="203" t="s">
        <v>97</v>
      </c>
      <c r="E523" s="202" t="s">
        <v>2324</v>
      </c>
      <c r="F523" s="203"/>
      <c r="G523" s="202"/>
      <c r="H523" s="202" t="s">
        <v>2323</v>
      </c>
      <c r="I523" s="202"/>
      <c r="J523" s="202">
        <v>2007</v>
      </c>
      <c r="K523" s="202" t="s">
        <v>1719</v>
      </c>
      <c r="L523" s="202" t="s">
        <v>1719</v>
      </c>
      <c r="M523" s="202" t="s">
        <v>1412</v>
      </c>
      <c r="N523" s="206">
        <v>42150</v>
      </c>
      <c r="O523" s="206">
        <v>42150</v>
      </c>
      <c r="P523" s="202" t="s">
        <v>2322</v>
      </c>
      <c r="Q523" s="203">
        <v>300</v>
      </c>
      <c r="R523" s="203">
        <v>14030</v>
      </c>
      <c r="S523" s="204">
        <v>31902.34</v>
      </c>
      <c r="T523" s="203">
        <v>14036</v>
      </c>
      <c r="U523" s="204">
        <v>31902.34</v>
      </c>
      <c r="V523" s="204">
        <f t="shared" si="18"/>
        <v>0</v>
      </c>
      <c r="W523" s="205">
        <v>0</v>
      </c>
      <c r="X523" s="203">
        <v>51260</v>
      </c>
      <c r="Y523" s="204">
        <v>0</v>
      </c>
      <c r="Z523" s="202" t="s">
        <v>97</v>
      </c>
      <c r="AA523" s="202"/>
      <c r="AB523" s="202" t="s">
        <v>2321</v>
      </c>
      <c r="AC523" s="202">
        <v>7049</v>
      </c>
      <c r="AD523" s="202" t="s">
        <v>1152</v>
      </c>
      <c r="AE523" s="202" t="s">
        <v>1153</v>
      </c>
      <c r="AF523" s="203" t="s">
        <v>1154</v>
      </c>
      <c r="AG523" s="202"/>
      <c r="AH523" s="203" t="s">
        <v>1155</v>
      </c>
      <c r="AI523" s="202">
        <v>0</v>
      </c>
      <c r="AJ523" s="202">
        <v>0</v>
      </c>
    </row>
    <row r="524" spans="2:36">
      <c r="B524" s="203">
        <v>2180</v>
      </c>
      <c r="C524" s="207">
        <v>123337</v>
      </c>
      <c r="D524" s="203" t="s">
        <v>97</v>
      </c>
      <c r="E524" s="202" t="s">
        <v>2320</v>
      </c>
      <c r="F524" s="203">
        <v>624</v>
      </c>
      <c r="G524" s="202"/>
      <c r="H524" s="202"/>
      <c r="I524" s="202"/>
      <c r="J524" s="202">
        <v>0</v>
      </c>
      <c r="K524" s="202" t="s">
        <v>2318</v>
      </c>
      <c r="L524" s="202"/>
      <c r="M524" s="202"/>
      <c r="N524" s="206">
        <v>42139</v>
      </c>
      <c r="O524" s="206">
        <v>42139</v>
      </c>
      <c r="P524" s="202" t="s">
        <v>2307</v>
      </c>
      <c r="Q524" s="203">
        <v>700</v>
      </c>
      <c r="R524" s="203">
        <v>14050</v>
      </c>
      <c r="S524" s="204">
        <v>32729.22</v>
      </c>
      <c r="T524" s="203">
        <v>14056</v>
      </c>
      <c r="U524" s="204">
        <v>31170.67</v>
      </c>
      <c r="V524" s="204">
        <f t="shared" si="18"/>
        <v>1558.5500000000029</v>
      </c>
      <c r="W524" s="205">
        <v>4675.6000000000004</v>
      </c>
      <c r="X524" s="203">
        <v>54260</v>
      </c>
      <c r="Y524" s="204">
        <v>389.63</v>
      </c>
      <c r="Z524" s="202" t="s">
        <v>97</v>
      </c>
      <c r="AA524" s="202"/>
      <c r="AB524" s="202">
        <v>65367910</v>
      </c>
      <c r="AC524" s="202"/>
      <c r="AD524" s="202" t="s">
        <v>1152</v>
      </c>
      <c r="AE524" s="202" t="s">
        <v>1153</v>
      </c>
      <c r="AF524" s="203" t="s">
        <v>1154</v>
      </c>
      <c r="AG524" s="202"/>
      <c r="AH524" s="203" t="s">
        <v>1155</v>
      </c>
      <c r="AI524" s="202">
        <v>0</v>
      </c>
      <c r="AJ524" s="202">
        <v>0</v>
      </c>
    </row>
    <row r="525" spans="2:36">
      <c r="B525" s="203">
        <v>2180</v>
      </c>
      <c r="C525" s="207">
        <v>123336</v>
      </c>
      <c r="D525" s="203" t="s">
        <v>97</v>
      </c>
      <c r="E525" s="202" t="s">
        <v>2319</v>
      </c>
      <c r="F525" s="203">
        <v>912</v>
      </c>
      <c r="G525" s="202"/>
      <c r="H525" s="202"/>
      <c r="I525" s="202"/>
      <c r="J525" s="202">
        <v>0</v>
      </c>
      <c r="K525" s="202" t="s">
        <v>2318</v>
      </c>
      <c r="L525" s="202"/>
      <c r="M525" s="202"/>
      <c r="N525" s="206">
        <v>42173</v>
      </c>
      <c r="O525" s="206">
        <v>42173</v>
      </c>
      <c r="P525" s="202" t="s">
        <v>2317</v>
      </c>
      <c r="Q525" s="203">
        <v>700</v>
      </c>
      <c r="R525" s="203">
        <v>14050</v>
      </c>
      <c r="S525" s="204">
        <v>40129.97</v>
      </c>
      <c r="T525" s="203">
        <v>14056</v>
      </c>
      <c r="U525" s="204">
        <v>37263.53</v>
      </c>
      <c r="V525" s="204">
        <f t="shared" si="18"/>
        <v>2866.4400000000023</v>
      </c>
      <c r="W525" s="205">
        <v>5732.85</v>
      </c>
      <c r="X525" s="203">
        <v>54260</v>
      </c>
      <c r="Y525" s="204">
        <v>477.74</v>
      </c>
      <c r="Z525" s="202" t="s">
        <v>97</v>
      </c>
      <c r="AA525" s="202"/>
      <c r="AB525" s="202">
        <v>65372622</v>
      </c>
      <c r="AC525" s="202"/>
      <c r="AD525" s="202" t="s">
        <v>1152</v>
      </c>
      <c r="AE525" s="202" t="s">
        <v>1153</v>
      </c>
      <c r="AF525" s="203" t="s">
        <v>1154</v>
      </c>
      <c r="AG525" s="202"/>
      <c r="AH525" s="203" t="s">
        <v>1155</v>
      </c>
      <c r="AI525" s="202">
        <v>0</v>
      </c>
      <c r="AJ525" s="202">
        <v>0</v>
      </c>
    </row>
    <row r="526" spans="2:36">
      <c r="B526" s="203">
        <v>2180</v>
      </c>
      <c r="C526" s="207">
        <v>123335</v>
      </c>
      <c r="D526" s="203" t="s">
        <v>97</v>
      </c>
      <c r="E526" s="202" t="s">
        <v>2319</v>
      </c>
      <c r="F526" s="203">
        <v>912</v>
      </c>
      <c r="G526" s="202"/>
      <c r="H526" s="202"/>
      <c r="I526" s="202"/>
      <c r="J526" s="202">
        <v>0</v>
      </c>
      <c r="K526" s="202" t="s">
        <v>2318</v>
      </c>
      <c r="L526" s="202"/>
      <c r="M526" s="202"/>
      <c r="N526" s="206">
        <v>42168</v>
      </c>
      <c r="O526" s="206">
        <v>42168</v>
      </c>
      <c r="P526" s="202" t="s">
        <v>2317</v>
      </c>
      <c r="Q526" s="203">
        <v>700</v>
      </c>
      <c r="R526" s="203">
        <v>14050</v>
      </c>
      <c r="S526" s="204">
        <v>40129.97</v>
      </c>
      <c r="T526" s="203">
        <v>14056</v>
      </c>
      <c r="U526" s="204">
        <v>37741.269999999997</v>
      </c>
      <c r="V526" s="204">
        <f t="shared" ref="V526:V589" si="19">S526-U526</f>
        <v>2388.7000000000044</v>
      </c>
      <c r="W526" s="205">
        <v>5732.85</v>
      </c>
      <c r="X526" s="203">
        <v>54260</v>
      </c>
      <c r="Y526" s="204">
        <v>477.74</v>
      </c>
      <c r="Z526" s="202" t="s">
        <v>97</v>
      </c>
      <c r="AA526" s="202"/>
      <c r="AB526" s="202">
        <v>65372257</v>
      </c>
      <c r="AC526" s="202"/>
      <c r="AD526" s="202" t="s">
        <v>1152</v>
      </c>
      <c r="AE526" s="202" t="s">
        <v>1153</v>
      </c>
      <c r="AF526" s="203" t="s">
        <v>1154</v>
      </c>
      <c r="AG526" s="202"/>
      <c r="AH526" s="203" t="s">
        <v>1155</v>
      </c>
      <c r="AI526" s="202">
        <v>0</v>
      </c>
      <c r="AJ526" s="202">
        <v>0</v>
      </c>
    </row>
    <row r="527" spans="2:36">
      <c r="B527" s="203">
        <v>2180</v>
      </c>
      <c r="C527" s="207">
        <v>123334</v>
      </c>
      <c r="D527" s="203" t="s">
        <v>97</v>
      </c>
      <c r="E527" s="202" t="s">
        <v>2319</v>
      </c>
      <c r="F527" s="203">
        <v>912</v>
      </c>
      <c r="G527" s="202"/>
      <c r="H527" s="202"/>
      <c r="I527" s="202"/>
      <c r="J527" s="202">
        <v>0</v>
      </c>
      <c r="K527" s="202" t="s">
        <v>2318</v>
      </c>
      <c r="L527" s="202"/>
      <c r="M527" s="202"/>
      <c r="N527" s="206">
        <v>42168</v>
      </c>
      <c r="O527" s="206">
        <v>42168</v>
      </c>
      <c r="P527" s="202" t="s">
        <v>2317</v>
      </c>
      <c r="Q527" s="203">
        <v>700</v>
      </c>
      <c r="R527" s="203">
        <v>14050</v>
      </c>
      <c r="S527" s="204">
        <v>40129.97</v>
      </c>
      <c r="T527" s="203">
        <v>14056</v>
      </c>
      <c r="U527" s="204">
        <v>37741.269999999997</v>
      </c>
      <c r="V527" s="204">
        <f t="shared" si="19"/>
        <v>2388.7000000000044</v>
      </c>
      <c r="W527" s="205">
        <v>5732.85</v>
      </c>
      <c r="X527" s="203">
        <v>54260</v>
      </c>
      <c r="Y527" s="204">
        <v>477.74</v>
      </c>
      <c r="Z527" s="202" t="s">
        <v>97</v>
      </c>
      <c r="AA527" s="202"/>
      <c r="AB527" s="202">
        <v>65372258</v>
      </c>
      <c r="AC527" s="202"/>
      <c r="AD527" s="202" t="s">
        <v>1152</v>
      </c>
      <c r="AE527" s="202" t="s">
        <v>1153</v>
      </c>
      <c r="AF527" s="203" t="s">
        <v>1154</v>
      </c>
      <c r="AG527" s="202"/>
      <c r="AH527" s="203" t="s">
        <v>1155</v>
      </c>
      <c r="AI527" s="202">
        <v>0</v>
      </c>
      <c r="AJ527" s="202">
        <v>0</v>
      </c>
    </row>
    <row r="528" spans="2:36">
      <c r="B528" s="203">
        <v>2180</v>
      </c>
      <c r="C528" s="207">
        <v>123333</v>
      </c>
      <c r="D528" s="203" t="s">
        <v>97</v>
      </c>
      <c r="E528" s="202" t="s">
        <v>2319</v>
      </c>
      <c r="F528" s="203">
        <v>912</v>
      </c>
      <c r="G528" s="202"/>
      <c r="H528" s="202"/>
      <c r="I528" s="202"/>
      <c r="J528" s="202">
        <v>0</v>
      </c>
      <c r="K528" s="202" t="s">
        <v>2318</v>
      </c>
      <c r="L528" s="202"/>
      <c r="M528" s="202"/>
      <c r="N528" s="206">
        <v>42168</v>
      </c>
      <c r="O528" s="206">
        <v>42168</v>
      </c>
      <c r="P528" s="202" t="s">
        <v>2317</v>
      </c>
      <c r="Q528" s="203">
        <v>700</v>
      </c>
      <c r="R528" s="203">
        <v>14050</v>
      </c>
      <c r="S528" s="204">
        <v>40129.97</v>
      </c>
      <c r="T528" s="203">
        <v>14056</v>
      </c>
      <c r="U528" s="204">
        <v>37741.269999999997</v>
      </c>
      <c r="V528" s="204">
        <f t="shared" si="19"/>
        <v>2388.7000000000044</v>
      </c>
      <c r="W528" s="205">
        <v>5732.85</v>
      </c>
      <c r="X528" s="203">
        <v>54260</v>
      </c>
      <c r="Y528" s="204">
        <v>477.74</v>
      </c>
      <c r="Z528" s="202" t="s">
        <v>97</v>
      </c>
      <c r="AA528" s="202"/>
      <c r="AB528" s="202">
        <v>65372277</v>
      </c>
      <c r="AC528" s="202"/>
      <c r="AD528" s="202" t="s">
        <v>1152</v>
      </c>
      <c r="AE528" s="202" t="s">
        <v>1153</v>
      </c>
      <c r="AF528" s="203" t="s">
        <v>1154</v>
      </c>
      <c r="AG528" s="202"/>
      <c r="AH528" s="203" t="s">
        <v>1155</v>
      </c>
      <c r="AI528" s="202">
        <v>0</v>
      </c>
      <c r="AJ528" s="202">
        <v>0</v>
      </c>
    </row>
    <row r="529" spans="2:36">
      <c r="B529" s="203">
        <v>2180</v>
      </c>
      <c r="C529" s="207">
        <v>123156</v>
      </c>
      <c r="D529" s="203" t="s">
        <v>97</v>
      </c>
      <c r="E529" s="202" t="s">
        <v>2316</v>
      </c>
      <c r="F529" s="203">
        <v>1440</v>
      </c>
      <c r="G529" s="202"/>
      <c r="H529" s="202"/>
      <c r="I529" s="202"/>
      <c r="J529" s="202">
        <v>0</v>
      </c>
      <c r="K529" s="202" t="s">
        <v>2315</v>
      </c>
      <c r="L529" s="202"/>
      <c r="M529" s="202"/>
      <c r="N529" s="206">
        <v>42109</v>
      </c>
      <c r="O529" s="206">
        <v>42109</v>
      </c>
      <c r="P529" s="202" t="s">
        <v>2314</v>
      </c>
      <c r="Q529" s="203">
        <v>700</v>
      </c>
      <c r="R529" s="203">
        <v>14050</v>
      </c>
      <c r="S529" s="204">
        <v>65323.519999999997</v>
      </c>
      <c r="T529" s="203">
        <v>14056</v>
      </c>
      <c r="U529" s="204">
        <v>62990.53</v>
      </c>
      <c r="V529" s="204">
        <f t="shared" si="19"/>
        <v>2332.989999999998</v>
      </c>
      <c r="W529" s="205">
        <v>9331.93</v>
      </c>
      <c r="X529" s="203">
        <v>54260</v>
      </c>
      <c r="Y529" s="204">
        <v>777.66</v>
      </c>
      <c r="Z529" s="202" t="s">
        <v>97</v>
      </c>
      <c r="AA529" s="202"/>
      <c r="AB529" s="202">
        <v>5334121</v>
      </c>
      <c r="AC529" s="202"/>
      <c r="AD529" s="202" t="s">
        <v>1152</v>
      </c>
      <c r="AE529" s="202" t="s">
        <v>1153</v>
      </c>
      <c r="AF529" s="203" t="s">
        <v>1154</v>
      </c>
      <c r="AG529" s="202"/>
      <c r="AH529" s="203" t="s">
        <v>1155</v>
      </c>
      <c r="AI529" s="202">
        <v>0</v>
      </c>
      <c r="AJ529" s="202">
        <v>0</v>
      </c>
    </row>
    <row r="530" spans="2:36">
      <c r="B530" s="203">
        <v>2180</v>
      </c>
      <c r="C530" s="207">
        <v>123056</v>
      </c>
      <c r="D530" s="203" t="s">
        <v>97</v>
      </c>
      <c r="E530" s="202" t="s">
        <v>2313</v>
      </c>
      <c r="F530" s="203">
        <v>624</v>
      </c>
      <c r="G530" s="202"/>
      <c r="H530" s="202"/>
      <c r="I530" s="202"/>
      <c r="J530" s="202">
        <v>0</v>
      </c>
      <c r="K530" s="202" t="s">
        <v>2081</v>
      </c>
      <c r="L530" s="202"/>
      <c r="M530" s="202"/>
      <c r="N530" s="206">
        <v>42160</v>
      </c>
      <c r="O530" s="206">
        <v>42160</v>
      </c>
      <c r="P530" s="202" t="s">
        <v>2309</v>
      </c>
      <c r="Q530" s="203">
        <v>700</v>
      </c>
      <c r="R530" s="203">
        <v>14050</v>
      </c>
      <c r="S530" s="204">
        <v>32479.15</v>
      </c>
      <c r="T530" s="203">
        <v>14056</v>
      </c>
      <c r="U530" s="204">
        <v>30545.88</v>
      </c>
      <c r="V530" s="204">
        <f t="shared" si="19"/>
        <v>1933.2700000000004</v>
      </c>
      <c r="W530" s="205">
        <v>4639.88</v>
      </c>
      <c r="X530" s="203">
        <v>54260</v>
      </c>
      <c r="Y530" s="204">
        <v>386.66</v>
      </c>
      <c r="Z530" s="202" t="s">
        <v>97</v>
      </c>
      <c r="AA530" s="202"/>
      <c r="AB530" s="202">
        <v>65371505</v>
      </c>
      <c r="AC530" s="202"/>
      <c r="AD530" s="202" t="s">
        <v>1152</v>
      </c>
      <c r="AE530" s="202" t="s">
        <v>1153</v>
      </c>
      <c r="AF530" s="203" t="s">
        <v>1154</v>
      </c>
      <c r="AG530" s="202"/>
      <c r="AH530" s="203" t="s">
        <v>1155</v>
      </c>
      <c r="AI530" s="202">
        <v>0</v>
      </c>
      <c r="AJ530" s="202">
        <v>0</v>
      </c>
    </row>
    <row r="531" spans="2:36">
      <c r="B531" s="203">
        <v>2180</v>
      </c>
      <c r="C531" s="207">
        <v>123055</v>
      </c>
      <c r="D531" s="203" t="s">
        <v>97</v>
      </c>
      <c r="E531" s="202" t="s">
        <v>2311</v>
      </c>
      <c r="F531" s="203">
        <v>624</v>
      </c>
      <c r="G531" s="202"/>
      <c r="H531" s="202"/>
      <c r="I531" s="202"/>
      <c r="J531" s="202">
        <v>0</v>
      </c>
      <c r="K531" s="202" t="s">
        <v>2081</v>
      </c>
      <c r="L531" s="202"/>
      <c r="M531" s="202"/>
      <c r="N531" s="206">
        <v>42160</v>
      </c>
      <c r="O531" s="206">
        <v>42160</v>
      </c>
      <c r="P531" s="202" t="s">
        <v>2309</v>
      </c>
      <c r="Q531" s="203">
        <v>700</v>
      </c>
      <c r="R531" s="203">
        <v>14050</v>
      </c>
      <c r="S531" s="204">
        <v>32479.15</v>
      </c>
      <c r="T531" s="203">
        <v>14056</v>
      </c>
      <c r="U531" s="204">
        <v>30545.88</v>
      </c>
      <c r="V531" s="204">
        <f t="shared" si="19"/>
        <v>1933.2700000000004</v>
      </c>
      <c r="W531" s="205">
        <v>4639.88</v>
      </c>
      <c r="X531" s="203">
        <v>54260</v>
      </c>
      <c r="Y531" s="204">
        <v>386.66</v>
      </c>
      <c r="Z531" s="202" t="s">
        <v>97</v>
      </c>
      <c r="AA531" s="202"/>
      <c r="AB531" s="202">
        <v>65371601</v>
      </c>
      <c r="AC531" s="202"/>
      <c r="AD531" s="202" t="s">
        <v>1152</v>
      </c>
      <c r="AE531" s="202" t="s">
        <v>1153</v>
      </c>
      <c r="AF531" s="203" t="s">
        <v>1154</v>
      </c>
      <c r="AG531" s="202"/>
      <c r="AH531" s="203" t="s">
        <v>1155</v>
      </c>
      <c r="AI531" s="202">
        <v>0</v>
      </c>
      <c r="AJ531" s="202">
        <v>0</v>
      </c>
    </row>
    <row r="532" spans="2:36">
      <c r="B532" s="203">
        <v>2180</v>
      </c>
      <c r="C532" s="207">
        <v>123054</v>
      </c>
      <c r="D532" s="203" t="s">
        <v>97</v>
      </c>
      <c r="E532" s="202" t="s">
        <v>2312</v>
      </c>
      <c r="F532" s="203">
        <v>624</v>
      </c>
      <c r="G532" s="202"/>
      <c r="H532" s="202"/>
      <c r="I532" s="202"/>
      <c r="J532" s="202">
        <v>0</v>
      </c>
      <c r="K532" s="202" t="s">
        <v>2081</v>
      </c>
      <c r="L532" s="202"/>
      <c r="M532" s="202"/>
      <c r="N532" s="206">
        <v>42134</v>
      </c>
      <c r="O532" s="206">
        <v>42134</v>
      </c>
      <c r="P532" s="202" t="s">
        <v>2285</v>
      </c>
      <c r="Q532" s="203">
        <v>700</v>
      </c>
      <c r="R532" s="203">
        <v>14050</v>
      </c>
      <c r="S532" s="204">
        <v>32729.22</v>
      </c>
      <c r="T532" s="203">
        <v>14056</v>
      </c>
      <c r="U532" s="204">
        <v>31170.67</v>
      </c>
      <c r="V532" s="204">
        <f t="shared" si="19"/>
        <v>1558.5500000000029</v>
      </c>
      <c r="W532" s="205">
        <v>4675.6000000000004</v>
      </c>
      <c r="X532" s="203">
        <v>54260</v>
      </c>
      <c r="Y532" s="204">
        <v>389.63</v>
      </c>
      <c r="Z532" s="202" t="s">
        <v>97</v>
      </c>
      <c r="AA532" s="202"/>
      <c r="AB532" s="202">
        <v>65368129</v>
      </c>
      <c r="AC532" s="202"/>
      <c r="AD532" s="202" t="s">
        <v>1152</v>
      </c>
      <c r="AE532" s="202" t="s">
        <v>1153</v>
      </c>
      <c r="AF532" s="203" t="s">
        <v>1154</v>
      </c>
      <c r="AG532" s="202"/>
      <c r="AH532" s="203" t="s">
        <v>1155</v>
      </c>
      <c r="AI532" s="202">
        <v>0</v>
      </c>
      <c r="AJ532" s="202">
        <v>0</v>
      </c>
    </row>
    <row r="533" spans="2:36">
      <c r="B533" s="203">
        <v>2180</v>
      </c>
      <c r="C533" s="207">
        <v>123053</v>
      </c>
      <c r="D533" s="203" t="s">
        <v>97</v>
      </c>
      <c r="E533" s="202" t="s">
        <v>2311</v>
      </c>
      <c r="F533" s="203">
        <v>624</v>
      </c>
      <c r="G533" s="202"/>
      <c r="H533" s="202"/>
      <c r="I533" s="202"/>
      <c r="J533" s="202">
        <v>0</v>
      </c>
      <c r="K533" s="202" t="s">
        <v>2081</v>
      </c>
      <c r="L533" s="202"/>
      <c r="M533" s="202"/>
      <c r="N533" s="206">
        <v>42104</v>
      </c>
      <c r="O533" s="206">
        <v>42104</v>
      </c>
      <c r="P533" s="202" t="s">
        <v>2309</v>
      </c>
      <c r="Q533" s="203">
        <v>700</v>
      </c>
      <c r="R533" s="203">
        <v>14050</v>
      </c>
      <c r="S533" s="204">
        <v>32729.22</v>
      </c>
      <c r="T533" s="203">
        <v>14056</v>
      </c>
      <c r="U533" s="204">
        <v>31560.3</v>
      </c>
      <c r="V533" s="204">
        <f t="shared" si="19"/>
        <v>1168.9200000000019</v>
      </c>
      <c r="W533" s="205">
        <v>4675.6000000000004</v>
      </c>
      <c r="X533" s="203">
        <v>54260</v>
      </c>
      <c r="Y533" s="204">
        <v>389.63</v>
      </c>
      <c r="Z533" s="202" t="s">
        <v>97</v>
      </c>
      <c r="AA533" s="202"/>
      <c r="AB533" s="202">
        <v>65366244</v>
      </c>
      <c r="AC533" s="202"/>
      <c r="AD533" s="202" t="s">
        <v>1152</v>
      </c>
      <c r="AE533" s="202" t="s">
        <v>1153</v>
      </c>
      <c r="AF533" s="203" t="s">
        <v>1154</v>
      </c>
      <c r="AG533" s="202"/>
      <c r="AH533" s="203" t="s">
        <v>1155</v>
      </c>
      <c r="AI533" s="202">
        <v>0</v>
      </c>
      <c r="AJ533" s="202">
        <v>0</v>
      </c>
    </row>
    <row r="534" spans="2:36">
      <c r="B534" s="203">
        <v>2180</v>
      </c>
      <c r="C534" s="207">
        <v>123052</v>
      </c>
      <c r="D534" s="203" t="s">
        <v>97</v>
      </c>
      <c r="E534" s="202" t="s">
        <v>2310</v>
      </c>
      <c r="F534" s="203">
        <v>624</v>
      </c>
      <c r="G534" s="202"/>
      <c r="H534" s="202"/>
      <c r="I534" s="202"/>
      <c r="J534" s="202">
        <v>0</v>
      </c>
      <c r="K534" s="202" t="s">
        <v>2081</v>
      </c>
      <c r="L534" s="202"/>
      <c r="M534" s="202"/>
      <c r="N534" s="206">
        <v>42104</v>
      </c>
      <c r="O534" s="206">
        <v>42104</v>
      </c>
      <c r="P534" s="202" t="s">
        <v>2309</v>
      </c>
      <c r="Q534" s="203">
        <v>700</v>
      </c>
      <c r="R534" s="203">
        <v>14050</v>
      </c>
      <c r="S534" s="204">
        <v>32729.22</v>
      </c>
      <c r="T534" s="203">
        <v>14056</v>
      </c>
      <c r="U534" s="204">
        <v>31560.3</v>
      </c>
      <c r="V534" s="204">
        <f t="shared" si="19"/>
        <v>1168.9200000000019</v>
      </c>
      <c r="W534" s="205">
        <v>4675.6000000000004</v>
      </c>
      <c r="X534" s="203">
        <v>54260</v>
      </c>
      <c r="Y534" s="204">
        <v>389.63</v>
      </c>
      <c r="Z534" s="202" t="s">
        <v>97</v>
      </c>
      <c r="AA534" s="202"/>
      <c r="AB534" s="202">
        <v>65366195</v>
      </c>
      <c r="AC534" s="202"/>
      <c r="AD534" s="202" t="s">
        <v>1152</v>
      </c>
      <c r="AE534" s="202" t="s">
        <v>1153</v>
      </c>
      <c r="AF534" s="203" t="s">
        <v>1154</v>
      </c>
      <c r="AG534" s="202"/>
      <c r="AH534" s="203" t="s">
        <v>1155</v>
      </c>
      <c r="AI534" s="202">
        <v>0</v>
      </c>
      <c r="AJ534" s="202">
        <v>0</v>
      </c>
    </row>
    <row r="535" spans="2:36">
      <c r="B535" s="203">
        <v>2180</v>
      </c>
      <c r="C535" s="207">
        <v>122925</v>
      </c>
      <c r="D535" s="203" t="s">
        <v>97</v>
      </c>
      <c r="E535" s="202" t="s">
        <v>2308</v>
      </c>
      <c r="F535" s="203">
        <v>624</v>
      </c>
      <c r="G535" s="202"/>
      <c r="H535" s="202"/>
      <c r="I535" s="202"/>
      <c r="J535" s="202">
        <v>0</v>
      </c>
      <c r="K535" s="202" t="s">
        <v>2081</v>
      </c>
      <c r="L535" s="202"/>
      <c r="M535" s="202"/>
      <c r="N535" s="206">
        <v>42139</v>
      </c>
      <c r="O535" s="206">
        <v>42139</v>
      </c>
      <c r="P535" s="202" t="s">
        <v>2307</v>
      </c>
      <c r="Q535" s="203">
        <v>700</v>
      </c>
      <c r="R535" s="203">
        <v>14050</v>
      </c>
      <c r="S535" s="204">
        <v>32729.22</v>
      </c>
      <c r="T535" s="203">
        <v>14056</v>
      </c>
      <c r="U535" s="204">
        <v>31170.67</v>
      </c>
      <c r="V535" s="204">
        <f t="shared" si="19"/>
        <v>1558.5500000000029</v>
      </c>
      <c r="W535" s="205">
        <v>4675.6000000000004</v>
      </c>
      <c r="X535" s="203">
        <v>54260</v>
      </c>
      <c r="Y535" s="204">
        <v>389.63</v>
      </c>
      <c r="Z535" s="202" t="s">
        <v>97</v>
      </c>
      <c r="AA535" s="202"/>
      <c r="AB535" s="202">
        <v>65368815</v>
      </c>
      <c r="AC535" s="202"/>
      <c r="AD535" s="202" t="s">
        <v>1152</v>
      </c>
      <c r="AE535" s="202" t="s">
        <v>1153</v>
      </c>
      <c r="AF535" s="203" t="s">
        <v>1154</v>
      </c>
      <c r="AG535" s="202"/>
      <c r="AH535" s="203" t="s">
        <v>1155</v>
      </c>
      <c r="AI535" s="202">
        <v>0</v>
      </c>
      <c r="AJ535" s="202">
        <v>0</v>
      </c>
    </row>
    <row r="536" spans="2:36">
      <c r="B536" s="203">
        <v>2180</v>
      </c>
      <c r="C536" s="207">
        <v>122830</v>
      </c>
      <c r="D536" s="203" t="s">
        <v>97</v>
      </c>
      <c r="E536" s="202" t="s">
        <v>2306</v>
      </c>
      <c r="F536" s="203"/>
      <c r="G536" s="202"/>
      <c r="H536" s="202"/>
      <c r="I536" s="202"/>
      <c r="J536" s="202">
        <v>0</v>
      </c>
      <c r="K536" s="202"/>
      <c r="L536" s="202"/>
      <c r="M536" s="202"/>
      <c r="N536" s="206">
        <v>42147</v>
      </c>
      <c r="O536" s="206">
        <v>42147</v>
      </c>
      <c r="P536" s="202" t="s">
        <v>2305</v>
      </c>
      <c r="Q536" s="203">
        <v>300</v>
      </c>
      <c r="R536" s="203">
        <v>14110</v>
      </c>
      <c r="S536" s="204">
        <v>716.06</v>
      </c>
      <c r="T536" s="203">
        <v>14116</v>
      </c>
      <c r="U536" s="204">
        <v>716.06</v>
      </c>
      <c r="V536" s="204">
        <f t="shared" si="19"/>
        <v>0</v>
      </c>
      <c r="W536" s="205">
        <v>0</v>
      </c>
      <c r="X536" s="203">
        <v>70260</v>
      </c>
      <c r="Y536" s="204">
        <v>0</v>
      </c>
      <c r="Z536" s="202" t="s">
        <v>97</v>
      </c>
      <c r="AA536" s="202"/>
      <c r="AB536" s="202" t="s">
        <v>2304</v>
      </c>
      <c r="AC536" s="202"/>
      <c r="AD536" s="202" t="s">
        <v>1152</v>
      </c>
      <c r="AE536" s="202" t="s">
        <v>1153</v>
      </c>
      <c r="AF536" s="203" t="s">
        <v>1154</v>
      </c>
      <c r="AG536" s="202"/>
      <c r="AH536" s="203" t="s">
        <v>1155</v>
      </c>
      <c r="AI536" s="202">
        <v>0</v>
      </c>
      <c r="AJ536" s="202">
        <v>0</v>
      </c>
    </row>
    <row r="537" spans="2:36">
      <c r="B537" s="203">
        <v>2180</v>
      </c>
      <c r="C537" s="207">
        <v>122829</v>
      </c>
      <c r="D537" s="203" t="s">
        <v>97</v>
      </c>
      <c r="E537" s="202" t="s">
        <v>2303</v>
      </c>
      <c r="F537" s="203"/>
      <c r="G537" s="202"/>
      <c r="H537" s="202"/>
      <c r="I537" s="202"/>
      <c r="J537" s="202">
        <v>0</v>
      </c>
      <c r="K537" s="202"/>
      <c r="L537" s="202"/>
      <c r="M537" s="202"/>
      <c r="N537" s="206">
        <v>42139</v>
      </c>
      <c r="O537" s="206">
        <v>42139</v>
      </c>
      <c r="P537" s="202" t="s">
        <v>2302</v>
      </c>
      <c r="Q537" s="203">
        <v>300</v>
      </c>
      <c r="R537" s="203">
        <v>14110</v>
      </c>
      <c r="S537" s="204">
        <v>1084.92</v>
      </c>
      <c r="T537" s="203">
        <v>14116</v>
      </c>
      <c r="U537" s="204">
        <v>1084.92</v>
      </c>
      <c r="V537" s="204">
        <f t="shared" si="19"/>
        <v>0</v>
      </c>
      <c r="W537" s="205">
        <v>0</v>
      </c>
      <c r="X537" s="203">
        <v>70260</v>
      </c>
      <c r="Y537" s="204">
        <v>0</v>
      </c>
      <c r="Z537" s="202" t="s">
        <v>97</v>
      </c>
      <c r="AA537" s="202"/>
      <c r="AB537" s="202" t="s">
        <v>2301</v>
      </c>
      <c r="AC537" s="202"/>
      <c r="AD537" s="202" t="s">
        <v>1152</v>
      </c>
      <c r="AE537" s="202" t="s">
        <v>1153</v>
      </c>
      <c r="AF537" s="203" t="s">
        <v>1154</v>
      </c>
      <c r="AG537" s="202"/>
      <c r="AH537" s="203" t="s">
        <v>1155</v>
      </c>
      <c r="AI537" s="202">
        <v>0</v>
      </c>
      <c r="AJ537" s="202">
        <v>0</v>
      </c>
    </row>
    <row r="538" spans="2:36">
      <c r="B538" s="203">
        <v>2180</v>
      </c>
      <c r="C538" s="207">
        <v>122828</v>
      </c>
      <c r="D538" s="203" t="s">
        <v>97</v>
      </c>
      <c r="E538" s="202" t="s">
        <v>2300</v>
      </c>
      <c r="F538" s="203"/>
      <c r="G538" s="202"/>
      <c r="H538" s="202"/>
      <c r="I538" s="202"/>
      <c r="J538" s="202">
        <v>0</v>
      </c>
      <c r="K538" s="202"/>
      <c r="L538" s="202"/>
      <c r="M538" s="202"/>
      <c r="N538" s="206">
        <v>42139</v>
      </c>
      <c r="O538" s="206">
        <v>42139</v>
      </c>
      <c r="P538" s="202" t="s">
        <v>2299</v>
      </c>
      <c r="Q538" s="203">
        <v>300</v>
      </c>
      <c r="R538" s="203">
        <v>14110</v>
      </c>
      <c r="S538" s="204">
        <v>1096.6600000000001</v>
      </c>
      <c r="T538" s="203">
        <v>14116</v>
      </c>
      <c r="U538" s="204">
        <v>1096.6600000000001</v>
      </c>
      <c r="V538" s="204">
        <f t="shared" si="19"/>
        <v>0</v>
      </c>
      <c r="W538" s="205">
        <v>0</v>
      </c>
      <c r="X538" s="203">
        <v>70260</v>
      </c>
      <c r="Y538" s="204">
        <v>0</v>
      </c>
      <c r="Z538" s="202" t="s">
        <v>97</v>
      </c>
      <c r="AA538" s="202"/>
      <c r="AB538" s="202" t="s">
        <v>2298</v>
      </c>
      <c r="AC538" s="202"/>
      <c r="AD538" s="202" t="s">
        <v>1152</v>
      </c>
      <c r="AE538" s="202" t="s">
        <v>1153</v>
      </c>
      <c r="AF538" s="203" t="s">
        <v>1154</v>
      </c>
      <c r="AG538" s="202"/>
      <c r="AH538" s="203" t="s">
        <v>1155</v>
      </c>
      <c r="AI538" s="202">
        <v>0</v>
      </c>
      <c r="AJ538" s="202">
        <v>0</v>
      </c>
    </row>
    <row r="539" spans="2:36">
      <c r="B539" s="203">
        <v>2180</v>
      </c>
      <c r="C539" s="207">
        <v>122789</v>
      </c>
      <c r="D539" s="203">
        <v>60721</v>
      </c>
      <c r="E539" s="202" t="s">
        <v>2297</v>
      </c>
      <c r="F539" s="203"/>
      <c r="G539" s="202"/>
      <c r="H539" s="202"/>
      <c r="I539" s="202"/>
      <c r="J539" s="202">
        <v>0</v>
      </c>
      <c r="K539" s="202" t="s">
        <v>2296</v>
      </c>
      <c r="L539" s="202"/>
      <c r="M539" s="202" t="s">
        <v>1158</v>
      </c>
      <c r="N539" s="206">
        <v>42116</v>
      </c>
      <c r="O539" s="206">
        <v>42116</v>
      </c>
      <c r="P539" s="202" t="s">
        <v>2295</v>
      </c>
      <c r="Q539" s="203">
        <v>300</v>
      </c>
      <c r="R539" s="203">
        <v>14040</v>
      </c>
      <c r="S539" s="204">
        <v>11461.68</v>
      </c>
      <c r="T539" s="203">
        <v>14046</v>
      </c>
      <c r="U539" s="204">
        <v>11461.68</v>
      </c>
      <c r="V539" s="204">
        <f t="shared" si="19"/>
        <v>0</v>
      </c>
      <c r="W539" s="205">
        <v>0</v>
      </c>
      <c r="X539" s="203">
        <v>51260</v>
      </c>
      <c r="Y539" s="204">
        <v>0</v>
      </c>
      <c r="Z539" s="202" t="s">
        <v>97</v>
      </c>
      <c r="AA539" s="202"/>
      <c r="AB539" s="202" t="s">
        <v>2294</v>
      </c>
      <c r="AC539" s="202"/>
      <c r="AD539" s="202" t="s">
        <v>1152</v>
      </c>
      <c r="AE539" s="202" t="s">
        <v>1153</v>
      </c>
      <c r="AF539" s="203" t="s">
        <v>1154</v>
      </c>
      <c r="AG539" s="202"/>
      <c r="AH539" s="203" t="s">
        <v>1155</v>
      </c>
      <c r="AI539" s="202">
        <v>0</v>
      </c>
      <c r="AJ539" s="202">
        <v>0</v>
      </c>
    </row>
    <row r="540" spans="2:36">
      <c r="B540" s="203">
        <v>2180</v>
      </c>
      <c r="C540" s="207">
        <v>122695</v>
      </c>
      <c r="D540" s="203" t="s">
        <v>97</v>
      </c>
      <c r="E540" s="202" t="s">
        <v>2293</v>
      </c>
      <c r="F540" s="203">
        <v>624</v>
      </c>
      <c r="G540" s="202"/>
      <c r="H540" s="202"/>
      <c r="I540" s="202"/>
      <c r="J540" s="202">
        <v>0</v>
      </c>
      <c r="K540" s="202" t="s">
        <v>2081</v>
      </c>
      <c r="L540" s="202"/>
      <c r="M540" s="202"/>
      <c r="N540" s="206">
        <v>42134</v>
      </c>
      <c r="O540" s="206">
        <v>42134</v>
      </c>
      <c r="P540" s="202" t="s">
        <v>2285</v>
      </c>
      <c r="Q540" s="203">
        <v>700</v>
      </c>
      <c r="R540" s="203">
        <v>14050</v>
      </c>
      <c r="S540" s="204">
        <v>32729.22</v>
      </c>
      <c r="T540" s="203">
        <v>14056</v>
      </c>
      <c r="U540" s="204">
        <v>31170.67</v>
      </c>
      <c r="V540" s="204">
        <f t="shared" si="19"/>
        <v>1558.5500000000029</v>
      </c>
      <c r="W540" s="205">
        <v>4675.6000000000004</v>
      </c>
      <c r="X540" s="203">
        <v>54260</v>
      </c>
      <c r="Y540" s="204">
        <v>389.63</v>
      </c>
      <c r="Z540" s="202" t="s">
        <v>97</v>
      </c>
      <c r="AA540" s="202"/>
      <c r="AB540" s="202">
        <v>65369248</v>
      </c>
      <c r="AC540" s="202"/>
      <c r="AD540" s="202" t="s">
        <v>1152</v>
      </c>
      <c r="AE540" s="202" t="s">
        <v>1153</v>
      </c>
      <c r="AF540" s="203" t="s">
        <v>1154</v>
      </c>
      <c r="AG540" s="202"/>
      <c r="AH540" s="203" t="s">
        <v>1155</v>
      </c>
      <c r="AI540" s="202">
        <v>0</v>
      </c>
      <c r="AJ540" s="202">
        <v>0</v>
      </c>
    </row>
    <row r="541" spans="2:36">
      <c r="B541" s="203">
        <v>2180</v>
      </c>
      <c r="C541" s="207">
        <v>122561</v>
      </c>
      <c r="D541" s="203" t="s">
        <v>97</v>
      </c>
      <c r="E541" s="202" t="s">
        <v>2292</v>
      </c>
      <c r="F541" s="203"/>
      <c r="G541" s="202"/>
      <c r="H541" s="202" t="s">
        <v>2291</v>
      </c>
      <c r="I541" s="202"/>
      <c r="J541" s="202">
        <v>2016</v>
      </c>
      <c r="K541" s="202" t="s">
        <v>2290</v>
      </c>
      <c r="L541" s="202" t="s">
        <v>1732</v>
      </c>
      <c r="M541" s="202" t="s">
        <v>1404</v>
      </c>
      <c r="N541" s="206">
        <v>42154</v>
      </c>
      <c r="O541" s="206">
        <v>42154</v>
      </c>
      <c r="P541" s="202" t="s">
        <v>2289</v>
      </c>
      <c r="Q541" s="203">
        <v>1000</v>
      </c>
      <c r="R541" s="203">
        <v>14040</v>
      </c>
      <c r="S541" s="204">
        <v>339958.46</v>
      </c>
      <c r="T541" s="203">
        <v>14046</v>
      </c>
      <c r="U541" s="204">
        <v>223806.01</v>
      </c>
      <c r="V541" s="204">
        <f t="shared" si="19"/>
        <v>116152.45000000001</v>
      </c>
      <c r="W541" s="205">
        <v>33995.85</v>
      </c>
      <c r="X541" s="203">
        <v>51260</v>
      </c>
      <c r="Y541" s="204">
        <v>2832.99</v>
      </c>
      <c r="Z541" s="202" t="s">
        <v>97</v>
      </c>
      <c r="AA541" s="202"/>
      <c r="AB541" s="202" t="s">
        <v>2288</v>
      </c>
      <c r="AC541" s="202">
        <v>3643</v>
      </c>
      <c r="AD541" s="202" t="s">
        <v>1152</v>
      </c>
      <c r="AE541" s="202" t="s">
        <v>1153</v>
      </c>
      <c r="AF541" s="203" t="s">
        <v>1154</v>
      </c>
      <c r="AG541" s="202"/>
      <c r="AH541" s="203" t="s">
        <v>1155</v>
      </c>
      <c r="AI541" s="202">
        <v>0</v>
      </c>
      <c r="AJ541" s="202">
        <v>0</v>
      </c>
    </row>
    <row r="542" spans="2:36">
      <c r="B542" s="203">
        <v>2180</v>
      </c>
      <c r="C542" s="207">
        <v>122196</v>
      </c>
      <c r="D542" s="203" t="s">
        <v>97</v>
      </c>
      <c r="E542" s="202" t="s">
        <v>2287</v>
      </c>
      <c r="F542" s="203">
        <v>486</v>
      </c>
      <c r="G542" s="202"/>
      <c r="H542" s="202"/>
      <c r="I542" s="202"/>
      <c r="J542" s="202">
        <v>0</v>
      </c>
      <c r="K542" s="202" t="s">
        <v>1658</v>
      </c>
      <c r="L542" s="202"/>
      <c r="M542" s="202"/>
      <c r="N542" s="206">
        <v>42021</v>
      </c>
      <c r="O542" s="206">
        <v>42021</v>
      </c>
      <c r="P542" s="202" t="s">
        <v>2285</v>
      </c>
      <c r="Q542" s="203">
        <v>700</v>
      </c>
      <c r="R542" s="203">
        <v>14050</v>
      </c>
      <c r="S542" s="204">
        <v>27796.59</v>
      </c>
      <c r="T542" s="203">
        <v>14056</v>
      </c>
      <c r="U542" s="204">
        <v>27465.67</v>
      </c>
      <c r="V542" s="204">
        <f t="shared" si="19"/>
        <v>330.92000000000189</v>
      </c>
      <c r="W542" s="205">
        <v>3970.94</v>
      </c>
      <c r="X542" s="203">
        <v>54260</v>
      </c>
      <c r="Y542" s="204">
        <v>330.91</v>
      </c>
      <c r="Z542" s="202" t="s">
        <v>97</v>
      </c>
      <c r="AA542" s="202"/>
      <c r="AB542" s="202" t="s">
        <v>2286</v>
      </c>
      <c r="AC542" s="202"/>
      <c r="AD542" s="202" t="s">
        <v>1152</v>
      </c>
      <c r="AE542" s="202" t="s">
        <v>1153</v>
      </c>
      <c r="AF542" s="203" t="s">
        <v>1154</v>
      </c>
      <c r="AG542" s="202"/>
      <c r="AH542" s="203" t="s">
        <v>1155</v>
      </c>
      <c r="AI542" s="202">
        <v>0</v>
      </c>
      <c r="AJ542" s="202">
        <v>0</v>
      </c>
    </row>
    <row r="543" spans="2:36">
      <c r="B543" s="203">
        <v>2180</v>
      </c>
      <c r="C543" s="207">
        <v>122195</v>
      </c>
      <c r="D543" s="203" t="s">
        <v>97</v>
      </c>
      <c r="E543" s="202" t="s">
        <v>1928</v>
      </c>
      <c r="F543" s="203">
        <v>486</v>
      </c>
      <c r="G543" s="202"/>
      <c r="H543" s="202"/>
      <c r="I543" s="202"/>
      <c r="J543" s="202">
        <v>0</v>
      </c>
      <c r="K543" s="202" t="s">
        <v>1658</v>
      </c>
      <c r="L543" s="202"/>
      <c r="M543" s="202"/>
      <c r="N543" s="206">
        <v>42021</v>
      </c>
      <c r="O543" s="206">
        <v>42021</v>
      </c>
      <c r="P543" s="202" t="s">
        <v>2285</v>
      </c>
      <c r="Q543" s="203">
        <v>700</v>
      </c>
      <c r="R543" s="203">
        <v>14050</v>
      </c>
      <c r="S543" s="204">
        <v>27796.59</v>
      </c>
      <c r="T543" s="203">
        <v>14056</v>
      </c>
      <c r="U543" s="204">
        <v>27465.67</v>
      </c>
      <c r="V543" s="204">
        <f t="shared" si="19"/>
        <v>330.92000000000189</v>
      </c>
      <c r="W543" s="205">
        <v>3970.94</v>
      </c>
      <c r="X543" s="203">
        <v>54260</v>
      </c>
      <c r="Y543" s="204">
        <v>330.91</v>
      </c>
      <c r="Z543" s="202" t="s">
        <v>97</v>
      </c>
      <c r="AA543" s="202"/>
      <c r="AB543" s="202" t="s">
        <v>2284</v>
      </c>
      <c r="AC543" s="202"/>
      <c r="AD543" s="202" t="s">
        <v>1152</v>
      </c>
      <c r="AE543" s="202" t="s">
        <v>1153</v>
      </c>
      <c r="AF543" s="203" t="s">
        <v>1154</v>
      </c>
      <c r="AG543" s="202"/>
      <c r="AH543" s="203" t="s">
        <v>1155</v>
      </c>
      <c r="AI543" s="202">
        <v>0</v>
      </c>
      <c r="AJ543" s="202">
        <v>0</v>
      </c>
    </row>
    <row r="544" spans="2:36">
      <c r="B544" s="203">
        <v>2180</v>
      </c>
      <c r="C544" s="207">
        <v>120654</v>
      </c>
      <c r="D544" s="203" t="s">
        <v>97</v>
      </c>
      <c r="E544" s="202" t="s">
        <v>2283</v>
      </c>
      <c r="F544" s="203"/>
      <c r="G544" s="202"/>
      <c r="H544" s="202"/>
      <c r="I544" s="202"/>
      <c r="J544" s="202">
        <v>0</v>
      </c>
      <c r="K544" s="202" t="s">
        <v>1429</v>
      </c>
      <c r="L544" s="202"/>
      <c r="M544" s="202"/>
      <c r="N544" s="206">
        <v>42055</v>
      </c>
      <c r="O544" s="206">
        <v>42055</v>
      </c>
      <c r="P544" s="202" t="s">
        <v>2282</v>
      </c>
      <c r="Q544" s="203">
        <v>300</v>
      </c>
      <c r="R544" s="203">
        <v>14110</v>
      </c>
      <c r="S544" s="204">
        <v>4387.54</v>
      </c>
      <c r="T544" s="203">
        <v>14116</v>
      </c>
      <c r="U544" s="204">
        <v>4387.54</v>
      </c>
      <c r="V544" s="204">
        <f t="shared" si="19"/>
        <v>0</v>
      </c>
      <c r="W544" s="205">
        <v>0</v>
      </c>
      <c r="X544" s="203">
        <v>70260</v>
      </c>
      <c r="Y544" s="204">
        <v>0</v>
      </c>
      <c r="Z544" s="202" t="s">
        <v>97</v>
      </c>
      <c r="AA544" s="202"/>
      <c r="AB544" s="202" t="s">
        <v>2281</v>
      </c>
      <c r="AC544" s="202"/>
      <c r="AD544" s="202" t="s">
        <v>1152</v>
      </c>
      <c r="AE544" s="202" t="s">
        <v>1153</v>
      </c>
      <c r="AF544" s="203" t="s">
        <v>1154</v>
      </c>
      <c r="AG544" s="202"/>
      <c r="AH544" s="203" t="s">
        <v>1155</v>
      </c>
      <c r="AI544" s="202">
        <v>0</v>
      </c>
      <c r="AJ544" s="202">
        <v>0</v>
      </c>
    </row>
    <row r="545" spans="2:36">
      <c r="B545" s="203">
        <v>2180</v>
      </c>
      <c r="C545" s="207">
        <v>120653</v>
      </c>
      <c r="D545" s="203" t="s">
        <v>97</v>
      </c>
      <c r="E545" s="202" t="s">
        <v>2280</v>
      </c>
      <c r="F545" s="203"/>
      <c r="G545" s="202"/>
      <c r="H545" s="202"/>
      <c r="I545" s="202"/>
      <c r="J545" s="202">
        <v>0</v>
      </c>
      <c r="K545" s="202" t="s">
        <v>1429</v>
      </c>
      <c r="L545" s="202"/>
      <c r="M545" s="202"/>
      <c r="N545" s="206">
        <v>42055</v>
      </c>
      <c r="O545" s="206">
        <v>42055</v>
      </c>
      <c r="P545" s="202" t="s">
        <v>2279</v>
      </c>
      <c r="Q545" s="203">
        <v>300</v>
      </c>
      <c r="R545" s="203">
        <v>14110</v>
      </c>
      <c r="S545" s="204">
        <v>9908.6299999999992</v>
      </c>
      <c r="T545" s="203">
        <v>14116</v>
      </c>
      <c r="U545" s="204">
        <v>9908.6299999999992</v>
      </c>
      <c r="V545" s="204">
        <f t="shared" si="19"/>
        <v>0</v>
      </c>
      <c r="W545" s="205">
        <v>0</v>
      </c>
      <c r="X545" s="203">
        <v>70260</v>
      </c>
      <c r="Y545" s="204">
        <v>0</v>
      </c>
      <c r="Z545" s="202" t="s">
        <v>97</v>
      </c>
      <c r="AA545" s="202"/>
      <c r="AB545" s="202" t="s">
        <v>2278</v>
      </c>
      <c r="AC545" s="202"/>
      <c r="AD545" s="202" t="s">
        <v>1152</v>
      </c>
      <c r="AE545" s="202" t="s">
        <v>1153</v>
      </c>
      <c r="AF545" s="203" t="s">
        <v>1154</v>
      </c>
      <c r="AG545" s="202"/>
      <c r="AH545" s="203" t="s">
        <v>1155</v>
      </c>
      <c r="AI545" s="202">
        <v>0</v>
      </c>
      <c r="AJ545" s="202">
        <v>0</v>
      </c>
    </row>
    <row r="546" spans="2:36">
      <c r="B546" s="203">
        <v>2180</v>
      </c>
      <c r="C546" s="207">
        <v>119073</v>
      </c>
      <c r="D546" s="203" t="s">
        <v>97</v>
      </c>
      <c r="E546" s="202" t="s">
        <v>2277</v>
      </c>
      <c r="F546" s="203"/>
      <c r="G546" s="202"/>
      <c r="H546" s="202" t="s">
        <v>2276</v>
      </c>
      <c r="I546" s="202"/>
      <c r="J546" s="202">
        <v>2012</v>
      </c>
      <c r="K546" s="202" t="s">
        <v>2275</v>
      </c>
      <c r="L546" s="202" t="s">
        <v>2275</v>
      </c>
      <c r="M546" s="202" t="s">
        <v>1385</v>
      </c>
      <c r="N546" s="206">
        <v>42007</v>
      </c>
      <c r="O546" s="206">
        <v>42007</v>
      </c>
      <c r="P546" s="202" t="s">
        <v>2274</v>
      </c>
      <c r="Q546" s="203">
        <v>300</v>
      </c>
      <c r="R546" s="203">
        <v>14040</v>
      </c>
      <c r="S546" s="204">
        <v>27000</v>
      </c>
      <c r="T546" s="203">
        <v>14046</v>
      </c>
      <c r="U546" s="204">
        <v>27000</v>
      </c>
      <c r="V546" s="204">
        <f t="shared" si="19"/>
        <v>0</v>
      </c>
      <c r="W546" s="205">
        <v>0</v>
      </c>
      <c r="X546" s="203">
        <v>51260</v>
      </c>
      <c r="Y546" s="204">
        <v>0</v>
      </c>
      <c r="Z546" s="202" t="s">
        <v>97</v>
      </c>
      <c r="AA546" s="202"/>
      <c r="AB546" s="202">
        <v>1032015</v>
      </c>
      <c r="AC546" s="202">
        <v>6051</v>
      </c>
      <c r="AD546" s="202" t="s">
        <v>1152</v>
      </c>
      <c r="AE546" s="202" t="s">
        <v>1153</v>
      </c>
      <c r="AF546" s="203" t="s">
        <v>1154</v>
      </c>
      <c r="AG546" s="202"/>
      <c r="AH546" s="203" t="s">
        <v>1155</v>
      </c>
      <c r="AI546" s="202">
        <v>0</v>
      </c>
      <c r="AJ546" s="202">
        <v>0</v>
      </c>
    </row>
    <row r="547" spans="2:36">
      <c r="B547" s="203">
        <v>2180</v>
      </c>
      <c r="C547" s="207">
        <v>118903</v>
      </c>
      <c r="D547" s="203" t="s">
        <v>97</v>
      </c>
      <c r="E547" s="202" t="s">
        <v>2273</v>
      </c>
      <c r="F547" s="203">
        <v>486</v>
      </c>
      <c r="G547" s="202"/>
      <c r="H547" s="202"/>
      <c r="I547" s="202"/>
      <c r="J547" s="202">
        <v>0</v>
      </c>
      <c r="K547" s="202" t="s">
        <v>1658</v>
      </c>
      <c r="L547" s="202"/>
      <c r="M547" s="202"/>
      <c r="N547" s="206">
        <v>42005</v>
      </c>
      <c r="O547" s="206">
        <v>42005</v>
      </c>
      <c r="P547" s="202" t="s">
        <v>2188</v>
      </c>
      <c r="Q547" s="203">
        <v>607</v>
      </c>
      <c r="R547" s="203">
        <v>14050</v>
      </c>
      <c r="S547" s="204">
        <v>27813.17</v>
      </c>
      <c r="T547" s="203">
        <v>14056</v>
      </c>
      <c r="U547" s="204">
        <v>27813.17</v>
      </c>
      <c r="V547" s="204">
        <f t="shared" si="19"/>
        <v>0</v>
      </c>
      <c r="W547" s="205">
        <v>2464.4299999999998</v>
      </c>
      <c r="X547" s="203">
        <v>54260</v>
      </c>
      <c r="Y547" s="204">
        <v>0</v>
      </c>
      <c r="Z547" s="202" t="s">
        <v>97</v>
      </c>
      <c r="AA547" s="202"/>
      <c r="AB547" s="202" t="s">
        <v>2272</v>
      </c>
      <c r="AC547" s="202"/>
      <c r="AD547" s="202" t="s">
        <v>1152</v>
      </c>
      <c r="AE547" s="202" t="s">
        <v>1153</v>
      </c>
      <c r="AF547" s="203" t="s">
        <v>1154</v>
      </c>
      <c r="AG547" s="202"/>
      <c r="AH547" s="203" t="s">
        <v>1155</v>
      </c>
      <c r="AI547" s="202">
        <v>0</v>
      </c>
      <c r="AJ547" s="202">
        <v>0</v>
      </c>
    </row>
    <row r="548" spans="2:36">
      <c r="B548" s="203">
        <v>2180</v>
      </c>
      <c r="C548" s="207">
        <v>118545</v>
      </c>
      <c r="D548" s="203" t="s">
        <v>97</v>
      </c>
      <c r="E548" s="202" t="s">
        <v>2271</v>
      </c>
      <c r="F548" s="203"/>
      <c r="G548" s="202"/>
      <c r="H548" s="202"/>
      <c r="I548" s="202"/>
      <c r="J548" s="202">
        <v>0</v>
      </c>
      <c r="K548" s="202" t="s">
        <v>2270</v>
      </c>
      <c r="L548" s="202"/>
      <c r="M548" s="202"/>
      <c r="N548" s="206">
        <v>41969</v>
      </c>
      <c r="O548" s="206">
        <v>41969</v>
      </c>
      <c r="P548" s="202" t="s">
        <v>2269</v>
      </c>
      <c r="Q548" s="203">
        <v>300</v>
      </c>
      <c r="R548" s="203">
        <v>14110</v>
      </c>
      <c r="S548" s="204">
        <v>3066</v>
      </c>
      <c r="T548" s="203">
        <v>14116</v>
      </c>
      <c r="U548" s="204">
        <v>3066</v>
      </c>
      <c r="V548" s="204">
        <f t="shared" si="19"/>
        <v>0</v>
      </c>
      <c r="W548" s="205">
        <v>0</v>
      </c>
      <c r="X548" s="203">
        <v>70260</v>
      </c>
      <c r="Y548" s="204">
        <v>0</v>
      </c>
      <c r="Z548" s="202" t="s">
        <v>97</v>
      </c>
      <c r="AA548" s="202"/>
      <c r="AB548" s="202">
        <v>1287960</v>
      </c>
      <c r="AC548" s="202"/>
      <c r="AD548" s="202" t="s">
        <v>1152</v>
      </c>
      <c r="AE548" s="202" t="s">
        <v>1153</v>
      </c>
      <c r="AF548" s="203" t="s">
        <v>1154</v>
      </c>
      <c r="AG548" s="202"/>
      <c r="AH548" s="203" t="s">
        <v>1155</v>
      </c>
      <c r="AI548" s="202">
        <v>0</v>
      </c>
      <c r="AJ548" s="202">
        <v>0</v>
      </c>
    </row>
    <row r="549" spans="2:36">
      <c r="B549" s="203">
        <v>2180</v>
      </c>
      <c r="C549" s="207">
        <v>118539</v>
      </c>
      <c r="D549" s="203" t="s">
        <v>97</v>
      </c>
      <c r="E549" s="202" t="s">
        <v>921</v>
      </c>
      <c r="F549" s="203"/>
      <c r="G549" s="202"/>
      <c r="H549" s="202"/>
      <c r="I549" s="202"/>
      <c r="J549" s="202">
        <v>0</v>
      </c>
      <c r="K549" s="202" t="s">
        <v>2268</v>
      </c>
      <c r="L549" s="202"/>
      <c r="M549" s="202"/>
      <c r="N549" s="206">
        <v>41992</v>
      </c>
      <c r="O549" s="206">
        <v>41992</v>
      </c>
      <c r="P549" s="202" t="s">
        <v>2267</v>
      </c>
      <c r="Q549" s="203">
        <v>500</v>
      </c>
      <c r="R549" s="203">
        <v>14070</v>
      </c>
      <c r="S549" s="204">
        <v>12525.06</v>
      </c>
      <c r="T549" s="203">
        <v>14076</v>
      </c>
      <c r="U549" s="204">
        <v>12525.06</v>
      </c>
      <c r="V549" s="204">
        <f t="shared" si="19"/>
        <v>0</v>
      </c>
      <c r="W549" s="205">
        <v>0</v>
      </c>
      <c r="X549" s="203">
        <v>51260</v>
      </c>
      <c r="Y549" s="204">
        <v>0</v>
      </c>
      <c r="Z549" s="202" t="s">
        <v>97</v>
      </c>
      <c r="AA549" s="202"/>
      <c r="AB549" s="202" t="s">
        <v>2266</v>
      </c>
      <c r="AC549" s="202"/>
      <c r="AD549" s="202" t="s">
        <v>1152</v>
      </c>
      <c r="AE549" s="202" t="s">
        <v>1153</v>
      </c>
      <c r="AF549" s="203" t="s">
        <v>1154</v>
      </c>
      <c r="AG549" s="202"/>
      <c r="AH549" s="203" t="s">
        <v>1155</v>
      </c>
      <c r="AI549" s="202">
        <v>0</v>
      </c>
      <c r="AJ549" s="202">
        <v>0</v>
      </c>
    </row>
    <row r="550" spans="2:36">
      <c r="B550" s="203">
        <v>2180</v>
      </c>
      <c r="C550" s="207">
        <v>118538</v>
      </c>
      <c r="D550" s="203" t="s">
        <v>97</v>
      </c>
      <c r="E550" s="202" t="s">
        <v>922</v>
      </c>
      <c r="F550" s="203"/>
      <c r="G550" s="202"/>
      <c r="H550" s="202"/>
      <c r="I550" s="202"/>
      <c r="J550" s="202">
        <v>0</v>
      </c>
      <c r="K550" s="202" t="s">
        <v>2265</v>
      </c>
      <c r="L550" s="202"/>
      <c r="M550" s="202"/>
      <c r="N550" s="206">
        <v>41995</v>
      </c>
      <c r="O550" s="206">
        <v>41995</v>
      </c>
      <c r="P550" s="202" t="s">
        <v>2264</v>
      </c>
      <c r="Q550" s="203">
        <v>500</v>
      </c>
      <c r="R550" s="203">
        <v>14070</v>
      </c>
      <c r="S550" s="204">
        <v>6310.39</v>
      </c>
      <c r="T550" s="203">
        <v>14076</v>
      </c>
      <c r="U550" s="204">
        <v>6310.39</v>
      </c>
      <c r="V550" s="204">
        <f t="shared" si="19"/>
        <v>0</v>
      </c>
      <c r="W550" s="205">
        <v>0</v>
      </c>
      <c r="X550" s="203">
        <v>51260</v>
      </c>
      <c r="Y550" s="204">
        <v>0</v>
      </c>
      <c r="Z550" s="202" t="s">
        <v>97</v>
      </c>
      <c r="AA550" s="202"/>
      <c r="AB550" s="202">
        <v>66186334</v>
      </c>
      <c r="AC550" s="202"/>
      <c r="AD550" s="202" t="s">
        <v>1152</v>
      </c>
      <c r="AE550" s="202" t="s">
        <v>1153</v>
      </c>
      <c r="AF550" s="203" t="s">
        <v>1154</v>
      </c>
      <c r="AG550" s="202"/>
      <c r="AH550" s="203" t="s">
        <v>1155</v>
      </c>
      <c r="AI550" s="202">
        <v>0</v>
      </c>
      <c r="AJ550" s="202">
        <v>0</v>
      </c>
    </row>
    <row r="551" spans="2:36">
      <c r="B551" s="203">
        <v>2180</v>
      </c>
      <c r="C551" s="207">
        <v>118517</v>
      </c>
      <c r="D551" s="203">
        <v>90535</v>
      </c>
      <c r="E551" s="202" t="s">
        <v>2263</v>
      </c>
      <c r="F551" s="203"/>
      <c r="G551" s="202"/>
      <c r="H551" s="202"/>
      <c r="I551" s="202"/>
      <c r="J551" s="202">
        <v>0</v>
      </c>
      <c r="K551" s="202" t="s">
        <v>2262</v>
      </c>
      <c r="L551" s="202"/>
      <c r="M551" s="202" t="s">
        <v>1158</v>
      </c>
      <c r="N551" s="206">
        <v>41978</v>
      </c>
      <c r="O551" s="206">
        <v>41978</v>
      </c>
      <c r="P551" s="202" t="s">
        <v>2261</v>
      </c>
      <c r="Q551" s="203">
        <v>300</v>
      </c>
      <c r="R551" s="203">
        <v>14040</v>
      </c>
      <c r="S551" s="204">
        <v>8921.6</v>
      </c>
      <c r="T551" s="203">
        <v>14046</v>
      </c>
      <c r="U551" s="204">
        <v>8921.6</v>
      </c>
      <c r="V551" s="204">
        <f t="shared" si="19"/>
        <v>0</v>
      </c>
      <c r="W551" s="205">
        <v>0</v>
      </c>
      <c r="X551" s="203">
        <v>51260</v>
      </c>
      <c r="Y551" s="204">
        <v>0</v>
      </c>
      <c r="Z551" s="202" t="s">
        <v>97</v>
      </c>
      <c r="AA551" s="202"/>
      <c r="AB551" s="202">
        <v>54530</v>
      </c>
      <c r="AC551" s="202"/>
      <c r="AD551" s="202" t="s">
        <v>1152</v>
      </c>
      <c r="AE551" s="202" t="s">
        <v>1153</v>
      </c>
      <c r="AF551" s="203" t="s">
        <v>1154</v>
      </c>
      <c r="AG551" s="202"/>
      <c r="AH551" s="203" t="s">
        <v>1155</v>
      </c>
      <c r="AI551" s="202">
        <v>0</v>
      </c>
      <c r="AJ551" s="202">
        <v>0</v>
      </c>
    </row>
    <row r="552" spans="2:36">
      <c r="B552" s="203">
        <v>2180</v>
      </c>
      <c r="C552" s="207">
        <v>118515</v>
      </c>
      <c r="D552" s="203">
        <v>90564</v>
      </c>
      <c r="E552" s="202" t="s">
        <v>2260</v>
      </c>
      <c r="F552" s="203"/>
      <c r="G552" s="202"/>
      <c r="H552" s="202"/>
      <c r="I552" s="202"/>
      <c r="J552" s="202">
        <v>0</v>
      </c>
      <c r="K552" s="202" t="s">
        <v>2259</v>
      </c>
      <c r="L552" s="202"/>
      <c r="M552" s="202" t="s">
        <v>1158</v>
      </c>
      <c r="N552" s="206">
        <v>41989</v>
      </c>
      <c r="O552" s="206">
        <v>41989</v>
      </c>
      <c r="P552" s="202" t="s">
        <v>2258</v>
      </c>
      <c r="Q552" s="203">
        <v>300</v>
      </c>
      <c r="R552" s="203">
        <v>14040</v>
      </c>
      <c r="S552" s="204">
        <v>8921.6</v>
      </c>
      <c r="T552" s="203">
        <v>14046</v>
      </c>
      <c r="U552" s="204">
        <v>8921.6</v>
      </c>
      <c r="V552" s="204">
        <f t="shared" si="19"/>
        <v>0</v>
      </c>
      <c r="W552" s="205">
        <v>0</v>
      </c>
      <c r="X552" s="203">
        <v>51260</v>
      </c>
      <c r="Y552" s="204">
        <v>0</v>
      </c>
      <c r="Z552" s="202" t="s">
        <v>97</v>
      </c>
      <c r="AA552" s="202"/>
      <c r="AB552" s="202">
        <v>54608</v>
      </c>
      <c r="AC552" s="202"/>
      <c r="AD552" s="202" t="s">
        <v>1152</v>
      </c>
      <c r="AE552" s="202" t="s">
        <v>1153</v>
      </c>
      <c r="AF552" s="203" t="s">
        <v>1154</v>
      </c>
      <c r="AG552" s="202"/>
      <c r="AH552" s="203" t="s">
        <v>1155</v>
      </c>
      <c r="AI552" s="202">
        <v>0</v>
      </c>
      <c r="AJ552" s="202">
        <v>0</v>
      </c>
    </row>
    <row r="553" spans="2:36">
      <c r="B553" s="203">
        <v>2180</v>
      </c>
      <c r="C553" s="207">
        <v>118512</v>
      </c>
      <c r="D553" s="203">
        <v>90529</v>
      </c>
      <c r="E553" s="202" t="s">
        <v>2257</v>
      </c>
      <c r="F553" s="203"/>
      <c r="G553" s="202"/>
      <c r="H553" s="202"/>
      <c r="I553" s="202"/>
      <c r="J553" s="202">
        <v>0</v>
      </c>
      <c r="K553" s="202" t="s">
        <v>2256</v>
      </c>
      <c r="L553" s="202"/>
      <c r="M553" s="202" t="s">
        <v>1158</v>
      </c>
      <c r="N553" s="206">
        <v>41968</v>
      </c>
      <c r="O553" s="206">
        <v>41968</v>
      </c>
      <c r="P553" s="202" t="s">
        <v>2255</v>
      </c>
      <c r="Q553" s="203">
        <v>300</v>
      </c>
      <c r="R553" s="203">
        <v>14040</v>
      </c>
      <c r="S553" s="204">
        <v>8921.6</v>
      </c>
      <c r="T553" s="203">
        <v>14046</v>
      </c>
      <c r="U553" s="204">
        <v>8921.6</v>
      </c>
      <c r="V553" s="204">
        <f t="shared" si="19"/>
        <v>0</v>
      </c>
      <c r="W553" s="205">
        <v>0</v>
      </c>
      <c r="X553" s="203">
        <v>51260</v>
      </c>
      <c r="Y553" s="204">
        <v>0</v>
      </c>
      <c r="Z553" s="202" t="s">
        <v>97</v>
      </c>
      <c r="AA553" s="202"/>
      <c r="AB553" s="202">
        <v>54431</v>
      </c>
      <c r="AC553" s="202"/>
      <c r="AD553" s="202" t="s">
        <v>1152</v>
      </c>
      <c r="AE553" s="202" t="s">
        <v>1153</v>
      </c>
      <c r="AF553" s="203" t="s">
        <v>1154</v>
      </c>
      <c r="AG553" s="202"/>
      <c r="AH553" s="203" t="s">
        <v>1155</v>
      </c>
      <c r="AI553" s="202">
        <v>0</v>
      </c>
      <c r="AJ553" s="202">
        <v>0</v>
      </c>
    </row>
    <row r="554" spans="2:36">
      <c r="B554" s="203">
        <v>2180</v>
      </c>
      <c r="C554" s="207">
        <v>117837</v>
      </c>
      <c r="D554" s="203" t="s">
        <v>97</v>
      </c>
      <c r="E554" s="202" t="s">
        <v>2254</v>
      </c>
      <c r="F554" s="203">
        <v>624</v>
      </c>
      <c r="G554" s="202"/>
      <c r="H554" s="202"/>
      <c r="I554" s="202"/>
      <c r="J554" s="202">
        <v>0</v>
      </c>
      <c r="K554" s="202" t="s">
        <v>2010</v>
      </c>
      <c r="L554" s="202"/>
      <c r="M554" s="202"/>
      <c r="N554" s="206">
        <v>41936</v>
      </c>
      <c r="O554" s="206">
        <v>41936</v>
      </c>
      <c r="P554" s="202" t="s">
        <v>2251</v>
      </c>
      <c r="Q554" s="203">
        <v>700</v>
      </c>
      <c r="R554" s="203">
        <v>14050</v>
      </c>
      <c r="S554" s="204">
        <v>26546.799999999999</v>
      </c>
      <c r="T554" s="203">
        <v>14056</v>
      </c>
      <c r="U554" s="204">
        <v>26546.799999999999</v>
      </c>
      <c r="V554" s="204">
        <f t="shared" si="19"/>
        <v>0</v>
      </c>
      <c r="W554" s="205">
        <v>3160.33</v>
      </c>
      <c r="X554" s="203">
        <v>54260</v>
      </c>
      <c r="Y554" s="204">
        <v>0</v>
      </c>
      <c r="Z554" s="202" t="s">
        <v>97</v>
      </c>
      <c r="AA554" s="202"/>
      <c r="AB554" s="202" t="s">
        <v>2250</v>
      </c>
      <c r="AC554" s="202"/>
      <c r="AD554" s="202" t="s">
        <v>1152</v>
      </c>
      <c r="AE554" s="202" t="s">
        <v>1153</v>
      </c>
      <c r="AF554" s="203" t="s">
        <v>1154</v>
      </c>
      <c r="AG554" s="202"/>
      <c r="AH554" s="203" t="s">
        <v>1155</v>
      </c>
      <c r="AI554" s="202">
        <v>0</v>
      </c>
      <c r="AJ554" s="202">
        <v>0</v>
      </c>
    </row>
    <row r="555" spans="2:36">
      <c r="B555" s="203">
        <v>2180</v>
      </c>
      <c r="C555" s="207">
        <v>117836</v>
      </c>
      <c r="D555" s="203" t="s">
        <v>97</v>
      </c>
      <c r="E555" s="202" t="s">
        <v>2253</v>
      </c>
      <c r="F555" s="203">
        <v>624</v>
      </c>
      <c r="G555" s="202"/>
      <c r="H555" s="202"/>
      <c r="I555" s="202"/>
      <c r="J555" s="202">
        <v>0</v>
      </c>
      <c r="K555" s="202" t="s">
        <v>2010</v>
      </c>
      <c r="L555" s="202"/>
      <c r="M555" s="202"/>
      <c r="N555" s="206">
        <v>41936</v>
      </c>
      <c r="O555" s="206">
        <v>41936</v>
      </c>
      <c r="P555" s="202" t="s">
        <v>2251</v>
      </c>
      <c r="Q555" s="203">
        <v>700</v>
      </c>
      <c r="R555" s="203">
        <v>14050</v>
      </c>
      <c r="S555" s="204">
        <v>26546.799999999999</v>
      </c>
      <c r="T555" s="203">
        <v>14056</v>
      </c>
      <c r="U555" s="204">
        <v>26546.799999999999</v>
      </c>
      <c r="V555" s="204">
        <f t="shared" si="19"/>
        <v>0</v>
      </c>
      <c r="W555" s="205">
        <v>3160.33</v>
      </c>
      <c r="X555" s="203">
        <v>54260</v>
      </c>
      <c r="Y555" s="204">
        <v>0</v>
      </c>
      <c r="Z555" s="202" t="s">
        <v>97</v>
      </c>
      <c r="AA555" s="202"/>
      <c r="AB555" s="202" t="s">
        <v>2250</v>
      </c>
      <c r="AC555" s="202"/>
      <c r="AD555" s="202" t="s">
        <v>1152</v>
      </c>
      <c r="AE555" s="202" t="s">
        <v>1153</v>
      </c>
      <c r="AF555" s="203" t="s">
        <v>1154</v>
      </c>
      <c r="AG555" s="202"/>
      <c r="AH555" s="203" t="s">
        <v>1155</v>
      </c>
      <c r="AI555" s="202">
        <v>0</v>
      </c>
      <c r="AJ555" s="202">
        <v>0</v>
      </c>
    </row>
    <row r="556" spans="2:36">
      <c r="B556" s="203">
        <v>2180</v>
      </c>
      <c r="C556" s="207">
        <v>117835</v>
      </c>
      <c r="D556" s="203" t="s">
        <v>97</v>
      </c>
      <c r="E556" s="202" t="s">
        <v>2252</v>
      </c>
      <c r="F556" s="203">
        <v>1728</v>
      </c>
      <c r="G556" s="202"/>
      <c r="H556" s="202"/>
      <c r="I556" s="202"/>
      <c r="J556" s="202">
        <v>0</v>
      </c>
      <c r="K556" s="202" t="s">
        <v>2010</v>
      </c>
      <c r="L556" s="202"/>
      <c r="M556" s="202"/>
      <c r="N556" s="206">
        <v>41941</v>
      </c>
      <c r="O556" s="206">
        <v>41941</v>
      </c>
      <c r="P556" s="202" t="s">
        <v>2251</v>
      </c>
      <c r="Q556" s="203">
        <v>700</v>
      </c>
      <c r="R556" s="203">
        <v>14050</v>
      </c>
      <c r="S556" s="204">
        <v>62667.29</v>
      </c>
      <c r="T556" s="203">
        <v>14056</v>
      </c>
      <c r="U556" s="204">
        <v>62667.29</v>
      </c>
      <c r="V556" s="204">
        <f t="shared" si="19"/>
        <v>0</v>
      </c>
      <c r="W556" s="205">
        <v>7460.39</v>
      </c>
      <c r="X556" s="203">
        <v>54260</v>
      </c>
      <c r="Y556" s="204">
        <v>0</v>
      </c>
      <c r="Z556" s="202" t="s">
        <v>97</v>
      </c>
      <c r="AA556" s="202"/>
      <c r="AB556" s="202" t="s">
        <v>2250</v>
      </c>
      <c r="AC556" s="202"/>
      <c r="AD556" s="202" t="s">
        <v>1152</v>
      </c>
      <c r="AE556" s="202" t="s">
        <v>1153</v>
      </c>
      <c r="AF556" s="203" t="s">
        <v>1154</v>
      </c>
      <c r="AG556" s="202"/>
      <c r="AH556" s="203" t="s">
        <v>1155</v>
      </c>
      <c r="AI556" s="202">
        <v>0</v>
      </c>
      <c r="AJ556" s="202">
        <v>0</v>
      </c>
    </row>
    <row r="557" spans="2:36">
      <c r="B557" s="203">
        <v>2180</v>
      </c>
      <c r="C557" s="207">
        <v>117319</v>
      </c>
      <c r="D557" s="203" t="s">
        <v>97</v>
      </c>
      <c r="E557" s="202" t="s">
        <v>2228</v>
      </c>
      <c r="F557" s="203">
        <v>0</v>
      </c>
      <c r="G557" s="202"/>
      <c r="H557" s="202" t="s">
        <v>2249</v>
      </c>
      <c r="I557" s="202"/>
      <c r="J557" s="202">
        <v>2015</v>
      </c>
      <c r="K557" s="202" t="s">
        <v>1822</v>
      </c>
      <c r="L557" s="202" t="s">
        <v>2216</v>
      </c>
      <c r="M557" s="202" t="s">
        <v>1404</v>
      </c>
      <c r="N557" s="206">
        <v>41973</v>
      </c>
      <c r="O557" s="206">
        <v>41973</v>
      </c>
      <c r="P557" s="202" t="s">
        <v>2248</v>
      </c>
      <c r="Q557" s="203">
        <v>1000</v>
      </c>
      <c r="R557" s="203">
        <v>14040</v>
      </c>
      <c r="S557" s="204">
        <v>318890.2</v>
      </c>
      <c r="T557" s="203">
        <v>14046</v>
      </c>
      <c r="U557" s="204">
        <v>225880.56</v>
      </c>
      <c r="V557" s="204">
        <f t="shared" si="19"/>
        <v>93009.640000000014</v>
      </c>
      <c r="W557" s="205">
        <v>31889.02</v>
      </c>
      <c r="X557" s="203">
        <v>51260</v>
      </c>
      <c r="Y557" s="204">
        <v>2657.42</v>
      </c>
      <c r="Z557" s="202" t="s">
        <v>97</v>
      </c>
      <c r="AA557" s="202"/>
      <c r="AB557" s="202"/>
      <c r="AC557" s="202">
        <v>3641</v>
      </c>
      <c r="AD557" s="202" t="s">
        <v>1152</v>
      </c>
      <c r="AE557" s="202" t="s">
        <v>1153</v>
      </c>
      <c r="AF557" s="203" t="s">
        <v>1154</v>
      </c>
      <c r="AG557" s="202"/>
      <c r="AH557" s="203" t="s">
        <v>1155</v>
      </c>
      <c r="AI557" s="202">
        <v>0</v>
      </c>
      <c r="AJ557" s="202">
        <v>0</v>
      </c>
    </row>
    <row r="558" spans="2:36">
      <c r="B558" s="203">
        <v>2180</v>
      </c>
      <c r="C558" s="207">
        <v>116970</v>
      </c>
      <c r="D558" s="203" t="s">
        <v>97</v>
      </c>
      <c r="E558" s="202" t="s">
        <v>1262</v>
      </c>
      <c r="F558" s="203">
        <v>549</v>
      </c>
      <c r="G558" s="202"/>
      <c r="H558" s="202"/>
      <c r="I558" s="202"/>
      <c r="J558" s="202">
        <v>0</v>
      </c>
      <c r="K558" s="202" t="s">
        <v>2165</v>
      </c>
      <c r="L558" s="202"/>
      <c r="M558" s="202"/>
      <c r="N558" s="206">
        <v>41894</v>
      </c>
      <c r="O558" s="206">
        <v>41894</v>
      </c>
      <c r="P558" s="202" t="s">
        <v>2164</v>
      </c>
      <c r="Q558" s="203">
        <v>700</v>
      </c>
      <c r="R558" s="203">
        <v>14050</v>
      </c>
      <c r="S558" s="204">
        <v>30794.2</v>
      </c>
      <c r="T558" s="203">
        <v>14056</v>
      </c>
      <c r="U558" s="204">
        <v>30794.2</v>
      </c>
      <c r="V558" s="204">
        <f t="shared" si="19"/>
        <v>0</v>
      </c>
      <c r="W558" s="205">
        <v>2932.79</v>
      </c>
      <c r="X558" s="203">
        <v>54260</v>
      </c>
      <c r="Y558" s="204">
        <v>0</v>
      </c>
      <c r="Z558" s="202" t="s">
        <v>97</v>
      </c>
      <c r="AA558" s="202"/>
      <c r="AB558" s="202" t="s">
        <v>2247</v>
      </c>
      <c r="AC558" s="202"/>
      <c r="AD558" s="202" t="s">
        <v>1152</v>
      </c>
      <c r="AE558" s="202" t="s">
        <v>1153</v>
      </c>
      <c r="AF558" s="203" t="s">
        <v>1154</v>
      </c>
      <c r="AG558" s="202"/>
      <c r="AH558" s="203" t="s">
        <v>1155</v>
      </c>
      <c r="AI558" s="202">
        <v>0</v>
      </c>
      <c r="AJ558" s="202">
        <v>0</v>
      </c>
    </row>
    <row r="559" spans="2:36">
      <c r="B559" s="203">
        <v>2180</v>
      </c>
      <c r="C559" s="207">
        <v>116969</v>
      </c>
      <c r="D559" s="203" t="s">
        <v>97</v>
      </c>
      <c r="E559" s="202" t="s">
        <v>672</v>
      </c>
      <c r="F559" s="203">
        <v>486</v>
      </c>
      <c r="G559" s="202"/>
      <c r="H559" s="202"/>
      <c r="I559" s="202"/>
      <c r="J559" s="202">
        <v>0</v>
      </c>
      <c r="K559" s="202" t="s">
        <v>1658</v>
      </c>
      <c r="L559" s="202"/>
      <c r="M559" s="202"/>
      <c r="N559" s="206">
        <v>41920</v>
      </c>
      <c r="O559" s="206">
        <v>41920</v>
      </c>
      <c r="P559" s="202" t="s">
        <v>2161</v>
      </c>
      <c r="Q559" s="203">
        <v>700</v>
      </c>
      <c r="R559" s="203">
        <v>14050</v>
      </c>
      <c r="S559" s="204">
        <v>27750.61</v>
      </c>
      <c r="T559" s="203">
        <v>14056</v>
      </c>
      <c r="U559" s="204">
        <v>27750.61</v>
      </c>
      <c r="V559" s="204">
        <f t="shared" si="19"/>
        <v>0</v>
      </c>
      <c r="W559" s="205">
        <v>2973.3</v>
      </c>
      <c r="X559" s="203">
        <v>54260</v>
      </c>
      <c r="Y559" s="204">
        <v>0</v>
      </c>
      <c r="Z559" s="202" t="s">
        <v>97</v>
      </c>
      <c r="AA559" s="202"/>
      <c r="AB559" s="202" t="s">
        <v>2246</v>
      </c>
      <c r="AC559" s="202"/>
      <c r="AD559" s="202" t="s">
        <v>1152</v>
      </c>
      <c r="AE559" s="202" t="s">
        <v>1153</v>
      </c>
      <c r="AF559" s="203" t="s">
        <v>1154</v>
      </c>
      <c r="AG559" s="202"/>
      <c r="AH559" s="203" t="s">
        <v>1155</v>
      </c>
      <c r="AI559" s="202">
        <v>0</v>
      </c>
      <c r="AJ559" s="202">
        <v>0</v>
      </c>
    </row>
    <row r="560" spans="2:36">
      <c r="B560" s="203">
        <v>2180</v>
      </c>
      <c r="C560" s="207">
        <v>116855</v>
      </c>
      <c r="D560" s="203">
        <v>116569</v>
      </c>
      <c r="E560" s="202" t="s">
        <v>2245</v>
      </c>
      <c r="F560" s="203"/>
      <c r="G560" s="202"/>
      <c r="H560" s="202"/>
      <c r="I560" s="202"/>
      <c r="J560" s="202">
        <v>0</v>
      </c>
      <c r="K560" s="202" t="s">
        <v>2136</v>
      </c>
      <c r="L560" s="202"/>
      <c r="M560" s="202" t="s">
        <v>1158</v>
      </c>
      <c r="N560" s="206">
        <v>41943</v>
      </c>
      <c r="O560" s="206">
        <v>41943</v>
      </c>
      <c r="P560" s="202" t="s">
        <v>2238</v>
      </c>
      <c r="Q560" s="203">
        <v>700</v>
      </c>
      <c r="R560" s="203">
        <v>14040</v>
      </c>
      <c r="S560" s="204">
        <v>913.92</v>
      </c>
      <c r="T560" s="203">
        <v>14046</v>
      </c>
      <c r="U560" s="204">
        <v>913.92</v>
      </c>
      <c r="V560" s="204">
        <f t="shared" si="19"/>
        <v>0</v>
      </c>
      <c r="W560" s="205">
        <v>108.8</v>
      </c>
      <c r="X560" s="203">
        <v>51260</v>
      </c>
      <c r="Y560" s="204">
        <v>0</v>
      </c>
      <c r="Z560" s="202" t="s">
        <v>97</v>
      </c>
      <c r="AA560" s="202"/>
      <c r="AB560" s="202">
        <v>1527</v>
      </c>
      <c r="AC560" s="202"/>
      <c r="AD560" s="202" t="s">
        <v>1152</v>
      </c>
      <c r="AE560" s="202" t="s">
        <v>1153</v>
      </c>
      <c r="AF560" s="203" t="s">
        <v>1154</v>
      </c>
      <c r="AG560" s="202"/>
      <c r="AH560" s="203" t="s">
        <v>1155</v>
      </c>
      <c r="AI560" s="202">
        <v>0</v>
      </c>
      <c r="AJ560" s="202">
        <v>0</v>
      </c>
    </row>
    <row r="561" spans="2:36">
      <c r="B561" s="203">
        <v>2180</v>
      </c>
      <c r="C561" s="207">
        <v>116854</v>
      </c>
      <c r="D561" s="203">
        <v>116569</v>
      </c>
      <c r="E561" s="202" t="s">
        <v>2244</v>
      </c>
      <c r="F561" s="203"/>
      <c r="G561" s="202"/>
      <c r="H561" s="202"/>
      <c r="I561" s="202"/>
      <c r="J561" s="202">
        <v>0</v>
      </c>
      <c r="K561" s="202" t="s">
        <v>2243</v>
      </c>
      <c r="L561" s="202"/>
      <c r="M561" s="202" t="s">
        <v>1158</v>
      </c>
      <c r="N561" s="206">
        <v>41943</v>
      </c>
      <c r="O561" s="206">
        <v>41943</v>
      </c>
      <c r="P561" s="202" t="s">
        <v>2238</v>
      </c>
      <c r="Q561" s="203">
        <v>700</v>
      </c>
      <c r="R561" s="203">
        <v>14040</v>
      </c>
      <c r="S561" s="204">
        <v>22274.73</v>
      </c>
      <c r="T561" s="203">
        <v>14046</v>
      </c>
      <c r="U561" s="204">
        <v>22274.73</v>
      </c>
      <c r="V561" s="204">
        <f t="shared" si="19"/>
        <v>0</v>
      </c>
      <c r="W561" s="205">
        <v>2651.72</v>
      </c>
      <c r="X561" s="203">
        <v>51260</v>
      </c>
      <c r="Y561" s="204">
        <v>0</v>
      </c>
      <c r="Z561" s="202" t="s">
        <v>97</v>
      </c>
      <c r="AA561" s="202"/>
      <c r="AB561" s="202" t="s">
        <v>2242</v>
      </c>
      <c r="AC561" s="202"/>
      <c r="AD561" s="202" t="s">
        <v>1152</v>
      </c>
      <c r="AE561" s="202" t="s">
        <v>1153</v>
      </c>
      <c r="AF561" s="203" t="s">
        <v>1154</v>
      </c>
      <c r="AG561" s="202"/>
      <c r="AH561" s="203" t="s">
        <v>1155</v>
      </c>
      <c r="AI561" s="202">
        <v>0</v>
      </c>
      <c r="AJ561" s="202">
        <v>0</v>
      </c>
    </row>
    <row r="562" spans="2:36">
      <c r="B562" s="203">
        <v>2180</v>
      </c>
      <c r="C562" s="207">
        <v>116569</v>
      </c>
      <c r="D562" s="203" t="s">
        <v>97</v>
      </c>
      <c r="E562" s="202" t="s">
        <v>2241</v>
      </c>
      <c r="F562" s="203">
        <v>0</v>
      </c>
      <c r="G562" s="202"/>
      <c r="H562" s="202" t="s">
        <v>2240</v>
      </c>
      <c r="I562" s="202"/>
      <c r="J562" s="202">
        <v>2012</v>
      </c>
      <c r="K562" s="202" t="s">
        <v>2199</v>
      </c>
      <c r="L562" s="202" t="s">
        <v>2239</v>
      </c>
      <c r="M562" s="202" t="s">
        <v>1999</v>
      </c>
      <c r="N562" s="206">
        <v>41943</v>
      </c>
      <c r="O562" s="206">
        <v>41943</v>
      </c>
      <c r="P562" s="202" t="s">
        <v>2238</v>
      </c>
      <c r="Q562" s="203">
        <v>700</v>
      </c>
      <c r="R562" s="203">
        <v>14040</v>
      </c>
      <c r="S562" s="204">
        <v>257104</v>
      </c>
      <c r="T562" s="203">
        <v>14046</v>
      </c>
      <c r="U562" s="204">
        <v>257104</v>
      </c>
      <c r="V562" s="204">
        <f t="shared" si="19"/>
        <v>0</v>
      </c>
      <c r="W562" s="205">
        <v>30607.64</v>
      </c>
      <c r="X562" s="203">
        <v>51260</v>
      </c>
      <c r="Y562" s="204">
        <v>0</v>
      </c>
      <c r="Z562" s="202" t="s">
        <v>97</v>
      </c>
      <c r="AA562" s="202"/>
      <c r="AB562" s="202"/>
      <c r="AC562" s="202">
        <v>2043</v>
      </c>
      <c r="AD562" s="202" t="s">
        <v>1152</v>
      </c>
      <c r="AE562" s="202" t="s">
        <v>1153</v>
      </c>
      <c r="AF562" s="203" t="s">
        <v>1154</v>
      </c>
      <c r="AG562" s="202"/>
      <c r="AH562" s="203" t="s">
        <v>1155</v>
      </c>
      <c r="AI562" s="202">
        <v>0</v>
      </c>
      <c r="AJ562" s="202">
        <v>0</v>
      </c>
    </row>
    <row r="563" spans="2:36">
      <c r="B563" s="203">
        <v>2180</v>
      </c>
      <c r="C563" s="207">
        <v>116164</v>
      </c>
      <c r="D563" s="203">
        <v>90521</v>
      </c>
      <c r="E563" s="202" t="s">
        <v>176</v>
      </c>
      <c r="F563" s="203"/>
      <c r="G563" s="202"/>
      <c r="H563" s="202"/>
      <c r="I563" s="202"/>
      <c r="J563" s="202">
        <v>0</v>
      </c>
      <c r="K563" s="202"/>
      <c r="L563" s="202"/>
      <c r="M563" s="202" t="s">
        <v>1158</v>
      </c>
      <c r="N563" s="206">
        <v>41900</v>
      </c>
      <c r="O563" s="206">
        <v>41900</v>
      </c>
      <c r="P563" s="202" t="s">
        <v>2237</v>
      </c>
      <c r="Q563" s="203">
        <v>300</v>
      </c>
      <c r="R563" s="203">
        <v>14040</v>
      </c>
      <c r="S563" s="204">
        <v>28134.68</v>
      </c>
      <c r="T563" s="203">
        <v>14046</v>
      </c>
      <c r="U563" s="204">
        <v>28134.68</v>
      </c>
      <c r="V563" s="204">
        <f t="shared" si="19"/>
        <v>0</v>
      </c>
      <c r="W563" s="205">
        <v>0</v>
      </c>
      <c r="X563" s="203">
        <v>51260</v>
      </c>
      <c r="Y563" s="204">
        <v>0</v>
      </c>
      <c r="Z563" s="202" t="s">
        <v>97</v>
      </c>
      <c r="AA563" s="202"/>
      <c r="AB563" s="202">
        <v>2613673</v>
      </c>
      <c r="AC563" s="202"/>
      <c r="AD563" s="202" t="s">
        <v>1152</v>
      </c>
      <c r="AE563" s="202" t="s">
        <v>1153</v>
      </c>
      <c r="AF563" s="203" t="s">
        <v>1154</v>
      </c>
      <c r="AG563" s="202"/>
      <c r="AH563" s="203" t="s">
        <v>1155</v>
      </c>
      <c r="AI563" s="202">
        <v>0</v>
      </c>
      <c r="AJ563" s="202">
        <v>0</v>
      </c>
    </row>
    <row r="564" spans="2:36">
      <c r="B564" s="203">
        <v>2180</v>
      </c>
      <c r="C564" s="207">
        <v>116079</v>
      </c>
      <c r="D564" s="203">
        <v>115278</v>
      </c>
      <c r="E564" s="202" t="s">
        <v>2236</v>
      </c>
      <c r="F564" s="203"/>
      <c r="G564" s="202"/>
      <c r="H564" s="202" t="s">
        <v>2227</v>
      </c>
      <c r="I564" s="202"/>
      <c r="J564" s="202">
        <v>0</v>
      </c>
      <c r="K564" s="202"/>
      <c r="L564" s="202"/>
      <c r="M564" s="202" t="s">
        <v>1158</v>
      </c>
      <c r="N564" s="206">
        <v>41873</v>
      </c>
      <c r="O564" s="206">
        <v>41873</v>
      </c>
      <c r="P564" s="202" t="s">
        <v>2226</v>
      </c>
      <c r="Q564" s="203">
        <v>1000</v>
      </c>
      <c r="R564" s="203">
        <v>14040</v>
      </c>
      <c r="S564" s="204">
        <v>913.92</v>
      </c>
      <c r="T564" s="203">
        <v>14046</v>
      </c>
      <c r="U564" s="204">
        <v>670.19</v>
      </c>
      <c r="V564" s="204">
        <f t="shared" si="19"/>
        <v>243.7299999999999</v>
      </c>
      <c r="W564" s="205">
        <v>91.39</v>
      </c>
      <c r="X564" s="203">
        <v>51260</v>
      </c>
      <c r="Y564" s="204">
        <v>7.62</v>
      </c>
      <c r="Z564" s="202" t="s">
        <v>97</v>
      </c>
      <c r="AA564" s="202"/>
      <c r="AB564" s="202">
        <v>1488</v>
      </c>
      <c r="AC564" s="202"/>
      <c r="AD564" s="202" t="s">
        <v>1152</v>
      </c>
      <c r="AE564" s="202" t="s">
        <v>1153</v>
      </c>
      <c r="AF564" s="203" t="s">
        <v>1154</v>
      </c>
      <c r="AG564" s="202"/>
      <c r="AH564" s="203" t="s">
        <v>1155</v>
      </c>
      <c r="AI564" s="202">
        <v>0</v>
      </c>
      <c r="AJ564" s="202">
        <v>0</v>
      </c>
    </row>
    <row r="565" spans="2:36">
      <c r="B565" s="203">
        <v>2180</v>
      </c>
      <c r="C565" s="207">
        <v>115960</v>
      </c>
      <c r="D565" s="203">
        <v>60775</v>
      </c>
      <c r="E565" s="202" t="s">
        <v>176</v>
      </c>
      <c r="F565" s="203">
        <v>0</v>
      </c>
      <c r="G565" s="202"/>
      <c r="H565" s="202"/>
      <c r="I565" s="202"/>
      <c r="J565" s="202">
        <v>0</v>
      </c>
      <c r="K565" s="202"/>
      <c r="L565" s="202"/>
      <c r="M565" s="202" t="s">
        <v>1447</v>
      </c>
      <c r="N565" s="206">
        <v>41814</v>
      </c>
      <c r="O565" s="206">
        <v>41814</v>
      </c>
      <c r="P565" s="202" t="s">
        <v>2235</v>
      </c>
      <c r="Q565" s="203">
        <v>300</v>
      </c>
      <c r="R565" s="203">
        <v>14040</v>
      </c>
      <c r="S565" s="204">
        <v>26931.15</v>
      </c>
      <c r="T565" s="203">
        <v>14046</v>
      </c>
      <c r="U565" s="204">
        <v>26931.15</v>
      </c>
      <c r="V565" s="204">
        <f t="shared" si="19"/>
        <v>0</v>
      </c>
      <c r="W565" s="205">
        <v>0</v>
      </c>
      <c r="X565" s="203">
        <v>51260</v>
      </c>
      <c r="Y565" s="204">
        <v>0</v>
      </c>
      <c r="Z565" s="202" t="s">
        <v>97</v>
      </c>
      <c r="AA565" s="202"/>
      <c r="AB565" s="202"/>
      <c r="AC565" s="202"/>
      <c r="AD565" s="202" t="s">
        <v>1152</v>
      </c>
      <c r="AE565" s="202" t="s">
        <v>1153</v>
      </c>
      <c r="AF565" s="203" t="s">
        <v>1154</v>
      </c>
      <c r="AG565" s="202"/>
      <c r="AH565" s="203" t="s">
        <v>1155</v>
      </c>
      <c r="AI565" s="202">
        <v>0</v>
      </c>
      <c r="AJ565" s="202">
        <v>0</v>
      </c>
    </row>
    <row r="566" spans="2:36">
      <c r="B566" s="203">
        <v>2180</v>
      </c>
      <c r="C566" s="207">
        <v>115909</v>
      </c>
      <c r="D566" s="203" t="s">
        <v>97</v>
      </c>
      <c r="E566" s="202" t="s">
        <v>920</v>
      </c>
      <c r="F566" s="203"/>
      <c r="G566" s="202"/>
      <c r="H566" s="202"/>
      <c r="I566" s="202"/>
      <c r="J566" s="202">
        <v>0</v>
      </c>
      <c r="K566" s="202" t="s">
        <v>2234</v>
      </c>
      <c r="L566" s="202"/>
      <c r="M566" s="202"/>
      <c r="N566" s="206">
        <v>41815</v>
      </c>
      <c r="O566" s="206">
        <v>41815</v>
      </c>
      <c r="P566" s="202" t="s">
        <v>2233</v>
      </c>
      <c r="Q566" s="203">
        <v>500</v>
      </c>
      <c r="R566" s="203">
        <v>14070</v>
      </c>
      <c r="S566" s="204">
        <v>4221.4399999999996</v>
      </c>
      <c r="T566" s="203">
        <v>14076</v>
      </c>
      <c r="U566" s="204">
        <v>4221.4399999999996</v>
      </c>
      <c r="V566" s="204">
        <f t="shared" si="19"/>
        <v>0</v>
      </c>
      <c r="W566" s="205">
        <v>0</v>
      </c>
      <c r="X566" s="203">
        <v>51260</v>
      </c>
      <c r="Y566" s="204">
        <v>0</v>
      </c>
      <c r="Z566" s="202" t="s">
        <v>97</v>
      </c>
      <c r="AA566" s="202"/>
      <c r="AB566" s="202">
        <v>6425258475</v>
      </c>
      <c r="AC566" s="202"/>
      <c r="AD566" s="202" t="s">
        <v>1152</v>
      </c>
      <c r="AE566" s="202" t="s">
        <v>1153</v>
      </c>
      <c r="AF566" s="203" t="s">
        <v>1154</v>
      </c>
      <c r="AG566" s="202"/>
      <c r="AH566" s="203" t="s">
        <v>1155</v>
      </c>
      <c r="AI566" s="202">
        <v>0</v>
      </c>
      <c r="AJ566" s="202">
        <v>0</v>
      </c>
    </row>
    <row r="567" spans="2:36">
      <c r="B567" s="203">
        <v>2180</v>
      </c>
      <c r="C567" s="207">
        <v>115899</v>
      </c>
      <c r="D567" s="203" t="s">
        <v>97</v>
      </c>
      <c r="E567" s="202" t="s">
        <v>2232</v>
      </c>
      <c r="F567" s="203">
        <v>20</v>
      </c>
      <c r="G567" s="202"/>
      <c r="H567" s="202"/>
      <c r="I567" s="202"/>
      <c r="J567" s="202">
        <v>0</v>
      </c>
      <c r="K567" s="202" t="s">
        <v>2010</v>
      </c>
      <c r="L567" s="202"/>
      <c r="M567" s="202" t="s">
        <v>1421</v>
      </c>
      <c r="N567" s="206">
        <v>41830</v>
      </c>
      <c r="O567" s="206">
        <v>41830</v>
      </c>
      <c r="P567" s="202" t="s">
        <v>2174</v>
      </c>
      <c r="Q567" s="203">
        <v>1200</v>
      </c>
      <c r="R567" s="203">
        <v>14050</v>
      </c>
      <c r="S567" s="204">
        <v>12033.28</v>
      </c>
      <c r="T567" s="203">
        <v>14056</v>
      </c>
      <c r="U567" s="204">
        <v>7520.78</v>
      </c>
      <c r="V567" s="204">
        <f t="shared" si="19"/>
        <v>4512.5000000000009</v>
      </c>
      <c r="W567" s="205">
        <v>1002.77</v>
      </c>
      <c r="X567" s="203">
        <v>54260</v>
      </c>
      <c r="Y567" s="204">
        <v>83.56</v>
      </c>
      <c r="Z567" s="202" t="s">
        <v>97</v>
      </c>
      <c r="AA567" s="202"/>
      <c r="AB567" s="202" t="s">
        <v>2231</v>
      </c>
      <c r="AC567" s="202"/>
      <c r="AD567" s="202" t="s">
        <v>1152</v>
      </c>
      <c r="AE567" s="202" t="s">
        <v>1153</v>
      </c>
      <c r="AF567" s="203" t="s">
        <v>1154</v>
      </c>
      <c r="AG567" s="202"/>
      <c r="AH567" s="203" t="s">
        <v>1155</v>
      </c>
      <c r="AI567" s="202">
        <v>0</v>
      </c>
      <c r="AJ567" s="202">
        <v>0</v>
      </c>
    </row>
    <row r="568" spans="2:36">
      <c r="B568" s="203">
        <v>2180</v>
      </c>
      <c r="C568" s="207">
        <v>115331</v>
      </c>
      <c r="D568" s="203" t="s">
        <v>97</v>
      </c>
      <c r="E568" s="202" t="s">
        <v>2230</v>
      </c>
      <c r="F568" s="203">
        <v>10</v>
      </c>
      <c r="G568" s="202"/>
      <c r="H568" s="202"/>
      <c r="I568" s="202"/>
      <c r="J568" s="202">
        <v>0</v>
      </c>
      <c r="K568" s="202" t="s">
        <v>2010</v>
      </c>
      <c r="L568" s="202"/>
      <c r="M568" s="202" t="s">
        <v>1462</v>
      </c>
      <c r="N568" s="206">
        <v>41830</v>
      </c>
      <c r="O568" s="206">
        <v>41830</v>
      </c>
      <c r="P568" s="202" t="s">
        <v>2229</v>
      </c>
      <c r="Q568" s="203">
        <v>1200</v>
      </c>
      <c r="R568" s="203">
        <v>14050</v>
      </c>
      <c r="S568" s="204">
        <v>5973.12</v>
      </c>
      <c r="T568" s="203">
        <v>14056</v>
      </c>
      <c r="U568" s="204">
        <v>3733.2</v>
      </c>
      <c r="V568" s="204">
        <f t="shared" si="19"/>
        <v>2239.92</v>
      </c>
      <c r="W568" s="205">
        <v>497.76</v>
      </c>
      <c r="X568" s="203">
        <v>54260</v>
      </c>
      <c r="Y568" s="204">
        <v>41.48</v>
      </c>
      <c r="Z568" s="202" t="s">
        <v>97</v>
      </c>
      <c r="AA568" s="202"/>
      <c r="AB568" s="202">
        <v>37208763</v>
      </c>
      <c r="AC568" s="202"/>
      <c r="AD568" s="202" t="s">
        <v>1152</v>
      </c>
      <c r="AE568" s="202" t="s">
        <v>1153</v>
      </c>
      <c r="AF568" s="203" t="s">
        <v>1154</v>
      </c>
      <c r="AG568" s="202"/>
      <c r="AH568" s="203" t="s">
        <v>1155</v>
      </c>
      <c r="AI568" s="202">
        <v>0</v>
      </c>
      <c r="AJ568" s="202">
        <v>0</v>
      </c>
    </row>
    <row r="569" spans="2:36">
      <c r="B569" s="203">
        <v>2180</v>
      </c>
      <c r="C569" s="207">
        <v>115278</v>
      </c>
      <c r="D569" s="203" t="s">
        <v>97</v>
      </c>
      <c r="E569" s="202" t="s">
        <v>2228</v>
      </c>
      <c r="F569" s="203">
        <v>0</v>
      </c>
      <c r="G569" s="202"/>
      <c r="H569" s="202" t="s">
        <v>2227</v>
      </c>
      <c r="I569" s="202"/>
      <c r="J569" s="202">
        <v>2015</v>
      </c>
      <c r="K569" s="202" t="s">
        <v>1822</v>
      </c>
      <c r="L569" s="202" t="s">
        <v>2216</v>
      </c>
      <c r="M569" s="202" t="s">
        <v>1404</v>
      </c>
      <c r="N569" s="206">
        <v>41873</v>
      </c>
      <c r="O569" s="206">
        <v>41873</v>
      </c>
      <c r="P569" s="202" t="s">
        <v>2226</v>
      </c>
      <c r="Q569" s="203">
        <v>1000</v>
      </c>
      <c r="R569" s="203">
        <v>14040</v>
      </c>
      <c r="S569" s="204">
        <v>317973.28000000003</v>
      </c>
      <c r="T569" s="203">
        <v>14046</v>
      </c>
      <c r="U569" s="204">
        <v>233180.42</v>
      </c>
      <c r="V569" s="204">
        <f t="shared" si="19"/>
        <v>84792.860000000015</v>
      </c>
      <c r="W569" s="205">
        <v>31797.33</v>
      </c>
      <c r="X569" s="203">
        <v>51260</v>
      </c>
      <c r="Y569" s="204">
        <v>2649.78</v>
      </c>
      <c r="Z569" s="202" t="s">
        <v>97</v>
      </c>
      <c r="AA569" s="202"/>
      <c r="AB569" s="202"/>
      <c r="AC569" s="202">
        <v>3638</v>
      </c>
      <c r="AD569" s="202" t="s">
        <v>1152</v>
      </c>
      <c r="AE569" s="202" t="s">
        <v>1153</v>
      </c>
      <c r="AF569" s="203" t="s">
        <v>1154</v>
      </c>
      <c r="AG569" s="202"/>
      <c r="AH569" s="203" t="s">
        <v>1155</v>
      </c>
      <c r="AI569" s="202">
        <v>0</v>
      </c>
      <c r="AJ569" s="202">
        <v>0</v>
      </c>
    </row>
    <row r="570" spans="2:36">
      <c r="B570" s="203">
        <v>2180</v>
      </c>
      <c r="C570" s="207">
        <v>115199</v>
      </c>
      <c r="D570" s="203" t="s">
        <v>97</v>
      </c>
      <c r="E570" s="202" t="s">
        <v>2225</v>
      </c>
      <c r="F570" s="203">
        <v>549</v>
      </c>
      <c r="G570" s="202"/>
      <c r="H570" s="202"/>
      <c r="I570" s="202"/>
      <c r="J570" s="202">
        <v>0</v>
      </c>
      <c r="K570" s="202" t="s">
        <v>2165</v>
      </c>
      <c r="L570" s="202"/>
      <c r="M570" s="202"/>
      <c r="N570" s="206">
        <v>41821</v>
      </c>
      <c r="O570" s="206">
        <v>41821</v>
      </c>
      <c r="P570" s="202" t="s">
        <v>2164</v>
      </c>
      <c r="Q570" s="203">
        <v>700</v>
      </c>
      <c r="R570" s="203">
        <v>14050</v>
      </c>
      <c r="S570" s="204">
        <v>30193.63</v>
      </c>
      <c r="T570" s="203">
        <v>14056</v>
      </c>
      <c r="U570" s="204">
        <v>30193.63</v>
      </c>
      <c r="V570" s="204">
        <f t="shared" si="19"/>
        <v>0</v>
      </c>
      <c r="W570" s="205">
        <v>2156.66</v>
      </c>
      <c r="X570" s="203">
        <v>54260</v>
      </c>
      <c r="Y570" s="204">
        <v>0</v>
      </c>
      <c r="Z570" s="202" t="s">
        <v>97</v>
      </c>
      <c r="AA570" s="202"/>
      <c r="AB570" s="202" t="s">
        <v>2224</v>
      </c>
      <c r="AC570" s="202"/>
      <c r="AD570" s="202" t="s">
        <v>1152</v>
      </c>
      <c r="AE570" s="202" t="s">
        <v>1153</v>
      </c>
      <c r="AF570" s="203" t="s">
        <v>1154</v>
      </c>
      <c r="AG570" s="202"/>
      <c r="AH570" s="203" t="s">
        <v>1155</v>
      </c>
      <c r="AI570" s="202">
        <v>0</v>
      </c>
      <c r="AJ570" s="202">
        <v>0</v>
      </c>
    </row>
    <row r="571" spans="2:36">
      <c r="B571" s="203">
        <v>2180</v>
      </c>
      <c r="C571" s="207">
        <v>115198</v>
      </c>
      <c r="D571" s="203" t="s">
        <v>97</v>
      </c>
      <c r="E571" s="202" t="s">
        <v>1262</v>
      </c>
      <c r="F571" s="203">
        <v>549</v>
      </c>
      <c r="G571" s="202"/>
      <c r="H571" s="202"/>
      <c r="I571" s="202"/>
      <c r="J571" s="202">
        <v>0</v>
      </c>
      <c r="K571" s="202" t="s">
        <v>2165</v>
      </c>
      <c r="L571" s="202"/>
      <c r="M571" s="202"/>
      <c r="N571" s="206">
        <v>41821</v>
      </c>
      <c r="O571" s="206">
        <v>41821</v>
      </c>
      <c r="P571" s="202" t="s">
        <v>2164</v>
      </c>
      <c r="Q571" s="203">
        <v>700</v>
      </c>
      <c r="R571" s="203">
        <v>14050</v>
      </c>
      <c r="S571" s="204">
        <v>30193.63</v>
      </c>
      <c r="T571" s="203">
        <v>14056</v>
      </c>
      <c r="U571" s="204">
        <v>30193.63</v>
      </c>
      <c r="V571" s="204">
        <f t="shared" si="19"/>
        <v>0</v>
      </c>
      <c r="W571" s="205">
        <v>2156.66</v>
      </c>
      <c r="X571" s="203">
        <v>54260</v>
      </c>
      <c r="Y571" s="204">
        <v>0</v>
      </c>
      <c r="Z571" s="202" t="s">
        <v>97</v>
      </c>
      <c r="AA571" s="202"/>
      <c r="AB571" s="202" t="s">
        <v>2223</v>
      </c>
      <c r="AC571" s="202"/>
      <c r="AD571" s="202" t="s">
        <v>1152</v>
      </c>
      <c r="AE571" s="202" t="s">
        <v>1153</v>
      </c>
      <c r="AF571" s="203" t="s">
        <v>1154</v>
      </c>
      <c r="AG571" s="202"/>
      <c r="AH571" s="203" t="s">
        <v>1155</v>
      </c>
      <c r="AI571" s="202">
        <v>0</v>
      </c>
      <c r="AJ571" s="202">
        <v>0</v>
      </c>
    </row>
    <row r="572" spans="2:36">
      <c r="B572" s="203">
        <v>2180</v>
      </c>
      <c r="C572" s="207">
        <v>115101</v>
      </c>
      <c r="D572" s="203" t="s">
        <v>97</v>
      </c>
      <c r="E572" s="202" t="s">
        <v>2222</v>
      </c>
      <c r="F572" s="203">
        <v>486</v>
      </c>
      <c r="G572" s="202"/>
      <c r="H572" s="202"/>
      <c r="I572" s="202"/>
      <c r="J572" s="202">
        <v>0</v>
      </c>
      <c r="K572" s="202" t="s">
        <v>1658</v>
      </c>
      <c r="L572" s="202"/>
      <c r="M572" s="202"/>
      <c r="N572" s="206">
        <v>41848</v>
      </c>
      <c r="O572" s="206">
        <v>41848</v>
      </c>
      <c r="P572" s="202" t="s">
        <v>2188</v>
      </c>
      <c r="Q572" s="203">
        <v>700</v>
      </c>
      <c r="R572" s="203">
        <v>14050</v>
      </c>
      <c r="S572" s="204">
        <v>27813.17</v>
      </c>
      <c r="T572" s="203">
        <v>14056</v>
      </c>
      <c r="U572" s="204">
        <v>27813.17</v>
      </c>
      <c r="V572" s="204">
        <f t="shared" si="19"/>
        <v>0</v>
      </c>
      <c r="W572" s="205">
        <v>2317.7600000000002</v>
      </c>
      <c r="X572" s="203">
        <v>54260</v>
      </c>
      <c r="Y572" s="204">
        <v>0</v>
      </c>
      <c r="Z572" s="202" t="s">
        <v>97</v>
      </c>
      <c r="AA572" s="202"/>
      <c r="AB572" s="202" t="s">
        <v>2221</v>
      </c>
      <c r="AC572" s="202"/>
      <c r="AD572" s="202" t="s">
        <v>1152</v>
      </c>
      <c r="AE572" s="202" t="s">
        <v>1153</v>
      </c>
      <c r="AF572" s="203" t="s">
        <v>1154</v>
      </c>
      <c r="AG572" s="202"/>
      <c r="AH572" s="203" t="s">
        <v>1155</v>
      </c>
      <c r="AI572" s="202">
        <v>0</v>
      </c>
      <c r="AJ572" s="202">
        <v>0</v>
      </c>
    </row>
    <row r="573" spans="2:36">
      <c r="B573" s="203">
        <v>2180</v>
      </c>
      <c r="C573" s="207">
        <v>115100</v>
      </c>
      <c r="D573" s="203" t="s">
        <v>97</v>
      </c>
      <c r="E573" s="202" t="s">
        <v>2220</v>
      </c>
      <c r="F573" s="203">
        <v>20</v>
      </c>
      <c r="G573" s="202"/>
      <c r="H573" s="202"/>
      <c r="I573" s="202"/>
      <c r="J573" s="202">
        <v>0</v>
      </c>
      <c r="K573" s="202" t="s">
        <v>1658</v>
      </c>
      <c r="L573" s="202"/>
      <c r="M573" s="202" t="s">
        <v>1582</v>
      </c>
      <c r="N573" s="206">
        <v>41838</v>
      </c>
      <c r="O573" s="206">
        <v>41838</v>
      </c>
      <c r="P573" s="202" t="s">
        <v>2212</v>
      </c>
      <c r="Q573" s="203">
        <v>700</v>
      </c>
      <c r="R573" s="203">
        <v>14050</v>
      </c>
      <c r="S573" s="204">
        <v>16042.56</v>
      </c>
      <c r="T573" s="203">
        <v>14056</v>
      </c>
      <c r="U573" s="204">
        <v>16042.56</v>
      </c>
      <c r="V573" s="204">
        <f t="shared" si="19"/>
        <v>0</v>
      </c>
      <c r="W573" s="205">
        <v>1336.84</v>
      </c>
      <c r="X573" s="203">
        <v>54260</v>
      </c>
      <c r="Y573" s="204">
        <v>0</v>
      </c>
      <c r="Z573" s="202" t="s">
        <v>97</v>
      </c>
      <c r="AA573" s="202"/>
      <c r="AB573" s="202" t="s">
        <v>2219</v>
      </c>
      <c r="AC573" s="202"/>
      <c r="AD573" s="202" t="s">
        <v>1152</v>
      </c>
      <c r="AE573" s="202" t="s">
        <v>1153</v>
      </c>
      <c r="AF573" s="203" t="s">
        <v>1154</v>
      </c>
      <c r="AG573" s="202"/>
      <c r="AH573" s="203" t="s">
        <v>1155</v>
      </c>
      <c r="AI573" s="202">
        <v>0</v>
      </c>
      <c r="AJ573" s="202">
        <v>0</v>
      </c>
    </row>
    <row r="574" spans="2:36">
      <c r="B574" s="203">
        <v>2180</v>
      </c>
      <c r="C574" s="207">
        <v>115086</v>
      </c>
      <c r="D574" s="203" t="s">
        <v>97</v>
      </c>
      <c r="E574" s="202" t="s">
        <v>2218</v>
      </c>
      <c r="F574" s="203"/>
      <c r="G574" s="202"/>
      <c r="H574" s="202" t="s">
        <v>2217</v>
      </c>
      <c r="I574" s="202"/>
      <c r="J574" s="202">
        <v>2014</v>
      </c>
      <c r="K574" s="202" t="s">
        <v>2207</v>
      </c>
      <c r="L574" s="202" t="s">
        <v>2216</v>
      </c>
      <c r="M574" s="202" t="s">
        <v>2112</v>
      </c>
      <c r="N574" s="206">
        <v>41848</v>
      </c>
      <c r="O574" s="206">
        <v>41848</v>
      </c>
      <c r="P574" s="202" t="s">
        <v>2215</v>
      </c>
      <c r="Q574" s="203">
        <v>600</v>
      </c>
      <c r="R574" s="203">
        <v>14040</v>
      </c>
      <c r="S574" s="204">
        <v>133477.48000000001</v>
      </c>
      <c r="T574" s="203">
        <v>14046</v>
      </c>
      <c r="U574" s="204">
        <v>133477.48000000001</v>
      </c>
      <c r="V574" s="204">
        <f t="shared" si="19"/>
        <v>0</v>
      </c>
      <c r="W574" s="205">
        <v>0</v>
      </c>
      <c r="X574" s="203">
        <v>51260</v>
      </c>
      <c r="Y574" s="204">
        <v>0</v>
      </c>
      <c r="Z574" s="202" t="s">
        <v>97</v>
      </c>
      <c r="AA574" s="202"/>
      <c r="AB574" s="202" t="s">
        <v>2214</v>
      </c>
      <c r="AC574" s="202">
        <v>3309</v>
      </c>
      <c r="AD574" s="202" t="s">
        <v>1152</v>
      </c>
      <c r="AE574" s="202" t="s">
        <v>1153</v>
      </c>
      <c r="AF574" s="203" t="s">
        <v>1154</v>
      </c>
      <c r="AG574" s="202"/>
      <c r="AH574" s="203" t="s">
        <v>1155</v>
      </c>
      <c r="AI574" s="202">
        <v>0</v>
      </c>
      <c r="AJ574" s="202">
        <v>0</v>
      </c>
    </row>
    <row r="575" spans="2:36">
      <c r="B575" s="203">
        <v>2180</v>
      </c>
      <c r="C575" s="207">
        <v>115032</v>
      </c>
      <c r="D575" s="203" t="s">
        <v>97</v>
      </c>
      <c r="E575" s="202" t="s">
        <v>2213</v>
      </c>
      <c r="F575" s="203">
        <v>16</v>
      </c>
      <c r="G575" s="202"/>
      <c r="H575" s="202"/>
      <c r="I575" s="202"/>
      <c r="J575" s="202">
        <v>0</v>
      </c>
      <c r="K575" s="202" t="s">
        <v>1658</v>
      </c>
      <c r="L575" s="202"/>
      <c r="M575" s="202" t="s">
        <v>1582</v>
      </c>
      <c r="N575" s="206">
        <v>41851</v>
      </c>
      <c r="O575" s="206">
        <v>41851</v>
      </c>
      <c r="P575" s="202" t="s">
        <v>2212</v>
      </c>
      <c r="Q575" s="203">
        <v>700</v>
      </c>
      <c r="R575" s="203">
        <v>14050</v>
      </c>
      <c r="S575" s="204">
        <v>12952.64</v>
      </c>
      <c r="T575" s="203">
        <v>14056</v>
      </c>
      <c r="U575" s="204">
        <v>12952.64</v>
      </c>
      <c r="V575" s="204">
        <f t="shared" si="19"/>
        <v>0</v>
      </c>
      <c r="W575" s="205">
        <v>1079.3699999999999</v>
      </c>
      <c r="X575" s="203">
        <v>54260</v>
      </c>
      <c r="Y575" s="204">
        <v>0</v>
      </c>
      <c r="Z575" s="202" t="s">
        <v>97</v>
      </c>
      <c r="AA575" s="202"/>
      <c r="AB575" s="202" t="s">
        <v>2211</v>
      </c>
      <c r="AC575" s="202"/>
      <c r="AD575" s="202" t="s">
        <v>1152</v>
      </c>
      <c r="AE575" s="202" t="s">
        <v>1153</v>
      </c>
      <c r="AF575" s="203" t="s">
        <v>1154</v>
      </c>
      <c r="AG575" s="202"/>
      <c r="AH575" s="203" t="s">
        <v>1155</v>
      </c>
      <c r="AI575" s="202">
        <v>0</v>
      </c>
      <c r="AJ575" s="202">
        <v>0</v>
      </c>
    </row>
    <row r="576" spans="2:36">
      <c r="B576" s="203">
        <v>2180</v>
      </c>
      <c r="C576" s="207">
        <v>114986</v>
      </c>
      <c r="D576" s="203" t="s">
        <v>97</v>
      </c>
      <c r="E576" s="202" t="s">
        <v>494</v>
      </c>
      <c r="F576" s="203">
        <v>24</v>
      </c>
      <c r="G576" s="202"/>
      <c r="H576" s="202"/>
      <c r="I576" s="202"/>
      <c r="J576" s="202">
        <v>0</v>
      </c>
      <c r="K576" s="202" t="s">
        <v>1658</v>
      </c>
      <c r="L576" s="202"/>
      <c r="M576" s="202" t="s">
        <v>1558</v>
      </c>
      <c r="N576" s="206">
        <v>41781</v>
      </c>
      <c r="O576" s="206">
        <v>41781</v>
      </c>
      <c r="P576" s="202" t="s">
        <v>2185</v>
      </c>
      <c r="Q576" s="203">
        <v>700</v>
      </c>
      <c r="R576" s="203">
        <v>14050</v>
      </c>
      <c r="S576" s="204">
        <v>16602.88</v>
      </c>
      <c r="T576" s="203">
        <v>14056</v>
      </c>
      <c r="U576" s="204">
        <v>16602.88</v>
      </c>
      <c r="V576" s="204">
        <f t="shared" si="19"/>
        <v>0</v>
      </c>
      <c r="W576" s="205">
        <v>988.27</v>
      </c>
      <c r="X576" s="203">
        <v>54260</v>
      </c>
      <c r="Y576" s="204">
        <v>0</v>
      </c>
      <c r="Z576" s="202" t="s">
        <v>97</v>
      </c>
      <c r="AA576" s="202"/>
      <c r="AB576" s="202" t="s">
        <v>2210</v>
      </c>
      <c r="AC576" s="202"/>
      <c r="AD576" s="202" t="s">
        <v>1152</v>
      </c>
      <c r="AE576" s="202" t="s">
        <v>1153</v>
      </c>
      <c r="AF576" s="203" t="s">
        <v>1154</v>
      </c>
      <c r="AG576" s="202"/>
      <c r="AH576" s="203" t="s">
        <v>1155</v>
      </c>
      <c r="AI576" s="202">
        <v>0</v>
      </c>
      <c r="AJ576" s="202">
        <v>0</v>
      </c>
    </row>
    <row r="577" spans="2:36">
      <c r="B577" s="203">
        <v>2180</v>
      </c>
      <c r="C577" s="207">
        <v>114984</v>
      </c>
      <c r="D577" s="203" t="s">
        <v>97</v>
      </c>
      <c r="E577" s="202" t="s">
        <v>2209</v>
      </c>
      <c r="F577" s="203"/>
      <c r="G577" s="202"/>
      <c r="H577" s="202" t="s">
        <v>2208</v>
      </c>
      <c r="I577" s="202"/>
      <c r="J577" s="202">
        <v>2015</v>
      </c>
      <c r="K577" s="202" t="s">
        <v>2207</v>
      </c>
      <c r="L577" s="202" t="s">
        <v>1830</v>
      </c>
      <c r="M577" s="202" t="s">
        <v>1503</v>
      </c>
      <c r="N577" s="206">
        <v>41852</v>
      </c>
      <c r="O577" s="206">
        <v>41852</v>
      </c>
      <c r="P577" s="202" t="s">
        <v>2206</v>
      </c>
      <c r="Q577" s="203">
        <v>1000</v>
      </c>
      <c r="R577" s="203">
        <v>14040</v>
      </c>
      <c r="S577" s="204">
        <v>59098.89</v>
      </c>
      <c r="T577" s="203">
        <v>14046</v>
      </c>
      <c r="U577" s="204">
        <v>43831.54</v>
      </c>
      <c r="V577" s="204">
        <f t="shared" si="19"/>
        <v>15267.349999999999</v>
      </c>
      <c r="W577" s="205">
        <v>5909.87</v>
      </c>
      <c r="X577" s="203">
        <v>51260</v>
      </c>
      <c r="Y577" s="204">
        <v>492.49</v>
      </c>
      <c r="Z577" s="202" t="s">
        <v>97</v>
      </c>
      <c r="AA577" s="202"/>
      <c r="AB577" s="202" t="s">
        <v>2205</v>
      </c>
      <c r="AC577" s="202">
        <v>9560</v>
      </c>
      <c r="AD577" s="202" t="s">
        <v>1152</v>
      </c>
      <c r="AE577" s="202" t="s">
        <v>1153</v>
      </c>
      <c r="AF577" s="203" t="s">
        <v>1154</v>
      </c>
      <c r="AG577" s="202"/>
      <c r="AH577" s="203" t="s">
        <v>1155</v>
      </c>
      <c r="AI577" s="202">
        <v>0</v>
      </c>
      <c r="AJ577" s="202">
        <v>0</v>
      </c>
    </row>
    <row r="578" spans="2:36">
      <c r="B578" s="203">
        <v>2180</v>
      </c>
      <c r="C578" s="207">
        <v>114876</v>
      </c>
      <c r="D578" s="203" t="s">
        <v>97</v>
      </c>
      <c r="E578" s="202" t="s">
        <v>2204</v>
      </c>
      <c r="F578" s="203">
        <v>0</v>
      </c>
      <c r="G578" s="202"/>
      <c r="H578" s="202" t="s">
        <v>2203</v>
      </c>
      <c r="I578" s="202"/>
      <c r="J578" s="202">
        <v>2011</v>
      </c>
      <c r="K578" s="202" t="s">
        <v>1720</v>
      </c>
      <c r="L578" s="202" t="s">
        <v>1720</v>
      </c>
      <c r="M578" s="202" t="s">
        <v>1412</v>
      </c>
      <c r="N578" s="206">
        <v>40893</v>
      </c>
      <c r="O578" s="206">
        <v>40893</v>
      </c>
      <c r="P578" s="202" t="s">
        <v>2202</v>
      </c>
      <c r="Q578" s="203">
        <v>900</v>
      </c>
      <c r="R578" s="203">
        <v>14030</v>
      </c>
      <c r="S578" s="204">
        <v>31190.89</v>
      </c>
      <c r="T578" s="203">
        <v>14036</v>
      </c>
      <c r="U578" s="204">
        <v>31190.89</v>
      </c>
      <c r="V578" s="204">
        <f t="shared" si="19"/>
        <v>0</v>
      </c>
      <c r="W578" s="205">
        <v>0</v>
      </c>
      <c r="X578" s="203">
        <v>51260</v>
      </c>
      <c r="Y578" s="204">
        <v>0</v>
      </c>
      <c r="Z578" s="202" t="s">
        <v>97</v>
      </c>
      <c r="AA578" s="202"/>
      <c r="AB578" s="202">
        <v>185068</v>
      </c>
      <c r="AC578" s="202">
        <v>7004</v>
      </c>
      <c r="AD578" s="202" t="s">
        <v>1152</v>
      </c>
      <c r="AE578" s="202" t="s">
        <v>1153</v>
      </c>
      <c r="AF578" s="203" t="s">
        <v>1154</v>
      </c>
      <c r="AG578" s="208">
        <v>41851</v>
      </c>
      <c r="AH578" s="203" t="s">
        <v>1155</v>
      </c>
      <c r="AI578" s="202">
        <v>0</v>
      </c>
      <c r="AJ578" s="202">
        <v>8952.9599999999991</v>
      </c>
    </row>
    <row r="579" spans="2:36">
      <c r="B579" s="203">
        <v>2180</v>
      </c>
      <c r="C579" s="207">
        <v>114545</v>
      </c>
      <c r="D579" s="203" t="s">
        <v>97</v>
      </c>
      <c r="E579" s="202" t="s">
        <v>2201</v>
      </c>
      <c r="F579" s="203">
        <v>0</v>
      </c>
      <c r="G579" s="202"/>
      <c r="H579" s="202" t="s">
        <v>2200</v>
      </c>
      <c r="I579" s="202"/>
      <c r="J579" s="202">
        <v>2013</v>
      </c>
      <c r="K579" s="202" t="s">
        <v>2199</v>
      </c>
      <c r="L579" s="202" t="s">
        <v>2198</v>
      </c>
      <c r="M579" s="202" t="s">
        <v>1999</v>
      </c>
      <c r="N579" s="206">
        <v>41821</v>
      </c>
      <c r="O579" s="206">
        <v>41821</v>
      </c>
      <c r="P579" s="202" t="s">
        <v>2197</v>
      </c>
      <c r="Q579" s="203">
        <v>800</v>
      </c>
      <c r="R579" s="203">
        <v>14040</v>
      </c>
      <c r="S579" s="204">
        <v>285481.71999999997</v>
      </c>
      <c r="T579" s="203">
        <v>14046</v>
      </c>
      <c r="U579" s="204">
        <v>267639.15000000002</v>
      </c>
      <c r="V579" s="204">
        <f t="shared" si="19"/>
        <v>17842.569999999949</v>
      </c>
      <c r="W579" s="205">
        <v>35685.22</v>
      </c>
      <c r="X579" s="203">
        <v>51260</v>
      </c>
      <c r="Y579" s="204">
        <v>2973.77</v>
      </c>
      <c r="Z579" s="202" t="s">
        <v>97</v>
      </c>
      <c r="AA579" s="202"/>
      <c r="AB579" s="202"/>
      <c r="AC579" s="202">
        <v>2042</v>
      </c>
      <c r="AD579" s="202" t="s">
        <v>1152</v>
      </c>
      <c r="AE579" s="202" t="s">
        <v>1153</v>
      </c>
      <c r="AF579" s="203" t="s">
        <v>1154</v>
      </c>
      <c r="AG579" s="202"/>
      <c r="AH579" s="203" t="s">
        <v>1155</v>
      </c>
      <c r="AI579" s="202">
        <v>0</v>
      </c>
      <c r="AJ579" s="202">
        <v>0</v>
      </c>
    </row>
    <row r="580" spans="2:36">
      <c r="B580" s="203">
        <v>2180</v>
      </c>
      <c r="C580" s="207">
        <v>114405</v>
      </c>
      <c r="D580" s="203" t="s">
        <v>97</v>
      </c>
      <c r="E580" s="202" t="s">
        <v>2195</v>
      </c>
      <c r="F580" s="203">
        <v>486</v>
      </c>
      <c r="G580" s="202"/>
      <c r="H580" s="202"/>
      <c r="I580" s="202"/>
      <c r="J580" s="202">
        <v>0</v>
      </c>
      <c r="K580" s="202" t="s">
        <v>1658</v>
      </c>
      <c r="L580" s="202"/>
      <c r="M580" s="202"/>
      <c r="N580" s="206">
        <v>41827</v>
      </c>
      <c r="O580" s="206">
        <v>41827</v>
      </c>
      <c r="P580" s="202" t="s">
        <v>2161</v>
      </c>
      <c r="Q580" s="203">
        <v>700</v>
      </c>
      <c r="R580" s="203">
        <v>14050</v>
      </c>
      <c r="S580" s="204">
        <v>28368.38</v>
      </c>
      <c r="T580" s="203">
        <v>14056</v>
      </c>
      <c r="U580" s="204">
        <v>28368.38</v>
      </c>
      <c r="V580" s="204">
        <f t="shared" si="19"/>
        <v>0</v>
      </c>
      <c r="W580" s="205">
        <v>2026.29</v>
      </c>
      <c r="X580" s="203">
        <v>54260</v>
      </c>
      <c r="Y580" s="204">
        <v>0</v>
      </c>
      <c r="Z580" s="202" t="s">
        <v>97</v>
      </c>
      <c r="AA580" s="202"/>
      <c r="AB580" s="202" t="s">
        <v>2196</v>
      </c>
      <c r="AC580" s="202"/>
      <c r="AD580" s="202" t="s">
        <v>1152</v>
      </c>
      <c r="AE580" s="202" t="s">
        <v>1153</v>
      </c>
      <c r="AF580" s="203" t="s">
        <v>1154</v>
      </c>
      <c r="AG580" s="202"/>
      <c r="AH580" s="203" t="s">
        <v>1155</v>
      </c>
      <c r="AI580" s="202">
        <v>0</v>
      </c>
      <c r="AJ580" s="202">
        <v>0</v>
      </c>
    </row>
    <row r="581" spans="2:36">
      <c r="B581" s="203">
        <v>2180</v>
      </c>
      <c r="C581" s="207">
        <v>114404</v>
      </c>
      <c r="D581" s="203" t="s">
        <v>97</v>
      </c>
      <c r="E581" s="202" t="s">
        <v>2195</v>
      </c>
      <c r="F581" s="203">
        <v>486</v>
      </c>
      <c r="G581" s="202"/>
      <c r="H581" s="202"/>
      <c r="I581" s="202"/>
      <c r="J581" s="202">
        <v>0</v>
      </c>
      <c r="K581" s="202" t="s">
        <v>1658</v>
      </c>
      <c r="L581" s="202"/>
      <c r="M581" s="202"/>
      <c r="N581" s="206">
        <v>41834</v>
      </c>
      <c r="O581" s="206">
        <v>41834</v>
      </c>
      <c r="P581" s="202" t="s">
        <v>2161</v>
      </c>
      <c r="Q581" s="203">
        <v>700</v>
      </c>
      <c r="R581" s="203">
        <v>14050</v>
      </c>
      <c r="S581" s="204">
        <v>28368.38</v>
      </c>
      <c r="T581" s="203">
        <v>14056</v>
      </c>
      <c r="U581" s="204">
        <v>28368.38</v>
      </c>
      <c r="V581" s="204">
        <f t="shared" si="19"/>
        <v>0</v>
      </c>
      <c r="W581" s="205">
        <v>2026.29</v>
      </c>
      <c r="X581" s="203">
        <v>54260</v>
      </c>
      <c r="Y581" s="204">
        <v>0</v>
      </c>
      <c r="Z581" s="202" t="s">
        <v>97</v>
      </c>
      <c r="AA581" s="202"/>
      <c r="AB581" s="202" t="s">
        <v>2194</v>
      </c>
      <c r="AC581" s="202"/>
      <c r="AD581" s="202" t="s">
        <v>1152</v>
      </c>
      <c r="AE581" s="202" t="s">
        <v>1153</v>
      </c>
      <c r="AF581" s="203" t="s">
        <v>1154</v>
      </c>
      <c r="AG581" s="202"/>
      <c r="AH581" s="203" t="s">
        <v>1155</v>
      </c>
      <c r="AI581" s="202">
        <v>0</v>
      </c>
      <c r="AJ581" s="202">
        <v>0</v>
      </c>
    </row>
    <row r="582" spans="2:36">
      <c r="B582" s="203">
        <v>2180</v>
      </c>
      <c r="C582" s="207">
        <v>114403</v>
      </c>
      <c r="D582" s="203" t="s">
        <v>97</v>
      </c>
      <c r="E582" s="202" t="s">
        <v>2193</v>
      </c>
      <c r="F582" s="203">
        <v>102</v>
      </c>
      <c r="G582" s="202"/>
      <c r="H582" s="202"/>
      <c r="I582" s="202"/>
      <c r="J582" s="202">
        <v>0</v>
      </c>
      <c r="K582" s="202" t="s">
        <v>1658</v>
      </c>
      <c r="L582" s="202"/>
      <c r="M582" s="202"/>
      <c r="N582" s="206">
        <v>41832</v>
      </c>
      <c r="O582" s="206">
        <v>41832</v>
      </c>
      <c r="P582" s="202" t="s">
        <v>2158</v>
      </c>
      <c r="Q582" s="203">
        <v>700</v>
      </c>
      <c r="R582" s="203">
        <v>14050</v>
      </c>
      <c r="S582" s="204">
        <v>4903.92</v>
      </c>
      <c r="T582" s="203">
        <v>14056</v>
      </c>
      <c r="U582" s="204">
        <v>4903.92</v>
      </c>
      <c r="V582" s="204">
        <f t="shared" si="19"/>
        <v>0</v>
      </c>
      <c r="W582" s="205">
        <v>350.28</v>
      </c>
      <c r="X582" s="203">
        <v>54260</v>
      </c>
      <c r="Y582" s="204">
        <v>0</v>
      </c>
      <c r="Z582" s="202" t="s">
        <v>97</v>
      </c>
      <c r="AA582" s="202"/>
      <c r="AB582" s="202" t="s">
        <v>2192</v>
      </c>
      <c r="AC582" s="202"/>
      <c r="AD582" s="202" t="s">
        <v>1152</v>
      </c>
      <c r="AE582" s="202" t="s">
        <v>1153</v>
      </c>
      <c r="AF582" s="203" t="s">
        <v>1154</v>
      </c>
      <c r="AG582" s="202"/>
      <c r="AH582" s="203" t="s">
        <v>1155</v>
      </c>
      <c r="AI582" s="202">
        <v>0</v>
      </c>
      <c r="AJ582" s="202">
        <v>0</v>
      </c>
    </row>
    <row r="583" spans="2:36">
      <c r="B583" s="203">
        <v>2180</v>
      </c>
      <c r="C583" s="207">
        <v>114402</v>
      </c>
      <c r="D583" s="203" t="s">
        <v>97</v>
      </c>
      <c r="E583" s="202" t="s">
        <v>2191</v>
      </c>
      <c r="F583" s="203">
        <v>546</v>
      </c>
      <c r="G583" s="202"/>
      <c r="H583" s="202"/>
      <c r="I583" s="202"/>
      <c r="J583" s="202">
        <v>0</v>
      </c>
      <c r="K583" s="202" t="s">
        <v>1658</v>
      </c>
      <c r="L583" s="202"/>
      <c r="M583" s="202"/>
      <c r="N583" s="206">
        <v>41827</v>
      </c>
      <c r="O583" s="206">
        <v>41827</v>
      </c>
      <c r="P583" s="202" t="s">
        <v>2158</v>
      </c>
      <c r="Q583" s="203">
        <v>700</v>
      </c>
      <c r="R583" s="203">
        <v>14050</v>
      </c>
      <c r="S583" s="204">
        <v>26252.83</v>
      </c>
      <c r="T583" s="203">
        <v>14056</v>
      </c>
      <c r="U583" s="204">
        <v>26252.83</v>
      </c>
      <c r="V583" s="204">
        <f t="shared" si="19"/>
        <v>0</v>
      </c>
      <c r="W583" s="205">
        <v>1875.17</v>
      </c>
      <c r="X583" s="203">
        <v>54260</v>
      </c>
      <c r="Y583" s="204">
        <v>0</v>
      </c>
      <c r="Z583" s="202" t="s">
        <v>97</v>
      </c>
      <c r="AA583" s="202"/>
      <c r="AB583" s="202" t="s">
        <v>2190</v>
      </c>
      <c r="AC583" s="202"/>
      <c r="AD583" s="202" t="s">
        <v>1152</v>
      </c>
      <c r="AE583" s="202" t="s">
        <v>1153</v>
      </c>
      <c r="AF583" s="203" t="s">
        <v>1154</v>
      </c>
      <c r="AG583" s="202"/>
      <c r="AH583" s="203" t="s">
        <v>1155</v>
      </c>
      <c r="AI583" s="202">
        <v>0</v>
      </c>
      <c r="AJ583" s="202">
        <v>0</v>
      </c>
    </row>
    <row r="584" spans="2:36">
      <c r="B584" s="203">
        <v>2180</v>
      </c>
      <c r="C584" s="207">
        <v>114401</v>
      </c>
      <c r="D584" s="203" t="s">
        <v>97</v>
      </c>
      <c r="E584" s="202" t="s">
        <v>2189</v>
      </c>
      <c r="F584" s="203">
        <v>486</v>
      </c>
      <c r="G584" s="202"/>
      <c r="H584" s="202"/>
      <c r="I584" s="202"/>
      <c r="J584" s="202">
        <v>0</v>
      </c>
      <c r="K584" s="202" t="s">
        <v>1658</v>
      </c>
      <c r="L584" s="202"/>
      <c r="M584" s="202"/>
      <c r="N584" s="206">
        <v>41720</v>
      </c>
      <c r="O584" s="206">
        <v>41720</v>
      </c>
      <c r="P584" s="202" t="s">
        <v>2188</v>
      </c>
      <c r="Q584" s="203">
        <v>700</v>
      </c>
      <c r="R584" s="203">
        <v>14050</v>
      </c>
      <c r="S584" s="204">
        <v>26672.26</v>
      </c>
      <c r="T584" s="203">
        <v>14056</v>
      </c>
      <c r="U584" s="204">
        <v>26672.26</v>
      </c>
      <c r="V584" s="204">
        <f t="shared" si="19"/>
        <v>0</v>
      </c>
      <c r="W584" s="205">
        <v>952.6</v>
      </c>
      <c r="X584" s="203">
        <v>54260</v>
      </c>
      <c r="Y584" s="204">
        <v>0</v>
      </c>
      <c r="Z584" s="202" t="s">
        <v>97</v>
      </c>
      <c r="AA584" s="202"/>
      <c r="AB584" s="202" t="s">
        <v>2187</v>
      </c>
      <c r="AC584" s="202"/>
      <c r="AD584" s="202" t="s">
        <v>1152</v>
      </c>
      <c r="AE584" s="202" t="s">
        <v>1153</v>
      </c>
      <c r="AF584" s="203" t="s">
        <v>1154</v>
      </c>
      <c r="AG584" s="202"/>
      <c r="AH584" s="203" t="s">
        <v>1155</v>
      </c>
      <c r="AI584" s="202">
        <v>0</v>
      </c>
      <c r="AJ584" s="202">
        <v>0</v>
      </c>
    </row>
    <row r="585" spans="2:36">
      <c r="B585" s="203">
        <v>2180</v>
      </c>
      <c r="C585" s="207">
        <v>114101</v>
      </c>
      <c r="D585" s="203" t="s">
        <v>97</v>
      </c>
      <c r="E585" s="202" t="s">
        <v>2186</v>
      </c>
      <c r="F585" s="203">
        <v>12</v>
      </c>
      <c r="G585" s="202"/>
      <c r="H585" s="202"/>
      <c r="I585" s="202"/>
      <c r="J585" s="202">
        <v>0</v>
      </c>
      <c r="K585" s="202" t="s">
        <v>1658</v>
      </c>
      <c r="L585" s="202"/>
      <c r="M585" s="202" t="s">
        <v>1558</v>
      </c>
      <c r="N585" s="206">
        <v>41780</v>
      </c>
      <c r="O585" s="206">
        <v>41780</v>
      </c>
      <c r="P585" s="202" t="s">
        <v>2185</v>
      </c>
      <c r="Q585" s="203">
        <v>700</v>
      </c>
      <c r="R585" s="203">
        <v>14050</v>
      </c>
      <c r="S585" s="204">
        <v>8573.44</v>
      </c>
      <c r="T585" s="203">
        <v>14056</v>
      </c>
      <c r="U585" s="204">
        <v>8573.44</v>
      </c>
      <c r="V585" s="204">
        <f t="shared" si="19"/>
        <v>0</v>
      </c>
      <c r="W585" s="205">
        <v>510.31</v>
      </c>
      <c r="X585" s="203">
        <v>54260</v>
      </c>
      <c r="Y585" s="204">
        <v>0</v>
      </c>
      <c r="Z585" s="202" t="s">
        <v>97</v>
      </c>
      <c r="AA585" s="202"/>
      <c r="AB585" s="202" t="s">
        <v>2184</v>
      </c>
      <c r="AC585" s="202"/>
      <c r="AD585" s="202" t="s">
        <v>1152</v>
      </c>
      <c r="AE585" s="202" t="s">
        <v>1153</v>
      </c>
      <c r="AF585" s="203" t="s">
        <v>1154</v>
      </c>
      <c r="AG585" s="202"/>
      <c r="AH585" s="203" t="s">
        <v>1155</v>
      </c>
      <c r="AI585" s="202">
        <v>0</v>
      </c>
      <c r="AJ585" s="202">
        <v>0</v>
      </c>
    </row>
    <row r="586" spans="2:36">
      <c r="B586" s="203">
        <v>2180</v>
      </c>
      <c r="C586" s="207">
        <v>114100</v>
      </c>
      <c r="D586" s="203" t="s">
        <v>97</v>
      </c>
      <c r="E586" s="202" t="s">
        <v>2173</v>
      </c>
      <c r="F586" s="203">
        <v>648</v>
      </c>
      <c r="G586" s="202"/>
      <c r="H586" s="202"/>
      <c r="I586" s="202"/>
      <c r="J586" s="202">
        <v>0</v>
      </c>
      <c r="K586" s="202" t="s">
        <v>1658</v>
      </c>
      <c r="L586" s="202"/>
      <c r="M586" s="202"/>
      <c r="N586" s="206">
        <v>41810</v>
      </c>
      <c r="O586" s="206">
        <v>41810</v>
      </c>
      <c r="P586" s="202" t="s">
        <v>2158</v>
      </c>
      <c r="Q586" s="203">
        <v>700</v>
      </c>
      <c r="R586" s="203">
        <v>14050</v>
      </c>
      <c r="S586" s="204">
        <v>31156.75</v>
      </c>
      <c r="T586" s="203">
        <v>14056</v>
      </c>
      <c r="U586" s="204">
        <v>31156.75</v>
      </c>
      <c r="V586" s="204">
        <f t="shared" si="19"/>
        <v>0</v>
      </c>
      <c r="W586" s="205">
        <v>2225.4499999999998</v>
      </c>
      <c r="X586" s="203">
        <v>54260</v>
      </c>
      <c r="Y586" s="204">
        <v>0</v>
      </c>
      <c r="Z586" s="202" t="s">
        <v>97</v>
      </c>
      <c r="AA586" s="202"/>
      <c r="AB586" s="202" t="s">
        <v>2183</v>
      </c>
      <c r="AC586" s="202"/>
      <c r="AD586" s="202" t="s">
        <v>1152</v>
      </c>
      <c r="AE586" s="202" t="s">
        <v>1153</v>
      </c>
      <c r="AF586" s="203" t="s">
        <v>1154</v>
      </c>
      <c r="AG586" s="202"/>
      <c r="AH586" s="203" t="s">
        <v>1155</v>
      </c>
      <c r="AI586" s="202">
        <v>0</v>
      </c>
      <c r="AJ586" s="202">
        <v>0</v>
      </c>
    </row>
    <row r="587" spans="2:36">
      <c r="B587" s="203">
        <v>2180</v>
      </c>
      <c r="C587" s="207">
        <v>113896</v>
      </c>
      <c r="D587" s="203" t="s">
        <v>97</v>
      </c>
      <c r="E587" s="202" t="s">
        <v>2182</v>
      </c>
      <c r="F587" s="203"/>
      <c r="G587" s="202"/>
      <c r="H587" s="202"/>
      <c r="I587" s="202"/>
      <c r="J587" s="202">
        <v>0</v>
      </c>
      <c r="K587" s="202"/>
      <c r="L587" s="202"/>
      <c r="M587" s="202"/>
      <c r="N587" s="206">
        <v>41759</v>
      </c>
      <c r="O587" s="206">
        <v>41759</v>
      </c>
      <c r="P587" s="202" t="s">
        <v>2176</v>
      </c>
      <c r="Q587" s="203">
        <v>500</v>
      </c>
      <c r="R587" s="203">
        <v>14070</v>
      </c>
      <c r="S587" s="204">
        <v>1936.34</v>
      </c>
      <c r="T587" s="203">
        <v>14076</v>
      </c>
      <c r="U587" s="204">
        <v>1936.34</v>
      </c>
      <c r="V587" s="204">
        <f t="shared" si="19"/>
        <v>0</v>
      </c>
      <c r="W587" s="205">
        <v>0</v>
      </c>
      <c r="X587" s="203">
        <v>51260</v>
      </c>
      <c r="Y587" s="204">
        <v>0</v>
      </c>
      <c r="Z587" s="202" t="s">
        <v>97</v>
      </c>
      <c r="AA587" s="202"/>
      <c r="AB587" s="202">
        <v>95633</v>
      </c>
      <c r="AC587" s="202"/>
      <c r="AD587" s="202" t="s">
        <v>1152</v>
      </c>
      <c r="AE587" s="202" t="s">
        <v>1153</v>
      </c>
      <c r="AF587" s="203" t="s">
        <v>1154</v>
      </c>
      <c r="AG587" s="202"/>
      <c r="AH587" s="203" t="s">
        <v>1155</v>
      </c>
      <c r="AI587" s="202">
        <v>0</v>
      </c>
      <c r="AJ587" s="202">
        <v>0</v>
      </c>
    </row>
    <row r="588" spans="2:36">
      <c r="B588" s="203">
        <v>2180</v>
      </c>
      <c r="C588" s="207">
        <v>113633</v>
      </c>
      <c r="D588" s="203" t="s">
        <v>97</v>
      </c>
      <c r="E588" s="202" t="s">
        <v>2181</v>
      </c>
      <c r="F588" s="203">
        <v>36</v>
      </c>
      <c r="G588" s="202"/>
      <c r="H588" s="202"/>
      <c r="I588" s="202"/>
      <c r="J588" s="202">
        <v>0</v>
      </c>
      <c r="K588" s="202" t="s">
        <v>1658</v>
      </c>
      <c r="L588" s="202"/>
      <c r="M588" s="202" t="s">
        <v>1421</v>
      </c>
      <c r="N588" s="206">
        <v>41761</v>
      </c>
      <c r="O588" s="206">
        <v>41761</v>
      </c>
      <c r="P588" s="202" t="s">
        <v>2174</v>
      </c>
      <c r="Q588" s="203">
        <v>1200</v>
      </c>
      <c r="R588" s="203">
        <v>14050</v>
      </c>
      <c r="S588" s="204">
        <v>18169.599999999999</v>
      </c>
      <c r="T588" s="203">
        <v>14056</v>
      </c>
      <c r="U588" s="204">
        <v>11608.33</v>
      </c>
      <c r="V588" s="204">
        <f t="shared" si="19"/>
        <v>6561.2699999999986</v>
      </c>
      <c r="W588" s="205">
        <v>1514.13</v>
      </c>
      <c r="X588" s="203">
        <v>54260</v>
      </c>
      <c r="Y588" s="204">
        <v>126.18</v>
      </c>
      <c r="Z588" s="202" t="s">
        <v>97</v>
      </c>
      <c r="AA588" s="202"/>
      <c r="AB588" s="202" t="s">
        <v>2180</v>
      </c>
      <c r="AC588" s="202"/>
      <c r="AD588" s="202" t="s">
        <v>1152</v>
      </c>
      <c r="AE588" s="202" t="s">
        <v>1153</v>
      </c>
      <c r="AF588" s="203" t="s">
        <v>1154</v>
      </c>
      <c r="AG588" s="202"/>
      <c r="AH588" s="203" t="s">
        <v>1155</v>
      </c>
      <c r="AI588" s="202">
        <v>0</v>
      </c>
      <c r="AJ588" s="202">
        <v>0</v>
      </c>
    </row>
    <row r="589" spans="2:36">
      <c r="B589" s="203">
        <v>2180</v>
      </c>
      <c r="C589" s="207">
        <v>113271</v>
      </c>
      <c r="D589" s="203" t="s">
        <v>97</v>
      </c>
      <c r="E589" s="202" t="s">
        <v>969</v>
      </c>
      <c r="F589" s="203">
        <v>5</v>
      </c>
      <c r="G589" s="202"/>
      <c r="H589" s="202"/>
      <c r="I589" s="202"/>
      <c r="J589" s="202">
        <v>0</v>
      </c>
      <c r="K589" s="202" t="s">
        <v>1429</v>
      </c>
      <c r="L589" s="202"/>
      <c r="M589" s="202"/>
      <c r="N589" s="206">
        <v>41749</v>
      </c>
      <c r="O589" s="206">
        <v>41749</v>
      </c>
      <c r="P589" s="202" t="s">
        <v>2179</v>
      </c>
      <c r="Q589" s="203">
        <v>300</v>
      </c>
      <c r="R589" s="203">
        <v>14110</v>
      </c>
      <c r="S589" s="204">
        <v>1641.48</v>
      </c>
      <c r="T589" s="203">
        <v>14116</v>
      </c>
      <c r="U589" s="204">
        <v>1641.48</v>
      </c>
      <c r="V589" s="204">
        <f t="shared" si="19"/>
        <v>0</v>
      </c>
      <c r="W589" s="205">
        <v>0</v>
      </c>
      <c r="X589" s="203">
        <v>70260</v>
      </c>
      <c r="Y589" s="204">
        <v>0</v>
      </c>
      <c r="Z589" s="202" t="s">
        <v>97</v>
      </c>
      <c r="AA589" s="202"/>
      <c r="AB589" s="202" t="s">
        <v>2178</v>
      </c>
      <c r="AC589" s="202"/>
      <c r="AD589" s="202" t="s">
        <v>1152</v>
      </c>
      <c r="AE589" s="202" t="s">
        <v>1153</v>
      </c>
      <c r="AF589" s="203" t="s">
        <v>1154</v>
      </c>
      <c r="AG589" s="202"/>
      <c r="AH589" s="203" t="s">
        <v>1155</v>
      </c>
      <c r="AI589" s="202">
        <v>0</v>
      </c>
      <c r="AJ589" s="202">
        <v>0</v>
      </c>
    </row>
    <row r="590" spans="2:36">
      <c r="B590" s="203">
        <v>2180</v>
      </c>
      <c r="C590" s="207">
        <v>113248</v>
      </c>
      <c r="D590" s="203" t="s">
        <v>97</v>
      </c>
      <c r="E590" s="202" t="s">
        <v>2177</v>
      </c>
      <c r="F590" s="203"/>
      <c r="G590" s="202"/>
      <c r="H590" s="202"/>
      <c r="I590" s="202"/>
      <c r="J590" s="202">
        <v>0</v>
      </c>
      <c r="K590" s="202" t="s">
        <v>2138</v>
      </c>
      <c r="L590" s="202"/>
      <c r="M590" s="202"/>
      <c r="N590" s="206">
        <v>41759</v>
      </c>
      <c r="O590" s="206">
        <v>41759</v>
      </c>
      <c r="P590" s="202" t="s">
        <v>2176</v>
      </c>
      <c r="Q590" s="203">
        <v>500</v>
      </c>
      <c r="R590" s="203">
        <v>14070</v>
      </c>
      <c r="S590" s="204">
        <v>6778.26</v>
      </c>
      <c r="T590" s="203">
        <v>14076</v>
      </c>
      <c r="U590" s="204">
        <v>6778.26</v>
      </c>
      <c r="V590" s="204">
        <f t="shared" ref="V590:V653" si="20">S590-U590</f>
        <v>0</v>
      </c>
      <c r="W590" s="205">
        <v>0</v>
      </c>
      <c r="X590" s="203">
        <v>51260</v>
      </c>
      <c r="Y590" s="204">
        <v>0</v>
      </c>
      <c r="Z590" s="202" t="s">
        <v>97</v>
      </c>
      <c r="AA590" s="202"/>
      <c r="AB590" s="202">
        <v>95611</v>
      </c>
      <c r="AC590" s="202"/>
      <c r="AD590" s="202" t="s">
        <v>1152</v>
      </c>
      <c r="AE590" s="202" t="s">
        <v>1153</v>
      </c>
      <c r="AF590" s="203" t="s">
        <v>1154</v>
      </c>
      <c r="AG590" s="202"/>
      <c r="AH590" s="203" t="s">
        <v>1155</v>
      </c>
      <c r="AI590" s="202">
        <v>0</v>
      </c>
      <c r="AJ590" s="202">
        <v>0</v>
      </c>
    </row>
    <row r="591" spans="2:36">
      <c r="B591" s="203">
        <v>2180</v>
      </c>
      <c r="C591" s="207">
        <v>112986</v>
      </c>
      <c r="D591" s="203" t="s">
        <v>97</v>
      </c>
      <c r="E591" s="202" t="s">
        <v>2175</v>
      </c>
      <c r="F591" s="203">
        <v>17</v>
      </c>
      <c r="G591" s="202"/>
      <c r="H591" s="202"/>
      <c r="I591" s="202"/>
      <c r="J591" s="202">
        <v>0</v>
      </c>
      <c r="K591" s="202" t="s">
        <v>2010</v>
      </c>
      <c r="L591" s="202"/>
      <c r="M591" s="202" t="s">
        <v>1421</v>
      </c>
      <c r="N591" s="206">
        <v>41688</v>
      </c>
      <c r="O591" s="206">
        <v>41688</v>
      </c>
      <c r="P591" s="202" t="s">
        <v>2174</v>
      </c>
      <c r="Q591" s="203">
        <v>1200</v>
      </c>
      <c r="R591" s="203">
        <v>14050</v>
      </c>
      <c r="S591" s="204">
        <v>8516.86</v>
      </c>
      <c r="T591" s="203">
        <v>14056</v>
      </c>
      <c r="U591" s="204">
        <v>5559.63</v>
      </c>
      <c r="V591" s="204">
        <f t="shared" si="20"/>
        <v>2957.2300000000005</v>
      </c>
      <c r="W591" s="205">
        <v>709.74</v>
      </c>
      <c r="X591" s="203">
        <v>54260</v>
      </c>
      <c r="Y591" s="204">
        <v>59.14</v>
      </c>
      <c r="Z591" s="202" t="s">
        <v>97</v>
      </c>
      <c r="AA591" s="202"/>
      <c r="AB591" s="202">
        <v>37208082</v>
      </c>
      <c r="AC591" s="202"/>
      <c r="AD591" s="202" t="s">
        <v>1152</v>
      </c>
      <c r="AE591" s="202" t="s">
        <v>1153</v>
      </c>
      <c r="AF591" s="203" t="s">
        <v>1154</v>
      </c>
      <c r="AG591" s="202"/>
      <c r="AH591" s="203" t="s">
        <v>1155</v>
      </c>
      <c r="AI591" s="202">
        <v>0</v>
      </c>
      <c r="AJ591" s="202">
        <v>0</v>
      </c>
    </row>
    <row r="592" spans="2:36">
      <c r="B592" s="203">
        <v>2180</v>
      </c>
      <c r="C592" s="207">
        <v>112985</v>
      </c>
      <c r="D592" s="203" t="s">
        <v>97</v>
      </c>
      <c r="E592" s="202" t="s">
        <v>2173</v>
      </c>
      <c r="F592" s="203">
        <v>648</v>
      </c>
      <c r="G592" s="202"/>
      <c r="H592" s="202"/>
      <c r="I592" s="202"/>
      <c r="J592" s="202">
        <v>0</v>
      </c>
      <c r="K592" s="202" t="s">
        <v>1658</v>
      </c>
      <c r="L592" s="202"/>
      <c r="M592" s="202"/>
      <c r="N592" s="206">
        <v>41677</v>
      </c>
      <c r="O592" s="206">
        <v>41677</v>
      </c>
      <c r="P592" s="202" t="s">
        <v>2158</v>
      </c>
      <c r="Q592" s="203">
        <v>700</v>
      </c>
      <c r="R592" s="203">
        <v>14050</v>
      </c>
      <c r="S592" s="204">
        <v>30302.54</v>
      </c>
      <c r="T592" s="203">
        <v>14056</v>
      </c>
      <c r="U592" s="204">
        <v>30302.54</v>
      </c>
      <c r="V592" s="204">
        <f t="shared" si="20"/>
        <v>0</v>
      </c>
      <c r="W592" s="205">
        <v>360.71</v>
      </c>
      <c r="X592" s="203">
        <v>54260</v>
      </c>
      <c r="Y592" s="204">
        <v>0</v>
      </c>
      <c r="Z592" s="202" t="s">
        <v>97</v>
      </c>
      <c r="AA592" s="202"/>
      <c r="AB592" s="202" t="s">
        <v>2172</v>
      </c>
      <c r="AC592" s="202"/>
      <c r="AD592" s="202" t="s">
        <v>1152</v>
      </c>
      <c r="AE592" s="202" t="s">
        <v>1153</v>
      </c>
      <c r="AF592" s="203" t="s">
        <v>1154</v>
      </c>
      <c r="AG592" s="202"/>
      <c r="AH592" s="203" t="s">
        <v>1155</v>
      </c>
      <c r="AI592" s="202">
        <v>0</v>
      </c>
      <c r="AJ592" s="202">
        <v>0</v>
      </c>
    </row>
    <row r="593" spans="2:36">
      <c r="B593" s="203">
        <v>2180</v>
      </c>
      <c r="C593" s="207">
        <v>112600</v>
      </c>
      <c r="D593" s="203" t="s">
        <v>97</v>
      </c>
      <c r="E593" s="202" t="s">
        <v>2171</v>
      </c>
      <c r="F593" s="203"/>
      <c r="G593" s="202"/>
      <c r="H593" s="202"/>
      <c r="I593" s="202"/>
      <c r="J593" s="202">
        <v>0</v>
      </c>
      <c r="K593" s="202" t="s">
        <v>1429</v>
      </c>
      <c r="L593" s="202"/>
      <c r="M593" s="202"/>
      <c r="N593" s="206">
        <v>41725</v>
      </c>
      <c r="O593" s="206">
        <v>41725</v>
      </c>
      <c r="P593" s="202" t="s">
        <v>2170</v>
      </c>
      <c r="Q593" s="203">
        <v>300</v>
      </c>
      <c r="R593" s="203">
        <v>14110</v>
      </c>
      <c r="S593" s="204">
        <v>1017.56</v>
      </c>
      <c r="T593" s="203">
        <v>14116</v>
      </c>
      <c r="U593" s="204">
        <v>1017.56</v>
      </c>
      <c r="V593" s="204">
        <f t="shared" si="20"/>
        <v>0</v>
      </c>
      <c r="W593" s="205">
        <v>0</v>
      </c>
      <c r="X593" s="203">
        <v>70260</v>
      </c>
      <c r="Y593" s="204">
        <v>0</v>
      </c>
      <c r="Z593" s="202" t="s">
        <v>97</v>
      </c>
      <c r="AA593" s="202"/>
      <c r="AB593" s="202" t="s">
        <v>2169</v>
      </c>
      <c r="AC593" s="202"/>
      <c r="AD593" s="202" t="s">
        <v>1152</v>
      </c>
      <c r="AE593" s="202" t="s">
        <v>1153</v>
      </c>
      <c r="AF593" s="203" t="s">
        <v>1154</v>
      </c>
      <c r="AG593" s="202"/>
      <c r="AH593" s="203" t="s">
        <v>1155</v>
      </c>
      <c r="AI593" s="202">
        <v>0</v>
      </c>
      <c r="AJ593" s="202">
        <v>0</v>
      </c>
    </row>
    <row r="594" spans="2:36">
      <c r="B594" s="203">
        <v>2180</v>
      </c>
      <c r="C594" s="207">
        <v>112504</v>
      </c>
      <c r="D594" s="203">
        <v>90536</v>
      </c>
      <c r="E594" s="202" t="s">
        <v>2168</v>
      </c>
      <c r="F594" s="203"/>
      <c r="G594" s="202"/>
      <c r="H594" s="202"/>
      <c r="I594" s="202"/>
      <c r="J594" s="202">
        <v>0</v>
      </c>
      <c r="K594" s="202" t="s">
        <v>2167</v>
      </c>
      <c r="L594" s="202"/>
      <c r="M594" s="202" t="s">
        <v>1158</v>
      </c>
      <c r="N594" s="206">
        <v>41695</v>
      </c>
      <c r="O594" s="206">
        <v>41695</v>
      </c>
      <c r="P594" s="202" t="s">
        <v>2166</v>
      </c>
      <c r="Q594" s="203">
        <v>300</v>
      </c>
      <c r="R594" s="203">
        <v>14040</v>
      </c>
      <c r="S594" s="204">
        <v>8067.17</v>
      </c>
      <c r="T594" s="203">
        <v>14046</v>
      </c>
      <c r="U594" s="204">
        <v>8067.17</v>
      </c>
      <c r="V594" s="204">
        <f t="shared" si="20"/>
        <v>0</v>
      </c>
      <c r="W594" s="205">
        <v>0</v>
      </c>
      <c r="X594" s="203">
        <v>51260</v>
      </c>
      <c r="Y594" s="204">
        <v>0</v>
      </c>
      <c r="Z594" s="202" t="s">
        <v>97</v>
      </c>
      <c r="AA594" s="202"/>
      <c r="AB594" s="202">
        <v>142806</v>
      </c>
      <c r="AC594" s="202"/>
      <c r="AD594" s="202" t="s">
        <v>1152</v>
      </c>
      <c r="AE594" s="202" t="s">
        <v>1153</v>
      </c>
      <c r="AF594" s="203" t="s">
        <v>1154</v>
      </c>
      <c r="AG594" s="202"/>
      <c r="AH594" s="203" t="s">
        <v>1155</v>
      </c>
      <c r="AI594" s="202">
        <v>0</v>
      </c>
      <c r="AJ594" s="202">
        <v>0</v>
      </c>
    </row>
    <row r="595" spans="2:36">
      <c r="B595" s="203">
        <v>2180</v>
      </c>
      <c r="C595" s="207">
        <v>112495</v>
      </c>
      <c r="D595" s="203" t="s">
        <v>97</v>
      </c>
      <c r="E595" s="202" t="s">
        <v>2088</v>
      </c>
      <c r="F595" s="203">
        <v>1098</v>
      </c>
      <c r="G595" s="202"/>
      <c r="H595" s="202"/>
      <c r="I595" s="202"/>
      <c r="J595" s="202">
        <v>0</v>
      </c>
      <c r="K595" s="202" t="s">
        <v>2165</v>
      </c>
      <c r="L595" s="202"/>
      <c r="M595" s="202"/>
      <c r="N595" s="206">
        <v>41741</v>
      </c>
      <c r="O595" s="206">
        <v>41741</v>
      </c>
      <c r="P595" s="202" t="s">
        <v>2164</v>
      </c>
      <c r="Q595" s="203">
        <v>700</v>
      </c>
      <c r="R595" s="203">
        <v>14050</v>
      </c>
      <c r="S595" s="204">
        <v>58237.919999999998</v>
      </c>
      <c r="T595" s="203">
        <v>14056</v>
      </c>
      <c r="U595" s="204">
        <v>58237.919999999998</v>
      </c>
      <c r="V595" s="204">
        <f t="shared" si="20"/>
        <v>0</v>
      </c>
      <c r="W595" s="205">
        <v>2079.94</v>
      </c>
      <c r="X595" s="203">
        <v>54260</v>
      </c>
      <c r="Y595" s="204">
        <v>0</v>
      </c>
      <c r="Z595" s="202" t="s">
        <v>97</v>
      </c>
      <c r="AA595" s="202"/>
      <c r="AB595" s="202" t="s">
        <v>2163</v>
      </c>
      <c r="AC595" s="202"/>
      <c r="AD595" s="202" t="s">
        <v>1152</v>
      </c>
      <c r="AE595" s="202" t="s">
        <v>1153</v>
      </c>
      <c r="AF595" s="203" t="s">
        <v>1154</v>
      </c>
      <c r="AG595" s="202"/>
      <c r="AH595" s="203" t="s">
        <v>1155</v>
      </c>
      <c r="AI595" s="202">
        <v>0</v>
      </c>
      <c r="AJ595" s="202">
        <v>0</v>
      </c>
    </row>
    <row r="596" spans="2:36">
      <c r="B596" s="203">
        <v>2180</v>
      </c>
      <c r="C596" s="207">
        <v>112460</v>
      </c>
      <c r="D596" s="203" t="s">
        <v>97</v>
      </c>
      <c r="E596" s="202" t="s">
        <v>520</v>
      </c>
      <c r="F596" s="203">
        <v>2</v>
      </c>
      <c r="G596" s="202"/>
      <c r="H596" s="202"/>
      <c r="I596" s="202"/>
      <c r="J596" s="202">
        <v>0</v>
      </c>
      <c r="K596" s="202" t="s">
        <v>2041</v>
      </c>
      <c r="L596" s="202"/>
      <c r="M596" s="202" t="s">
        <v>1456</v>
      </c>
      <c r="N596" s="206">
        <v>41719</v>
      </c>
      <c r="O596" s="206">
        <v>41719</v>
      </c>
      <c r="P596" s="202" t="s">
        <v>2162</v>
      </c>
      <c r="Q596" s="203">
        <v>1200</v>
      </c>
      <c r="R596" s="203">
        <v>14050</v>
      </c>
      <c r="S596" s="204">
        <v>1610.24</v>
      </c>
      <c r="T596" s="203">
        <v>14056</v>
      </c>
      <c r="U596" s="204">
        <v>1039.97</v>
      </c>
      <c r="V596" s="204">
        <f t="shared" si="20"/>
        <v>570.27</v>
      </c>
      <c r="W596" s="205">
        <v>134.19</v>
      </c>
      <c r="X596" s="203">
        <v>54260</v>
      </c>
      <c r="Y596" s="204">
        <v>11.18</v>
      </c>
      <c r="Z596" s="202" t="s">
        <v>97</v>
      </c>
      <c r="AA596" s="202"/>
      <c r="AB596" s="202">
        <v>92909</v>
      </c>
      <c r="AC596" s="202"/>
      <c r="AD596" s="202" t="s">
        <v>1152</v>
      </c>
      <c r="AE596" s="202" t="s">
        <v>1153</v>
      </c>
      <c r="AF596" s="203" t="s">
        <v>1154</v>
      </c>
      <c r="AG596" s="202"/>
      <c r="AH596" s="203" t="s">
        <v>1155</v>
      </c>
      <c r="AI596" s="202">
        <v>0</v>
      </c>
      <c r="AJ596" s="202">
        <v>0</v>
      </c>
    </row>
    <row r="597" spans="2:36">
      <c r="B597" s="203">
        <v>2180</v>
      </c>
      <c r="C597" s="207">
        <v>112459</v>
      </c>
      <c r="D597" s="203" t="s">
        <v>97</v>
      </c>
      <c r="E597" s="202" t="s">
        <v>520</v>
      </c>
      <c r="F597" s="203">
        <v>11</v>
      </c>
      <c r="G597" s="202"/>
      <c r="H597" s="202"/>
      <c r="I597" s="202"/>
      <c r="J597" s="202">
        <v>0</v>
      </c>
      <c r="K597" s="202" t="s">
        <v>2041</v>
      </c>
      <c r="L597" s="202"/>
      <c r="M597" s="202" t="s">
        <v>1456</v>
      </c>
      <c r="N597" s="206">
        <v>41719</v>
      </c>
      <c r="O597" s="206">
        <v>41719</v>
      </c>
      <c r="P597" s="202" t="s">
        <v>2162</v>
      </c>
      <c r="Q597" s="203">
        <v>1200</v>
      </c>
      <c r="R597" s="203">
        <v>14050</v>
      </c>
      <c r="S597" s="204">
        <v>8856.32</v>
      </c>
      <c r="T597" s="203">
        <v>14056</v>
      </c>
      <c r="U597" s="204">
        <v>5719.73</v>
      </c>
      <c r="V597" s="204">
        <f t="shared" si="20"/>
        <v>3136.59</v>
      </c>
      <c r="W597" s="205">
        <v>738.03</v>
      </c>
      <c r="X597" s="203">
        <v>54260</v>
      </c>
      <c r="Y597" s="204">
        <v>61.5</v>
      </c>
      <c r="Z597" s="202" t="s">
        <v>97</v>
      </c>
      <c r="AA597" s="202"/>
      <c r="AB597" s="202">
        <v>92908</v>
      </c>
      <c r="AC597" s="202"/>
      <c r="AD597" s="202" t="s">
        <v>1152</v>
      </c>
      <c r="AE597" s="202" t="s">
        <v>1153</v>
      </c>
      <c r="AF597" s="203" t="s">
        <v>1154</v>
      </c>
      <c r="AG597" s="202"/>
      <c r="AH597" s="203" t="s">
        <v>1155</v>
      </c>
      <c r="AI597" s="202">
        <v>0</v>
      </c>
      <c r="AJ597" s="202">
        <v>0</v>
      </c>
    </row>
    <row r="598" spans="2:36">
      <c r="B598" s="203">
        <v>2180</v>
      </c>
      <c r="C598" s="207">
        <v>112458</v>
      </c>
      <c r="D598" s="203" t="s">
        <v>97</v>
      </c>
      <c r="E598" s="202" t="s">
        <v>520</v>
      </c>
      <c r="F598" s="203">
        <v>7</v>
      </c>
      <c r="G598" s="202"/>
      <c r="H598" s="202"/>
      <c r="I598" s="202"/>
      <c r="J598" s="202">
        <v>0</v>
      </c>
      <c r="K598" s="202" t="s">
        <v>2041</v>
      </c>
      <c r="L598" s="202"/>
      <c r="M598" s="202" t="s">
        <v>1456</v>
      </c>
      <c r="N598" s="206">
        <v>41719</v>
      </c>
      <c r="O598" s="206">
        <v>41719</v>
      </c>
      <c r="P598" s="202" t="s">
        <v>2162</v>
      </c>
      <c r="Q598" s="203">
        <v>1200</v>
      </c>
      <c r="R598" s="203">
        <v>14050</v>
      </c>
      <c r="S598" s="204">
        <v>5635.84</v>
      </c>
      <c r="T598" s="203">
        <v>14056</v>
      </c>
      <c r="U598" s="204">
        <v>3639.79</v>
      </c>
      <c r="V598" s="204">
        <f t="shared" si="20"/>
        <v>1996.0500000000002</v>
      </c>
      <c r="W598" s="205">
        <v>469.65</v>
      </c>
      <c r="X598" s="203">
        <v>54260</v>
      </c>
      <c r="Y598" s="204">
        <v>39.14</v>
      </c>
      <c r="Z598" s="202" t="s">
        <v>97</v>
      </c>
      <c r="AA598" s="202"/>
      <c r="AB598" s="202">
        <v>92903</v>
      </c>
      <c r="AC598" s="202"/>
      <c r="AD598" s="202" t="s">
        <v>1152</v>
      </c>
      <c r="AE598" s="202" t="s">
        <v>1153</v>
      </c>
      <c r="AF598" s="203" t="s">
        <v>1154</v>
      </c>
      <c r="AG598" s="202"/>
      <c r="AH598" s="203" t="s">
        <v>1155</v>
      </c>
      <c r="AI598" s="202">
        <v>0</v>
      </c>
      <c r="AJ598" s="202">
        <v>0</v>
      </c>
    </row>
    <row r="599" spans="2:36">
      <c r="B599" s="203">
        <v>2180</v>
      </c>
      <c r="C599" s="207">
        <v>111489</v>
      </c>
      <c r="D599" s="203" t="s">
        <v>97</v>
      </c>
      <c r="E599" s="202" t="s">
        <v>672</v>
      </c>
      <c r="F599" s="203">
        <v>486</v>
      </c>
      <c r="G599" s="202"/>
      <c r="H599" s="202"/>
      <c r="I599" s="202"/>
      <c r="J599" s="202">
        <v>0</v>
      </c>
      <c r="K599" s="202" t="s">
        <v>1658</v>
      </c>
      <c r="L599" s="202"/>
      <c r="M599" s="202"/>
      <c r="N599" s="206">
        <v>41710</v>
      </c>
      <c r="O599" s="206">
        <v>41710</v>
      </c>
      <c r="P599" s="202" t="s">
        <v>2161</v>
      </c>
      <c r="Q599" s="203">
        <v>700</v>
      </c>
      <c r="R599" s="203">
        <v>14050</v>
      </c>
      <c r="S599" s="204">
        <v>26672.25</v>
      </c>
      <c r="T599" s="203">
        <v>14056</v>
      </c>
      <c r="U599" s="204">
        <v>26672.25</v>
      </c>
      <c r="V599" s="204">
        <f t="shared" si="20"/>
        <v>0</v>
      </c>
      <c r="W599" s="205">
        <v>635.05999999999995</v>
      </c>
      <c r="X599" s="203">
        <v>54260</v>
      </c>
      <c r="Y599" s="204">
        <v>0</v>
      </c>
      <c r="Z599" s="202" t="s">
        <v>97</v>
      </c>
      <c r="AA599" s="202"/>
      <c r="AB599" s="202" t="s">
        <v>2160</v>
      </c>
      <c r="AC599" s="202"/>
      <c r="AD599" s="202" t="s">
        <v>1152</v>
      </c>
      <c r="AE599" s="202" t="s">
        <v>1153</v>
      </c>
      <c r="AF599" s="203" t="s">
        <v>1154</v>
      </c>
      <c r="AG599" s="202"/>
      <c r="AH599" s="203" t="s">
        <v>1155</v>
      </c>
      <c r="AI599" s="202">
        <v>0</v>
      </c>
      <c r="AJ599" s="202">
        <v>0</v>
      </c>
    </row>
    <row r="600" spans="2:36">
      <c r="B600" s="203">
        <v>2180</v>
      </c>
      <c r="C600" s="207">
        <v>111195</v>
      </c>
      <c r="D600" s="203" t="s">
        <v>97</v>
      </c>
      <c r="E600" s="202" t="s">
        <v>2159</v>
      </c>
      <c r="F600" s="203">
        <v>648</v>
      </c>
      <c r="G600" s="202"/>
      <c r="H600" s="202"/>
      <c r="I600" s="202"/>
      <c r="J600" s="202">
        <v>0</v>
      </c>
      <c r="K600" s="202" t="s">
        <v>1658</v>
      </c>
      <c r="L600" s="202"/>
      <c r="M600" s="202"/>
      <c r="N600" s="206">
        <v>41677</v>
      </c>
      <c r="O600" s="206">
        <v>41677</v>
      </c>
      <c r="P600" s="202" t="s">
        <v>2158</v>
      </c>
      <c r="Q600" s="203">
        <v>700</v>
      </c>
      <c r="R600" s="203">
        <v>14050</v>
      </c>
      <c r="S600" s="204">
        <v>30302.54</v>
      </c>
      <c r="T600" s="203">
        <v>14056</v>
      </c>
      <c r="U600" s="204">
        <v>30302.54</v>
      </c>
      <c r="V600" s="204">
        <f t="shared" si="20"/>
        <v>0</v>
      </c>
      <c r="W600" s="205">
        <v>360.71</v>
      </c>
      <c r="X600" s="203">
        <v>54260</v>
      </c>
      <c r="Y600" s="204">
        <v>0</v>
      </c>
      <c r="Z600" s="202" t="s">
        <v>97</v>
      </c>
      <c r="AA600" s="202"/>
      <c r="AB600" s="202" t="s">
        <v>2157</v>
      </c>
      <c r="AC600" s="202"/>
      <c r="AD600" s="202" t="s">
        <v>1152</v>
      </c>
      <c r="AE600" s="202" t="s">
        <v>1153</v>
      </c>
      <c r="AF600" s="203" t="s">
        <v>1154</v>
      </c>
      <c r="AG600" s="202"/>
      <c r="AH600" s="203" t="s">
        <v>1155</v>
      </c>
      <c r="AI600" s="202">
        <v>0</v>
      </c>
      <c r="AJ600" s="202">
        <v>0</v>
      </c>
    </row>
    <row r="601" spans="2:36">
      <c r="B601" s="203">
        <v>2180</v>
      </c>
      <c r="C601" s="207">
        <v>111095</v>
      </c>
      <c r="D601" s="203" t="s">
        <v>97</v>
      </c>
      <c r="E601" s="202" t="s">
        <v>2156</v>
      </c>
      <c r="F601" s="203"/>
      <c r="G601" s="202"/>
      <c r="H601" s="202"/>
      <c r="I601" s="202"/>
      <c r="J601" s="202">
        <v>0</v>
      </c>
      <c r="K601" s="202" t="s">
        <v>1429</v>
      </c>
      <c r="L601" s="202"/>
      <c r="M601" s="202"/>
      <c r="N601" s="206">
        <v>41684</v>
      </c>
      <c r="O601" s="206">
        <v>41684</v>
      </c>
      <c r="P601" s="202" t="s">
        <v>2155</v>
      </c>
      <c r="Q601" s="203">
        <v>300</v>
      </c>
      <c r="R601" s="203">
        <v>14110</v>
      </c>
      <c r="S601" s="204">
        <v>1069.8599999999999</v>
      </c>
      <c r="T601" s="203">
        <v>14116</v>
      </c>
      <c r="U601" s="204">
        <v>1069.8599999999999</v>
      </c>
      <c r="V601" s="204">
        <f t="shared" si="20"/>
        <v>0</v>
      </c>
      <c r="W601" s="205">
        <v>0</v>
      </c>
      <c r="X601" s="203">
        <v>70260</v>
      </c>
      <c r="Y601" s="204">
        <v>0</v>
      </c>
      <c r="Z601" s="202" t="s">
        <v>97</v>
      </c>
      <c r="AA601" s="202"/>
      <c r="AB601" s="202" t="s">
        <v>2154</v>
      </c>
      <c r="AC601" s="202"/>
      <c r="AD601" s="202" t="s">
        <v>1152</v>
      </c>
      <c r="AE601" s="202" t="s">
        <v>1153</v>
      </c>
      <c r="AF601" s="203" t="s">
        <v>1154</v>
      </c>
      <c r="AG601" s="202"/>
      <c r="AH601" s="203" t="s">
        <v>1155</v>
      </c>
      <c r="AI601" s="202">
        <v>0</v>
      </c>
      <c r="AJ601" s="202">
        <v>0</v>
      </c>
    </row>
    <row r="602" spans="2:36">
      <c r="B602" s="203">
        <v>2180</v>
      </c>
      <c r="C602" s="207">
        <v>111005</v>
      </c>
      <c r="D602" s="203" t="s">
        <v>97</v>
      </c>
      <c r="E602" s="202" t="s">
        <v>104</v>
      </c>
      <c r="F602" s="203"/>
      <c r="G602" s="202"/>
      <c r="H602" s="202"/>
      <c r="I602" s="202"/>
      <c r="J602" s="202">
        <v>0</v>
      </c>
      <c r="K602" s="202" t="s">
        <v>2153</v>
      </c>
      <c r="L602" s="202"/>
      <c r="M602" s="202"/>
      <c r="N602" s="206">
        <v>41670</v>
      </c>
      <c r="O602" s="206">
        <v>41670</v>
      </c>
      <c r="P602" s="202" t="s">
        <v>2152</v>
      </c>
      <c r="Q602" s="203">
        <v>500</v>
      </c>
      <c r="R602" s="203">
        <v>14070</v>
      </c>
      <c r="S602" s="204">
        <v>1223.43</v>
      </c>
      <c r="T602" s="203">
        <v>14076</v>
      </c>
      <c r="U602" s="204">
        <v>1223.43</v>
      </c>
      <c r="V602" s="204">
        <f t="shared" si="20"/>
        <v>0</v>
      </c>
      <c r="W602" s="205">
        <v>0</v>
      </c>
      <c r="X602" s="203">
        <v>51260</v>
      </c>
      <c r="Y602" s="204">
        <v>0</v>
      </c>
      <c r="Z602" s="202" t="s">
        <v>97</v>
      </c>
      <c r="AA602" s="202"/>
      <c r="AB602" s="202">
        <v>5016244</v>
      </c>
      <c r="AC602" s="202"/>
      <c r="AD602" s="202" t="s">
        <v>1152</v>
      </c>
      <c r="AE602" s="202" t="s">
        <v>1153</v>
      </c>
      <c r="AF602" s="203" t="s">
        <v>1154</v>
      </c>
      <c r="AG602" s="202"/>
      <c r="AH602" s="203" t="s">
        <v>1155</v>
      </c>
      <c r="AI602" s="202">
        <v>0</v>
      </c>
      <c r="AJ602" s="202">
        <v>0</v>
      </c>
    </row>
    <row r="603" spans="2:36">
      <c r="B603" s="203">
        <v>2180</v>
      </c>
      <c r="C603" s="207">
        <v>110353</v>
      </c>
      <c r="D603" s="203" t="s">
        <v>97</v>
      </c>
      <c r="E603" s="202" t="s">
        <v>1018</v>
      </c>
      <c r="F603" s="203"/>
      <c r="G603" s="202"/>
      <c r="H603" s="202"/>
      <c r="I603" s="202"/>
      <c r="J603" s="202">
        <v>0</v>
      </c>
      <c r="K603" s="202"/>
      <c r="L603" s="202"/>
      <c r="M603" s="202"/>
      <c r="N603" s="206">
        <v>41603</v>
      </c>
      <c r="O603" s="206">
        <v>41603</v>
      </c>
      <c r="P603" s="202" t="s">
        <v>2151</v>
      </c>
      <c r="Q603" s="203">
        <v>1000</v>
      </c>
      <c r="R603" s="203">
        <v>14090</v>
      </c>
      <c r="S603" s="204">
        <v>99307.78</v>
      </c>
      <c r="T603" s="203">
        <v>14096</v>
      </c>
      <c r="U603" s="204">
        <v>80273.81</v>
      </c>
      <c r="V603" s="204">
        <f t="shared" si="20"/>
        <v>19033.97</v>
      </c>
      <c r="W603" s="205">
        <v>9930.7800000000007</v>
      </c>
      <c r="X603" s="203">
        <v>57260</v>
      </c>
      <c r="Y603" s="204">
        <v>827.56</v>
      </c>
      <c r="Z603" s="202" t="s">
        <v>97</v>
      </c>
      <c r="AA603" s="202"/>
      <c r="AB603" s="202"/>
      <c r="AC603" s="202"/>
      <c r="AD603" s="202" t="s">
        <v>1152</v>
      </c>
      <c r="AE603" s="202" t="s">
        <v>1153</v>
      </c>
      <c r="AF603" s="203" t="s">
        <v>1154</v>
      </c>
      <c r="AG603" s="208">
        <v>41639</v>
      </c>
      <c r="AH603" s="203" t="s">
        <v>1155</v>
      </c>
      <c r="AI603" s="202">
        <v>0</v>
      </c>
      <c r="AJ603" s="202">
        <v>827.57</v>
      </c>
    </row>
    <row r="604" spans="2:36">
      <c r="B604" s="203">
        <v>2180</v>
      </c>
      <c r="C604" s="207">
        <v>110074</v>
      </c>
      <c r="D604" s="203">
        <v>109515</v>
      </c>
      <c r="E604" s="202" t="s">
        <v>2150</v>
      </c>
      <c r="F604" s="203"/>
      <c r="G604" s="202"/>
      <c r="H604" s="202"/>
      <c r="I604" s="202"/>
      <c r="J604" s="202">
        <v>0</v>
      </c>
      <c r="K604" s="202" t="s">
        <v>2149</v>
      </c>
      <c r="L604" s="202"/>
      <c r="M604" s="202" t="s">
        <v>1158</v>
      </c>
      <c r="N604" s="206">
        <v>41635</v>
      </c>
      <c r="O604" s="206">
        <v>41635</v>
      </c>
      <c r="P604" s="202" t="s">
        <v>2143</v>
      </c>
      <c r="Q604" s="203">
        <v>1000</v>
      </c>
      <c r="R604" s="203">
        <v>14040</v>
      </c>
      <c r="S604" s="204">
        <v>798</v>
      </c>
      <c r="T604" s="203">
        <v>14046</v>
      </c>
      <c r="U604" s="204">
        <v>638.4</v>
      </c>
      <c r="V604" s="204">
        <f t="shared" si="20"/>
        <v>159.60000000000002</v>
      </c>
      <c r="W604" s="205">
        <v>79.8</v>
      </c>
      <c r="X604" s="203">
        <v>51260</v>
      </c>
      <c r="Y604" s="204">
        <v>6.65</v>
      </c>
      <c r="Z604" s="202" t="s">
        <v>97</v>
      </c>
      <c r="AA604" s="202"/>
      <c r="AB604" s="210">
        <v>342812</v>
      </c>
      <c r="AC604" s="202"/>
      <c r="AD604" s="202" t="s">
        <v>1152</v>
      </c>
      <c r="AE604" s="202" t="s">
        <v>1153</v>
      </c>
      <c r="AF604" s="203" t="s">
        <v>1154</v>
      </c>
      <c r="AG604" s="202"/>
      <c r="AH604" s="203" t="s">
        <v>1155</v>
      </c>
      <c r="AI604" s="202">
        <v>0</v>
      </c>
      <c r="AJ604" s="202">
        <v>0</v>
      </c>
    </row>
    <row r="605" spans="2:36">
      <c r="B605" s="203">
        <v>2180</v>
      </c>
      <c r="C605" s="207">
        <v>110073</v>
      </c>
      <c r="D605" s="203">
        <v>109515</v>
      </c>
      <c r="E605" s="202" t="s">
        <v>2148</v>
      </c>
      <c r="F605" s="203"/>
      <c r="G605" s="202"/>
      <c r="H605" s="202"/>
      <c r="I605" s="202"/>
      <c r="J605" s="202">
        <v>0</v>
      </c>
      <c r="K605" s="202" t="s">
        <v>2147</v>
      </c>
      <c r="L605" s="202"/>
      <c r="M605" s="202" t="s">
        <v>1158</v>
      </c>
      <c r="N605" s="206">
        <v>41635</v>
      </c>
      <c r="O605" s="206">
        <v>41635</v>
      </c>
      <c r="P605" s="202" t="s">
        <v>2143</v>
      </c>
      <c r="Q605" s="203">
        <v>1000</v>
      </c>
      <c r="R605" s="203">
        <v>14040</v>
      </c>
      <c r="S605" s="204">
        <v>629.19000000000005</v>
      </c>
      <c r="T605" s="203">
        <v>14046</v>
      </c>
      <c r="U605" s="204">
        <v>503.36</v>
      </c>
      <c r="V605" s="204">
        <f t="shared" si="20"/>
        <v>125.83000000000004</v>
      </c>
      <c r="W605" s="205">
        <v>62.92</v>
      </c>
      <c r="X605" s="203">
        <v>51260</v>
      </c>
      <c r="Y605" s="204">
        <v>5.24</v>
      </c>
      <c r="Z605" s="202" t="s">
        <v>97</v>
      </c>
      <c r="AA605" s="202"/>
      <c r="AB605" s="202">
        <v>5015790</v>
      </c>
      <c r="AC605" s="202"/>
      <c r="AD605" s="202" t="s">
        <v>1152</v>
      </c>
      <c r="AE605" s="202" t="s">
        <v>1153</v>
      </c>
      <c r="AF605" s="203" t="s">
        <v>1154</v>
      </c>
      <c r="AG605" s="202"/>
      <c r="AH605" s="203" t="s">
        <v>1155</v>
      </c>
      <c r="AI605" s="202">
        <v>0</v>
      </c>
      <c r="AJ605" s="202">
        <v>0</v>
      </c>
    </row>
    <row r="606" spans="2:36">
      <c r="B606" s="203">
        <v>2180</v>
      </c>
      <c r="C606" s="207">
        <v>109651</v>
      </c>
      <c r="D606" s="203">
        <v>106627</v>
      </c>
      <c r="E606" s="202" t="s">
        <v>964</v>
      </c>
      <c r="F606" s="203"/>
      <c r="G606" s="202"/>
      <c r="H606" s="202"/>
      <c r="I606" s="202"/>
      <c r="J606" s="202">
        <v>0</v>
      </c>
      <c r="K606" s="202" t="s">
        <v>1576</v>
      </c>
      <c r="L606" s="202"/>
      <c r="M606" s="202"/>
      <c r="N606" s="206">
        <v>41577</v>
      </c>
      <c r="O606" s="206">
        <v>41577</v>
      </c>
      <c r="P606" s="202" t="s">
        <v>2097</v>
      </c>
      <c r="Q606" s="203">
        <v>300</v>
      </c>
      <c r="R606" s="203">
        <v>14110</v>
      </c>
      <c r="S606" s="204">
        <v>35788.339999999997</v>
      </c>
      <c r="T606" s="203">
        <v>14116</v>
      </c>
      <c r="U606" s="204">
        <v>35788.339999999997</v>
      </c>
      <c r="V606" s="204">
        <f t="shared" si="20"/>
        <v>0</v>
      </c>
      <c r="W606" s="205">
        <v>0</v>
      </c>
      <c r="X606" s="203">
        <v>70260</v>
      </c>
      <c r="Y606" s="204">
        <v>0</v>
      </c>
      <c r="Z606" s="202" t="s">
        <v>97</v>
      </c>
      <c r="AA606" s="202"/>
      <c r="AB606" s="202">
        <v>95106</v>
      </c>
      <c r="AC606" s="202"/>
      <c r="AD606" s="202" t="s">
        <v>1152</v>
      </c>
      <c r="AE606" s="202" t="s">
        <v>1153</v>
      </c>
      <c r="AF606" s="203" t="s">
        <v>1154</v>
      </c>
      <c r="AG606" s="202"/>
      <c r="AH606" s="203" t="s">
        <v>1155</v>
      </c>
      <c r="AI606" s="202">
        <v>0</v>
      </c>
      <c r="AJ606" s="202">
        <v>0</v>
      </c>
    </row>
    <row r="607" spans="2:36">
      <c r="B607" s="203">
        <v>2180</v>
      </c>
      <c r="C607" s="207">
        <v>109515</v>
      </c>
      <c r="D607" s="203" t="s">
        <v>97</v>
      </c>
      <c r="E607" s="202" t="s">
        <v>2146</v>
      </c>
      <c r="F607" s="203"/>
      <c r="G607" s="202"/>
      <c r="H607" s="202" t="s">
        <v>2145</v>
      </c>
      <c r="I607" s="202"/>
      <c r="J607" s="202">
        <v>2014</v>
      </c>
      <c r="K607" s="202" t="s">
        <v>2133</v>
      </c>
      <c r="L607" s="202" t="s">
        <v>2144</v>
      </c>
      <c r="M607" s="202" t="s">
        <v>1999</v>
      </c>
      <c r="N607" s="206">
        <v>41635</v>
      </c>
      <c r="O607" s="206">
        <v>41635</v>
      </c>
      <c r="P607" s="202" t="s">
        <v>2143</v>
      </c>
      <c r="Q607" s="203">
        <v>1000</v>
      </c>
      <c r="R607" s="203">
        <v>14040</v>
      </c>
      <c r="S607" s="204">
        <v>295986.36</v>
      </c>
      <c r="T607" s="203">
        <v>14046</v>
      </c>
      <c r="U607" s="204">
        <v>236789.04</v>
      </c>
      <c r="V607" s="204">
        <f t="shared" si="20"/>
        <v>59197.319999999978</v>
      </c>
      <c r="W607" s="205">
        <v>29598.63</v>
      </c>
      <c r="X607" s="203">
        <v>51260</v>
      </c>
      <c r="Y607" s="204">
        <v>2466.5500000000002</v>
      </c>
      <c r="Z607" s="202" t="s">
        <v>97</v>
      </c>
      <c r="AA607" s="202"/>
      <c r="AB607" s="202"/>
      <c r="AC607" s="202">
        <v>2041</v>
      </c>
      <c r="AD607" s="202" t="s">
        <v>1152</v>
      </c>
      <c r="AE607" s="202" t="s">
        <v>1153</v>
      </c>
      <c r="AF607" s="203" t="s">
        <v>1154</v>
      </c>
      <c r="AG607" s="202"/>
      <c r="AH607" s="203" t="s">
        <v>1155</v>
      </c>
      <c r="AI607" s="202">
        <v>0</v>
      </c>
      <c r="AJ607" s="202">
        <v>0</v>
      </c>
    </row>
    <row r="608" spans="2:36">
      <c r="B608" s="203">
        <v>2180</v>
      </c>
      <c r="C608" s="207">
        <v>108970</v>
      </c>
      <c r="D608" s="203" t="s">
        <v>97</v>
      </c>
      <c r="E608" s="202" t="s">
        <v>2142</v>
      </c>
      <c r="F608" s="203"/>
      <c r="G608" s="202"/>
      <c r="H608" s="202"/>
      <c r="I608" s="202"/>
      <c r="J608" s="202">
        <v>0</v>
      </c>
      <c r="K608" s="202" t="s">
        <v>1429</v>
      </c>
      <c r="L608" s="202"/>
      <c r="M608" s="202"/>
      <c r="N608" s="206">
        <v>41603</v>
      </c>
      <c r="O608" s="206">
        <v>41603</v>
      </c>
      <c r="P608" s="202" t="s">
        <v>2141</v>
      </c>
      <c r="Q608" s="203">
        <v>300</v>
      </c>
      <c r="R608" s="203">
        <v>14110</v>
      </c>
      <c r="S608" s="204">
        <v>1504.24</v>
      </c>
      <c r="T608" s="203">
        <v>14116</v>
      </c>
      <c r="U608" s="204">
        <v>1504.24</v>
      </c>
      <c r="V608" s="204">
        <f t="shared" si="20"/>
        <v>0</v>
      </c>
      <c r="W608" s="205">
        <v>0</v>
      </c>
      <c r="X608" s="203">
        <v>70260</v>
      </c>
      <c r="Y608" s="204">
        <v>0</v>
      </c>
      <c r="Z608" s="202" t="s">
        <v>97</v>
      </c>
      <c r="AA608" s="202"/>
      <c r="AB608" s="202" t="s">
        <v>2140</v>
      </c>
      <c r="AC608" s="202"/>
      <c r="AD608" s="202" t="s">
        <v>1152</v>
      </c>
      <c r="AE608" s="202" t="s">
        <v>1153</v>
      </c>
      <c r="AF608" s="203" t="s">
        <v>1154</v>
      </c>
      <c r="AG608" s="202"/>
      <c r="AH608" s="203" t="s">
        <v>1155</v>
      </c>
      <c r="AI608" s="202">
        <v>0</v>
      </c>
      <c r="AJ608" s="202">
        <v>0</v>
      </c>
    </row>
    <row r="609" spans="2:36">
      <c r="B609" s="203">
        <v>2180</v>
      </c>
      <c r="C609" s="207">
        <v>108969</v>
      </c>
      <c r="D609" s="203">
        <v>106627</v>
      </c>
      <c r="E609" s="202" t="s">
        <v>2139</v>
      </c>
      <c r="F609" s="203"/>
      <c r="G609" s="202"/>
      <c r="H609" s="202"/>
      <c r="I609" s="202"/>
      <c r="J609" s="202">
        <v>0</v>
      </c>
      <c r="K609" s="202" t="s">
        <v>2138</v>
      </c>
      <c r="L609" s="202"/>
      <c r="M609" s="202"/>
      <c r="N609" s="206">
        <v>41577</v>
      </c>
      <c r="O609" s="206">
        <v>41577</v>
      </c>
      <c r="P609" s="202" t="s">
        <v>2097</v>
      </c>
      <c r="Q609" s="203">
        <v>300</v>
      </c>
      <c r="R609" s="203">
        <v>14110</v>
      </c>
      <c r="S609" s="204">
        <v>503.75</v>
      </c>
      <c r="T609" s="203">
        <v>14116</v>
      </c>
      <c r="U609" s="204">
        <v>503.75</v>
      </c>
      <c r="V609" s="204">
        <f t="shared" si="20"/>
        <v>0</v>
      </c>
      <c r="W609" s="205">
        <v>0</v>
      </c>
      <c r="X609" s="203">
        <v>70260</v>
      </c>
      <c r="Y609" s="204">
        <v>0</v>
      </c>
      <c r="Z609" s="202" t="s">
        <v>97</v>
      </c>
      <c r="AA609" s="202"/>
      <c r="AB609" s="202">
        <v>95287</v>
      </c>
      <c r="AC609" s="202"/>
      <c r="AD609" s="202" t="s">
        <v>1152</v>
      </c>
      <c r="AE609" s="202" t="s">
        <v>1153</v>
      </c>
      <c r="AF609" s="203" t="s">
        <v>1154</v>
      </c>
      <c r="AG609" s="202"/>
      <c r="AH609" s="203" t="s">
        <v>1155</v>
      </c>
      <c r="AI609" s="202">
        <v>0</v>
      </c>
      <c r="AJ609" s="202">
        <v>0</v>
      </c>
    </row>
    <row r="610" spans="2:36">
      <c r="B610" s="203">
        <v>2180</v>
      </c>
      <c r="C610" s="207">
        <v>108949</v>
      </c>
      <c r="D610" s="203">
        <v>108801</v>
      </c>
      <c r="E610" s="202" t="s">
        <v>2137</v>
      </c>
      <c r="F610" s="203"/>
      <c r="G610" s="202"/>
      <c r="H610" s="202"/>
      <c r="I610" s="202"/>
      <c r="J610" s="202">
        <v>0</v>
      </c>
      <c r="K610" s="202" t="s">
        <v>2136</v>
      </c>
      <c r="L610" s="202"/>
      <c r="M610" s="202" t="s">
        <v>1158</v>
      </c>
      <c r="N610" s="206">
        <v>41576</v>
      </c>
      <c r="O610" s="206">
        <v>41576</v>
      </c>
      <c r="P610" s="202" t="s">
        <v>2131</v>
      </c>
      <c r="Q610" s="203">
        <v>1000</v>
      </c>
      <c r="R610" s="203">
        <v>14040</v>
      </c>
      <c r="S610" s="204">
        <v>902.53</v>
      </c>
      <c r="T610" s="203">
        <v>14046</v>
      </c>
      <c r="U610" s="204">
        <v>737.04</v>
      </c>
      <c r="V610" s="204">
        <f t="shared" si="20"/>
        <v>165.49</v>
      </c>
      <c r="W610" s="205">
        <v>90.25</v>
      </c>
      <c r="X610" s="203">
        <v>51260</v>
      </c>
      <c r="Y610" s="204">
        <v>7.52</v>
      </c>
      <c r="Z610" s="202" t="s">
        <v>97</v>
      </c>
      <c r="AA610" s="202"/>
      <c r="AB610" s="202">
        <v>1140</v>
      </c>
      <c r="AC610" s="202"/>
      <c r="AD610" s="202" t="s">
        <v>1152</v>
      </c>
      <c r="AE610" s="202" t="s">
        <v>1153</v>
      </c>
      <c r="AF610" s="203" t="s">
        <v>1154</v>
      </c>
      <c r="AG610" s="202"/>
      <c r="AH610" s="203" t="s">
        <v>1155</v>
      </c>
      <c r="AI610" s="202">
        <v>0</v>
      </c>
      <c r="AJ610" s="202">
        <v>0</v>
      </c>
    </row>
    <row r="611" spans="2:36">
      <c r="B611" s="203">
        <v>2180</v>
      </c>
      <c r="C611" s="207">
        <v>108801</v>
      </c>
      <c r="D611" s="203" t="s">
        <v>97</v>
      </c>
      <c r="E611" s="202" t="s">
        <v>2135</v>
      </c>
      <c r="F611" s="203"/>
      <c r="G611" s="202"/>
      <c r="H611" s="202" t="s">
        <v>2134</v>
      </c>
      <c r="I611" s="202"/>
      <c r="J611" s="202">
        <v>2013</v>
      </c>
      <c r="K611" s="202" t="s">
        <v>2133</v>
      </c>
      <c r="L611" s="202" t="s">
        <v>2113</v>
      </c>
      <c r="M611" s="202" t="s">
        <v>2132</v>
      </c>
      <c r="N611" s="206">
        <v>41576</v>
      </c>
      <c r="O611" s="206">
        <v>41576</v>
      </c>
      <c r="P611" s="202" t="s">
        <v>2131</v>
      </c>
      <c r="Q611" s="203">
        <v>1000</v>
      </c>
      <c r="R611" s="203">
        <v>14040</v>
      </c>
      <c r="S611" s="204">
        <v>319248.73</v>
      </c>
      <c r="T611" s="203">
        <v>14046</v>
      </c>
      <c r="U611" s="204">
        <v>260719.77</v>
      </c>
      <c r="V611" s="204">
        <f t="shared" si="20"/>
        <v>58528.959999999992</v>
      </c>
      <c r="W611" s="205">
        <v>31924.87</v>
      </c>
      <c r="X611" s="203">
        <v>51260</v>
      </c>
      <c r="Y611" s="204">
        <v>2660.41</v>
      </c>
      <c r="Z611" s="202" t="s">
        <v>97</v>
      </c>
      <c r="AA611" s="202"/>
      <c r="AB611" s="202"/>
      <c r="AC611" s="202">
        <v>3635</v>
      </c>
      <c r="AD611" s="202" t="s">
        <v>1152</v>
      </c>
      <c r="AE611" s="202" t="s">
        <v>1153</v>
      </c>
      <c r="AF611" s="203" t="s">
        <v>1154</v>
      </c>
      <c r="AG611" s="202"/>
      <c r="AH611" s="203" t="s">
        <v>1155</v>
      </c>
      <c r="AI611" s="202">
        <v>0</v>
      </c>
      <c r="AJ611" s="202">
        <v>0</v>
      </c>
    </row>
    <row r="612" spans="2:36">
      <c r="B612" s="203">
        <v>2180</v>
      </c>
      <c r="C612" s="207">
        <v>108738</v>
      </c>
      <c r="D612" s="203" t="s">
        <v>97</v>
      </c>
      <c r="E612" s="202" t="s">
        <v>2062</v>
      </c>
      <c r="F612" s="203">
        <v>648</v>
      </c>
      <c r="G612" s="202"/>
      <c r="H612" s="202"/>
      <c r="I612" s="202"/>
      <c r="J612" s="202">
        <v>0</v>
      </c>
      <c r="K612" s="202" t="s">
        <v>1658</v>
      </c>
      <c r="L612" s="202"/>
      <c r="M612" s="202"/>
      <c r="N612" s="206">
        <v>41582</v>
      </c>
      <c r="O612" s="206">
        <v>41582</v>
      </c>
      <c r="P612" s="202" t="s">
        <v>2061</v>
      </c>
      <c r="Q612" s="203">
        <v>700</v>
      </c>
      <c r="R612" s="203">
        <v>14050</v>
      </c>
      <c r="S612" s="204">
        <v>30302.54</v>
      </c>
      <c r="T612" s="203">
        <v>14056</v>
      </c>
      <c r="U612" s="204">
        <v>30302.54</v>
      </c>
      <c r="V612" s="204">
        <f t="shared" si="20"/>
        <v>0</v>
      </c>
      <c r="W612" s="205">
        <v>0</v>
      </c>
      <c r="X612" s="203">
        <v>54260</v>
      </c>
      <c r="Y612" s="204">
        <v>0</v>
      </c>
      <c r="Z612" s="202" t="s">
        <v>97</v>
      </c>
      <c r="AA612" s="202"/>
      <c r="AB612" s="202" t="s">
        <v>2130</v>
      </c>
      <c r="AC612" s="202"/>
      <c r="AD612" s="202" t="s">
        <v>1152</v>
      </c>
      <c r="AE612" s="202" t="s">
        <v>1153</v>
      </c>
      <c r="AF612" s="203" t="s">
        <v>1154</v>
      </c>
      <c r="AG612" s="202"/>
      <c r="AH612" s="203" t="s">
        <v>1155</v>
      </c>
      <c r="AI612" s="202">
        <v>0</v>
      </c>
      <c r="AJ612" s="202">
        <v>0</v>
      </c>
    </row>
    <row r="613" spans="2:36">
      <c r="B613" s="203">
        <v>2180</v>
      </c>
      <c r="C613" s="207">
        <v>108618</v>
      </c>
      <c r="D613" s="203">
        <v>106627</v>
      </c>
      <c r="E613" s="202" t="s">
        <v>964</v>
      </c>
      <c r="F613" s="203"/>
      <c r="G613" s="202"/>
      <c r="H613" s="202"/>
      <c r="I613" s="202"/>
      <c r="J613" s="202">
        <v>0</v>
      </c>
      <c r="K613" s="202" t="s">
        <v>1576</v>
      </c>
      <c r="L613" s="202"/>
      <c r="M613" s="202"/>
      <c r="N613" s="206">
        <v>41577</v>
      </c>
      <c r="O613" s="206">
        <v>41577</v>
      </c>
      <c r="P613" s="202" t="s">
        <v>2097</v>
      </c>
      <c r="Q613" s="203">
        <v>500</v>
      </c>
      <c r="R613" s="203">
        <v>14110</v>
      </c>
      <c r="S613" s="204">
        <v>7131.39</v>
      </c>
      <c r="T613" s="203">
        <v>14116</v>
      </c>
      <c r="U613" s="204">
        <v>7131.39</v>
      </c>
      <c r="V613" s="204">
        <f t="shared" si="20"/>
        <v>0</v>
      </c>
      <c r="W613" s="205">
        <v>0</v>
      </c>
      <c r="X613" s="203">
        <v>70260</v>
      </c>
      <c r="Y613" s="204">
        <v>0</v>
      </c>
      <c r="Z613" s="202" t="s">
        <v>97</v>
      </c>
      <c r="AA613" s="202"/>
      <c r="AB613" s="202">
        <v>95279</v>
      </c>
      <c r="AC613" s="202"/>
      <c r="AD613" s="202" t="s">
        <v>1152</v>
      </c>
      <c r="AE613" s="202" t="s">
        <v>1153</v>
      </c>
      <c r="AF613" s="203" t="s">
        <v>1154</v>
      </c>
      <c r="AG613" s="202"/>
      <c r="AH613" s="203" t="s">
        <v>1155</v>
      </c>
      <c r="AI613" s="202">
        <v>0</v>
      </c>
      <c r="AJ613" s="202">
        <v>0</v>
      </c>
    </row>
    <row r="614" spans="2:36">
      <c r="B614" s="203">
        <v>2180</v>
      </c>
      <c r="C614" s="207">
        <v>108617</v>
      </c>
      <c r="D614" s="203">
        <v>106627</v>
      </c>
      <c r="E614" s="202" t="s">
        <v>964</v>
      </c>
      <c r="F614" s="203"/>
      <c r="G614" s="202"/>
      <c r="H614" s="202"/>
      <c r="I614" s="202"/>
      <c r="J614" s="202">
        <v>0</v>
      </c>
      <c r="K614" s="202" t="s">
        <v>1576</v>
      </c>
      <c r="L614" s="202"/>
      <c r="M614" s="202"/>
      <c r="N614" s="206">
        <v>41577</v>
      </c>
      <c r="O614" s="206">
        <v>41577</v>
      </c>
      <c r="P614" s="202" t="s">
        <v>2097</v>
      </c>
      <c r="Q614" s="203">
        <v>500</v>
      </c>
      <c r="R614" s="203">
        <v>14110</v>
      </c>
      <c r="S614" s="204">
        <v>614.72</v>
      </c>
      <c r="T614" s="203">
        <v>14116</v>
      </c>
      <c r="U614" s="204">
        <v>614.72</v>
      </c>
      <c r="V614" s="204">
        <f t="shared" si="20"/>
        <v>0</v>
      </c>
      <c r="W614" s="205">
        <v>0</v>
      </c>
      <c r="X614" s="203">
        <v>70260</v>
      </c>
      <c r="Y614" s="204">
        <v>0</v>
      </c>
      <c r="Z614" s="202" t="s">
        <v>97</v>
      </c>
      <c r="AA614" s="202"/>
      <c r="AB614" s="202">
        <v>95264</v>
      </c>
      <c r="AC614" s="202"/>
      <c r="AD614" s="202" t="s">
        <v>1152</v>
      </c>
      <c r="AE614" s="202" t="s">
        <v>1153</v>
      </c>
      <c r="AF614" s="203" t="s">
        <v>1154</v>
      </c>
      <c r="AG614" s="202"/>
      <c r="AH614" s="203" t="s">
        <v>1155</v>
      </c>
      <c r="AI614" s="202">
        <v>0</v>
      </c>
      <c r="AJ614" s="202">
        <v>0</v>
      </c>
    </row>
    <row r="615" spans="2:36">
      <c r="B615" s="203">
        <v>2180</v>
      </c>
      <c r="C615" s="207">
        <v>107879</v>
      </c>
      <c r="D615" s="203">
        <v>106627</v>
      </c>
      <c r="E615" s="202" t="s">
        <v>2129</v>
      </c>
      <c r="F615" s="203"/>
      <c r="G615" s="202"/>
      <c r="H615" s="202"/>
      <c r="I615" s="202"/>
      <c r="J615" s="202">
        <v>0</v>
      </c>
      <c r="K615" s="202" t="s">
        <v>1576</v>
      </c>
      <c r="L615" s="202"/>
      <c r="M615" s="202"/>
      <c r="N615" s="206">
        <v>41561</v>
      </c>
      <c r="O615" s="206">
        <v>41561</v>
      </c>
      <c r="P615" s="202" t="s">
        <v>2097</v>
      </c>
      <c r="Q615" s="203">
        <v>300</v>
      </c>
      <c r="R615" s="203">
        <v>14110</v>
      </c>
      <c r="S615" s="204">
        <v>5412.81</v>
      </c>
      <c r="T615" s="203">
        <v>14116</v>
      </c>
      <c r="U615" s="204">
        <v>5412.81</v>
      </c>
      <c r="V615" s="204">
        <f t="shared" si="20"/>
        <v>0</v>
      </c>
      <c r="W615" s="205">
        <v>0</v>
      </c>
      <c r="X615" s="203">
        <v>70260</v>
      </c>
      <c r="Y615" s="204">
        <v>0</v>
      </c>
      <c r="Z615" s="202" t="s">
        <v>97</v>
      </c>
      <c r="AA615" s="202"/>
      <c r="AB615" s="202">
        <v>95227</v>
      </c>
      <c r="AC615" s="202"/>
      <c r="AD615" s="202" t="s">
        <v>1152</v>
      </c>
      <c r="AE615" s="202" t="s">
        <v>1153</v>
      </c>
      <c r="AF615" s="203" t="s">
        <v>1154</v>
      </c>
      <c r="AG615" s="202"/>
      <c r="AH615" s="203" t="s">
        <v>1155</v>
      </c>
      <c r="AI615" s="202">
        <v>0</v>
      </c>
      <c r="AJ615" s="202">
        <v>0</v>
      </c>
    </row>
    <row r="616" spans="2:36">
      <c r="B616" s="203">
        <v>2180</v>
      </c>
      <c r="C616" s="207">
        <v>107873</v>
      </c>
      <c r="D616" s="203" t="s">
        <v>97</v>
      </c>
      <c r="E616" s="202" t="s">
        <v>2128</v>
      </c>
      <c r="F616" s="203">
        <v>14</v>
      </c>
      <c r="G616" s="202"/>
      <c r="H616" s="202"/>
      <c r="I616" s="202"/>
      <c r="J616" s="202">
        <v>0</v>
      </c>
      <c r="K616" s="202" t="s">
        <v>2041</v>
      </c>
      <c r="L616" s="202"/>
      <c r="M616" s="202" t="s">
        <v>1975</v>
      </c>
      <c r="N616" s="206">
        <v>41548</v>
      </c>
      <c r="O616" s="206">
        <v>41548</v>
      </c>
      <c r="P616" s="202" t="s">
        <v>2127</v>
      </c>
      <c r="Q616" s="203">
        <v>1200</v>
      </c>
      <c r="R616" s="203">
        <v>14050</v>
      </c>
      <c r="S616" s="204">
        <v>12490.24</v>
      </c>
      <c r="T616" s="203">
        <v>14056</v>
      </c>
      <c r="U616" s="204">
        <v>8587.01</v>
      </c>
      <c r="V616" s="204">
        <f t="shared" si="20"/>
        <v>3903.2299999999996</v>
      </c>
      <c r="W616" s="205">
        <v>1040.8499999999999</v>
      </c>
      <c r="X616" s="203">
        <v>54260</v>
      </c>
      <c r="Y616" s="204">
        <v>86.74</v>
      </c>
      <c r="Z616" s="202" t="s">
        <v>97</v>
      </c>
      <c r="AA616" s="202"/>
      <c r="AB616" s="202">
        <v>86929</v>
      </c>
      <c r="AC616" s="202"/>
      <c r="AD616" s="202" t="s">
        <v>1152</v>
      </c>
      <c r="AE616" s="202" t="s">
        <v>1153</v>
      </c>
      <c r="AF616" s="203" t="s">
        <v>1154</v>
      </c>
      <c r="AG616" s="202"/>
      <c r="AH616" s="203" t="s">
        <v>1155</v>
      </c>
      <c r="AI616" s="202">
        <v>0</v>
      </c>
      <c r="AJ616" s="202">
        <v>0</v>
      </c>
    </row>
    <row r="617" spans="2:36">
      <c r="B617" s="203">
        <v>2180</v>
      </c>
      <c r="C617" s="207">
        <v>107872</v>
      </c>
      <c r="D617" s="203" t="s">
        <v>97</v>
      </c>
      <c r="E617" s="202" t="s">
        <v>2128</v>
      </c>
      <c r="F617" s="203">
        <v>6</v>
      </c>
      <c r="G617" s="202"/>
      <c r="H617" s="202"/>
      <c r="I617" s="202"/>
      <c r="J617" s="202">
        <v>0</v>
      </c>
      <c r="K617" s="202" t="s">
        <v>2041</v>
      </c>
      <c r="L617" s="202"/>
      <c r="M617" s="202" t="s">
        <v>1975</v>
      </c>
      <c r="N617" s="206">
        <v>41548</v>
      </c>
      <c r="O617" s="206">
        <v>41548</v>
      </c>
      <c r="P617" s="202" t="s">
        <v>2127</v>
      </c>
      <c r="Q617" s="203">
        <v>1200</v>
      </c>
      <c r="R617" s="203">
        <v>14050</v>
      </c>
      <c r="S617" s="204">
        <v>5352.96</v>
      </c>
      <c r="T617" s="203">
        <v>14056</v>
      </c>
      <c r="U617" s="204">
        <v>3680.07</v>
      </c>
      <c r="V617" s="204">
        <f t="shared" si="20"/>
        <v>1672.8899999999999</v>
      </c>
      <c r="W617" s="205">
        <v>446.07</v>
      </c>
      <c r="X617" s="203">
        <v>54260</v>
      </c>
      <c r="Y617" s="204">
        <v>37.17</v>
      </c>
      <c r="Z617" s="202" t="s">
        <v>97</v>
      </c>
      <c r="AA617" s="202"/>
      <c r="AB617" s="202">
        <v>86990</v>
      </c>
      <c r="AC617" s="202"/>
      <c r="AD617" s="202" t="s">
        <v>1152</v>
      </c>
      <c r="AE617" s="202" t="s">
        <v>1153</v>
      </c>
      <c r="AF617" s="203" t="s">
        <v>1154</v>
      </c>
      <c r="AG617" s="202"/>
      <c r="AH617" s="203" t="s">
        <v>1155</v>
      </c>
      <c r="AI617" s="202">
        <v>0</v>
      </c>
      <c r="AJ617" s="202">
        <v>0</v>
      </c>
    </row>
    <row r="618" spans="2:36">
      <c r="B618" s="203">
        <v>2180</v>
      </c>
      <c r="C618" s="207">
        <v>107737</v>
      </c>
      <c r="D618" s="203" t="s">
        <v>97</v>
      </c>
      <c r="E618" s="202" t="s">
        <v>2126</v>
      </c>
      <c r="F618" s="203"/>
      <c r="G618" s="202"/>
      <c r="H618" s="202"/>
      <c r="I618" s="202"/>
      <c r="J618" s="202">
        <v>0</v>
      </c>
      <c r="K618" s="202" t="s">
        <v>1525</v>
      </c>
      <c r="L618" s="202"/>
      <c r="M618" s="202"/>
      <c r="N618" s="206">
        <v>41518</v>
      </c>
      <c r="O618" s="206">
        <v>41518</v>
      </c>
      <c r="P618" s="202" t="s">
        <v>2125</v>
      </c>
      <c r="Q618" s="203">
        <v>300</v>
      </c>
      <c r="R618" s="203">
        <v>14110</v>
      </c>
      <c r="S618" s="204">
        <v>1904</v>
      </c>
      <c r="T618" s="203">
        <v>14116</v>
      </c>
      <c r="U618" s="204">
        <v>1904</v>
      </c>
      <c r="V618" s="204">
        <f t="shared" si="20"/>
        <v>0</v>
      </c>
      <c r="W618" s="205">
        <v>0</v>
      </c>
      <c r="X618" s="203">
        <v>70260</v>
      </c>
      <c r="Y618" s="204">
        <v>0</v>
      </c>
      <c r="Z618" s="202" t="s">
        <v>97</v>
      </c>
      <c r="AA618" s="202"/>
      <c r="AB618" s="202" t="s">
        <v>2124</v>
      </c>
      <c r="AC618" s="202"/>
      <c r="AD618" s="202" t="s">
        <v>1152</v>
      </c>
      <c r="AE618" s="202" t="s">
        <v>1153</v>
      </c>
      <c r="AF618" s="203" t="s">
        <v>1154</v>
      </c>
      <c r="AG618" s="202"/>
      <c r="AH618" s="203" t="s">
        <v>1155</v>
      </c>
      <c r="AI618" s="202">
        <v>0</v>
      </c>
      <c r="AJ618" s="202">
        <v>0</v>
      </c>
    </row>
    <row r="619" spans="2:36">
      <c r="B619" s="203">
        <v>2180</v>
      </c>
      <c r="C619" s="207">
        <v>107573</v>
      </c>
      <c r="D619" s="203">
        <v>107324</v>
      </c>
      <c r="E619" s="202" t="s">
        <v>2123</v>
      </c>
      <c r="F619" s="203"/>
      <c r="G619" s="202"/>
      <c r="H619" s="202"/>
      <c r="I619" s="202"/>
      <c r="J619" s="202">
        <v>0</v>
      </c>
      <c r="K619" s="202" t="s">
        <v>2122</v>
      </c>
      <c r="L619" s="202"/>
      <c r="M619" s="202" t="s">
        <v>1158</v>
      </c>
      <c r="N619" s="206">
        <v>41514</v>
      </c>
      <c r="O619" s="206">
        <v>41514</v>
      </c>
      <c r="P619" s="202" t="s">
        <v>2111</v>
      </c>
      <c r="Q619" s="203">
        <v>700</v>
      </c>
      <c r="R619" s="203">
        <v>14040</v>
      </c>
      <c r="S619" s="204">
        <v>602.30999999999995</v>
      </c>
      <c r="T619" s="203">
        <v>14046</v>
      </c>
      <c r="U619" s="204">
        <v>602.30999999999995</v>
      </c>
      <c r="V619" s="204">
        <f t="shared" si="20"/>
        <v>0</v>
      </c>
      <c r="W619" s="205">
        <v>0</v>
      </c>
      <c r="X619" s="203">
        <v>51260</v>
      </c>
      <c r="Y619" s="204">
        <v>0</v>
      </c>
      <c r="Z619" s="202" t="s">
        <v>97</v>
      </c>
      <c r="AA619" s="202"/>
      <c r="AB619" s="202">
        <v>5043633</v>
      </c>
      <c r="AC619" s="202"/>
      <c r="AD619" s="202" t="s">
        <v>1152</v>
      </c>
      <c r="AE619" s="202" t="s">
        <v>1153</v>
      </c>
      <c r="AF619" s="203" t="s">
        <v>1154</v>
      </c>
      <c r="AG619" s="202"/>
      <c r="AH619" s="203" t="s">
        <v>1155</v>
      </c>
      <c r="AI619" s="202">
        <v>0</v>
      </c>
      <c r="AJ619" s="202">
        <v>0</v>
      </c>
    </row>
    <row r="620" spans="2:36">
      <c r="B620" s="203">
        <v>2180</v>
      </c>
      <c r="C620" s="207">
        <v>107427</v>
      </c>
      <c r="D620" s="203" t="s">
        <v>97</v>
      </c>
      <c r="E620" s="202" t="s">
        <v>670</v>
      </c>
      <c r="F620" s="203">
        <v>486</v>
      </c>
      <c r="G620" s="202"/>
      <c r="H620" s="202"/>
      <c r="I620" s="202"/>
      <c r="J620" s="202">
        <v>0</v>
      </c>
      <c r="K620" s="202" t="s">
        <v>1658</v>
      </c>
      <c r="L620" s="202"/>
      <c r="M620" s="202"/>
      <c r="N620" s="206">
        <v>41527</v>
      </c>
      <c r="O620" s="206">
        <v>41527</v>
      </c>
      <c r="P620" s="202" t="s">
        <v>2058</v>
      </c>
      <c r="Q620" s="203">
        <v>700</v>
      </c>
      <c r="R620" s="203">
        <v>14050</v>
      </c>
      <c r="S620" s="204">
        <v>26930.76</v>
      </c>
      <c r="T620" s="203">
        <v>14056</v>
      </c>
      <c r="U620" s="204">
        <v>26930.76</v>
      </c>
      <c r="V620" s="204">
        <f t="shared" si="20"/>
        <v>0</v>
      </c>
      <c r="W620" s="205">
        <v>0</v>
      </c>
      <c r="X620" s="203">
        <v>54260</v>
      </c>
      <c r="Y620" s="204">
        <v>0</v>
      </c>
      <c r="Z620" s="202" t="s">
        <v>97</v>
      </c>
      <c r="AA620" s="202"/>
      <c r="AB620" s="202" t="s">
        <v>2121</v>
      </c>
      <c r="AC620" s="202"/>
      <c r="AD620" s="202" t="s">
        <v>1152</v>
      </c>
      <c r="AE620" s="202" t="s">
        <v>1153</v>
      </c>
      <c r="AF620" s="203" t="s">
        <v>1154</v>
      </c>
      <c r="AG620" s="202"/>
      <c r="AH620" s="203" t="s">
        <v>1155</v>
      </c>
      <c r="AI620" s="202">
        <v>0</v>
      </c>
      <c r="AJ620" s="202">
        <v>0</v>
      </c>
    </row>
    <row r="621" spans="2:36">
      <c r="B621" s="203">
        <v>2180</v>
      </c>
      <c r="C621" s="207">
        <v>107426</v>
      </c>
      <c r="D621" s="203" t="s">
        <v>97</v>
      </c>
      <c r="E621" s="202" t="s">
        <v>2120</v>
      </c>
      <c r="F621" s="203">
        <v>540</v>
      </c>
      <c r="G621" s="202"/>
      <c r="H621" s="202"/>
      <c r="I621" s="202"/>
      <c r="J621" s="202">
        <v>0</v>
      </c>
      <c r="K621" s="202" t="s">
        <v>1658</v>
      </c>
      <c r="L621" s="202"/>
      <c r="M621" s="202"/>
      <c r="N621" s="206">
        <v>41528</v>
      </c>
      <c r="O621" s="206">
        <v>41528</v>
      </c>
      <c r="P621" s="202" t="s">
        <v>2119</v>
      </c>
      <c r="Q621" s="203">
        <v>700</v>
      </c>
      <c r="R621" s="203">
        <v>14050</v>
      </c>
      <c r="S621" s="204">
        <v>21107.85</v>
      </c>
      <c r="T621" s="203">
        <v>14056</v>
      </c>
      <c r="U621" s="204">
        <v>21107.85</v>
      </c>
      <c r="V621" s="204">
        <f t="shared" si="20"/>
        <v>0</v>
      </c>
      <c r="W621" s="205">
        <v>0</v>
      </c>
      <c r="X621" s="203">
        <v>54260</v>
      </c>
      <c r="Y621" s="204">
        <v>0</v>
      </c>
      <c r="Z621" s="202" t="s">
        <v>97</v>
      </c>
      <c r="AA621" s="202"/>
      <c r="AB621" s="202" t="s">
        <v>2118</v>
      </c>
      <c r="AC621" s="202"/>
      <c r="AD621" s="202" t="s">
        <v>1152</v>
      </c>
      <c r="AE621" s="202" t="s">
        <v>1153</v>
      </c>
      <c r="AF621" s="203" t="s">
        <v>1154</v>
      </c>
      <c r="AG621" s="202"/>
      <c r="AH621" s="203" t="s">
        <v>1155</v>
      </c>
      <c r="AI621" s="202">
        <v>0</v>
      </c>
      <c r="AJ621" s="202">
        <v>0</v>
      </c>
    </row>
    <row r="622" spans="2:36">
      <c r="B622" s="203">
        <v>2180</v>
      </c>
      <c r="C622" s="207">
        <v>107425</v>
      </c>
      <c r="D622" s="203" t="s">
        <v>97</v>
      </c>
      <c r="E622" s="202" t="s">
        <v>2095</v>
      </c>
      <c r="F622" s="203">
        <v>648</v>
      </c>
      <c r="G622" s="202"/>
      <c r="H622" s="202"/>
      <c r="I622" s="202"/>
      <c r="J622" s="202">
        <v>0</v>
      </c>
      <c r="K622" s="202" t="s">
        <v>1658</v>
      </c>
      <c r="L622" s="202"/>
      <c r="M622" s="202"/>
      <c r="N622" s="206">
        <v>41527</v>
      </c>
      <c r="O622" s="206">
        <v>41527</v>
      </c>
      <c r="P622" s="202" t="s">
        <v>2061</v>
      </c>
      <c r="Q622" s="203">
        <v>700</v>
      </c>
      <c r="R622" s="203">
        <v>14050</v>
      </c>
      <c r="S622" s="204">
        <v>30302.54</v>
      </c>
      <c r="T622" s="203">
        <v>14056</v>
      </c>
      <c r="U622" s="204">
        <v>30302.54</v>
      </c>
      <c r="V622" s="204">
        <f t="shared" si="20"/>
        <v>0</v>
      </c>
      <c r="W622" s="205">
        <v>0</v>
      </c>
      <c r="X622" s="203">
        <v>54260</v>
      </c>
      <c r="Y622" s="204">
        <v>0</v>
      </c>
      <c r="Z622" s="202" t="s">
        <v>97</v>
      </c>
      <c r="AA622" s="202"/>
      <c r="AB622" s="202" t="s">
        <v>2117</v>
      </c>
      <c r="AC622" s="202"/>
      <c r="AD622" s="202" t="s">
        <v>1152</v>
      </c>
      <c r="AE622" s="202" t="s">
        <v>1153</v>
      </c>
      <c r="AF622" s="203" t="s">
        <v>1154</v>
      </c>
      <c r="AG622" s="202"/>
      <c r="AH622" s="203" t="s">
        <v>1155</v>
      </c>
      <c r="AI622" s="202">
        <v>0</v>
      </c>
      <c r="AJ622" s="202">
        <v>0</v>
      </c>
    </row>
    <row r="623" spans="2:36">
      <c r="B623" s="203">
        <v>2180</v>
      </c>
      <c r="C623" s="207">
        <v>107324</v>
      </c>
      <c r="D623" s="203" t="s">
        <v>97</v>
      </c>
      <c r="E623" s="202" t="s">
        <v>2116</v>
      </c>
      <c r="F623" s="203"/>
      <c r="G623" s="202"/>
      <c r="H623" s="202" t="s">
        <v>2115</v>
      </c>
      <c r="I623" s="202"/>
      <c r="J623" s="202">
        <v>2013</v>
      </c>
      <c r="K623" s="202" t="s">
        <v>2114</v>
      </c>
      <c r="L623" s="202" t="s">
        <v>2113</v>
      </c>
      <c r="M623" s="202" t="s">
        <v>2112</v>
      </c>
      <c r="N623" s="206">
        <v>41514</v>
      </c>
      <c r="O623" s="206">
        <v>41514</v>
      </c>
      <c r="P623" s="202" t="s">
        <v>2111</v>
      </c>
      <c r="Q623" s="203">
        <v>600</v>
      </c>
      <c r="R623" s="203">
        <v>14040</v>
      </c>
      <c r="S623" s="204">
        <v>125924.63</v>
      </c>
      <c r="T623" s="203">
        <v>14046</v>
      </c>
      <c r="U623" s="204">
        <v>125924.63</v>
      </c>
      <c r="V623" s="204">
        <f t="shared" si="20"/>
        <v>0</v>
      </c>
      <c r="W623" s="205">
        <v>0</v>
      </c>
      <c r="X623" s="203">
        <v>51260</v>
      </c>
      <c r="Y623" s="204">
        <v>0</v>
      </c>
      <c r="Z623" s="202" t="s">
        <v>97</v>
      </c>
      <c r="AA623" s="202"/>
      <c r="AB623" s="202"/>
      <c r="AC623" s="202">
        <v>3308</v>
      </c>
      <c r="AD623" s="202" t="s">
        <v>1152</v>
      </c>
      <c r="AE623" s="202" t="s">
        <v>1153</v>
      </c>
      <c r="AF623" s="203" t="s">
        <v>1154</v>
      </c>
      <c r="AG623" s="202"/>
      <c r="AH623" s="203" t="s">
        <v>1155</v>
      </c>
      <c r="AI623" s="202">
        <v>0</v>
      </c>
      <c r="AJ623" s="202">
        <v>0</v>
      </c>
    </row>
    <row r="624" spans="2:36">
      <c r="B624" s="203">
        <v>2180</v>
      </c>
      <c r="C624" s="207">
        <v>107151</v>
      </c>
      <c r="D624" s="203" t="s">
        <v>97</v>
      </c>
      <c r="E624" s="202" t="s">
        <v>2110</v>
      </c>
      <c r="F624" s="203">
        <v>360</v>
      </c>
      <c r="G624" s="202"/>
      <c r="H624" s="202"/>
      <c r="I624" s="202"/>
      <c r="J624" s="202">
        <v>0</v>
      </c>
      <c r="K624" s="202" t="s">
        <v>1658</v>
      </c>
      <c r="L624" s="202"/>
      <c r="M624" s="202"/>
      <c r="N624" s="206">
        <v>41523</v>
      </c>
      <c r="O624" s="206">
        <v>41523</v>
      </c>
      <c r="P624" s="202" t="s">
        <v>2071</v>
      </c>
      <c r="Q624" s="203">
        <v>700</v>
      </c>
      <c r="R624" s="203">
        <v>14050</v>
      </c>
      <c r="S624" s="204">
        <v>20639.8</v>
      </c>
      <c r="T624" s="203">
        <v>14056</v>
      </c>
      <c r="U624" s="204">
        <v>20639.8</v>
      </c>
      <c r="V624" s="204">
        <f t="shared" si="20"/>
        <v>0</v>
      </c>
      <c r="W624" s="205">
        <v>0</v>
      </c>
      <c r="X624" s="203">
        <v>54260</v>
      </c>
      <c r="Y624" s="204">
        <v>0</v>
      </c>
      <c r="Z624" s="202" t="s">
        <v>97</v>
      </c>
      <c r="AA624" s="202"/>
      <c r="AB624" s="202" t="s">
        <v>2109</v>
      </c>
      <c r="AC624" s="202"/>
      <c r="AD624" s="202" t="s">
        <v>1152</v>
      </c>
      <c r="AE624" s="202" t="s">
        <v>1153</v>
      </c>
      <c r="AF624" s="203" t="s">
        <v>1154</v>
      </c>
      <c r="AG624" s="202"/>
      <c r="AH624" s="203" t="s">
        <v>1155</v>
      </c>
      <c r="AI624" s="202">
        <v>0</v>
      </c>
      <c r="AJ624" s="202">
        <v>0</v>
      </c>
    </row>
    <row r="625" spans="2:36">
      <c r="B625" s="203">
        <v>2180</v>
      </c>
      <c r="C625" s="207">
        <v>107145</v>
      </c>
      <c r="D625" s="203">
        <v>106627</v>
      </c>
      <c r="E625" s="202" t="s">
        <v>964</v>
      </c>
      <c r="F625" s="203"/>
      <c r="G625" s="202"/>
      <c r="H625" s="202"/>
      <c r="I625" s="202"/>
      <c r="J625" s="202">
        <v>0</v>
      </c>
      <c r="K625" s="202" t="s">
        <v>1576</v>
      </c>
      <c r="L625" s="202"/>
      <c r="M625" s="202"/>
      <c r="N625" s="206">
        <v>41517</v>
      </c>
      <c r="O625" s="206">
        <v>41517</v>
      </c>
      <c r="P625" s="202" t="s">
        <v>2097</v>
      </c>
      <c r="Q625" s="203">
        <v>300</v>
      </c>
      <c r="R625" s="203">
        <v>14110</v>
      </c>
      <c r="S625" s="204">
        <v>47300.63</v>
      </c>
      <c r="T625" s="203">
        <v>14116</v>
      </c>
      <c r="U625" s="204">
        <v>47300.63</v>
      </c>
      <c r="V625" s="204">
        <f t="shared" si="20"/>
        <v>0</v>
      </c>
      <c r="W625" s="205">
        <v>0</v>
      </c>
      <c r="X625" s="203">
        <v>70260</v>
      </c>
      <c r="Y625" s="204">
        <v>0</v>
      </c>
      <c r="Z625" s="202" t="s">
        <v>97</v>
      </c>
      <c r="AA625" s="202"/>
      <c r="AB625" s="202">
        <v>95107</v>
      </c>
      <c r="AC625" s="202"/>
      <c r="AD625" s="202" t="s">
        <v>1152</v>
      </c>
      <c r="AE625" s="202" t="s">
        <v>1153</v>
      </c>
      <c r="AF625" s="203" t="s">
        <v>1154</v>
      </c>
      <c r="AG625" s="202"/>
      <c r="AH625" s="203" t="s">
        <v>1155</v>
      </c>
      <c r="AI625" s="202">
        <v>0</v>
      </c>
      <c r="AJ625" s="202">
        <v>0</v>
      </c>
    </row>
    <row r="626" spans="2:36">
      <c r="B626" s="203">
        <v>2180</v>
      </c>
      <c r="C626" s="207">
        <v>107128</v>
      </c>
      <c r="D626" s="203" t="s">
        <v>97</v>
      </c>
      <c r="E626" s="202" t="s">
        <v>2106</v>
      </c>
      <c r="F626" s="203">
        <v>2</v>
      </c>
      <c r="G626" s="202"/>
      <c r="H626" s="202"/>
      <c r="I626" s="202"/>
      <c r="J626" s="202">
        <v>0</v>
      </c>
      <c r="K626" s="202" t="s">
        <v>2041</v>
      </c>
      <c r="L626" s="202"/>
      <c r="M626" s="202" t="s">
        <v>1421</v>
      </c>
      <c r="N626" s="206">
        <v>41514</v>
      </c>
      <c r="O626" s="206">
        <v>41514</v>
      </c>
      <c r="P626" s="202" t="s">
        <v>2107</v>
      </c>
      <c r="Q626" s="203">
        <v>1200</v>
      </c>
      <c r="R626" s="203">
        <v>14050</v>
      </c>
      <c r="S626" s="204">
        <v>1033.5999999999999</v>
      </c>
      <c r="T626" s="203">
        <v>14056</v>
      </c>
      <c r="U626" s="204">
        <v>717.75</v>
      </c>
      <c r="V626" s="204">
        <f t="shared" si="20"/>
        <v>315.84999999999991</v>
      </c>
      <c r="W626" s="205">
        <v>86.13</v>
      </c>
      <c r="X626" s="203">
        <v>54260</v>
      </c>
      <c r="Y626" s="204">
        <v>7.18</v>
      </c>
      <c r="Z626" s="202" t="s">
        <v>97</v>
      </c>
      <c r="AA626" s="202"/>
      <c r="AB626" s="202">
        <v>86168</v>
      </c>
      <c r="AC626" s="202"/>
      <c r="AD626" s="202" t="s">
        <v>1152</v>
      </c>
      <c r="AE626" s="202" t="s">
        <v>1153</v>
      </c>
      <c r="AF626" s="203" t="s">
        <v>1154</v>
      </c>
      <c r="AG626" s="202"/>
      <c r="AH626" s="203" t="s">
        <v>1155</v>
      </c>
      <c r="AI626" s="202">
        <v>0</v>
      </c>
      <c r="AJ626" s="202">
        <v>0</v>
      </c>
    </row>
    <row r="627" spans="2:36">
      <c r="B627" s="203">
        <v>2180</v>
      </c>
      <c r="C627" s="207">
        <v>107127</v>
      </c>
      <c r="D627" s="203" t="s">
        <v>97</v>
      </c>
      <c r="E627" s="202" t="s">
        <v>2106</v>
      </c>
      <c r="F627" s="203">
        <v>8</v>
      </c>
      <c r="G627" s="202"/>
      <c r="H627" s="202"/>
      <c r="I627" s="202"/>
      <c r="J627" s="202">
        <v>0</v>
      </c>
      <c r="K627" s="202" t="s">
        <v>2041</v>
      </c>
      <c r="L627" s="202"/>
      <c r="M627" s="202" t="s">
        <v>1421</v>
      </c>
      <c r="N627" s="206">
        <v>41514</v>
      </c>
      <c r="O627" s="206">
        <v>41514</v>
      </c>
      <c r="P627" s="202" t="s">
        <v>2107</v>
      </c>
      <c r="Q627" s="203">
        <v>1200</v>
      </c>
      <c r="R627" s="203">
        <v>14050</v>
      </c>
      <c r="S627" s="204">
        <v>4134.3999999999996</v>
      </c>
      <c r="T627" s="203">
        <v>14056</v>
      </c>
      <c r="U627" s="204">
        <v>2870.93</v>
      </c>
      <c r="V627" s="204">
        <f t="shared" si="20"/>
        <v>1263.4699999999998</v>
      </c>
      <c r="W627" s="205">
        <v>344.51</v>
      </c>
      <c r="X627" s="203">
        <v>54260</v>
      </c>
      <c r="Y627" s="204">
        <v>28.71</v>
      </c>
      <c r="Z627" s="202" t="s">
        <v>97</v>
      </c>
      <c r="AA627" s="202"/>
      <c r="AB627" s="202">
        <v>86150</v>
      </c>
      <c r="AC627" s="202"/>
      <c r="AD627" s="202" t="s">
        <v>1152</v>
      </c>
      <c r="AE627" s="202" t="s">
        <v>1153</v>
      </c>
      <c r="AF627" s="203" t="s">
        <v>1154</v>
      </c>
      <c r="AG627" s="202"/>
      <c r="AH627" s="203" t="s">
        <v>1155</v>
      </c>
      <c r="AI627" s="202">
        <v>0</v>
      </c>
      <c r="AJ627" s="202">
        <v>0</v>
      </c>
    </row>
    <row r="628" spans="2:36">
      <c r="B628" s="203">
        <v>2180</v>
      </c>
      <c r="C628" s="207">
        <v>107126</v>
      </c>
      <c r="D628" s="203" t="s">
        <v>97</v>
      </c>
      <c r="E628" s="202" t="s">
        <v>2108</v>
      </c>
      <c r="F628" s="203">
        <v>10</v>
      </c>
      <c r="G628" s="202"/>
      <c r="H628" s="202"/>
      <c r="I628" s="202"/>
      <c r="J628" s="202">
        <v>0</v>
      </c>
      <c r="K628" s="202" t="s">
        <v>2041</v>
      </c>
      <c r="L628" s="202"/>
      <c r="M628" s="202" t="s">
        <v>1462</v>
      </c>
      <c r="N628" s="206">
        <v>41514</v>
      </c>
      <c r="O628" s="206">
        <v>41514</v>
      </c>
      <c r="P628" s="202" t="s">
        <v>2107</v>
      </c>
      <c r="Q628" s="203">
        <v>1200</v>
      </c>
      <c r="R628" s="203">
        <v>14050</v>
      </c>
      <c r="S628" s="204">
        <v>4896</v>
      </c>
      <c r="T628" s="203">
        <v>14056</v>
      </c>
      <c r="U628" s="204">
        <v>3400</v>
      </c>
      <c r="V628" s="204">
        <f t="shared" si="20"/>
        <v>1496</v>
      </c>
      <c r="W628" s="205">
        <v>408</v>
      </c>
      <c r="X628" s="203">
        <v>54260</v>
      </c>
      <c r="Y628" s="204">
        <v>34</v>
      </c>
      <c r="Z628" s="202" t="s">
        <v>97</v>
      </c>
      <c r="AA628" s="202"/>
      <c r="AB628" s="202">
        <v>86148</v>
      </c>
      <c r="AC628" s="202"/>
      <c r="AD628" s="202" t="s">
        <v>1152</v>
      </c>
      <c r="AE628" s="202" t="s">
        <v>1153</v>
      </c>
      <c r="AF628" s="203" t="s">
        <v>1154</v>
      </c>
      <c r="AG628" s="202"/>
      <c r="AH628" s="203" t="s">
        <v>1155</v>
      </c>
      <c r="AI628" s="202">
        <v>0</v>
      </c>
      <c r="AJ628" s="202">
        <v>0</v>
      </c>
    </row>
    <row r="629" spans="2:36">
      <c r="B629" s="203">
        <v>2180</v>
      </c>
      <c r="C629" s="207">
        <v>106807</v>
      </c>
      <c r="D629" s="203" t="s">
        <v>97</v>
      </c>
      <c r="E629" s="202" t="s">
        <v>2106</v>
      </c>
      <c r="F629" s="203">
        <v>4</v>
      </c>
      <c r="G629" s="202"/>
      <c r="H629" s="202"/>
      <c r="I629" s="202"/>
      <c r="J629" s="202">
        <v>0</v>
      </c>
      <c r="K629" s="202" t="s">
        <v>2041</v>
      </c>
      <c r="L629" s="202"/>
      <c r="M629" s="202" t="s">
        <v>1421</v>
      </c>
      <c r="N629" s="206">
        <v>41506</v>
      </c>
      <c r="O629" s="206">
        <v>41506</v>
      </c>
      <c r="P629" s="202" t="s">
        <v>2105</v>
      </c>
      <c r="Q629" s="203">
        <v>1200</v>
      </c>
      <c r="R629" s="203">
        <v>14050</v>
      </c>
      <c r="S629" s="204">
        <v>2067.1999999999998</v>
      </c>
      <c r="T629" s="203">
        <v>14056</v>
      </c>
      <c r="U629" s="204">
        <v>1435.58</v>
      </c>
      <c r="V629" s="204">
        <f t="shared" si="20"/>
        <v>631.61999999999989</v>
      </c>
      <c r="W629" s="205">
        <v>172.27</v>
      </c>
      <c r="X629" s="203">
        <v>54260</v>
      </c>
      <c r="Y629" s="204">
        <v>14.36</v>
      </c>
      <c r="Z629" s="202" t="s">
        <v>97</v>
      </c>
      <c r="AA629" s="202"/>
      <c r="AB629" s="202">
        <v>85563</v>
      </c>
      <c r="AC629" s="202"/>
      <c r="AD629" s="202" t="s">
        <v>1152</v>
      </c>
      <c r="AE629" s="202" t="s">
        <v>1153</v>
      </c>
      <c r="AF629" s="203" t="s">
        <v>1154</v>
      </c>
      <c r="AG629" s="202"/>
      <c r="AH629" s="203" t="s">
        <v>1155</v>
      </c>
      <c r="AI629" s="202">
        <v>0</v>
      </c>
      <c r="AJ629" s="202">
        <v>0</v>
      </c>
    </row>
    <row r="630" spans="2:36">
      <c r="B630" s="203">
        <v>2180</v>
      </c>
      <c r="C630" s="207">
        <v>106806</v>
      </c>
      <c r="D630" s="203" t="s">
        <v>97</v>
      </c>
      <c r="E630" s="202" t="s">
        <v>2106</v>
      </c>
      <c r="F630" s="203">
        <v>19</v>
      </c>
      <c r="G630" s="202"/>
      <c r="H630" s="202"/>
      <c r="I630" s="202"/>
      <c r="J630" s="202">
        <v>0</v>
      </c>
      <c r="K630" s="202" t="s">
        <v>2041</v>
      </c>
      <c r="L630" s="202"/>
      <c r="M630" s="202" t="s">
        <v>1421</v>
      </c>
      <c r="N630" s="206">
        <v>41506</v>
      </c>
      <c r="O630" s="206">
        <v>41506</v>
      </c>
      <c r="P630" s="202" t="s">
        <v>2105</v>
      </c>
      <c r="Q630" s="203">
        <v>1200</v>
      </c>
      <c r="R630" s="203">
        <v>14050</v>
      </c>
      <c r="S630" s="204">
        <v>9819.2000000000007</v>
      </c>
      <c r="T630" s="203">
        <v>14056</v>
      </c>
      <c r="U630" s="204">
        <v>6818.92</v>
      </c>
      <c r="V630" s="204">
        <f t="shared" si="20"/>
        <v>3000.2800000000007</v>
      </c>
      <c r="W630" s="205">
        <v>818.27</v>
      </c>
      <c r="X630" s="203">
        <v>54260</v>
      </c>
      <c r="Y630" s="204">
        <v>68.19</v>
      </c>
      <c r="Z630" s="202" t="s">
        <v>97</v>
      </c>
      <c r="AA630" s="202"/>
      <c r="AB630" s="202">
        <v>85509</v>
      </c>
      <c r="AC630" s="202"/>
      <c r="AD630" s="202" t="s">
        <v>1152</v>
      </c>
      <c r="AE630" s="202" t="s">
        <v>1153</v>
      </c>
      <c r="AF630" s="203" t="s">
        <v>1154</v>
      </c>
      <c r="AG630" s="202"/>
      <c r="AH630" s="203" t="s">
        <v>1155</v>
      </c>
      <c r="AI630" s="202">
        <v>0</v>
      </c>
      <c r="AJ630" s="202">
        <v>0</v>
      </c>
    </row>
    <row r="631" spans="2:36">
      <c r="B631" s="203">
        <v>2180</v>
      </c>
      <c r="C631" s="207">
        <v>106805</v>
      </c>
      <c r="D631" s="203" t="s">
        <v>97</v>
      </c>
      <c r="E631" s="202" t="s">
        <v>2103</v>
      </c>
      <c r="F631" s="203">
        <v>360</v>
      </c>
      <c r="G631" s="202"/>
      <c r="H631" s="202"/>
      <c r="I631" s="202"/>
      <c r="J631" s="202">
        <v>0</v>
      </c>
      <c r="K631" s="202" t="s">
        <v>1658</v>
      </c>
      <c r="L631" s="202"/>
      <c r="M631" s="202"/>
      <c r="N631" s="206">
        <v>41499</v>
      </c>
      <c r="O631" s="206">
        <v>41499</v>
      </c>
      <c r="P631" s="202" t="s">
        <v>2071</v>
      </c>
      <c r="Q631" s="203">
        <v>700</v>
      </c>
      <c r="R631" s="203">
        <v>14050</v>
      </c>
      <c r="S631" s="204">
        <v>20639.8</v>
      </c>
      <c r="T631" s="203">
        <v>14056</v>
      </c>
      <c r="U631" s="204">
        <v>20639.8</v>
      </c>
      <c r="V631" s="204">
        <f t="shared" si="20"/>
        <v>0</v>
      </c>
      <c r="W631" s="205">
        <v>0</v>
      </c>
      <c r="X631" s="203">
        <v>54260</v>
      </c>
      <c r="Y631" s="204">
        <v>0</v>
      </c>
      <c r="Z631" s="202" t="s">
        <v>97</v>
      </c>
      <c r="AA631" s="202"/>
      <c r="AB631" s="202" t="s">
        <v>2104</v>
      </c>
      <c r="AC631" s="202"/>
      <c r="AD631" s="202" t="s">
        <v>1152</v>
      </c>
      <c r="AE631" s="202" t="s">
        <v>1153</v>
      </c>
      <c r="AF631" s="203" t="s">
        <v>1154</v>
      </c>
      <c r="AG631" s="202"/>
      <c r="AH631" s="203" t="s">
        <v>1155</v>
      </c>
      <c r="AI631" s="202">
        <v>0</v>
      </c>
      <c r="AJ631" s="202">
        <v>0</v>
      </c>
    </row>
    <row r="632" spans="2:36">
      <c r="B632" s="203">
        <v>2180</v>
      </c>
      <c r="C632" s="207">
        <v>106804</v>
      </c>
      <c r="D632" s="203" t="s">
        <v>97</v>
      </c>
      <c r="E632" s="202" t="s">
        <v>2103</v>
      </c>
      <c r="F632" s="203">
        <v>400</v>
      </c>
      <c r="G632" s="202"/>
      <c r="H632" s="202"/>
      <c r="I632" s="202"/>
      <c r="J632" s="202">
        <v>0</v>
      </c>
      <c r="K632" s="202" t="s">
        <v>1658</v>
      </c>
      <c r="L632" s="202"/>
      <c r="M632" s="202"/>
      <c r="N632" s="206">
        <v>41506</v>
      </c>
      <c r="O632" s="206">
        <v>41506</v>
      </c>
      <c r="P632" s="202" t="s">
        <v>2073</v>
      </c>
      <c r="Q632" s="203">
        <v>700</v>
      </c>
      <c r="R632" s="203">
        <v>14050</v>
      </c>
      <c r="S632" s="204">
        <v>22636.93</v>
      </c>
      <c r="T632" s="203">
        <v>14056</v>
      </c>
      <c r="U632" s="204">
        <v>22636.93</v>
      </c>
      <c r="V632" s="204">
        <f t="shared" si="20"/>
        <v>0</v>
      </c>
      <c r="W632" s="205">
        <v>0</v>
      </c>
      <c r="X632" s="203">
        <v>54260</v>
      </c>
      <c r="Y632" s="204">
        <v>0</v>
      </c>
      <c r="Z632" s="202" t="s">
        <v>97</v>
      </c>
      <c r="AA632" s="202"/>
      <c r="AB632" s="202" t="s">
        <v>2102</v>
      </c>
      <c r="AC632" s="202"/>
      <c r="AD632" s="202" t="s">
        <v>1152</v>
      </c>
      <c r="AE632" s="202" t="s">
        <v>1153</v>
      </c>
      <c r="AF632" s="203" t="s">
        <v>1154</v>
      </c>
      <c r="AG632" s="202"/>
      <c r="AH632" s="203" t="s">
        <v>1155</v>
      </c>
      <c r="AI632" s="202">
        <v>0</v>
      </c>
      <c r="AJ632" s="202">
        <v>0</v>
      </c>
    </row>
    <row r="633" spans="2:36">
      <c r="B633" s="203">
        <v>2180</v>
      </c>
      <c r="C633" s="207">
        <v>106765</v>
      </c>
      <c r="D633" s="203" t="s">
        <v>97</v>
      </c>
      <c r="E633" s="202" t="s">
        <v>2101</v>
      </c>
      <c r="F633" s="203">
        <v>0</v>
      </c>
      <c r="G633" s="202"/>
      <c r="H633" s="202" t="s">
        <v>2100</v>
      </c>
      <c r="I633" s="202"/>
      <c r="J633" s="202">
        <v>2010</v>
      </c>
      <c r="K633" s="202" t="s">
        <v>2067</v>
      </c>
      <c r="L633" s="202" t="s">
        <v>1830</v>
      </c>
      <c r="M633" s="202" t="s">
        <v>1385</v>
      </c>
      <c r="N633" s="206">
        <v>41499</v>
      </c>
      <c r="O633" s="206">
        <v>41499</v>
      </c>
      <c r="P633" s="202" t="s">
        <v>2099</v>
      </c>
      <c r="Q633" s="203">
        <v>300</v>
      </c>
      <c r="R633" s="203">
        <v>14040</v>
      </c>
      <c r="S633" s="204">
        <v>23110.11</v>
      </c>
      <c r="T633" s="203">
        <v>14046</v>
      </c>
      <c r="U633" s="204">
        <v>23110.11</v>
      </c>
      <c r="V633" s="204">
        <f t="shared" si="20"/>
        <v>0</v>
      </c>
      <c r="W633" s="205">
        <v>0</v>
      </c>
      <c r="X633" s="203">
        <v>51260</v>
      </c>
      <c r="Y633" s="204">
        <v>0</v>
      </c>
      <c r="Z633" s="202" t="s">
        <v>97</v>
      </c>
      <c r="AA633" s="202"/>
      <c r="AB633" s="202" t="s">
        <v>2098</v>
      </c>
      <c r="AC633" s="202">
        <v>6049</v>
      </c>
      <c r="AD633" s="202" t="s">
        <v>1152</v>
      </c>
      <c r="AE633" s="202" t="s">
        <v>1153</v>
      </c>
      <c r="AF633" s="203" t="s">
        <v>1154</v>
      </c>
      <c r="AG633" s="202"/>
      <c r="AH633" s="203" t="s">
        <v>1155</v>
      </c>
      <c r="AI633" s="202">
        <v>0</v>
      </c>
      <c r="AJ633" s="202">
        <v>0</v>
      </c>
    </row>
    <row r="634" spans="2:36">
      <c r="B634" s="203">
        <v>2180</v>
      </c>
      <c r="C634" s="207">
        <v>106627</v>
      </c>
      <c r="D634" s="203" t="s">
        <v>97</v>
      </c>
      <c r="E634" s="202" t="s">
        <v>964</v>
      </c>
      <c r="F634" s="203">
        <v>0</v>
      </c>
      <c r="G634" s="202"/>
      <c r="H634" s="202"/>
      <c r="I634" s="202"/>
      <c r="J634" s="202">
        <v>0</v>
      </c>
      <c r="K634" s="202"/>
      <c r="L634" s="202"/>
      <c r="M634" s="202"/>
      <c r="N634" s="206">
        <v>41517</v>
      </c>
      <c r="O634" s="206">
        <v>41517</v>
      </c>
      <c r="P634" s="202" t="s">
        <v>2097</v>
      </c>
      <c r="Q634" s="203">
        <v>300</v>
      </c>
      <c r="R634" s="203">
        <v>14110</v>
      </c>
      <c r="S634" s="204">
        <v>538492.81000000006</v>
      </c>
      <c r="T634" s="203">
        <v>14116</v>
      </c>
      <c r="U634" s="204">
        <v>538492.81000000006</v>
      </c>
      <c r="V634" s="204">
        <f t="shared" si="20"/>
        <v>0</v>
      </c>
      <c r="W634" s="205">
        <v>0</v>
      </c>
      <c r="X634" s="203">
        <v>70260</v>
      </c>
      <c r="Y634" s="204">
        <v>0</v>
      </c>
      <c r="Z634" s="202" t="s">
        <v>97</v>
      </c>
      <c r="AA634" s="202"/>
      <c r="AB634" s="202"/>
      <c r="AC634" s="202"/>
      <c r="AD634" s="202" t="s">
        <v>1152</v>
      </c>
      <c r="AE634" s="202" t="s">
        <v>1153</v>
      </c>
      <c r="AF634" s="203" t="s">
        <v>1154</v>
      </c>
      <c r="AG634" s="202"/>
      <c r="AH634" s="203" t="s">
        <v>1155</v>
      </c>
      <c r="AI634" s="202">
        <v>0</v>
      </c>
      <c r="AJ634" s="202">
        <v>0</v>
      </c>
    </row>
    <row r="635" spans="2:36">
      <c r="B635" s="203">
        <v>2180</v>
      </c>
      <c r="C635" s="207">
        <v>106304</v>
      </c>
      <c r="D635" s="203" t="s">
        <v>97</v>
      </c>
      <c r="E635" s="202" t="s">
        <v>670</v>
      </c>
      <c r="F635" s="203">
        <v>486</v>
      </c>
      <c r="G635" s="202"/>
      <c r="H635" s="202"/>
      <c r="I635" s="202"/>
      <c r="J635" s="202">
        <v>0</v>
      </c>
      <c r="K635" s="202" t="s">
        <v>1658</v>
      </c>
      <c r="L635" s="202"/>
      <c r="M635" s="202"/>
      <c r="N635" s="206">
        <v>41482</v>
      </c>
      <c r="O635" s="206">
        <v>41482</v>
      </c>
      <c r="P635" s="202" t="s">
        <v>2058</v>
      </c>
      <c r="Q635" s="203">
        <v>700</v>
      </c>
      <c r="R635" s="203">
        <v>14050</v>
      </c>
      <c r="S635" s="204">
        <v>26930.76</v>
      </c>
      <c r="T635" s="203">
        <v>14056</v>
      </c>
      <c r="U635" s="204">
        <v>26930.76</v>
      </c>
      <c r="V635" s="204">
        <f t="shared" si="20"/>
        <v>0</v>
      </c>
      <c r="W635" s="205">
        <v>0</v>
      </c>
      <c r="X635" s="203">
        <v>54260</v>
      </c>
      <c r="Y635" s="204">
        <v>0</v>
      </c>
      <c r="Z635" s="202" t="s">
        <v>97</v>
      </c>
      <c r="AA635" s="202"/>
      <c r="AB635" s="202" t="s">
        <v>2096</v>
      </c>
      <c r="AC635" s="202"/>
      <c r="AD635" s="202" t="s">
        <v>1152</v>
      </c>
      <c r="AE635" s="202" t="s">
        <v>1153</v>
      </c>
      <c r="AF635" s="203" t="s">
        <v>1154</v>
      </c>
      <c r="AG635" s="202"/>
      <c r="AH635" s="203" t="s">
        <v>1155</v>
      </c>
      <c r="AI635" s="202">
        <v>0</v>
      </c>
      <c r="AJ635" s="202">
        <v>0</v>
      </c>
    </row>
    <row r="636" spans="2:36">
      <c r="B636" s="203">
        <v>2180</v>
      </c>
      <c r="C636" s="207">
        <v>106181</v>
      </c>
      <c r="D636" s="203" t="s">
        <v>97</v>
      </c>
      <c r="E636" s="202" t="s">
        <v>2095</v>
      </c>
      <c r="F636" s="203">
        <v>648</v>
      </c>
      <c r="G636" s="202"/>
      <c r="H636" s="202"/>
      <c r="I636" s="202"/>
      <c r="J636" s="202">
        <v>0</v>
      </c>
      <c r="K636" s="202" t="s">
        <v>1658</v>
      </c>
      <c r="L636" s="202"/>
      <c r="M636" s="202"/>
      <c r="N636" s="206">
        <v>41482</v>
      </c>
      <c r="O636" s="206">
        <v>41482</v>
      </c>
      <c r="P636" s="202" t="s">
        <v>2061</v>
      </c>
      <c r="Q636" s="203">
        <v>700</v>
      </c>
      <c r="R636" s="203">
        <v>14050</v>
      </c>
      <c r="S636" s="204">
        <v>30302.54</v>
      </c>
      <c r="T636" s="203">
        <v>14056</v>
      </c>
      <c r="U636" s="204">
        <v>30302.54</v>
      </c>
      <c r="V636" s="204">
        <f t="shared" si="20"/>
        <v>0</v>
      </c>
      <c r="W636" s="205">
        <v>0</v>
      </c>
      <c r="X636" s="203">
        <v>54260</v>
      </c>
      <c r="Y636" s="204">
        <v>0</v>
      </c>
      <c r="Z636" s="202" t="s">
        <v>97</v>
      </c>
      <c r="AA636" s="202"/>
      <c r="AB636" s="202" t="s">
        <v>2094</v>
      </c>
      <c r="AC636" s="202"/>
      <c r="AD636" s="202" t="s">
        <v>1152</v>
      </c>
      <c r="AE636" s="202" t="s">
        <v>1153</v>
      </c>
      <c r="AF636" s="203" t="s">
        <v>1154</v>
      </c>
      <c r="AG636" s="202"/>
      <c r="AH636" s="203" t="s">
        <v>1155</v>
      </c>
      <c r="AI636" s="202">
        <v>0</v>
      </c>
      <c r="AJ636" s="202">
        <v>0</v>
      </c>
    </row>
    <row r="637" spans="2:36">
      <c r="B637" s="203">
        <v>2180</v>
      </c>
      <c r="C637" s="207">
        <v>105945</v>
      </c>
      <c r="D637" s="203" t="s">
        <v>97</v>
      </c>
      <c r="E637" s="202" t="s">
        <v>2093</v>
      </c>
      <c r="F637" s="203">
        <v>0</v>
      </c>
      <c r="G637" s="202"/>
      <c r="H637" s="202" t="s">
        <v>2092</v>
      </c>
      <c r="I637" s="202"/>
      <c r="J637" s="202">
        <v>2014</v>
      </c>
      <c r="K637" s="202" t="s">
        <v>2091</v>
      </c>
      <c r="L637" s="202" t="s">
        <v>1830</v>
      </c>
      <c r="M637" s="202" t="s">
        <v>1503</v>
      </c>
      <c r="N637" s="206">
        <v>41485</v>
      </c>
      <c r="O637" s="206">
        <v>41485</v>
      </c>
      <c r="P637" s="202" t="s">
        <v>2090</v>
      </c>
      <c r="Q637" s="203">
        <v>1000</v>
      </c>
      <c r="R637" s="203">
        <v>14040</v>
      </c>
      <c r="S637" s="204">
        <v>53720.41</v>
      </c>
      <c r="T637" s="203">
        <v>14046</v>
      </c>
      <c r="U637" s="204">
        <v>45214.67</v>
      </c>
      <c r="V637" s="204">
        <f t="shared" si="20"/>
        <v>8505.7400000000052</v>
      </c>
      <c r="W637" s="205">
        <v>5372.04</v>
      </c>
      <c r="X637" s="203">
        <v>51260</v>
      </c>
      <c r="Y637" s="204">
        <v>447.67</v>
      </c>
      <c r="Z637" s="202" t="s">
        <v>97</v>
      </c>
      <c r="AA637" s="202"/>
      <c r="AB637" s="202" t="s">
        <v>2089</v>
      </c>
      <c r="AC637" s="202">
        <v>9570</v>
      </c>
      <c r="AD637" s="202" t="s">
        <v>1152</v>
      </c>
      <c r="AE637" s="202" t="s">
        <v>1153</v>
      </c>
      <c r="AF637" s="203" t="s">
        <v>1154</v>
      </c>
      <c r="AG637" s="202"/>
      <c r="AH637" s="203" t="s">
        <v>1155</v>
      </c>
      <c r="AI637" s="202">
        <v>0</v>
      </c>
      <c r="AJ637" s="202">
        <v>0</v>
      </c>
    </row>
    <row r="638" spans="2:36">
      <c r="B638" s="203">
        <v>2180</v>
      </c>
      <c r="C638" s="207">
        <v>105519</v>
      </c>
      <c r="D638" s="203" t="s">
        <v>97</v>
      </c>
      <c r="E638" s="202" t="s">
        <v>2088</v>
      </c>
      <c r="F638" s="203">
        <v>486</v>
      </c>
      <c r="G638" s="202"/>
      <c r="H638" s="202"/>
      <c r="I638" s="202"/>
      <c r="J638" s="202">
        <v>0</v>
      </c>
      <c r="K638" s="202" t="s">
        <v>1658</v>
      </c>
      <c r="L638" s="202"/>
      <c r="M638" s="202"/>
      <c r="N638" s="206">
        <v>41452</v>
      </c>
      <c r="O638" s="206">
        <v>41452</v>
      </c>
      <c r="P638" s="202" t="s">
        <v>2073</v>
      </c>
      <c r="Q638" s="203">
        <v>700</v>
      </c>
      <c r="R638" s="203">
        <v>14050</v>
      </c>
      <c r="S638" s="204">
        <v>26402</v>
      </c>
      <c r="T638" s="203">
        <v>14056</v>
      </c>
      <c r="U638" s="204">
        <v>26402</v>
      </c>
      <c r="V638" s="204">
        <f t="shared" si="20"/>
        <v>0</v>
      </c>
      <c r="W638" s="205">
        <v>0</v>
      </c>
      <c r="X638" s="203">
        <v>54260</v>
      </c>
      <c r="Y638" s="204">
        <v>0</v>
      </c>
      <c r="Z638" s="202" t="s">
        <v>97</v>
      </c>
      <c r="AA638" s="202"/>
      <c r="AB638" s="202" t="s">
        <v>2087</v>
      </c>
      <c r="AC638" s="202"/>
      <c r="AD638" s="202" t="s">
        <v>1152</v>
      </c>
      <c r="AE638" s="202" t="s">
        <v>1153</v>
      </c>
      <c r="AF638" s="203" t="s">
        <v>1154</v>
      </c>
      <c r="AG638" s="202"/>
      <c r="AH638" s="203" t="s">
        <v>1155</v>
      </c>
      <c r="AI638" s="202">
        <v>0</v>
      </c>
      <c r="AJ638" s="202">
        <v>0</v>
      </c>
    </row>
    <row r="639" spans="2:36">
      <c r="B639" s="203">
        <v>2180</v>
      </c>
      <c r="C639" s="207">
        <v>105141</v>
      </c>
      <c r="D639" s="203" t="s">
        <v>97</v>
      </c>
      <c r="E639" s="202" t="s">
        <v>963</v>
      </c>
      <c r="F639" s="203">
        <v>0</v>
      </c>
      <c r="G639" s="202"/>
      <c r="H639" s="202"/>
      <c r="I639" s="202"/>
      <c r="J639" s="202">
        <v>0</v>
      </c>
      <c r="K639" s="202" t="s">
        <v>1429</v>
      </c>
      <c r="L639" s="202"/>
      <c r="M639" s="202"/>
      <c r="N639" s="206">
        <v>41442</v>
      </c>
      <c r="O639" s="206">
        <v>41442</v>
      </c>
      <c r="P639" s="202" t="s">
        <v>2086</v>
      </c>
      <c r="Q639" s="203">
        <v>300</v>
      </c>
      <c r="R639" s="203">
        <v>14110</v>
      </c>
      <c r="S639" s="204">
        <v>1688.87</v>
      </c>
      <c r="T639" s="203">
        <v>14116</v>
      </c>
      <c r="U639" s="204">
        <v>1688.87</v>
      </c>
      <c r="V639" s="204">
        <f t="shared" si="20"/>
        <v>0</v>
      </c>
      <c r="W639" s="205">
        <v>0</v>
      </c>
      <c r="X639" s="203">
        <v>70260</v>
      </c>
      <c r="Y639" s="204">
        <v>0</v>
      </c>
      <c r="Z639" s="202" t="s">
        <v>97</v>
      </c>
      <c r="AA639" s="202"/>
      <c r="AB639" s="202" t="s">
        <v>2085</v>
      </c>
      <c r="AC639" s="202"/>
      <c r="AD639" s="202" t="s">
        <v>1152</v>
      </c>
      <c r="AE639" s="202" t="s">
        <v>1153</v>
      </c>
      <c r="AF639" s="203" t="s">
        <v>1154</v>
      </c>
      <c r="AG639" s="202"/>
      <c r="AH639" s="203" t="s">
        <v>1155</v>
      </c>
      <c r="AI639" s="202">
        <v>0</v>
      </c>
      <c r="AJ639" s="202">
        <v>0</v>
      </c>
    </row>
    <row r="640" spans="2:36">
      <c r="B640" s="203">
        <v>2180</v>
      </c>
      <c r="C640" s="207">
        <v>105076</v>
      </c>
      <c r="D640" s="203" t="s">
        <v>97</v>
      </c>
      <c r="E640" s="202" t="s">
        <v>2084</v>
      </c>
      <c r="F640" s="203">
        <v>7</v>
      </c>
      <c r="G640" s="202"/>
      <c r="H640" s="202"/>
      <c r="I640" s="202"/>
      <c r="J640" s="202">
        <v>0</v>
      </c>
      <c r="K640" s="202" t="s">
        <v>2041</v>
      </c>
      <c r="L640" s="202"/>
      <c r="M640" s="202" t="s">
        <v>1456</v>
      </c>
      <c r="N640" s="206">
        <v>41449</v>
      </c>
      <c r="O640" s="206">
        <v>41449</v>
      </c>
      <c r="P640" s="202" t="s">
        <v>2083</v>
      </c>
      <c r="Q640" s="203">
        <v>1200</v>
      </c>
      <c r="R640" s="203">
        <v>14050</v>
      </c>
      <c r="S640" s="204">
        <v>6598.72</v>
      </c>
      <c r="T640" s="203">
        <v>14056</v>
      </c>
      <c r="U640" s="204">
        <v>4674.07</v>
      </c>
      <c r="V640" s="204">
        <f t="shared" si="20"/>
        <v>1924.6500000000005</v>
      </c>
      <c r="W640" s="205">
        <v>549.89</v>
      </c>
      <c r="X640" s="203">
        <v>54260</v>
      </c>
      <c r="Y640" s="204">
        <v>45.82</v>
      </c>
      <c r="Z640" s="202" t="s">
        <v>97</v>
      </c>
      <c r="AA640" s="202"/>
      <c r="AB640" s="202">
        <v>83336</v>
      </c>
      <c r="AC640" s="202"/>
      <c r="AD640" s="202" t="s">
        <v>1152</v>
      </c>
      <c r="AE640" s="202" t="s">
        <v>1153</v>
      </c>
      <c r="AF640" s="203" t="s">
        <v>1154</v>
      </c>
      <c r="AG640" s="202"/>
      <c r="AH640" s="203" t="s">
        <v>1155</v>
      </c>
      <c r="AI640" s="202">
        <v>0</v>
      </c>
      <c r="AJ640" s="202">
        <v>0</v>
      </c>
    </row>
    <row r="641" spans="2:36">
      <c r="B641" s="203">
        <v>2180</v>
      </c>
      <c r="C641" s="207">
        <v>105075</v>
      </c>
      <c r="D641" s="203" t="s">
        <v>97</v>
      </c>
      <c r="E641" s="202" t="s">
        <v>2084</v>
      </c>
      <c r="F641" s="203">
        <v>11</v>
      </c>
      <c r="G641" s="202"/>
      <c r="H641" s="202"/>
      <c r="I641" s="202"/>
      <c r="J641" s="202">
        <v>0</v>
      </c>
      <c r="K641" s="202" t="s">
        <v>2041</v>
      </c>
      <c r="L641" s="202"/>
      <c r="M641" s="202" t="s">
        <v>1456</v>
      </c>
      <c r="N641" s="206">
        <v>41449</v>
      </c>
      <c r="O641" s="206">
        <v>41449</v>
      </c>
      <c r="P641" s="202" t="s">
        <v>2083</v>
      </c>
      <c r="Q641" s="203">
        <v>1200</v>
      </c>
      <c r="R641" s="203">
        <v>14050</v>
      </c>
      <c r="S641" s="204">
        <v>8317.76</v>
      </c>
      <c r="T641" s="203">
        <v>14056</v>
      </c>
      <c r="U641" s="204">
        <v>5891.77</v>
      </c>
      <c r="V641" s="204">
        <f t="shared" si="20"/>
        <v>2425.9899999999998</v>
      </c>
      <c r="W641" s="205">
        <v>693.15</v>
      </c>
      <c r="X641" s="203">
        <v>54260</v>
      </c>
      <c r="Y641" s="204">
        <v>57.76</v>
      </c>
      <c r="Z641" s="202" t="s">
        <v>97</v>
      </c>
      <c r="AA641" s="202"/>
      <c r="AB641" s="202">
        <v>83335</v>
      </c>
      <c r="AC641" s="202"/>
      <c r="AD641" s="202" t="s">
        <v>1152</v>
      </c>
      <c r="AE641" s="202" t="s">
        <v>1153</v>
      </c>
      <c r="AF641" s="203" t="s">
        <v>1154</v>
      </c>
      <c r="AG641" s="202"/>
      <c r="AH641" s="203" t="s">
        <v>1155</v>
      </c>
      <c r="AI641" s="202">
        <v>0</v>
      </c>
      <c r="AJ641" s="202">
        <v>0</v>
      </c>
    </row>
    <row r="642" spans="2:36">
      <c r="B642" s="203">
        <v>2180</v>
      </c>
      <c r="C642" s="207">
        <v>105074</v>
      </c>
      <c r="D642" s="203" t="s">
        <v>97</v>
      </c>
      <c r="E642" s="202" t="s">
        <v>2084</v>
      </c>
      <c r="F642" s="203">
        <v>11</v>
      </c>
      <c r="G642" s="202"/>
      <c r="H642" s="202"/>
      <c r="I642" s="202"/>
      <c r="J642" s="202">
        <v>0</v>
      </c>
      <c r="K642" s="202" t="s">
        <v>2041</v>
      </c>
      <c r="L642" s="202"/>
      <c r="M642" s="202" t="s">
        <v>1456</v>
      </c>
      <c r="N642" s="206">
        <v>41449</v>
      </c>
      <c r="O642" s="206">
        <v>41449</v>
      </c>
      <c r="P642" s="202" t="s">
        <v>2083</v>
      </c>
      <c r="Q642" s="203">
        <v>1200</v>
      </c>
      <c r="R642" s="203">
        <v>14050</v>
      </c>
      <c r="S642" s="204">
        <v>8317.76</v>
      </c>
      <c r="T642" s="203">
        <v>14056</v>
      </c>
      <c r="U642" s="204">
        <v>5891.77</v>
      </c>
      <c r="V642" s="204">
        <f t="shared" si="20"/>
        <v>2425.9899999999998</v>
      </c>
      <c r="W642" s="205">
        <v>693.15</v>
      </c>
      <c r="X642" s="203">
        <v>54260</v>
      </c>
      <c r="Y642" s="204">
        <v>57.76</v>
      </c>
      <c r="Z642" s="202" t="s">
        <v>97</v>
      </c>
      <c r="AA642" s="202"/>
      <c r="AB642" s="202">
        <v>83334</v>
      </c>
      <c r="AC642" s="202"/>
      <c r="AD642" s="202" t="s">
        <v>1152</v>
      </c>
      <c r="AE642" s="202" t="s">
        <v>1153</v>
      </c>
      <c r="AF642" s="203" t="s">
        <v>1154</v>
      </c>
      <c r="AG642" s="202"/>
      <c r="AH642" s="203" t="s">
        <v>1155</v>
      </c>
      <c r="AI642" s="202">
        <v>0</v>
      </c>
      <c r="AJ642" s="202">
        <v>0</v>
      </c>
    </row>
    <row r="643" spans="2:36">
      <c r="B643" s="203">
        <v>2180</v>
      </c>
      <c r="C643" s="207">
        <v>105073</v>
      </c>
      <c r="D643" s="203" t="s">
        <v>97</v>
      </c>
      <c r="E643" s="202" t="s">
        <v>2084</v>
      </c>
      <c r="F643" s="203">
        <v>11</v>
      </c>
      <c r="G643" s="202"/>
      <c r="H643" s="202"/>
      <c r="I643" s="202"/>
      <c r="J643" s="202">
        <v>0</v>
      </c>
      <c r="K643" s="202" t="s">
        <v>2041</v>
      </c>
      <c r="L643" s="202"/>
      <c r="M643" s="202" t="s">
        <v>1456</v>
      </c>
      <c r="N643" s="206">
        <v>41449</v>
      </c>
      <c r="O643" s="206">
        <v>41449</v>
      </c>
      <c r="P643" s="202" t="s">
        <v>2083</v>
      </c>
      <c r="Q643" s="203">
        <v>1200</v>
      </c>
      <c r="R643" s="203">
        <v>14050</v>
      </c>
      <c r="S643" s="204">
        <v>8317.76</v>
      </c>
      <c r="T643" s="203">
        <v>14056</v>
      </c>
      <c r="U643" s="204">
        <v>5891.77</v>
      </c>
      <c r="V643" s="204">
        <f t="shared" si="20"/>
        <v>2425.9899999999998</v>
      </c>
      <c r="W643" s="205">
        <v>693.15</v>
      </c>
      <c r="X643" s="203">
        <v>54260</v>
      </c>
      <c r="Y643" s="204">
        <v>57.76</v>
      </c>
      <c r="Z643" s="202" t="s">
        <v>97</v>
      </c>
      <c r="AA643" s="202"/>
      <c r="AB643" s="202">
        <v>83292</v>
      </c>
      <c r="AC643" s="202"/>
      <c r="AD643" s="202" t="s">
        <v>1152</v>
      </c>
      <c r="AE643" s="202" t="s">
        <v>1153</v>
      </c>
      <c r="AF643" s="203" t="s">
        <v>1154</v>
      </c>
      <c r="AG643" s="202"/>
      <c r="AH643" s="203" t="s">
        <v>1155</v>
      </c>
      <c r="AI643" s="202">
        <v>0</v>
      </c>
      <c r="AJ643" s="202">
        <v>0</v>
      </c>
    </row>
    <row r="644" spans="2:36">
      <c r="B644" s="203">
        <v>2180</v>
      </c>
      <c r="C644" s="207">
        <v>104869</v>
      </c>
      <c r="D644" s="203" t="s">
        <v>97</v>
      </c>
      <c r="E644" s="202" t="s">
        <v>2082</v>
      </c>
      <c r="F644" s="203">
        <v>624</v>
      </c>
      <c r="G644" s="202"/>
      <c r="H644" s="202"/>
      <c r="I644" s="202"/>
      <c r="J644" s="202">
        <v>0</v>
      </c>
      <c r="K644" s="202" t="s">
        <v>2081</v>
      </c>
      <c r="L644" s="202"/>
      <c r="M644" s="202"/>
      <c r="N644" s="206">
        <v>41428</v>
      </c>
      <c r="O644" s="206">
        <v>41428</v>
      </c>
      <c r="P644" s="202" t="s">
        <v>2073</v>
      </c>
      <c r="Q644" s="203">
        <v>700</v>
      </c>
      <c r="R644" s="203">
        <v>14050</v>
      </c>
      <c r="S644" s="204">
        <v>33271.040000000001</v>
      </c>
      <c r="T644" s="203">
        <v>14056</v>
      </c>
      <c r="U644" s="204">
        <v>33271.040000000001</v>
      </c>
      <c r="V644" s="204">
        <f t="shared" si="20"/>
        <v>0</v>
      </c>
      <c r="W644" s="205">
        <v>0</v>
      </c>
      <c r="X644" s="203">
        <v>54260</v>
      </c>
      <c r="Y644" s="204">
        <v>0</v>
      </c>
      <c r="Z644" s="202" t="s">
        <v>97</v>
      </c>
      <c r="AA644" s="202"/>
      <c r="AB644" s="202" t="s">
        <v>2080</v>
      </c>
      <c r="AC644" s="202"/>
      <c r="AD644" s="202" t="s">
        <v>1152</v>
      </c>
      <c r="AE644" s="202" t="s">
        <v>1153</v>
      </c>
      <c r="AF644" s="203" t="s">
        <v>1154</v>
      </c>
      <c r="AG644" s="202"/>
      <c r="AH644" s="203" t="s">
        <v>1155</v>
      </c>
      <c r="AI644" s="202">
        <v>0</v>
      </c>
      <c r="AJ644" s="202">
        <v>0</v>
      </c>
    </row>
    <row r="645" spans="2:36">
      <c r="B645" s="203">
        <v>2180</v>
      </c>
      <c r="C645" s="207">
        <v>104086</v>
      </c>
      <c r="D645" s="203" t="s">
        <v>97</v>
      </c>
      <c r="E645" s="202" t="s">
        <v>2078</v>
      </c>
      <c r="F645" s="203">
        <v>648</v>
      </c>
      <c r="G645" s="202"/>
      <c r="H645" s="202"/>
      <c r="I645" s="202"/>
      <c r="J645" s="202">
        <v>0</v>
      </c>
      <c r="K645" s="202" t="s">
        <v>1658</v>
      </c>
      <c r="L645" s="202"/>
      <c r="M645" s="202"/>
      <c r="N645" s="206">
        <v>41275</v>
      </c>
      <c r="O645" s="206">
        <v>41275</v>
      </c>
      <c r="P645" s="202" t="s">
        <v>2077</v>
      </c>
      <c r="Q645" s="203">
        <v>700</v>
      </c>
      <c r="R645" s="203">
        <v>14050</v>
      </c>
      <c r="S645" s="204">
        <v>29689.23</v>
      </c>
      <c r="T645" s="203">
        <v>14056</v>
      </c>
      <c r="U645" s="204">
        <v>29689.23</v>
      </c>
      <c r="V645" s="204">
        <f t="shared" si="20"/>
        <v>0</v>
      </c>
      <c r="W645" s="205">
        <v>0</v>
      </c>
      <c r="X645" s="203">
        <v>54260</v>
      </c>
      <c r="Y645" s="204">
        <v>0</v>
      </c>
      <c r="Z645" s="202" t="s">
        <v>97</v>
      </c>
      <c r="AA645" s="202"/>
      <c r="AB645" s="202" t="s">
        <v>2079</v>
      </c>
      <c r="AC645" s="202"/>
      <c r="AD645" s="202" t="s">
        <v>1152</v>
      </c>
      <c r="AE645" s="202" t="s">
        <v>1153</v>
      </c>
      <c r="AF645" s="203" t="s">
        <v>1154</v>
      </c>
      <c r="AG645" s="202"/>
      <c r="AH645" s="203" t="s">
        <v>1155</v>
      </c>
      <c r="AI645" s="202">
        <v>0</v>
      </c>
      <c r="AJ645" s="202">
        <v>0</v>
      </c>
    </row>
    <row r="646" spans="2:36">
      <c r="B646" s="203">
        <v>2180</v>
      </c>
      <c r="C646" s="207">
        <v>104085</v>
      </c>
      <c r="D646" s="203" t="s">
        <v>97</v>
      </c>
      <c r="E646" s="202" t="s">
        <v>2078</v>
      </c>
      <c r="F646" s="203">
        <v>648</v>
      </c>
      <c r="G646" s="202"/>
      <c r="H646" s="202"/>
      <c r="I646" s="202"/>
      <c r="J646" s="202">
        <v>0</v>
      </c>
      <c r="K646" s="202" t="s">
        <v>1658</v>
      </c>
      <c r="L646" s="202"/>
      <c r="M646" s="202"/>
      <c r="N646" s="206">
        <v>41275</v>
      </c>
      <c r="O646" s="206">
        <v>41275</v>
      </c>
      <c r="P646" s="202" t="s">
        <v>2077</v>
      </c>
      <c r="Q646" s="203">
        <v>700</v>
      </c>
      <c r="R646" s="203">
        <v>14050</v>
      </c>
      <c r="S646" s="204">
        <v>29689.23</v>
      </c>
      <c r="T646" s="203">
        <v>14056</v>
      </c>
      <c r="U646" s="204">
        <v>29689.23</v>
      </c>
      <c r="V646" s="204">
        <f t="shared" si="20"/>
        <v>0</v>
      </c>
      <c r="W646" s="205">
        <v>0</v>
      </c>
      <c r="X646" s="203">
        <v>54260</v>
      </c>
      <c r="Y646" s="204">
        <v>0</v>
      </c>
      <c r="Z646" s="202" t="s">
        <v>97</v>
      </c>
      <c r="AA646" s="202"/>
      <c r="AB646" s="202" t="s">
        <v>2076</v>
      </c>
      <c r="AC646" s="202"/>
      <c r="AD646" s="202" t="s">
        <v>1152</v>
      </c>
      <c r="AE646" s="202" t="s">
        <v>1153</v>
      </c>
      <c r="AF646" s="203" t="s">
        <v>1154</v>
      </c>
      <c r="AG646" s="202"/>
      <c r="AH646" s="203" t="s">
        <v>1155</v>
      </c>
      <c r="AI646" s="202">
        <v>0</v>
      </c>
      <c r="AJ646" s="202">
        <v>0</v>
      </c>
    </row>
    <row r="647" spans="2:36">
      <c r="B647" s="203">
        <v>2180</v>
      </c>
      <c r="C647" s="207">
        <v>103617</v>
      </c>
      <c r="D647" s="203" t="s">
        <v>97</v>
      </c>
      <c r="E647" s="202" t="s">
        <v>962</v>
      </c>
      <c r="F647" s="203">
        <v>0</v>
      </c>
      <c r="G647" s="202"/>
      <c r="H647" s="202"/>
      <c r="I647" s="202"/>
      <c r="J647" s="202">
        <v>0</v>
      </c>
      <c r="K647" s="202" t="s">
        <v>1429</v>
      </c>
      <c r="L647" s="202"/>
      <c r="M647" s="202"/>
      <c r="N647" s="206">
        <v>41379</v>
      </c>
      <c r="O647" s="206">
        <v>41379</v>
      </c>
      <c r="P647" s="202" t="s">
        <v>2075</v>
      </c>
      <c r="Q647" s="203">
        <v>300</v>
      </c>
      <c r="R647" s="203">
        <v>14110</v>
      </c>
      <c r="S647" s="204">
        <v>1019.36</v>
      </c>
      <c r="T647" s="203">
        <v>14116</v>
      </c>
      <c r="U647" s="204">
        <v>1019.36</v>
      </c>
      <c r="V647" s="204">
        <f t="shared" si="20"/>
        <v>0</v>
      </c>
      <c r="W647" s="205">
        <v>0</v>
      </c>
      <c r="X647" s="203">
        <v>70260</v>
      </c>
      <c r="Y647" s="204">
        <v>0</v>
      </c>
      <c r="Z647" s="202" t="s">
        <v>97</v>
      </c>
      <c r="AA647" s="202"/>
      <c r="AB647" s="202" t="s">
        <v>2074</v>
      </c>
      <c r="AC647" s="202"/>
      <c r="AD647" s="202" t="s">
        <v>1152</v>
      </c>
      <c r="AE647" s="202" t="s">
        <v>1153</v>
      </c>
      <c r="AF647" s="203" t="s">
        <v>1154</v>
      </c>
      <c r="AG647" s="202"/>
      <c r="AH647" s="203" t="s">
        <v>1155</v>
      </c>
      <c r="AI647" s="202">
        <v>0</v>
      </c>
      <c r="AJ647" s="202">
        <v>0</v>
      </c>
    </row>
    <row r="648" spans="2:36">
      <c r="B648" s="203">
        <v>2180</v>
      </c>
      <c r="C648" s="207">
        <v>103582</v>
      </c>
      <c r="D648" s="203" t="s">
        <v>97</v>
      </c>
      <c r="E648" s="202" t="s">
        <v>2062</v>
      </c>
      <c r="F648" s="203">
        <v>648</v>
      </c>
      <c r="G648" s="202"/>
      <c r="H648" s="202"/>
      <c r="I648" s="202"/>
      <c r="J648" s="202">
        <v>0</v>
      </c>
      <c r="K648" s="202" t="s">
        <v>1658</v>
      </c>
      <c r="L648" s="202"/>
      <c r="M648" s="202"/>
      <c r="N648" s="206">
        <v>41275</v>
      </c>
      <c r="O648" s="206">
        <v>41275</v>
      </c>
      <c r="P648" s="202" t="s">
        <v>2073</v>
      </c>
      <c r="Q648" s="203">
        <v>700</v>
      </c>
      <c r="R648" s="203">
        <v>14050</v>
      </c>
      <c r="S648" s="204">
        <v>29526.41</v>
      </c>
      <c r="T648" s="203">
        <v>14056</v>
      </c>
      <c r="U648" s="204">
        <v>29526.41</v>
      </c>
      <c r="V648" s="204">
        <f t="shared" si="20"/>
        <v>0</v>
      </c>
      <c r="W648" s="205">
        <v>0</v>
      </c>
      <c r="X648" s="203">
        <v>54260</v>
      </c>
      <c r="Y648" s="204">
        <v>0</v>
      </c>
      <c r="Z648" s="202" t="s">
        <v>97</v>
      </c>
      <c r="AA648" s="202"/>
      <c r="AB648" s="202" t="s">
        <v>2072</v>
      </c>
      <c r="AC648" s="202"/>
      <c r="AD648" s="202" t="s">
        <v>1152</v>
      </c>
      <c r="AE648" s="202" t="s">
        <v>1153</v>
      </c>
      <c r="AF648" s="203" t="s">
        <v>1154</v>
      </c>
      <c r="AG648" s="202"/>
      <c r="AH648" s="203" t="s">
        <v>1155</v>
      </c>
      <c r="AI648" s="202">
        <v>0</v>
      </c>
      <c r="AJ648" s="202">
        <v>0</v>
      </c>
    </row>
    <row r="649" spans="2:36">
      <c r="B649" s="203">
        <v>2180</v>
      </c>
      <c r="C649" s="207">
        <v>103581</v>
      </c>
      <c r="D649" s="203" t="s">
        <v>97</v>
      </c>
      <c r="E649" s="202" t="s">
        <v>2062</v>
      </c>
      <c r="F649" s="203">
        <v>648</v>
      </c>
      <c r="G649" s="202"/>
      <c r="H649" s="202"/>
      <c r="I649" s="202"/>
      <c r="J649" s="202">
        <v>0</v>
      </c>
      <c r="K649" s="202" t="s">
        <v>1658</v>
      </c>
      <c r="L649" s="202"/>
      <c r="M649" s="202"/>
      <c r="N649" s="206">
        <v>41275</v>
      </c>
      <c r="O649" s="206">
        <v>41275</v>
      </c>
      <c r="P649" s="202" t="s">
        <v>2071</v>
      </c>
      <c r="Q649" s="203">
        <v>700</v>
      </c>
      <c r="R649" s="203">
        <v>14050</v>
      </c>
      <c r="S649" s="204">
        <v>29526.41</v>
      </c>
      <c r="T649" s="203">
        <v>14056</v>
      </c>
      <c r="U649" s="204">
        <v>29526.41</v>
      </c>
      <c r="V649" s="204">
        <f t="shared" si="20"/>
        <v>0</v>
      </c>
      <c r="W649" s="205">
        <v>0</v>
      </c>
      <c r="X649" s="203">
        <v>54260</v>
      </c>
      <c r="Y649" s="204">
        <v>0</v>
      </c>
      <c r="Z649" s="202" t="s">
        <v>97</v>
      </c>
      <c r="AA649" s="202"/>
      <c r="AB649" s="202" t="s">
        <v>2070</v>
      </c>
      <c r="AC649" s="202"/>
      <c r="AD649" s="202" t="s">
        <v>1152</v>
      </c>
      <c r="AE649" s="202" t="s">
        <v>1153</v>
      </c>
      <c r="AF649" s="203" t="s">
        <v>1154</v>
      </c>
      <c r="AG649" s="202"/>
      <c r="AH649" s="203" t="s">
        <v>1155</v>
      </c>
      <c r="AI649" s="202">
        <v>0</v>
      </c>
      <c r="AJ649" s="202">
        <v>0</v>
      </c>
    </row>
    <row r="650" spans="2:36">
      <c r="B650" s="203">
        <v>2180</v>
      </c>
      <c r="C650" s="207">
        <v>103307</v>
      </c>
      <c r="D650" s="203" t="s">
        <v>97</v>
      </c>
      <c r="E650" s="202" t="s">
        <v>2069</v>
      </c>
      <c r="F650" s="203">
        <v>11</v>
      </c>
      <c r="G650" s="202"/>
      <c r="H650" s="202"/>
      <c r="I650" s="202"/>
      <c r="J650" s="202">
        <v>0</v>
      </c>
      <c r="K650" s="202"/>
      <c r="L650" s="202"/>
      <c r="M650" s="202" t="s">
        <v>1701</v>
      </c>
      <c r="N650" s="206">
        <v>39755</v>
      </c>
      <c r="O650" s="206">
        <v>39755</v>
      </c>
      <c r="P650" s="202"/>
      <c r="Q650" s="203">
        <v>1200</v>
      </c>
      <c r="R650" s="203">
        <v>14050</v>
      </c>
      <c r="S650" s="204">
        <v>2034.57</v>
      </c>
      <c r="T650" s="203">
        <v>14056</v>
      </c>
      <c r="U650" s="204">
        <v>2034.57</v>
      </c>
      <c r="V650" s="204">
        <f t="shared" si="20"/>
        <v>0</v>
      </c>
      <c r="W650" s="205">
        <v>0</v>
      </c>
      <c r="X650" s="203">
        <v>54260</v>
      </c>
      <c r="Y650" s="204">
        <v>0</v>
      </c>
      <c r="Z650" s="202" t="s">
        <v>1153</v>
      </c>
      <c r="AA650" s="202" t="s">
        <v>1383</v>
      </c>
      <c r="AB650" s="202"/>
      <c r="AC650" s="202"/>
      <c r="AD650" s="202" t="s">
        <v>1152</v>
      </c>
      <c r="AE650" s="202" t="s">
        <v>1153</v>
      </c>
      <c r="AF650" s="203" t="s">
        <v>1154</v>
      </c>
      <c r="AG650" s="208">
        <v>39933</v>
      </c>
      <c r="AH650" s="203" t="s">
        <v>1155</v>
      </c>
      <c r="AI650" s="202">
        <v>6</v>
      </c>
      <c r="AJ650" s="202">
        <v>84.54</v>
      </c>
    </row>
    <row r="651" spans="2:36">
      <c r="B651" s="203">
        <v>2180</v>
      </c>
      <c r="C651" s="207">
        <v>103263</v>
      </c>
      <c r="D651" s="203" t="s">
        <v>97</v>
      </c>
      <c r="E651" s="202" t="s">
        <v>937</v>
      </c>
      <c r="F651" s="203">
        <v>0</v>
      </c>
      <c r="G651" s="202"/>
      <c r="H651" s="202" t="s">
        <v>2068</v>
      </c>
      <c r="I651" s="202"/>
      <c r="J651" s="202">
        <v>2008</v>
      </c>
      <c r="K651" s="202" t="s">
        <v>2067</v>
      </c>
      <c r="L651" s="202" t="s">
        <v>2066</v>
      </c>
      <c r="M651" s="202" t="s">
        <v>1385</v>
      </c>
      <c r="N651" s="206">
        <v>41365</v>
      </c>
      <c r="O651" s="206">
        <v>41365</v>
      </c>
      <c r="P651" s="202" t="s">
        <v>2065</v>
      </c>
      <c r="Q651" s="203">
        <v>300</v>
      </c>
      <c r="R651" s="203">
        <v>14040</v>
      </c>
      <c r="S651" s="204">
        <v>25233.41</v>
      </c>
      <c r="T651" s="203">
        <v>14046</v>
      </c>
      <c r="U651" s="204">
        <v>25233.41</v>
      </c>
      <c r="V651" s="204">
        <f t="shared" si="20"/>
        <v>0</v>
      </c>
      <c r="W651" s="205">
        <v>0</v>
      </c>
      <c r="X651" s="203">
        <v>51260</v>
      </c>
      <c r="Y651" s="204">
        <v>0</v>
      </c>
      <c r="Z651" s="202" t="s">
        <v>97</v>
      </c>
      <c r="AA651" s="202"/>
      <c r="AB651" s="202" t="s">
        <v>2064</v>
      </c>
      <c r="AC651" s="202">
        <v>6048</v>
      </c>
      <c r="AD651" s="202" t="s">
        <v>1152</v>
      </c>
      <c r="AE651" s="202" t="s">
        <v>1153</v>
      </c>
      <c r="AF651" s="203" t="s">
        <v>1154</v>
      </c>
      <c r="AG651" s="202"/>
      <c r="AH651" s="203" t="s">
        <v>1155</v>
      </c>
      <c r="AI651" s="202">
        <v>0</v>
      </c>
      <c r="AJ651" s="202">
        <v>0</v>
      </c>
    </row>
    <row r="652" spans="2:36">
      <c r="B652" s="203">
        <v>2180</v>
      </c>
      <c r="C652" s="207">
        <v>102967</v>
      </c>
      <c r="D652" s="203" t="s">
        <v>97</v>
      </c>
      <c r="E652" s="202" t="s">
        <v>2062</v>
      </c>
      <c r="F652" s="203">
        <v>1</v>
      </c>
      <c r="G652" s="202"/>
      <c r="H652" s="202"/>
      <c r="I652" s="202"/>
      <c r="J652" s="202">
        <v>0</v>
      </c>
      <c r="K652" s="202" t="s">
        <v>1658</v>
      </c>
      <c r="L652" s="202"/>
      <c r="M652" s="202"/>
      <c r="N652" s="206">
        <v>41360</v>
      </c>
      <c r="O652" s="206">
        <v>41360</v>
      </c>
      <c r="P652" s="202" t="s">
        <v>2061</v>
      </c>
      <c r="Q652" s="203">
        <v>700</v>
      </c>
      <c r="R652" s="203">
        <v>14050</v>
      </c>
      <c r="S652" s="204">
        <v>64</v>
      </c>
      <c r="T652" s="203">
        <v>14056</v>
      </c>
      <c r="U652" s="204">
        <v>64</v>
      </c>
      <c r="V652" s="204">
        <f t="shared" si="20"/>
        <v>0</v>
      </c>
      <c r="W652" s="205">
        <v>0</v>
      </c>
      <c r="X652" s="203">
        <v>54260</v>
      </c>
      <c r="Y652" s="204">
        <v>0</v>
      </c>
      <c r="Z652" s="202" t="s">
        <v>97</v>
      </c>
      <c r="AA652" s="202"/>
      <c r="AB652" s="202" t="s">
        <v>2063</v>
      </c>
      <c r="AC652" s="202"/>
      <c r="AD652" s="202" t="s">
        <v>1152</v>
      </c>
      <c r="AE652" s="202" t="s">
        <v>1153</v>
      </c>
      <c r="AF652" s="203" t="s">
        <v>1154</v>
      </c>
      <c r="AG652" s="202"/>
      <c r="AH652" s="203" t="s">
        <v>1155</v>
      </c>
      <c r="AI652" s="202">
        <v>0</v>
      </c>
      <c r="AJ652" s="202">
        <v>0</v>
      </c>
    </row>
    <row r="653" spans="2:36">
      <c r="B653" s="203">
        <v>2180</v>
      </c>
      <c r="C653" s="207">
        <v>102966</v>
      </c>
      <c r="D653" s="203" t="s">
        <v>97</v>
      </c>
      <c r="E653" s="202" t="s">
        <v>2062</v>
      </c>
      <c r="F653" s="203">
        <v>647</v>
      </c>
      <c r="G653" s="202"/>
      <c r="H653" s="202"/>
      <c r="I653" s="202"/>
      <c r="J653" s="202">
        <v>0</v>
      </c>
      <c r="K653" s="202" t="s">
        <v>1658</v>
      </c>
      <c r="L653" s="202"/>
      <c r="M653" s="202"/>
      <c r="N653" s="206">
        <v>41360</v>
      </c>
      <c r="O653" s="206">
        <v>41360</v>
      </c>
      <c r="P653" s="202" t="s">
        <v>2061</v>
      </c>
      <c r="Q653" s="203">
        <v>700</v>
      </c>
      <c r="R653" s="203">
        <v>14050</v>
      </c>
      <c r="S653" s="204">
        <v>29477.119999999999</v>
      </c>
      <c r="T653" s="203">
        <v>14056</v>
      </c>
      <c r="U653" s="204">
        <v>29477.119999999999</v>
      </c>
      <c r="V653" s="204">
        <f t="shared" si="20"/>
        <v>0</v>
      </c>
      <c r="W653" s="205">
        <v>0</v>
      </c>
      <c r="X653" s="203">
        <v>54260</v>
      </c>
      <c r="Y653" s="204">
        <v>0</v>
      </c>
      <c r="Z653" s="202" t="s">
        <v>97</v>
      </c>
      <c r="AA653" s="202"/>
      <c r="AB653" s="202" t="s">
        <v>2063</v>
      </c>
      <c r="AC653" s="202"/>
      <c r="AD653" s="202" t="s">
        <v>1152</v>
      </c>
      <c r="AE653" s="202" t="s">
        <v>1153</v>
      </c>
      <c r="AF653" s="203" t="s">
        <v>1154</v>
      </c>
      <c r="AG653" s="202"/>
      <c r="AH653" s="203" t="s">
        <v>1155</v>
      </c>
      <c r="AI653" s="202">
        <v>0</v>
      </c>
      <c r="AJ653" s="202">
        <v>0</v>
      </c>
    </row>
    <row r="654" spans="2:36">
      <c r="B654" s="203">
        <v>2180</v>
      </c>
      <c r="C654" s="207">
        <v>102965</v>
      </c>
      <c r="D654" s="203" t="s">
        <v>97</v>
      </c>
      <c r="E654" s="202" t="s">
        <v>2062</v>
      </c>
      <c r="F654" s="203">
        <v>648</v>
      </c>
      <c r="G654" s="202"/>
      <c r="H654" s="202"/>
      <c r="I654" s="202"/>
      <c r="J654" s="202">
        <v>0</v>
      </c>
      <c r="K654" s="202" t="s">
        <v>1658</v>
      </c>
      <c r="L654" s="202"/>
      <c r="M654" s="202"/>
      <c r="N654" s="206">
        <v>41360</v>
      </c>
      <c r="O654" s="206">
        <v>41360</v>
      </c>
      <c r="P654" s="202" t="s">
        <v>2061</v>
      </c>
      <c r="Q654" s="203">
        <v>700</v>
      </c>
      <c r="R654" s="203">
        <v>14050</v>
      </c>
      <c r="S654" s="204">
        <v>29541.119999999999</v>
      </c>
      <c r="T654" s="203">
        <v>14056</v>
      </c>
      <c r="U654" s="204">
        <v>29541.119999999999</v>
      </c>
      <c r="V654" s="204">
        <f t="shared" ref="V654:V717" si="21">S654-U654</f>
        <v>0</v>
      </c>
      <c r="W654" s="205">
        <v>0</v>
      </c>
      <c r="X654" s="203">
        <v>54260</v>
      </c>
      <c r="Y654" s="204">
        <v>0</v>
      </c>
      <c r="Z654" s="202" t="s">
        <v>97</v>
      </c>
      <c r="AA654" s="202"/>
      <c r="AB654" s="202" t="s">
        <v>2060</v>
      </c>
      <c r="AC654" s="202"/>
      <c r="AD654" s="202" t="s">
        <v>1152</v>
      </c>
      <c r="AE654" s="202" t="s">
        <v>1153</v>
      </c>
      <c r="AF654" s="203" t="s">
        <v>1154</v>
      </c>
      <c r="AG654" s="202"/>
      <c r="AH654" s="203" t="s">
        <v>1155</v>
      </c>
      <c r="AI654" s="202">
        <v>0</v>
      </c>
      <c r="AJ654" s="202">
        <v>0</v>
      </c>
    </row>
    <row r="655" spans="2:36">
      <c r="B655" s="203">
        <v>2180</v>
      </c>
      <c r="C655" s="207">
        <v>102681</v>
      </c>
      <c r="D655" s="203" t="s">
        <v>97</v>
      </c>
      <c r="E655" s="202" t="s">
        <v>672</v>
      </c>
      <c r="F655" s="203">
        <v>486</v>
      </c>
      <c r="G655" s="202"/>
      <c r="H655" s="202"/>
      <c r="I655" s="202"/>
      <c r="J655" s="202">
        <v>0</v>
      </c>
      <c r="K655" s="202" t="s">
        <v>1658</v>
      </c>
      <c r="L655" s="202"/>
      <c r="M655" s="202"/>
      <c r="N655" s="206">
        <v>41336</v>
      </c>
      <c r="O655" s="206">
        <v>41336</v>
      </c>
      <c r="P655" s="202" t="s">
        <v>2058</v>
      </c>
      <c r="Q655" s="203">
        <v>700</v>
      </c>
      <c r="R655" s="203">
        <v>14050</v>
      </c>
      <c r="S655" s="204">
        <v>26158.76</v>
      </c>
      <c r="T655" s="203">
        <v>14056</v>
      </c>
      <c r="U655" s="204">
        <v>26158.76</v>
      </c>
      <c r="V655" s="204">
        <f t="shared" si="21"/>
        <v>0</v>
      </c>
      <c r="W655" s="205">
        <v>0</v>
      </c>
      <c r="X655" s="203">
        <v>54260</v>
      </c>
      <c r="Y655" s="204">
        <v>0</v>
      </c>
      <c r="Z655" s="202" t="s">
        <v>97</v>
      </c>
      <c r="AA655" s="202"/>
      <c r="AB655" s="202" t="s">
        <v>2059</v>
      </c>
      <c r="AC655" s="202"/>
      <c r="AD655" s="202" t="s">
        <v>1152</v>
      </c>
      <c r="AE655" s="202" t="s">
        <v>1153</v>
      </c>
      <c r="AF655" s="203" t="s">
        <v>1154</v>
      </c>
      <c r="AG655" s="202"/>
      <c r="AH655" s="203" t="s">
        <v>1155</v>
      </c>
      <c r="AI655" s="202">
        <v>0</v>
      </c>
      <c r="AJ655" s="202">
        <v>0</v>
      </c>
    </row>
    <row r="656" spans="2:36">
      <c r="B656" s="203">
        <v>2180</v>
      </c>
      <c r="C656" s="207">
        <v>102680</v>
      </c>
      <c r="D656" s="203" t="s">
        <v>97</v>
      </c>
      <c r="E656" s="202" t="s">
        <v>672</v>
      </c>
      <c r="F656" s="203">
        <v>486</v>
      </c>
      <c r="G656" s="202"/>
      <c r="H656" s="202"/>
      <c r="I656" s="202"/>
      <c r="J656" s="202">
        <v>0</v>
      </c>
      <c r="K656" s="202" t="s">
        <v>1658</v>
      </c>
      <c r="L656" s="202"/>
      <c r="M656" s="202"/>
      <c r="N656" s="206">
        <v>41336</v>
      </c>
      <c r="O656" s="206">
        <v>41336</v>
      </c>
      <c r="P656" s="202" t="s">
        <v>2058</v>
      </c>
      <c r="Q656" s="203">
        <v>700</v>
      </c>
      <c r="R656" s="203">
        <v>14050</v>
      </c>
      <c r="S656" s="204">
        <v>26158.76</v>
      </c>
      <c r="T656" s="203">
        <v>14056</v>
      </c>
      <c r="U656" s="204">
        <v>26158.76</v>
      </c>
      <c r="V656" s="204">
        <f t="shared" si="21"/>
        <v>0</v>
      </c>
      <c r="W656" s="205">
        <v>0</v>
      </c>
      <c r="X656" s="203">
        <v>54260</v>
      </c>
      <c r="Y656" s="204">
        <v>0</v>
      </c>
      <c r="Z656" s="202" t="s">
        <v>97</v>
      </c>
      <c r="AA656" s="202"/>
      <c r="AB656" s="202" t="s">
        <v>2057</v>
      </c>
      <c r="AC656" s="202"/>
      <c r="AD656" s="202" t="s">
        <v>1152</v>
      </c>
      <c r="AE656" s="202" t="s">
        <v>1153</v>
      </c>
      <c r="AF656" s="203" t="s">
        <v>1154</v>
      </c>
      <c r="AG656" s="202"/>
      <c r="AH656" s="203" t="s">
        <v>1155</v>
      </c>
      <c r="AI656" s="202">
        <v>0</v>
      </c>
      <c r="AJ656" s="202">
        <v>0</v>
      </c>
    </row>
    <row r="657" spans="2:36">
      <c r="B657" s="203">
        <v>2180</v>
      </c>
      <c r="C657" s="207">
        <v>101995</v>
      </c>
      <c r="D657" s="203" t="s">
        <v>97</v>
      </c>
      <c r="E657" s="202" t="s">
        <v>2013</v>
      </c>
      <c r="F657" s="203">
        <v>0</v>
      </c>
      <c r="G657" s="202"/>
      <c r="H657" s="202"/>
      <c r="I657" s="202"/>
      <c r="J657" s="202">
        <v>0</v>
      </c>
      <c r="K657" s="202" t="s">
        <v>2056</v>
      </c>
      <c r="L657" s="202"/>
      <c r="M657" s="202"/>
      <c r="N657" s="206">
        <v>41275</v>
      </c>
      <c r="O657" s="206">
        <v>41275</v>
      </c>
      <c r="P657" s="202" t="s">
        <v>1979</v>
      </c>
      <c r="Q657" s="203">
        <v>300</v>
      </c>
      <c r="R657" s="203">
        <v>14110</v>
      </c>
      <c r="S657" s="204">
        <v>1066</v>
      </c>
      <c r="T657" s="203">
        <v>14116</v>
      </c>
      <c r="U657" s="204">
        <v>1066</v>
      </c>
      <c r="V657" s="204">
        <f t="shared" si="21"/>
        <v>0</v>
      </c>
      <c r="W657" s="205">
        <v>0</v>
      </c>
      <c r="X657" s="203">
        <v>70260</v>
      </c>
      <c r="Y657" s="204">
        <v>0</v>
      </c>
      <c r="Z657" s="202" t="s">
        <v>97</v>
      </c>
      <c r="AA657" s="202"/>
      <c r="AB657" s="202">
        <v>38504</v>
      </c>
      <c r="AC657" s="202"/>
      <c r="AD657" s="202" t="s">
        <v>1152</v>
      </c>
      <c r="AE657" s="202" t="s">
        <v>1153</v>
      </c>
      <c r="AF657" s="203" t="s">
        <v>1154</v>
      </c>
      <c r="AG657" s="202"/>
      <c r="AH657" s="203" t="s">
        <v>1155</v>
      </c>
      <c r="AI657" s="202">
        <v>0</v>
      </c>
      <c r="AJ657" s="202">
        <v>0</v>
      </c>
    </row>
    <row r="658" spans="2:36">
      <c r="B658" s="203">
        <v>2180</v>
      </c>
      <c r="C658" s="207">
        <v>100113</v>
      </c>
      <c r="D658" s="203" t="s">
        <v>97</v>
      </c>
      <c r="E658" s="202" t="s">
        <v>2055</v>
      </c>
      <c r="F658" s="203">
        <v>0</v>
      </c>
      <c r="G658" s="202"/>
      <c r="H658" s="202"/>
      <c r="I658" s="202"/>
      <c r="J658" s="202">
        <v>0</v>
      </c>
      <c r="K658" s="202" t="s">
        <v>2054</v>
      </c>
      <c r="L658" s="202"/>
      <c r="M658" s="202"/>
      <c r="N658" s="206">
        <v>41274</v>
      </c>
      <c r="O658" s="206">
        <v>41274</v>
      </c>
      <c r="P658" s="202" t="s">
        <v>2053</v>
      </c>
      <c r="Q658" s="203">
        <v>500</v>
      </c>
      <c r="R658" s="203">
        <v>14070</v>
      </c>
      <c r="S658" s="204">
        <v>16556.099999999999</v>
      </c>
      <c r="T658" s="203">
        <v>14076</v>
      </c>
      <c r="U658" s="204">
        <v>16556.099999999999</v>
      </c>
      <c r="V658" s="204">
        <f t="shared" si="21"/>
        <v>0</v>
      </c>
      <c r="W658" s="205">
        <v>0</v>
      </c>
      <c r="X658" s="203">
        <v>51260</v>
      </c>
      <c r="Y658" s="204">
        <v>0</v>
      </c>
      <c r="Z658" s="202" t="s">
        <v>97</v>
      </c>
      <c r="AA658" s="202"/>
      <c r="AB658" s="202">
        <v>124009</v>
      </c>
      <c r="AC658" s="202"/>
      <c r="AD658" s="202" t="s">
        <v>1152</v>
      </c>
      <c r="AE658" s="202" t="s">
        <v>1153</v>
      </c>
      <c r="AF658" s="203" t="s">
        <v>1154</v>
      </c>
      <c r="AG658" s="202"/>
      <c r="AH658" s="203" t="s">
        <v>1155</v>
      </c>
      <c r="AI658" s="202">
        <v>0</v>
      </c>
      <c r="AJ658" s="202">
        <v>0</v>
      </c>
    </row>
    <row r="659" spans="2:36">
      <c r="B659" s="203">
        <v>2180</v>
      </c>
      <c r="C659" s="207">
        <v>99962</v>
      </c>
      <c r="D659" s="203" t="s">
        <v>97</v>
      </c>
      <c r="E659" s="202" t="s">
        <v>2052</v>
      </c>
      <c r="F659" s="203">
        <v>3</v>
      </c>
      <c r="G659" s="202"/>
      <c r="H659" s="202"/>
      <c r="I659" s="202"/>
      <c r="J659" s="202">
        <v>0</v>
      </c>
      <c r="K659" s="202" t="s">
        <v>2041</v>
      </c>
      <c r="L659" s="202"/>
      <c r="M659" s="202" t="s">
        <v>1417</v>
      </c>
      <c r="N659" s="206">
        <v>41228</v>
      </c>
      <c r="O659" s="206">
        <v>41228</v>
      </c>
      <c r="P659" s="202" t="s">
        <v>2051</v>
      </c>
      <c r="Q659" s="203">
        <v>1200</v>
      </c>
      <c r="R659" s="203">
        <v>14050</v>
      </c>
      <c r="S659" s="204">
        <v>19371.84</v>
      </c>
      <c r="T659" s="203">
        <v>14056</v>
      </c>
      <c r="U659" s="204">
        <v>14797.93</v>
      </c>
      <c r="V659" s="204">
        <f t="shared" si="21"/>
        <v>4573.91</v>
      </c>
      <c r="W659" s="205">
        <v>1614.32</v>
      </c>
      <c r="X659" s="203">
        <v>54260</v>
      </c>
      <c r="Y659" s="204">
        <v>134.53</v>
      </c>
      <c r="Z659" s="202" t="s">
        <v>97</v>
      </c>
      <c r="AA659" s="202"/>
      <c r="AB659" s="202">
        <v>77551</v>
      </c>
      <c r="AC659" s="202"/>
      <c r="AD659" s="202" t="s">
        <v>1152</v>
      </c>
      <c r="AE659" s="202" t="s">
        <v>1153</v>
      </c>
      <c r="AF659" s="203" t="s">
        <v>1154</v>
      </c>
      <c r="AG659" s="202"/>
      <c r="AH659" s="203" t="s">
        <v>1155</v>
      </c>
      <c r="AI659" s="202">
        <v>0</v>
      </c>
      <c r="AJ659" s="202">
        <v>0</v>
      </c>
    </row>
    <row r="660" spans="2:36">
      <c r="B660" s="203">
        <v>2180</v>
      </c>
      <c r="C660" s="207">
        <v>99961</v>
      </c>
      <c r="D660" s="203" t="s">
        <v>97</v>
      </c>
      <c r="E660" s="202" t="s">
        <v>2052</v>
      </c>
      <c r="F660" s="203">
        <v>3</v>
      </c>
      <c r="G660" s="202"/>
      <c r="H660" s="202"/>
      <c r="I660" s="202"/>
      <c r="J660" s="202">
        <v>0</v>
      </c>
      <c r="K660" s="202" t="s">
        <v>2041</v>
      </c>
      <c r="L660" s="202"/>
      <c r="M660" s="202" t="s">
        <v>1417</v>
      </c>
      <c r="N660" s="206">
        <v>41228</v>
      </c>
      <c r="O660" s="206">
        <v>41228</v>
      </c>
      <c r="P660" s="202" t="s">
        <v>2051</v>
      </c>
      <c r="Q660" s="203">
        <v>1200</v>
      </c>
      <c r="R660" s="203">
        <v>14050</v>
      </c>
      <c r="S660" s="204">
        <v>19371.84</v>
      </c>
      <c r="T660" s="203">
        <v>14056</v>
      </c>
      <c r="U660" s="204">
        <v>14797.93</v>
      </c>
      <c r="V660" s="204">
        <f t="shared" si="21"/>
        <v>4573.91</v>
      </c>
      <c r="W660" s="205">
        <v>1614.32</v>
      </c>
      <c r="X660" s="203">
        <v>54260</v>
      </c>
      <c r="Y660" s="204">
        <v>134.53</v>
      </c>
      <c r="Z660" s="202" t="s">
        <v>97</v>
      </c>
      <c r="AA660" s="202"/>
      <c r="AB660" s="202">
        <v>77549</v>
      </c>
      <c r="AC660" s="202"/>
      <c r="AD660" s="202" t="s">
        <v>1152</v>
      </c>
      <c r="AE660" s="202" t="s">
        <v>1153</v>
      </c>
      <c r="AF660" s="203" t="s">
        <v>1154</v>
      </c>
      <c r="AG660" s="202"/>
      <c r="AH660" s="203" t="s">
        <v>1155</v>
      </c>
      <c r="AI660" s="202">
        <v>0</v>
      </c>
      <c r="AJ660" s="202">
        <v>0</v>
      </c>
    </row>
    <row r="661" spans="2:36">
      <c r="B661" s="203">
        <v>2180</v>
      </c>
      <c r="C661" s="207">
        <v>99960</v>
      </c>
      <c r="D661" s="203" t="s">
        <v>97</v>
      </c>
      <c r="E661" s="202" t="s">
        <v>2052</v>
      </c>
      <c r="F661" s="203">
        <v>3</v>
      </c>
      <c r="G661" s="202"/>
      <c r="H661" s="202"/>
      <c r="I661" s="202"/>
      <c r="J661" s="202">
        <v>0</v>
      </c>
      <c r="K661" s="202" t="s">
        <v>2041</v>
      </c>
      <c r="L661" s="202"/>
      <c r="M661" s="202" t="s">
        <v>1417</v>
      </c>
      <c r="N661" s="206">
        <v>41228</v>
      </c>
      <c r="O661" s="206">
        <v>41228</v>
      </c>
      <c r="P661" s="202" t="s">
        <v>2051</v>
      </c>
      <c r="Q661" s="203">
        <v>1200</v>
      </c>
      <c r="R661" s="203">
        <v>14050</v>
      </c>
      <c r="S661" s="204">
        <v>19371.84</v>
      </c>
      <c r="T661" s="203">
        <v>14056</v>
      </c>
      <c r="U661" s="204">
        <v>14797.93</v>
      </c>
      <c r="V661" s="204">
        <f t="shared" si="21"/>
        <v>4573.91</v>
      </c>
      <c r="W661" s="205">
        <v>1614.32</v>
      </c>
      <c r="X661" s="203">
        <v>54260</v>
      </c>
      <c r="Y661" s="204">
        <v>134.53</v>
      </c>
      <c r="Z661" s="202" t="s">
        <v>97</v>
      </c>
      <c r="AA661" s="202"/>
      <c r="AB661" s="202">
        <v>77548</v>
      </c>
      <c r="AC661" s="202"/>
      <c r="AD661" s="202" t="s">
        <v>1152</v>
      </c>
      <c r="AE661" s="202" t="s">
        <v>1153</v>
      </c>
      <c r="AF661" s="203" t="s">
        <v>1154</v>
      </c>
      <c r="AG661" s="202"/>
      <c r="AH661" s="203" t="s">
        <v>1155</v>
      </c>
      <c r="AI661" s="202">
        <v>0</v>
      </c>
      <c r="AJ661" s="202">
        <v>0</v>
      </c>
    </row>
    <row r="662" spans="2:36">
      <c r="B662" s="203">
        <v>2180</v>
      </c>
      <c r="C662" s="207">
        <v>99959</v>
      </c>
      <c r="D662" s="203" t="s">
        <v>97</v>
      </c>
      <c r="E662" s="202" t="s">
        <v>2052</v>
      </c>
      <c r="F662" s="203">
        <v>2</v>
      </c>
      <c r="G662" s="202"/>
      <c r="H662" s="202"/>
      <c r="I662" s="202"/>
      <c r="J662" s="202">
        <v>0</v>
      </c>
      <c r="K662" s="202" t="s">
        <v>2041</v>
      </c>
      <c r="L662" s="202"/>
      <c r="M662" s="202" t="s">
        <v>1417</v>
      </c>
      <c r="N662" s="206">
        <v>41228</v>
      </c>
      <c r="O662" s="206">
        <v>41228</v>
      </c>
      <c r="P662" s="202" t="s">
        <v>2051</v>
      </c>
      <c r="Q662" s="203">
        <v>1200</v>
      </c>
      <c r="R662" s="203">
        <v>14050</v>
      </c>
      <c r="S662" s="204">
        <v>12914.56</v>
      </c>
      <c r="T662" s="203">
        <v>14056</v>
      </c>
      <c r="U662" s="204">
        <v>9865.26</v>
      </c>
      <c r="V662" s="204">
        <f t="shared" si="21"/>
        <v>3049.2999999999993</v>
      </c>
      <c r="W662" s="205">
        <v>1076.21</v>
      </c>
      <c r="X662" s="203">
        <v>54260</v>
      </c>
      <c r="Y662" s="204">
        <v>89.68</v>
      </c>
      <c r="Z662" s="202" t="s">
        <v>97</v>
      </c>
      <c r="AA662" s="202"/>
      <c r="AB662" s="202">
        <v>77487</v>
      </c>
      <c r="AC662" s="202"/>
      <c r="AD662" s="202" t="s">
        <v>1152</v>
      </c>
      <c r="AE662" s="202" t="s">
        <v>1153</v>
      </c>
      <c r="AF662" s="203" t="s">
        <v>1154</v>
      </c>
      <c r="AG662" s="202"/>
      <c r="AH662" s="203" t="s">
        <v>1155</v>
      </c>
      <c r="AI662" s="202">
        <v>0</v>
      </c>
      <c r="AJ662" s="202">
        <v>0</v>
      </c>
    </row>
    <row r="663" spans="2:36">
      <c r="B663" s="203">
        <v>2180</v>
      </c>
      <c r="C663" s="207">
        <v>99010</v>
      </c>
      <c r="D663" s="203" t="s">
        <v>97</v>
      </c>
      <c r="E663" s="202" t="s">
        <v>2052</v>
      </c>
      <c r="F663" s="203">
        <v>3</v>
      </c>
      <c r="G663" s="202"/>
      <c r="H663" s="202"/>
      <c r="I663" s="202"/>
      <c r="J663" s="202">
        <v>0</v>
      </c>
      <c r="K663" s="202" t="s">
        <v>2041</v>
      </c>
      <c r="L663" s="202"/>
      <c r="M663" s="202" t="s">
        <v>1417</v>
      </c>
      <c r="N663" s="206">
        <v>41260</v>
      </c>
      <c r="O663" s="206">
        <v>41260</v>
      </c>
      <c r="P663" s="202" t="s">
        <v>2051</v>
      </c>
      <c r="Q663" s="203">
        <v>1200</v>
      </c>
      <c r="R663" s="203">
        <v>14050</v>
      </c>
      <c r="S663" s="204">
        <v>19371.84</v>
      </c>
      <c r="T663" s="203">
        <v>14056</v>
      </c>
      <c r="U663" s="204">
        <v>14528.88</v>
      </c>
      <c r="V663" s="204">
        <f t="shared" si="21"/>
        <v>4842.9600000000009</v>
      </c>
      <c r="W663" s="205">
        <v>1614.32</v>
      </c>
      <c r="X663" s="203">
        <v>54260</v>
      </c>
      <c r="Y663" s="204">
        <v>134.53</v>
      </c>
      <c r="Z663" s="202" t="s">
        <v>97</v>
      </c>
      <c r="AA663" s="202"/>
      <c r="AB663" s="202">
        <v>77550</v>
      </c>
      <c r="AC663" s="202"/>
      <c r="AD663" s="202" t="s">
        <v>1152</v>
      </c>
      <c r="AE663" s="202" t="s">
        <v>1153</v>
      </c>
      <c r="AF663" s="203" t="s">
        <v>1154</v>
      </c>
      <c r="AG663" s="202"/>
      <c r="AH663" s="203" t="s">
        <v>1155</v>
      </c>
      <c r="AI663" s="202">
        <v>0</v>
      </c>
      <c r="AJ663" s="202">
        <v>0</v>
      </c>
    </row>
    <row r="664" spans="2:36">
      <c r="B664" s="203">
        <v>2180</v>
      </c>
      <c r="C664" s="207">
        <v>98468</v>
      </c>
      <c r="D664" s="203">
        <v>96423</v>
      </c>
      <c r="E664" s="202" t="s">
        <v>2050</v>
      </c>
      <c r="F664" s="203">
        <v>0</v>
      </c>
      <c r="G664" s="202"/>
      <c r="H664" s="202" t="s">
        <v>2024</v>
      </c>
      <c r="I664" s="202"/>
      <c r="J664" s="202">
        <v>2013</v>
      </c>
      <c r="K664" s="202" t="s">
        <v>1733</v>
      </c>
      <c r="L664" s="202" t="s">
        <v>1732</v>
      </c>
      <c r="M664" s="202" t="s">
        <v>1404</v>
      </c>
      <c r="N664" s="206">
        <v>41173</v>
      </c>
      <c r="O664" s="206">
        <v>41173</v>
      </c>
      <c r="P664" s="202" t="s">
        <v>2023</v>
      </c>
      <c r="Q664" s="203">
        <v>1000</v>
      </c>
      <c r="R664" s="203">
        <v>14040</v>
      </c>
      <c r="S664" s="204">
        <v>592.97</v>
      </c>
      <c r="T664" s="203">
        <v>14046</v>
      </c>
      <c r="U664" s="204">
        <v>548.45000000000005</v>
      </c>
      <c r="V664" s="204">
        <f t="shared" si="21"/>
        <v>44.519999999999982</v>
      </c>
      <c r="W664" s="205">
        <v>59.29</v>
      </c>
      <c r="X664" s="203">
        <v>51260</v>
      </c>
      <c r="Y664" s="204">
        <v>4.9400000000000004</v>
      </c>
      <c r="Z664" s="202" t="s">
        <v>97</v>
      </c>
      <c r="AA664" s="202"/>
      <c r="AB664" s="202">
        <v>5008814</v>
      </c>
      <c r="AC664" s="202"/>
      <c r="AD664" s="202" t="s">
        <v>1152</v>
      </c>
      <c r="AE664" s="202" t="s">
        <v>1153</v>
      </c>
      <c r="AF664" s="203" t="s">
        <v>1154</v>
      </c>
      <c r="AG664" s="202"/>
      <c r="AH664" s="203" t="s">
        <v>1155</v>
      </c>
      <c r="AI664" s="202">
        <v>0</v>
      </c>
      <c r="AJ664" s="202">
        <v>0</v>
      </c>
    </row>
    <row r="665" spans="2:36">
      <c r="B665" s="203">
        <v>2180</v>
      </c>
      <c r="C665" s="207">
        <v>98423</v>
      </c>
      <c r="D665" s="203" t="s">
        <v>97</v>
      </c>
      <c r="E665" s="202" t="s">
        <v>2049</v>
      </c>
      <c r="F665" s="203">
        <v>0</v>
      </c>
      <c r="G665" s="202"/>
      <c r="H665" s="202"/>
      <c r="I665" s="202"/>
      <c r="J665" s="202">
        <v>0</v>
      </c>
      <c r="K665" s="202" t="s">
        <v>1514</v>
      </c>
      <c r="L665" s="202"/>
      <c r="M665" s="202"/>
      <c r="N665" s="206">
        <v>41243</v>
      </c>
      <c r="O665" s="206">
        <v>41243</v>
      </c>
      <c r="P665" s="202" t="s">
        <v>2048</v>
      </c>
      <c r="Q665" s="203">
        <v>500</v>
      </c>
      <c r="R665" s="203">
        <v>14070</v>
      </c>
      <c r="S665" s="204">
        <v>11321.73</v>
      </c>
      <c r="T665" s="203">
        <v>14076</v>
      </c>
      <c r="U665" s="204">
        <v>11321.73</v>
      </c>
      <c r="V665" s="204">
        <f t="shared" si="21"/>
        <v>0</v>
      </c>
      <c r="W665" s="205">
        <v>0</v>
      </c>
      <c r="X665" s="203">
        <v>51260</v>
      </c>
      <c r="Y665" s="204">
        <v>0</v>
      </c>
      <c r="Z665" s="202" t="s">
        <v>97</v>
      </c>
      <c r="AA665" s="202"/>
      <c r="AB665" s="202" t="s">
        <v>2047</v>
      </c>
      <c r="AC665" s="202"/>
      <c r="AD665" s="202" t="s">
        <v>1152</v>
      </c>
      <c r="AE665" s="202" t="s">
        <v>1153</v>
      </c>
      <c r="AF665" s="203" t="s">
        <v>1154</v>
      </c>
      <c r="AG665" s="202"/>
      <c r="AH665" s="203" t="s">
        <v>1155</v>
      </c>
      <c r="AI665" s="202">
        <v>0</v>
      </c>
      <c r="AJ665" s="202">
        <v>0</v>
      </c>
    </row>
    <row r="666" spans="2:36">
      <c r="B666" s="203">
        <v>2180</v>
      </c>
      <c r="C666" s="207">
        <v>98392</v>
      </c>
      <c r="D666" s="203" t="s">
        <v>97</v>
      </c>
      <c r="E666" s="202" t="s">
        <v>2046</v>
      </c>
      <c r="F666" s="203">
        <v>20</v>
      </c>
      <c r="G666" s="202"/>
      <c r="H666" s="202"/>
      <c r="I666" s="202"/>
      <c r="J666" s="202">
        <v>0</v>
      </c>
      <c r="K666" s="202" t="s">
        <v>1658</v>
      </c>
      <c r="L666" s="202"/>
      <c r="M666" s="202" t="s">
        <v>1582</v>
      </c>
      <c r="N666" s="206">
        <v>41206</v>
      </c>
      <c r="O666" s="206">
        <v>41206</v>
      </c>
      <c r="P666" s="202" t="s">
        <v>2039</v>
      </c>
      <c r="Q666" s="203">
        <v>700</v>
      </c>
      <c r="R666" s="203">
        <v>14050</v>
      </c>
      <c r="S666" s="204">
        <v>15097.2</v>
      </c>
      <c r="T666" s="203">
        <v>14056</v>
      </c>
      <c r="U666" s="204">
        <v>15097.2</v>
      </c>
      <c r="V666" s="204">
        <f t="shared" si="21"/>
        <v>0</v>
      </c>
      <c r="W666" s="205">
        <v>0</v>
      </c>
      <c r="X666" s="203">
        <v>54260</v>
      </c>
      <c r="Y666" s="204">
        <v>0</v>
      </c>
      <c r="Z666" s="202" t="s">
        <v>97</v>
      </c>
      <c r="AA666" s="202"/>
      <c r="AB666" s="202" t="s">
        <v>2045</v>
      </c>
      <c r="AC666" s="202"/>
      <c r="AD666" s="202" t="s">
        <v>1152</v>
      </c>
      <c r="AE666" s="202" t="s">
        <v>1153</v>
      </c>
      <c r="AF666" s="203" t="s">
        <v>1154</v>
      </c>
      <c r="AG666" s="202"/>
      <c r="AH666" s="203" t="s">
        <v>1155</v>
      </c>
      <c r="AI666" s="202">
        <v>0</v>
      </c>
      <c r="AJ666" s="202">
        <v>0</v>
      </c>
    </row>
    <row r="667" spans="2:36">
      <c r="B667" s="203">
        <v>2180</v>
      </c>
      <c r="C667" s="207">
        <v>98391</v>
      </c>
      <c r="D667" s="203" t="s">
        <v>97</v>
      </c>
      <c r="E667" s="202" t="s">
        <v>2044</v>
      </c>
      <c r="F667" s="203">
        <v>4</v>
      </c>
      <c r="G667" s="202"/>
      <c r="H667" s="202"/>
      <c r="I667" s="202"/>
      <c r="J667" s="202">
        <v>0</v>
      </c>
      <c r="K667" s="202" t="s">
        <v>1658</v>
      </c>
      <c r="L667" s="202"/>
      <c r="M667" s="202" t="s">
        <v>1582</v>
      </c>
      <c r="N667" s="206">
        <v>41206</v>
      </c>
      <c r="O667" s="206">
        <v>41206</v>
      </c>
      <c r="P667" s="202" t="s">
        <v>2039</v>
      </c>
      <c r="Q667" s="203">
        <v>700</v>
      </c>
      <c r="R667" s="203">
        <v>14050</v>
      </c>
      <c r="S667" s="204">
        <v>2910.04</v>
      </c>
      <c r="T667" s="203">
        <v>14056</v>
      </c>
      <c r="U667" s="204">
        <v>2910.04</v>
      </c>
      <c r="V667" s="204">
        <f t="shared" si="21"/>
        <v>0</v>
      </c>
      <c r="W667" s="205">
        <v>0</v>
      </c>
      <c r="X667" s="203">
        <v>54260</v>
      </c>
      <c r="Y667" s="204">
        <v>0</v>
      </c>
      <c r="Z667" s="202" t="s">
        <v>97</v>
      </c>
      <c r="AA667" s="202"/>
      <c r="AB667" s="202" t="s">
        <v>2043</v>
      </c>
      <c r="AC667" s="202"/>
      <c r="AD667" s="202" t="s">
        <v>1152</v>
      </c>
      <c r="AE667" s="202" t="s">
        <v>1153</v>
      </c>
      <c r="AF667" s="203" t="s">
        <v>1154</v>
      </c>
      <c r="AG667" s="202"/>
      <c r="AH667" s="203" t="s">
        <v>1155</v>
      </c>
      <c r="AI667" s="202">
        <v>0</v>
      </c>
      <c r="AJ667" s="202">
        <v>0</v>
      </c>
    </row>
    <row r="668" spans="2:36">
      <c r="B668" s="203">
        <v>2180</v>
      </c>
      <c r="C668" s="207">
        <v>97736</v>
      </c>
      <c r="D668" s="203" t="s">
        <v>97</v>
      </c>
      <c r="E668" s="202" t="s">
        <v>580</v>
      </c>
      <c r="F668" s="203">
        <v>3</v>
      </c>
      <c r="G668" s="202"/>
      <c r="H668" s="202"/>
      <c r="I668" s="202"/>
      <c r="J668" s="202">
        <v>0</v>
      </c>
      <c r="K668" s="202" t="s">
        <v>2041</v>
      </c>
      <c r="L668" s="202"/>
      <c r="M668" s="202" t="s">
        <v>1454</v>
      </c>
      <c r="N668" s="206">
        <v>41206</v>
      </c>
      <c r="O668" s="206">
        <v>41206</v>
      </c>
      <c r="P668" s="202" t="s">
        <v>2040</v>
      </c>
      <c r="Q668" s="203">
        <v>1200</v>
      </c>
      <c r="R668" s="203">
        <v>14050</v>
      </c>
      <c r="S668" s="204">
        <v>17804.849999999999</v>
      </c>
      <c r="T668" s="203">
        <v>14056</v>
      </c>
      <c r="U668" s="204">
        <v>13600.95</v>
      </c>
      <c r="V668" s="204">
        <f t="shared" si="21"/>
        <v>4203.8999999999978</v>
      </c>
      <c r="W668" s="205">
        <v>1483.74</v>
      </c>
      <c r="X668" s="203">
        <v>54260</v>
      </c>
      <c r="Y668" s="204">
        <v>123.64</v>
      </c>
      <c r="Z668" s="202" t="s">
        <v>97</v>
      </c>
      <c r="AA668" s="202"/>
      <c r="AB668" s="202">
        <v>76130</v>
      </c>
      <c r="AC668" s="202"/>
      <c r="AD668" s="202" t="s">
        <v>1152</v>
      </c>
      <c r="AE668" s="202" t="s">
        <v>1153</v>
      </c>
      <c r="AF668" s="203" t="s">
        <v>1154</v>
      </c>
      <c r="AG668" s="202"/>
      <c r="AH668" s="203" t="s">
        <v>1155</v>
      </c>
      <c r="AI668" s="202">
        <v>0</v>
      </c>
      <c r="AJ668" s="202">
        <v>0</v>
      </c>
    </row>
    <row r="669" spans="2:36">
      <c r="B669" s="203">
        <v>2180</v>
      </c>
      <c r="C669" s="207">
        <v>97735</v>
      </c>
      <c r="D669" s="203" t="s">
        <v>97</v>
      </c>
      <c r="E669" s="202" t="s">
        <v>580</v>
      </c>
      <c r="F669" s="203">
        <v>3</v>
      </c>
      <c r="G669" s="202"/>
      <c r="H669" s="202"/>
      <c r="I669" s="202"/>
      <c r="J669" s="202">
        <v>0</v>
      </c>
      <c r="K669" s="202" t="s">
        <v>2041</v>
      </c>
      <c r="L669" s="202"/>
      <c r="M669" s="202" t="s">
        <v>1454</v>
      </c>
      <c r="N669" s="206">
        <v>41206</v>
      </c>
      <c r="O669" s="206">
        <v>41206</v>
      </c>
      <c r="P669" s="202" t="s">
        <v>2040</v>
      </c>
      <c r="Q669" s="203">
        <v>1200</v>
      </c>
      <c r="R669" s="203">
        <v>14050</v>
      </c>
      <c r="S669" s="204">
        <v>17804.849999999999</v>
      </c>
      <c r="T669" s="203">
        <v>14056</v>
      </c>
      <c r="U669" s="204">
        <v>13600.95</v>
      </c>
      <c r="V669" s="204">
        <f t="shared" si="21"/>
        <v>4203.8999999999978</v>
      </c>
      <c r="W669" s="205">
        <v>1483.74</v>
      </c>
      <c r="X669" s="203">
        <v>54260</v>
      </c>
      <c r="Y669" s="204">
        <v>123.64</v>
      </c>
      <c r="Z669" s="202" t="s">
        <v>97</v>
      </c>
      <c r="AA669" s="202"/>
      <c r="AB669" s="202">
        <v>76129</v>
      </c>
      <c r="AC669" s="202"/>
      <c r="AD669" s="202" t="s">
        <v>1152</v>
      </c>
      <c r="AE669" s="202" t="s">
        <v>1153</v>
      </c>
      <c r="AF669" s="203" t="s">
        <v>1154</v>
      </c>
      <c r="AG669" s="202"/>
      <c r="AH669" s="203" t="s">
        <v>1155</v>
      </c>
      <c r="AI669" s="202">
        <v>0</v>
      </c>
      <c r="AJ669" s="202">
        <v>0</v>
      </c>
    </row>
    <row r="670" spans="2:36">
      <c r="B670" s="203">
        <v>2180</v>
      </c>
      <c r="C670" s="207">
        <v>97734</v>
      </c>
      <c r="D670" s="203" t="s">
        <v>97</v>
      </c>
      <c r="E670" s="202" t="s">
        <v>2042</v>
      </c>
      <c r="F670" s="203">
        <v>1</v>
      </c>
      <c r="G670" s="202"/>
      <c r="H670" s="202"/>
      <c r="I670" s="202"/>
      <c r="J670" s="202">
        <v>0</v>
      </c>
      <c r="K670" s="202" t="s">
        <v>2041</v>
      </c>
      <c r="L670" s="202"/>
      <c r="M670" s="202" t="s">
        <v>1454</v>
      </c>
      <c r="N670" s="206">
        <v>41206</v>
      </c>
      <c r="O670" s="206">
        <v>41206</v>
      </c>
      <c r="P670" s="202" t="s">
        <v>2040</v>
      </c>
      <c r="Q670" s="203">
        <v>1200</v>
      </c>
      <c r="R670" s="203">
        <v>14050</v>
      </c>
      <c r="S670" s="204">
        <v>5934.95</v>
      </c>
      <c r="T670" s="203">
        <v>14056</v>
      </c>
      <c r="U670" s="204">
        <v>4533.6499999999996</v>
      </c>
      <c r="V670" s="204">
        <f t="shared" si="21"/>
        <v>1401.3000000000002</v>
      </c>
      <c r="W670" s="205">
        <v>494.58</v>
      </c>
      <c r="X670" s="203">
        <v>54260</v>
      </c>
      <c r="Y670" s="204">
        <v>41.21</v>
      </c>
      <c r="Z670" s="202" t="s">
        <v>97</v>
      </c>
      <c r="AA670" s="202"/>
      <c r="AB670" s="202">
        <v>76128</v>
      </c>
      <c r="AC670" s="202"/>
      <c r="AD670" s="202" t="s">
        <v>1152</v>
      </c>
      <c r="AE670" s="202" t="s">
        <v>1153</v>
      </c>
      <c r="AF670" s="203" t="s">
        <v>1154</v>
      </c>
      <c r="AG670" s="202"/>
      <c r="AH670" s="203" t="s">
        <v>1155</v>
      </c>
      <c r="AI670" s="202">
        <v>0</v>
      </c>
      <c r="AJ670" s="202">
        <v>0</v>
      </c>
    </row>
    <row r="671" spans="2:36">
      <c r="B671" s="203">
        <v>2180</v>
      </c>
      <c r="C671" s="207">
        <v>97733</v>
      </c>
      <c r="D671" s="203" t="s">
        <v>97</v>
      </c>
      <c r="E671" s="202" t="s">
        <v>581</v>
      </c>
      <c r="F671" s="203">
        <v>3</v>
      </c>
      <c r="G671" s="202"/>
      <c r="H671" s="202"/>
      <c r="I671" s="202"/>
      <c r="J671" s="202">
        <v>0</v>
      </c>
      <c r="K671" s="202" t="s">
        <v>2041</v>
      </c>
      <c r="L671" s="202"/>
      <c r="M671" s="202" t="s">
        <v>1454</v>
      </c>
      <c r="N671" s="206">
        <v>41206</v>
      </c>
      <c r="O671" s="206">
        <v>41206</v>
      </c>
      <c r="P671" s="202" t="s">
        <v>2040</v>
      </c>
      <c r="Q671" s="203">
        <v>1200</v>
      </c>
      <c r="R671" s="203">
        <v>14050</v>
      </c>
      <c r="S671" s="204">
        <v>17804.849999999999</v>
      </c>
      <c r="T671" s="203">
        <v>14056</v>
      </c>
      <c r="U671" s="204">
        <v>13600.95</v>
      </c>
      <c r="V671" s="204">
        <f t="shared" si="21"/>
        <v>4203.8999999999978</v>
      </c>
      <c r="W671" s="205">
        <v>1483.74</v>
      </c>
      <c r="X671" s="203">
        <v>54260</v>
      </c>
      <c r="Y671" s="204">
        <v>123.64</v>
      </c>
      <c r="Z671" s="202" t="s">
        <v>97</v>
      </c>
      <c r="AA671" s="202"/>
      <c r="AB671" s="202">
        <v>76127</v>
      </c>
      <c r="AC671" s="202"/>
      <c r="AD671" s="202" t="s">
        <v>1152</v>
      </c>
      <c r="AE671" s="202" t="s">
        <v>1153</v>
      </c>
      <c r="AF671" s="203" t="s">
        <v>1154</v>
      </c>
      <c r="AG671" s="202"/>
      <c r="AH671" s="203" t="s">
        <v>1155</v>
      </c>
      <c r="AI671" s="202">
        <v>0</v>
      </c>
      <c r="AJ671" s="202">
        <v>0</v>
      </c>
    </row>
    <row r="672" spans="2:36">
      <c r="B672" s="203">
        <v>2180</v>
      </c>
      <c r="C672" s="207">
        <v>97732</v>
      </c>
      <c r="D672" s="203" t="s">
        <v>97</v>
      </c>
      <c r="E672" s="202" t="s">
        <v>581</v>
      </c>
      <c r="F672" s="203">
        <v>3</v>
      </c>
      <c r="G672" s="202"/>
      <c r="H672" s="202"/>
      <c r="I672" s="202"/>
      <c r="J672" s="202">
        <v>0</v>
      </c>
      <c r="K672" s="202" t="s">
        <v>2041</v>
      </c>
      <c r="L672" s="202"/>
      <c r="M672" s="202" t="s">
        <v>1454</v>
      </c>
      <c r="N672" s="206">
        <v>41206</v>
      </c>
      <c r="O672" s="206">
        <v>41206</v>
      </c>
      <c r="P672" s="202" t="s">
        <v>2040</v>
      </c>
      <c r="Q672" s="203">
        <v>1200</v>
      </c>
      <c r="R672" s="203">
        <v>14050</v>
      </c>
      <c r="S672" s="204">
        <v>17804.849999999999</v>
      </c>
      <c r="T672" s="203">
        <v>14056</v>
      </c>
      <c r="U672" s="204">
        <v>13600.95</v>
      </c>
      <c r="V672" s="204">
        <f t="shared" si="21"/>
        <v>4203.8999999999978</v>
      </c>
      <c r="W672" s="205">
        <v>1483.74</v>
      </c>
      <c r="X672" s="203">
        <v>54260</v>
      </c>
      <c r="Y672" s="204">
        <v>123.64</v>
      </c>
      <c r="Z672" s="202" t="s">
        <v>97</v>
      </c>
      <c r="AA672" s="202"/>
      <c r="AB672" s="202">
        <v>76126</v>
      </c>
      <c r="AC672" s="202"/>
      <c r="AD672" s="202" t="s">
        <v>1152</v>
      </c>
      <c r="AE672" s="202" t="s">
        <v>1153</v>
      </c>
      <c r="AF672" s="203" t="s">
        <v>1154</v>
      </c>
      <c r="AG672" s="202"/>
      <c r="AH672" s="203" t="s">
        <v>1155</v>
      </c>
      <c r="AI672" s="202">
        <v>0</v>
      </c>
      <c r="AJ672" s="202">
        <v>0</v>
      </c>
    </row>
    <row r="673" spans="2:36">
      <c r="B673" s="203">
        <v>2180</v>
      </c>
      <c r="C673" s="207">
        <v>97731</v>
      </c>
      <c r="D673" s="203" t="s">
        <v>97</v>
      </c>
      <c r="E673" s="202" t="s">
        <v>581</v>
      </c>
      <c r="F673" s="203">
        <v>3</v>
      </c>
      <c r="G673" s="202"/>
      <c r="H673" s="202"/>
      <c r="I673" s="202"/>
      <c r="J673" s="202">
        <v>0</v>
      </c>
      <c r="K673" s="202" t="s">
        <v>2041</v>
      </c>
      <c r="L673" s="202"/>
      <c r="M673" s="202" t="s">
        <v>1454</v>
      </c>
      <c r="N673" s="206">
        <v>41206</v>
      </c>
      <c r="O673" s="206">
        <v>41206</v>
      </c>
      <c r="P673" s="202" t="s">
        <v>2040</v>
      </c>
      <c r="Q673" s="203">
        <v>1200</v>
      </c>
      <c r="R673" s="203">
        <v>14050</v>
      </c>
      <c r="S673" s="204">
        <v>17804.849999999999</v>
      </c>
      <c r="T673" s="203">
        <v>14056</v>
      </c>
      <c r="U673" s="204">
        <v>13600.95</v>
      </c>
      <c r="V673" s="204">
        <f t="shared" si="21"/>
        <v>4203.8999999999978</v>
      </c>
      <c r="W673" s="205">
        <v>1483.74</v>
      </c>
      <c r="X673" s="203">
        <v>54260</v>
      </c>
      <c r="Y673" s="204">
        <v>123.64</v>
      </c>
      <c r="Z673" s="202" t="s">
        <v>97</v>
      </c>
      <c r="AA673" s="202"/>
      <c r="AB673" s="202">
        <v>76120</v>
      </c>
      <c r="AC673" s="202"/>
      <c r="AD673" s="202" t="s">
        <v>1152</v>
      </c>
      <c r="AE673" s="202" t="s">
        <v>1153</v>
      </c>
      <c r="AF673" s="203" t="s">
        <v>1154</v>
      </c>
      <c r="AG673" s="202"/>
      <c r="AH673" s="203" t="s">
        <v>1155</v>
      </c>
      <c r="AI673" s="202">
        <v>0</v>
      </c>
      <c r="AJ673" s="202">
        <v>0</v>
      </c>
    </row>
    <row r="674" spans="2:36">
      <c r="B674" s="203">
        <v>2180</v>
      </c>
      <c r="C674" s="207">
        <v>97729</v>
      </c>
      <c r="D674" s="203" t="s">
        <v>97</v>
      </c>
      <c r="E674" s="202" t="s">
        <v>505</v>
      </c>
      <c r="F674" s="203">
        <v>10</v>
      </c>
      <c r="G674" s="202"/>
      <c r="H674" s="202"/>
      <c r="I674" s="202"/>
      <c r="J674" s="202">
        <v>0</v>
      </c>
      <c r="K674" s="202" t="s">
        <v>1658</v>
      </c>
      <c r="L674" s="202"/>
      <c r="M674" s="202" t="s">
        <v>1582</v>
      </c>
      <c r="N674" s="206">
        <v>41200</v>
      </c>
      <c r="O674" s="206">
        <v>41200</v>
      </c>
      <c r="P674" s="202" t="s">
        <v>2039</v>
      </c>
      <c r="Q674" s="203">
        <v>700</v>
      </c>
      <c r="R674" s="203">
        <v>14050</v>
      </c>
      <c r="S674" s="204">
        <v>7822.1</v>
      </c>
      <c r="T674" s="203">
        <v>14056</v>
      </c>
      <c r="U674" s="204">
        <v>7822.1</v>
      </c>
      <c r="V674" s="204">
        <f t="shared" si="21"/>
        <v>0</v>
      </c>
      <c r="W674" s="205">
        <v>0</v>
      </c>
      <c r="X674" s="203">
        <v>54260</v>
      </c>
      <c r="Y674" s="204">
        <v>0</v>
      </c>
      <c r="Z674" s="202" t="s">
        <v>97</v>
      </c>
      <c r="AA674" s="202"/>
      <c r="AB674" s="202" t="s">
        <v>2038</v>
      </c>
      <c r="AC674" s="202"/>
      <c r="AD674" s="202" t="s">
        <v>1152</v>
      </c>
      <c r="AE674" s="202" t="s">
        <v>1153</v>
      </c>
      <c r="AF674" s="203" t="s">
        <v>1154</v>
      </c>
      <c r="AG674" s="202"/>
      <c r="AH674" s="203" t="s">
        <v>1155</v>
      </c>
      <c r="AI674" s="202">
        <v>0</v>
      </c>
      <c r="AJ674" s="202">
        <v>0</v>
      </c>
    </row>
    <row r="675" spans="2:36">
      <c r="B675" s="203">
        <v>2180</v>
      </c>
      <c r="C675" s="207">
        <v>97728</v>
      </c>
      <c r="D675" s="203" t="s">
        <v>97</v>
      </c>
      <c r="E675" s="202" t="s">
        <v>494</v>
      </c>
      <c r="F675" s="203">
        <v>23</v>
      </c>
      <c r="G675" s="202"/>
      <c r="H675" s="202"/>
      <c r="I675" s="202"/>
      <c r="J675" s="202">
        <v>0</v>
      </c>
      <c r="K675" s="202" t="s">
        <v>1658</v>
      </c>
      <c r="L675" s="202"/>
      <c r="M675" s="202" t="s">
        <v>1558</v>
      </c>
      <c r="N675" s="206">
        <v>41200</v>
      </c>
      <c r="O675" s="206">
        <v>41200</v>
      </c>
      <c r="P675" s="202" t="s">
        <v>2036</v>
      </c>
      <c r="Q675" s="203">
        <v>700</v>
      </c>
      <c r="R675" s="203">
        <v>14050</v>
      </c>
      <c r="S675" s="204">
        <v>14593.96</v>
      </c>
      <c r="T675" s="203">
        <v>14056</v>
      </c>
      <c r="U675" s="204">
        <v>14593.96</v>
      </c>
      <c r="V675" s="204">
        <f t="shared" si="21"/>
        <v>0</v>
      </c>
      <c r="W675" s="205">
        <v>0</v>
      </c>
      <c r="X675" s="203">
        <v>54260</v>
      </c>
      <c r="Y675" s="204">
        <v>0</v>
      </c>
      <c r="Z675" s="202" t="s">
        <v>97</v>
      </c>
      <c r="AA675" s="202"/>
      <c r="AB675" s="202" t="s">
        <v>2037</v>
      </c>
      <c r="AC675" s="202"/>
      <c r="AD675" s="202" t="s">
        <v>1152</v>
      </c>
      <c r="AE675" s="202" t="s">
        <v>1153</v>
      </c>
      <c r="AF675" s="203" t="s">
        <v>1154</v>
      </c>
      <c r="AG675" s="202"/>
      <c r="AH675" s="203" t="s">
        <v>1155</v>
      </c>
      <c r="AI675" s="202">
        <v>0</v>
      </c>
      <c r="AJ675" s="202">
        <v>0</v>
      </c>
    </row>
    <row r="676" spans="2:36">
      <c r="B676" s="203">
        <v>2180</v>
      </c>
      <c r="C676" s="207">
        <v>97727</v>
      </c>
      <c r="D676" s="203" t="s">
        <v>97</v>
      </c>
      <c r="E676" s="202" t="s">
        <v>494</v>
      </c>
      <c r="F676" s="203">
        <v>13</v>
      </c>
      <c r="G676" s="202"/>
      <c r="H676" s="202"/>
      <c r="I676" s="202"/>
      <c r="J676" s="202">
        <v>0</v>
      </c>
      <c r="K676" s="202" t="s">
        <v>1658</v>
      </c>
      <c r="L676" s="202"/>
      <c r="M676" s="202" t="s">
        <v>1558</v>
      </c>
      <c r="N676" s="206">
        <v>41200</v>
      </c>
      <c r="O676" s="206">
        <v>41200</v>
      </c>
      <c r="P676" s="202" t="s">
        <v>2036</v>
      </c>
      <c r="Q676" s="203">
        <v>700</v>
      </c>
      <c r="R676" s="203">
        <v>14050</v>
      </c>
      <c r="S676" s="204">
        <v>8795.76</v>
      </c>
      <c r="T676" s="203">
        <v>14056</v>
      </c>
      <c r="U676" s="204">
        <v>8795.76</v>
      </c>
      <c r="V676" s="204">
        <f t="shared" si="21"/>
        <v>0</v>
      </c>
      <c r="W676" s="205">
        <v>0</v>
      </c>
      <c r="X676" s="203">
        <v>54260</v>
      </c>
      <c r="Y676" s="204">
        <v>0</v>
      </c>
      <c r="Z676" s="202" t="s">
        <v>97</v>
      </c>
      <c r="AA676" s="202"/>
      <c r="AB676" s="202" t="s">
        <v>2035</v>
      </c>
      <c r="AC676" s="202"/>
      <c r="AD676" s="202" t="s">
        <v>1152</v>
      </c>
      <c r="AE676" s="202" t="s">
        <v>1153</v>
      </c>
      <c r="AF676" s="203" t="s">
        <v>1154</v>
      </c>
      <c r="AG676" s="202"/>
      <c r="AH676" s="203" t="s">
        <v>1155</v>
      </c>
      <c r="AI676" s="202">
        <v>0</v>
      </c>
      <c r="AJ676" s="202">
        <v>0</v>
      </c>
    </row>
    <row r="677" spans="2:36">
      <c r="B677" s="203">
        <v>2180</v>
      </c>
      <c r="C677" s="207">
        <v>97635</v>
      </c>
      <c r="D677" s="203">
        <v>66265</v>
      </c>
      <c r="E677" s="202" t="s">
        <v>94</v>
      </c>
      <c r="F677" s="203">
        <v>0</v>
      </c>
      <c r="G677" s="202"/>
      <c r="H677" s="202"/>
      <c r="I677" s="202"/>
      <c r="J677" s="202">
        <v>2001</v>
      </c>
      <c r="K677" s="202"/>
      <c r="L677" s="202"/>
      <c r="M677" s="202" t="s">
        <v>1447</v>
      </c>
      <c r="N677" s="206">
        <v>40025</v>
      </c>
      <c r="O677" s="206">
        <v>40025</v>
      </c>
      <c r="P677" s="202" t="s">
        <v>2034</v>
      </c>
      <c r="Q677" s="203">
        <v>300</v>
      </c>
      <c r="R677" s="203">
        <v>14040</v>
      </c>
      <c r="S677" s="204">
        <v>6184.03</v>
      </c>
      <c r="T677" s="203">
        <v>14046</v>
      </c>
      <c r="U677" s="204">
        <v>6184.03</v>
      </c>
      <c r="V677" s="204">
        <f t="shared" si="21"/>
        <v>0</v>
      </c>
      <c r="W677" s="205">
        <v>0</v>
      </c>
      <c r="X677" s="203">
        <v>51260</v>
      </c>
      <c r="Y677" s="204">
        <v>0</v>
      </c>
      <c r="Z677" s="202" t="s">
        <v>97</v>
      </c>
      <c r="AA677" s="202"/>
      <c r="AB677" s="202" t="s">
        <v>2033</v>
      </c>
      <c r="AC677" s="202"/>
      <c r="AD677" s="202" t="s">
        <v>1152</v>
      </c>
      <c r="AE677" s="202" t="s">
        <v>1153</v>
      </c>
      <c r="AF677" s="203" t="s">
        <v>1154</v>
      </c>
      <c r="AG677" s="208">
        <v>41213</v>
      </c>
      <c r="AH677" s="203" t="s">
        <v>1155</v>
      </c>
      <c r="AI677" s="202">
        <v>0</v>
      </c>
      <c r="AJ677" s="202">
        <v>6184.03</v>
      </c>
    </row>
    <row r="678" spans="2:36">
      <c r="B678" s="203">
        <v>2180</v>
      </c>
      <c r="C678" s="207">
        <v>97423</v>
      </c>
      <c r="D678" s="203">
        <v>96423</v>
      </c>
      <c r="E678" s="202" t="s">
        <v>2032</v>
      </c>
      <c r="F678" s="203">
        <v>0</v>
      </c>
      <c r="G678" s="202"/>
      <c r="H678" s="202" t="s">
        <v>2024</v>
      </c>
      <c r="I678" s="202"/>
      <c r="J678" s="202">
        <v>2013</v>
      </c>
      <c r="K678" s="202" t="s">
        <v>1733</v>
      </c>
      <c r="L678" s="202" t="s">
        <v>1732</v>
      </c>
      <c r="M678" s="202" t="s">
        <v>1404</v>
      </c>
      <c r="N678" s="206">
        <v>41173</v>
      </c>
      <c r="O678" s="206">
        <v>41173</v>
      </c>
      <c r="P678" s="202" t="s">
        <v>2023</v>
      </c>
      <c r="Q678" s="203">
        <v>1000</v>
      </c>
      <c r="R678" s="203">
        <v>14040</v>
      </c>
      <c r="S678" s="204">
        <v>-62.5</v>
      </c>
      <c r="T678" s="203">
        <v>14046</v>
      </c>
      <c r="U678" s="204">
        <v>-57.81</v>
      </c>
      <c r="V678" s="204">
        <f t="shared" si="21"/>
        <v>-4.6899999999999977</v>
      </c>
      <c r="W678" s="205">
        <v>-6.25</v>
      </c>
      <c r="X678" s="203">
        <v>51260</v>
      </c>
      <c r="Y678" s="204">
        <v>-0.52</v>
      </c>
      <c r="Z678" s="202" t="s">
        <v>97</v>
      </c>
      <c r="AA678" s="202"/>
      <c r="AB678" s="202" t="s">
        <v>2031</v>
      </c>
      <c r="AC678" s="202"/>
      <c r="AD678" s="202" t="s">
        <v>1152</v>
      </c>
      <c r="AE678" s="202" t="s">
        <v>1153</v>
      </c>
      <c r="AF678" s="203" t="s">
        <v>1154</v>
      </c>
      <c r="AG678" s="202"/>
      <c r="AH678" s="203" t="s">
        <v>1155</v>
      </c>
      <c r="AI678" s="202">
        <v>0</v>
      </c>
      <c r="AJ678" s="202">
        <v>0</v>
      </c>
    </row>
    <row r="679" spans="2:36">
      <c r="B679" s="203">
        <v>2180</v>
      </c>
      <c r="C679" s="207">
        <v>97422</v>
      </c>
      <c r="D679" s="203">
        <v>96422</v>
      </c>
      <c r="E679" s="202" t="s">
        <v>2030</v>
      </c>
      <c r="F679" s="203">
        <v>0</v>
      </c>
      <c r="G679" s="202"/>
      <c r="H679" s="202" t="s">
        <v>2021</v>
      </c>
      <c r="I679" s="202"/>
      <c r="J679" s="202">
        <v>2013</v>
      </c>
      <c r="K679" s="202" t="s">
        <v>1733</v>
      </c>
      <c r="L679" s="202" t="s">
        <v>1042</v>
      </c>
      <c r="M679" s="202" t="s">
        <v>1404</v>
      </c>
      <c r="N679" s="206">
        <v>41173</v>
      </c>
      <c r="O679" s="206">
        <v>41173</v>
      </c>
      <c r="P679" s="202" t="s">
        <v>2020</v>
      </c>
      <c r="Q679" s="203">
        <v>1000</v>
      </c>
      <c r="R679" s="203">
        <v>14040</v>
      </c>
      <c r="S679" s="204">
        <v>-62.5</v>
      </c>
      <c r="T679" s="203">
        <v>14046</v>
      </c>
      <c r="U679" s="204">
        <v>-57.81</v>
      </c>
      <c r="V679" s="204">
        <f t="shared" si="21"/>
        <v>-4.6899999999999977</v>
      </c>
      <c r="W679" s="205">
        <v>-6.25</v>
      </c>
      <c r="X679" s="203">
        <v>51260</v>
      </c>
      <c r="Y679" s="204">
        <v>-0.52</v>
      </c>
      <c r="Z679" s="202" t="s">
        <v>97</v>
      </c>
      <c r="AA679" s="202"/>
      <c r="AB679" s="202" t="s">
        <v>2029</v>
      </c>
      <c r="AC679" s="202"/>
      <c r="AD679" s="202" t="s">
        <v>1152</v>
      </c>
      <c r="AE679" s="202" t="s">
        <v>1153</v>
      </c>
      <c r="AF679" s="203" t="s">
        <v>1154</v>
      </c>
      <c r="AG679" s="202"/>
      <c r="AH679" s="203" t="s">
        <v>1155</v>
      </c>
      <c r="AI679" s="202">
        <v>0</v>
      </c>
      <c r="AJ679" s="202">
        <v>0</v>
      </c>
    </row>
    <row r="680" spans="2:36">
      <c r="B680" s="203">
        <v>2180</v>
      </c>
      <c r="C680" s="207">
        <v>97272</v>
      </c>
      <c r="D680" s="203" t="s">
        <v>97</v>
      </c>
      <c r="E680" s="202" t="s">
        <v>2026</v>
      </c>
      <c r="F680" s="203">
        <v>648</v>
      </c>
      <c r="G680" s="202"/>
      <c r="H680" s="202"/>
      <c r="I680" s="202"/>
      <c r="J680" s="202">
        <v>0</v>
      </c>
      <c r="K680" s="202" t="s">
        <v>2028</v>
      </c>
      <c r="L680" s="202"/>
      <c r="M680" s="202"/>
      <c r="N680" s="206">
        <v>41084</v>
      </c>
      <c r="O680" s="206">
        <v>41084</v>
      </c>
      <c r="P680" s="202" t="s">
        <v>1985</v>
      </c>
      <c r="Q680" s="203">
        <v>700</v>
      </c>
      <c r="R680" s="203">
        <v>14050</v>
      </c>
      <c r="S680" s="204">
        <v>29795.56</v>
      </c>
      <c r="T680" s="203">
        <v>14056</v>
      </c>
      <c r="U680" s="204">
        <v>29795.56</v>
      </c>
      <c r="V680" s="204">
        <f t="shared" si="21"/>
        <v>0</v>
      </c>
      <c r="W680" s="205">
        <v>0</v>
      </c>
      <c r="X680" s="203">
        <v>54260</v>
      </c>
      <c r="Y680" s="204">
        <v>0</v>
      </c>
      <c r="Z680" s="202" t="s">
        <v>97</v>
      </c>
      <c r="AA680" s="202"/>
      <c r="AB680" s="202" t="s">
        <v>2027</v>
      </c>
      <c r="AC680" s="202"/>
      <c r="AD680" s="202" t="s">
        <v>1152</v>
      </c>
      <c r="AE680" s="202" t="s">
        <v>1153</v>
      </c>
      <c r="AF680" s="203" t="s">
        <v>1154</v>
      </c>
      <c r="AG680" s="202"/>
      <c r="AH680" s="203" t="s">
        <v>1155</v>
      </c>
      <c r="AI680" s="202">
        <v>0</v>
      </c>
      <c r="AJ680" s="202">
        <v>0</v>
      </c>
    </row>
    <row r="681" spans="2:36">
      <c r="B681" s="203">
        <v>2180</v>
      </c>
      <c r="C681" s="207">
        <v>97271</v>
      </c>
      <c r="D681" s="203" t="s">
        <v>97</v>
      </c>
      <c r="E681" s="202" t="s">
        <v>2026</v>
      </c>
      <c r="F681" s="203">
        <v>648</v>
      </c>
      <c r="G681" s="202"/>
      <c r="H681" s="202"/>
      <c r="I681" s="202"/>
      <c r="J681" s="202">
        <v>0</v>
      </c>
      <c r="K681" s="202" t="s">
        <v>1658</v>
      </c>
      <c r="L681" s="202"/>
      <c r="M681" s="202"/>
      <c r="N681" s="206">
        <v>41084</v>
      </c>
      <c r="O681" s="206">
        <v>41084</v>
      </c>
      <c r="P681" s="202" t="s">
        <v>1985</v>
      </c>
      <c r="Q681" s="203">
        <v>700</v>
      </c>
      <c r="R681" s="203">
        <v>14050</v>
      </c>
      <c r="S681" s="204">
        <v>29795.56</v>
      </c>
      <c r="T681" s="203">
        <v>14056</v>
      </c>
      <c r="U681" s="204">
        <v>29795.56</v>
      </c>
      <c r="V681" s="204">
        <f t="shared" si="21"/>
        <v>0</v>
      </c>
      <c r="W681" s="205">
        <v>0</v>
      </c>
      <c r="X681" s="203">
        <v>54260</v>
      </c>
      <c r="Y681" s="204">
        <v>0</v>
      </c>
      <c r="Z681" s="202" t="s">
        <v>97</v>
      </c>
      <c r="AA681" s="202"/>
      <c r="AB681" s="202" t="s">
        <v>2025</v>
      </c>
      <c r="AC681" s="202"/>
      <c r="AD681" s="202" t="s">
        <v>1152</v>
      </c>
      <c r="AE681" s="202" t="s">
        <v>1153</v>
      </c>
      <c r="AF681" s="203" t="s">
        <v>1154</v>
      </c>
      <c r="AG681" s="202"/>
      <c r="AH681" s="203" t="s">
        <v>1155</v>
      </c>
      <c r="AI681" s="202">
        <v>0</v>
      </c>
      <c r="AJ681" s="202">
        <v>0</v>
      </c>
    </row>
    <row r="682" spans="2:36">
      <c r="B682" s="203">
        <v>2180</v>
      </c>
      <c r="C682" s="207">
        <v>96423</v>
      </c>
      <c r="D682" s="203" t="s">
        <v>97</v>
      </c>
      <c r="E682" s="202" t="s">
        <v>2022</v>
      </c>
      <c r="F682" s="203">
        <v>0</v>
      </c>
      <c r="G682" s="202"/>
      <c r="H682" s="202" t="s">
        <v>2024</v>
      </c>
      <c r="I682" s="202"/>
      <c r="J682" s="202">
        <v>2013</v>
      </c>
      <c r="K682" s="202" t="s">
        <v>1733</v>
      </c>
      <c r="L682" s="202" t="s">
        <v>1732</v>
      </c>
      <c r="M682" s="202" t="s">
        <v>1404</v>
      </c>
      <c r="N682" s="206">
        <v>41173</v>
      </c>
      <c r="O682" s="206">
        <v>41173</v>
      </c>
      <c r="P682" s="202" t="s">
        <v>2023</v>
      </c>
      <c r="Q682" s="203">
        <v>1000</v>
      </c>
      <c r="R682" s="203">
        <v>14040</v>
      </c>
      <c r="S682" s="204">
        <v>314011.90000000002</v>
      </c>
      <c r="T682" s="203">
        <v>14046</v>
      </c>
      <c r="U682" s="204">
        <v>290461.01</v>
      </c>
      <c r="V682" s="204">
        <f t="shared" si="21"/>
        <v>23550.890000000014</v>
      </c>
      <c r="W682" s="205">
        <v>31401.19</v>
      </c>
      <c r="X682" s="203">
        <v>51260</v>
      </c>
      <c r="Y682" s="204">
        <v>2616.77</v>
      </c>
      <c r="Z682" s="202" t="s">
        <v>97</v>
      </c>
      <c r="AA682" s="202"/>
      <c r="AB682" s="202">
        <v>4101940</v>
      </c>
      <c r="AC682" s="202">
        <v>3634</v>
      </c>
      <c r="AD682" s="202" t="s">
        <v>1152</v>
      </c>
      <c r="AE682" s="202" t="s">
        <v>1153</v>
      </c>
      <c r="AF682" s="203" t="s">
        <v>1154</v>
      </c>
      <c r="AG682" s="202"/>
      <c r="AH682" s="203" t="s">
        <v>1155</v>
      </c>
      <c r="AI682" s="202">
        <v>0</v>
      </c>
      <c r="AJ682" s="202">
        <v>0</v>
      </c>
    </row>
    <row r="683" spans="2:36">
      <c r="B683" s="203">
        <v>2180</v>
      </c>
      <c r="C683" s="207">
        <v>96422</v>
      </c>
      <c r="D683" s="203" t="s">
        <v>97</v>
      </c>
      <c r="E683" s="202" t="s">
        <v>2022</v>
      </c>
      <c r="F683" s="203">
        <v>0</v>
      </c>
      <c r="G683" s="202"/>
      <c r="H683" s="202" t="s">
        <v>2021</v>
      </c>
      <c r="I683" s="202"/>
      <c r="J683" s="202">
        <v>2013</v>
      </c>
      <c r="K683" s="202" t="s">
        <v>1733</v>
      </c>
      <c r="L683" s="202" t="s">
        <v>1732</v>
      </c>
      <c r="M683" s="202" t="s">
        <v>1404</v>
      </c>
      <c r="N683" s="206">
        <v>41173</v>
      </c>
      <c r="O683" s="206">
        <v>41173</v>
      </c>
      <c r="P683" s="202" t="s">
        <v>2020</v>
      </c>
      <c r="Q683" s="203">
        <v>1000</v>
      </c>
      <c r="R683" s="203">
        <v>14040</v>
      </c>
      <c r="S683" s="204">
        <v>314011.90000000002</v>
      </c>
      <c r="T683" s="203">
        <v>14046</v>
      </c>
      <c r="U683" s="204">
        <v>290461.01</v>
      </c>
      <c r="V683" s="204">
        <f t="shared" si="21"/>
        <v>23550.890000000014</v>
      </c>
      <c r="W683" s="205">
        <v>31401.19</v>
      </c>
      <c r="X683" s="203">
        <v>51260</v>
      </c>
      <c r="Y683" s="204">
        <v>2616.77</v>
      </c>
      <c r="Z683" s="202" t="s">
        <v>97</v>
      </c>
      <c r="AA683" s="202"/>
      <c r="AB683" s="202">
        <v>4101941</v>
      </c>
      <c r="AC683" s="202">
        <v>3633</v>
      </c>
      <c r="AD683" s="202" t="s">
        <v>1152</v>
      </c>
      <c r="AE683" s="202" t="s">
        <v>1153</v>
      </c>
      <c r="AF683" s="203" t="s">
        <v>1154</v>
      </c>
      <c r="AG683" s="202"/>
      <c r="AH683" s="203" t="s">
        <v>1155</v>
      </c>
      <c r="AI683" s="202">
        <v>0</v>
      </c>
      <c r="AJ683" s="202">
        <v>0</v>
      </c>
    </row>
    <row r="684" spans="2:36">
      <c r="B684" s="203">
        <v>2180</v>
      </c>
      <c r="C684" s="207">
        <v>96396</v>
      </c>
      <c r="D684" s="203" t="s">
        <v>97</v>
      </c>
      <c r="E684" s="202" t="s">
        <v>520</v>
      </c>
      <c r="F684" s="203">
        <v>18</v>
      </c>
      <c r="G684" s="202"/>
      <c r="H684" s="202"/>
      <c r="I684" s="202"/>
      <c r="J684" s="202">
        <v>0</v>
      </c>
      <c r="K684" s="202" t="s">
        <v>2010</v>
      </c>
      <c r="L684" s="202"/>
      <c r="M684" s="202" t="s">
        <v>1456</v>
      </c>
      <c r="N684" s="206">
        <v>41103</v>
      </c>
      <c r="O684" s="206">
        <v>41103</v>
      </c>
      <c r="P684" s="202" t="s">
        <v>2009</v>
      </c>
      <c r="Q684" s="203">
        <v>1200</v>
      </c>
      <c r="R684" s="203">
        <v>14050</v>
      </c>
      <c r="S684" s="204">
        <v>18055.38</v>
      </c>
      <c r="T684" s="203">
        <v>14056</v>
      </c>
      <c r="U684" s="204">
        <v>14293.89</v>
      </c>
      <c r="V684" s="204">
        <f t="shared" si="21"/>
        <v>3761.4900000000016</v>
      </c>
      <c r="W684" s="205">
        <v>1504.62</v>
      </c>
      <c r="X684" s="203">
        <v>54260</v>
      </c>
      <c r="Y684" s="204">
        <v>125.38</v>
      </c>
      <c r="Z684" s="202" t="s">
        <v>97</v>
      </c>
      <c r="AA684" s="202"/>
      <c r="AB684" s="202">
        <v>37204958</v>
      </c>
      <c r="AC684" s="202"/>
      <c r="AD684" s="202" t="s">
        <v>1152</v>
      </c>
      <c r="AE684" s="202" t="s">
        <v>1153</v>
      </c>
      <c r="AF684" s="203" t="s">
        <v>1154</v>
      </c>
      <c r="AG684" s="202"/>
      <c r="AH684" s="203" t="s">
        <v>1155</v>
      </c>
      <c r="AI684" s="202">
        <v>0</v>
      </c>
      <c r="AJ684" s="202">
        <v>0</v>
      </c>
    </row>
    <row r="685" spans="2:36">
      <c r="B685" s="203">
        <v>2180</v>
      </c>
      <c r="C685" s="207">
        <v>96395</v>
      </c>
      <c r="D685" s="203" t="s">
        <v>97</v>
      </c>
      <c r="E685" s="202" t="s">
        <v>520</v>
      </c>
      <c r="F685" s="203">
        <v>8</v>
      </c>
      <c r="G685" s="202"/>
      <c r="H685" s="202"/>
      <c r="I685" s="202"/>
      <c r="J685" s="202">
        <v>0</v>
      </c>
      <c r="K685" s="202" t="s">
        <v>2010</v>
      </c>
      <c r="L685" s="202"/>
      <c r="M685" s="202" t="s">
        <v>1456</v>
      </c>
      <c r="N685" s="206">
        <v>41106</v>
      </c>
      <c r="O685" s="206">
        <v>41106</v>
      </c>
      <c r="P685" s="202" t="s">
        <v>2009</v>
      </c>
      <c r="Q685" s="203">
        <v>1200</v>
      </c>
      <c r="R685" s="203">
        <v>14050</v>
      </c>
      <c r="S685" s="204">
        <v>8067.16</v>
      </c>
      <c r="T685" s="203">
        <v>14056</v>
      </c>
      <c r="U685" s="204">
        <v>6330.45</v>
      </c>
      <c r="V685" s="204">
        <f t="shared" si="21"/>
        <v>1736.71</v>
      </c>
      <c r="W685" s="205">
        <v>672.26</v>
      </c>
      <c r="X685" s="203">
        <v>54260</v>
      </c>
      <c r="Y685" s="204">
        <v>56.02</v>
      </c>
      <c r="Z685" s="202" t="s">
        <v>97</v>
      </c>
      <c r="AA685" s="202"/>
      <c r="AB685" s="202">
        <v>37204976</v>
      </c>
      <c r="AC685" s="202"/>
      <c r="AD685" s="202" t="s">
        <v>1152</v>
      </c>
      <c r="AE685" s="202" t="s">
        <v>1153</v>
      </c>
      <c r="AF685" s="203" t="s">
        <v>1154</v>
      </c>
      <c r="AG685" s="202"/>
      <c r="AH685" s="203" t="s">
        <v>1155</v>
      </c>
      <c r="AI685" s="202">
        <v>0</v>
      </c>
      <c r="AJ685" s="202">
        <v>0</v>
      </c>
    </row>
    <row r="686" spans="2:36">
      <c r="B686" s="203">
        <v>2180</v>
      </c>
      <c r="C686" s="207">
        <v>96314</v>
      </c>
      <c r="D686" s="203" t="s">
        <v>97</v>
      </c>
      <c r="E686" s="202" t="s">
        <v>2018</v>
      </c>
      <c r="F686" s="203">
        <v>486</v>
      </c>
      <c r="G686" s="202"/>
      <c r="H686" s="202"/>
      <c r="I686" s="202"/>
      <c r="J686" s="202">
        <v>0</v>
      </c>
      <c r="K686" s="202" t="s">
        <v>1658</v>
      </c>
      <c r="L686" s="202"/>
      <c r="M686" s="202"/>
      <c r="N686" s="206">
        <v>41142</v>
      </c>
      <c r="O686" s="206">
        <v>41142</v>
      </c>
      <c r="P686" s="202" t="s">
        <v>1989</v>
      </c>
      <c r="Q686" s="203">
        <v>700</v>
      </c>
      <c r="R686" s="203">
        <v>14050</v>
      </c>
      <c r="S686" s="204">
        <v>26015.29</v>
      </c>
      <c r="T686" s="203">
        <v>14056</v>
      </c>
      <c r="U686" s="204">
        <v>26015.29</v>
      </c>
      <c r="V686" s="204">
        <f t="shared" si="21"/>
        <v>0</v>
      </c>
      <c r="W686" s="205">
        <v>0</v>
      </c>
      <c r="X686" s="203">
        <v>54260</v>
      </c>
      <c r="Y686" s="204">
        <v>0</v>
      </c>
      <c r="Z686" s="202" t="s">
        <v>97</v>
      </c>
      <c r="AA686" s="202"/>
      <c r="AB686" s="202" t="s">
        <v>2019</v>
      </c>
      <c r="AC686" s="202"/>
      <c r="AD686" s="202" t="s">
        <v>1152</v>
      </c>
      <c r="AE686" s="202" t="s">
        <v>1153</v>
      </c>
      <c r="AF686" s="203" t="s">
        <v>1154</v>
      </c>
      <c r="AG686" s="202"/>
      <c r="AH686" s="203" t="s">
        <v>1155</v>
      </c>
      <c r="AI686" s="202">
        <v>0</v>
      </c>
      <c r="AJ686" s="202">
        <v>0</v>
      </c>
    </row>
    <row r="687" spans="2:36">
      <c r="B687" s="203">
        <v>2180</v>
      </c>
      <c r="C687" s="207">
        <v>96313</v>
      </c>
      <c r="D687" s="203" t="s">
        <v>97</v>
      </c>
      <c r="E687" s="202" t="s">
        <v>2018</v>
      </c>
      <c r="F687" s="203">
        <v>486</v>
      </c>
      <c r="G687" s="202"/>
      <c r="H687" s="202"/>
      <c r="I687" s="202"/>
      <c r="J687" s="202">
        <v>0</v>
      </c>
      <c r="K687" s="202" t="s">
        <v>1658</v>
      </c>
      <c r="L687" s="202"/>
      <c r="M687" s="202"/>
      <c r="N687" s="206">
        <v>41142</v>
      </c>
      <c r="O687" s="206">
        <v>41142</v>
      </c>
      <c r="P687" s="202" t="s">
        <v>1989</v>
      </c>
      <c r="Q687" s="203">
        <v>700</v>
      </c>
      <c r="R687" s="203">
        <v>14050</v>
      </c>
      <c r="S687" s="204">
        <v>26015.29</v>
      </c>
      <c r="T687" s="203">
        <v>14056</v>
      </c>
      <c r="U687" s="204">
        <v>26015.29</v>
      </c>
      <c r="V687" s="204">
        <f t="shared" si="21"/>
        <v>0</v>
      </c>
      <c r="W687" s="205">
        <v>0</v>
      </c>
      <c r="X687" s="203">
        <v>54260</v>
      </c>
      <c r="Y687" s="204">
        <v>0</v>
      </c>
      <c r="Z687" s="202" t="s">
        <v>97</v>
      </c>
      <c r="AA687" s="202"/>
      <c r="AB687" s="202" t="s">
        <v>2017</v>
      </c>
      <c r="AC687" s="202"/>
      <c r="AD687" s="202" t="s">
        <v>1152</v>
      </c>
      <c r="AE687" s="202" t="s">
        <v>1153</v>
      </c>
      <c r="AF687" s="203" t="s">
        <v>1154</v>
      </c>
      <c r="AG687" s="202"/>
      <c r="AH687" s="203" t="s">
        <v>1155</v>
      </c>
      <c r="AI687" s="202">
        <v>0</v>
      </c>
      <c r="AJ687" s="202">
        <v>0</v>
      </c>
    </row>
    <row r="688" spans="2:36">
      <c r="B688" s="203">
        <v>2180</v>
      </c>
      <c r="C688" s="207">
        <v>95921</v>
      </c>
      <c r="D688" s="203" t="s">
        <v>97</v>
      </c>
      <c r="E688" s="202" t="s">
        <v>2016</v>
      </c>
      <c r="F688" s="203">
        <v>27</v>
      </c>
      <c r="G688" s="202"/>
      <c r="H688" s="202"/>
      <c r="I688" s="202"/>
      <c r="J688" s="202">
        <v>0</v>
      </c>
      <c r="K688" s="202" t="s">
        <v>2010</v>
      </c>
      <c r="L688" s="202"/>
      <c r="M688" s="202" t="s">
        <v>1421</v>
      </c>
      <c r="N688" s="206">
        <v>41128</v>
      </c>
      <c r="O688" s="206">
        <v>41128</v>
      </c>
      <c r="P688" s="202" t="s">
        <v>2014</v>
      </c>
      <c r="Q688" s="203">
        <v>1200</v>
      </c>
      <c r="R688" s="203">
        <v>14050</v>
      </c>
      <c r="S688" s="204">
        <v>13614.14</v>
      </c>
      <c r="T688" s="203">
        <v>14056</v>
      </c>
      <c r="U688" s="204">
        <v>10683.3</v>
      </c>
      <c r="V688" s="204">
        <f t="shared" si="21"/>
        <v>2930.84</v>
      </c>
      <c r="W688" s="205">
        <v>1134.51</v>
      </c>
      <c r="X688" s="203">
        <v>54260</v>
      </c>
      <c r="Y688" s="204">
        <v>94.54</v>
      </c>
      <c r="Z688" s="202" t="s">
        <v>97</v>
      </c>
      <c r="AA688" s="202"/>
      <c r="AB688" s="202">
        <v>37205096</v>
      </c>
      <c r="AC688" s="202"/>
      <c r="AD688" s="202" t="s">
        <v>1152</v>
      </c>
      <c r="AE688" s="202" t="s">
        <v>1153</v>
      </c>
      <c r="AF688" s="203" t="s">
        <v>1154</v>
      </c>
      <c r="AG688" s="202"/>
      <c r="AH688" s="203" t="s">
        <v>1155</v>
      </c>
      <c r="AI688" s="202">
        <v>0</v>
      </c>
      <c r="AJ688" s="202">
        <v>0</v>
      </c>
    </row>
    <row r="689" spans="2:36">
      <c r="B689" s="203">
        <v>2180</v>
      </c>
      <c r="C689" s="207">
        <v>95704</v>
      </c>
      <c r="D689" s="203" t="s">
        <v>97</v>
      </c>
      <c r="E689" s="202" t="s">
        <v>2015</v>
      </c>
      <c r="F689" s="203">
        <v>15</v>
      </c>
      <c r="G689" s="202"/>
      <c r="H689" s="202"/>
      <c r="I689" s="202"/>
      <c r="J689" s="202">
        <v>0</v>
      </c>
      <c r="K689" s="202" t="s">
        <v>2010</v>
      </c>
      <c r="L689" s="202"/>
      <c r="M689" s="202" t="s">
        <v>1421</v>
      </c>
      <c r="N689" s="206">
        <v>41128</v>
      </c>
      <c r="O689" s="206">
        <v>41128</v>
      </c>
      <c r="P689" s="202" t="s">
        <v>2014</v>
      </c>
      <c r="Q689" s="203">
        <v>1200</v>
      </c>
      <c r="R689" s="203">
        <v>14050</v>
      </c>
      <c r="S689" s="204">
        <v>7641.6</v>
      </c>
      <c r="T689" s="203">
        <v>14056</v>
      </c>
      <c r="U689" s="204">
        <v>5996.53</v>
      </c>
      <c r="V689" s="204">
        <f t="shared" si="21"/>
        <v>1645.0700000000006</v>
      </c>
      <c r="W689" s="205">
        <v>636.79999999999995</v>
      </c>
      <c r="X689" s="203">
        <v>54260</v>
      </c>
      <c r="Y689" s="204">
        <v>53.07</v>
      </c>
      <c r="Z689" s="202" t="s">
        <v>97</v>
      </c>
      <c r="AA689" s="202"/>
      <c r="AB689" s="202">
        <v>37205080</v>
      </c>
      <c r="AC689" s="202"/>
      <c r="AD689" s="202" t="s">
        <v>1152</v>
      </c>
      <c r="AE689" s="202" t="s">
        <v>1153</v>
      </c>
      <c r="AF689" s="203" t="s">
        <v>1154</v>
      </c>
      <c r="AG689" s="202"/>
      <c r="AH689" s="203" t="s">
        <v>1155</v>
      </c>
      <c r="AI689" s="202">
        <v>0</v>
      </c>
      <c r="AJ689" s="202">
        <v>0</v>
      </c>
    </row>
    <row r="690" spans="2:36">
      <c r="B690" s="203">
        <v>2180</v>
      </c>
      <c r="C690" s="207">
        <v>95598</v>
      </c>
      <c r="D690" s="203" t="s">
        <v>97</v>
      </c>
      <c r="E690" s="202" t="s">
        <v>2013</v>
      </c>
      <c r="F690" s="203">
        <v>0</v>
      </c>
      <c r="G690" s="202"/>
      <c r="H690" s="202"/>
      <c r="I690" s="202"/>
      <c r="J690" s="202">
        <v>0</v>
      </c>
      <c r="K690" s="202" t="s">
        <v>2012</v>
      </c>
      <c r="L690" s="202"/>
      <c r="M690" s="202"/>
      <c r="N690" s="206">
        <v>41123</v>
      </c>
      <c r="O690" s="206">
        <v>41123</v>
      </c>
      <c r="P690" s="202" t="s">
        <v>2011</v>
      </c>
      <c r="Q690" s="203">
        <v>500</v>
      </c>
      <c r="R690" s="203">
        <v>14110</v>
      </c>
      <c r="S690" s="204">
        <v>1078.0999999999999</v>
      </c>
      <c r="T690" s="203">
        <v>14116</v>
      </c>
      <c r="U690" s="204">
        <v>1078.0999999999999</v>
      </c>
      <c r="V690" s="204">
        <f t="shared" si="21"/>
        <v>0</v>
      </c>
      <c r="W690" s="205">
        <v>0</v>
      </c>
      <c r="X690" s="203">
        <v>70260</v>
      </c>
      <c r="Y690" s="204">
        <v>0</v>
      </c>
      <c r="Z690" s="202" t="s">
        <v>97</v>
      </c>
      <c r="AA690" s="202"/>
      <c r="AB690" s="202"/>
      <c r="AC690" s="202"/>
      <c r="AD690" s="202" t="s">
        <v>1152</v>
      </c>
      <c r="AE690" s="202" t="s">
        <v>1153</v>
      </c>
      <c r="AF690" s="203" t="s">
        <v>1154</v>
      </c>
      <c r="AG690" s="202"/>
      <c r="AH690" s="203" t="s">
        <v>1155</v>
      </c>
      <c r="AI690" s="202">
        <v>0</v>
      </c>
      <c r="AJ690" s="202">
        <v>0</v>
      </c>
    </row>
    <row r="691" spans="2:36">
      <c r="B691" s="203">
        <v>2180</v>
      </c>
      <c r="C691" s="207">
        <v>95356</v>
      </c>
      <c r="D691" s="203" t="s">
        <v>97</v>
      </c>
      <c r="E691" s="202" t="s">
        <v>521</v>
      </c>
      <c r="F691" s="203">
        <v>9</v>
      </c>
      <c r="G691" s="202"/>
      <c r="H691" s="202"/>
      <c r="I691" s="202"/>
      <c r="J691" s="202">
        <v>0</v>
      </c>
      <c r="K691" s="202" t="s">
        <v>2010</v>
      </c>
      <c r="L691" s="202"/>
      <c r="M691" s="202"/>
      <c r="N691" s="206">
        <v>41103</v>
      </c>
      <c r="O691" s="206">
        <v>41103</v>
      </c>
      <c r="P691" s="202" t="s">
        <v>2009</v>
      </c>
      <c r="Q691" s="203">
        <v>1200</v>
      </c>
      <c r="R691" s="203">
        <v>14050</v>
      </c>
      <c r="S691" s="204">
        <v>9027.69</v>
      </c>
      <c r="T691" s="203">
        <v>14056</v>
      </c>
      <c r="U691" s="204">
        <v>7146.94</v>
      </c>
      <c r="V691" s="204">
        <f t="shared" si="21"/>
        <v>1880.7500000000009</v>
      </c>
      <c r="W691" s="205">
        <v>752.31</v>
      </c>
      <c r="X691" s="203">
        <v>54260</v>
      </c>
      <c r="Y691" s="204">
        <v>62.69</v>
      </c>
      <c r="Z691" s="202" t="s">
        <v>97</v>
      </c>
      <c r="AA691" s="202"/>
      <c r="AB691" s="202">
        <v>37204947</v>
      </c>
      <c r="AC691" s="202"/>
      <c r="AD691" s="202" t="s">
        <v>1152</v>
      </c>
      <c r="AE691" s="202" t="s">
        <v>1153</v>
      </c>
      <c r="AF691" s="203" t="s">
        <v>1154</v>
      </c>
      <c r="AG691" s="202"/>
      <c r="AH691" s="203" t="s">
        <v>1155</v>
      </c>
      <c r="AI691" s="202">
        <v>0</v>
      </c>
      <c r="AJ691" s="202">
        <v>0</v>
      </c>
    </row>
    <row r="692" spans="2:36">
      <c r="B692" s="203">
        <v>2180</v>
      </c>
      <c r="C692" s="207">
        <v>95320</v>
      </c>
      <c r="D692" s="203">
        <v>94430</v>
      </c>
      <c r="E692" s="202" t="s">
        <v>2008</v>
      </c>
      <c r="F692" s="203">
        <v>0</v>
      </c>
      <c r="G692" s="202"/>
      <c r="H692" s="202" t="s">
        <v>2004</v>
      </c>
      <c r="I692" s="202"/>
      <c r="J692" s="202">
        <v>2011</v>
      </c>
      <c r="K692" s="202" t="s">
        <v>2003</v>
      </c>
      <c r="L692" s="202" t="s">
        <v>1395</v>
      </c>
      <c r="M692" s="202" t="s">
        <v>1447</v>
      </c>
      <c r="N692" s="206">
        <v>41014</v>
      </c>
      <c r="O692" s="206">
        <v>41014</v>
      </c>
      <c r="P692" s="202" t="s">
        <v>1998</v>
      </c>
      <c r="Q692" s="203">
        <v>900</v>
      </c>
      <c r="R692" s="203">
        <v>14040</v>
      </c>
      <c r="S692" s="204">
        <v>-47.17</v>
      </c>
      <c r="T692" s="203">
        <v>14046</v>
      </c>
      <c r="U692" s="204">
        <v>-47.17</v>
      </c>
      <c r="V692" s="204">
        <f t="shared" si="21"/>
        <v>0</v>
      </c>
      <c r="W692" s="205">
        <v>-1.32</v>
      </c>
      <c r="X692" s="203">
        <v>51260</v>
      </c>
      <c r="Y692" s="204">
        <v>0</v>
      </c>
      <c r="Z692" s="202" t="s">
        <v>97</v>
      </c>
      <c r="AA692" s="202"/>
      <c r="AB692" s="202" t="s">
        <v>2007</v>
      </c>
      <c r="AC692" s="202"/>
      <c r="AD692" s="202" t="s">
        <v>1152</v>
      </c>
      <c r="AE692" s="202" t="s">
        <v>1153</v>
      </c>
      <c r="AF692" s="203" t="s">
        <v>1154</v>
      </c>
      <c r="AG692" s="202"/>
      <c r="AH692" s="203" t="s">
        <v>1155</v>
      </c>
      <c r="AI692" s="202">
        <v>0</v>
      </c>
      <c r="AJ692" s="202">
        <v>0</v>
      </c>
    </row>
    <row r="693" spans="2:36">
      <c r="B693" s="203">
        <v>2180</v>
      </c>
      <c r="C693" s="207">
        <v>95093</v>
      </c>
      <c r="D693" s="203" t="s">
        <v>97</v>
      </c>
      <c r="E693" s="202" t="s">
        <v>916</v>
      </c>
      <c r="F693" s="203">
        <v>0</v>
      </c>
      <c r="G693" s="202"/>
      <c r="H693" s="202"/>
      <c r="I693" s="202"/>
      <c r="J693" s="202">
        <v>0</v>
      </c>
      <c r="K693" s="202" t="s">
        <v>1429</v>
      </c>
      <c r="L693" s="202"/>
      <c r="M693" s="202"/>
      <c r="N693" s="206">
        <v>41024</v>
      </c>
      <c r="O693" s="206">
        <v>41024</v>
      </c>
      <c r="P693" s="202" t="s">
        <v>1979</v>
      </c>
      <c r="Q693" s="203">
        <v>300</v>
      </c>
      <c r="R693" s="203">
        <v>14110</v>
      </c>
      <c r="S693" s="204">
        <v>522.95000000000005</v>
      </c>
      <c r="T693" s="203">
        <v>14116</v>
      </c>
      <c r="U693" s="204">
        <v>522.95000000000005</v>
      </c>
      <c r="V693" s="204">
        <f t="shared" si="21"/>
        <v>0</v>
      </c>
      <c r="W693" s="205">
        <v>0</v>
      </c>
      <c r="X693" s="203">
        <v>70260</v>
      </c>
      <c r="Y693" s="204">
        <v>0</v>
      </c>
      <c r="Z693" s="202" t="s">
        <v>97</v>
      </c>
      <c r="AA693" s="202"/>
      <c r="AB693" s="202" t="s">
        <v>2006</v>
      </c>
      <c r="AC693" s="202"/>
      <c r="AD693" s="202" t="s">
        <v>1152</v>
      </c>
      <c r="AE693" s="202" t="s">
        <v>1153</v>
      </c>
      <c r="AF693" s="203" t="s">
        <v>1154</v>
      </c>
      <c r="AG693" s="208">
        <v>41090</v>
      </c>
      <c r="AH693" s="203" t="s">
        <v>1155</v>
      </c>
      <c r="AI693" s="202">
        <v>0</v>
      </c>
      <c r="AJ693" s="202">
        <v>29.05</v>
      </c>
    </row>
    <row r="694" spans="2:36">
      <c r="B694" s="203">
        <v>2180</v>
      </c>
      <c r="C694" s="207">
        <v>95092</v>
      </c>
      <c r="D694" s="203" t="s">
        <v>97</v>
      </c>
      <c r="E694" s="202" t="s">
        <v>916</v>
      </c>
      <c r="F694" s="203">
        <v>0</v>
      </c>
      <c r="G694" s="202"/>
      <c r="H694" s="202"/>
      <c r="I694" s="202"/>
      <c r="J694" s="202">
        <v>0</v>
      </c>
      <c r="K694" s="202" t="s">
        <v>1429</v>
      </c>
      <c r="L694" s="202"/>
      <c r="M694" s="202"/>
      <c r="N694" s="206">
        <v>41024</v>
      </c>
      <c r="O694" s="206">
        <v>41024</v>
      </c>
      <c r="P694" s="202" t="s">
        <v>1979</v>
      </c>
      <c r="Q694" s="203">
        <v>300</v>
      </c>
      <c r="R694" s="203">
        <v>14110</v>
      </c>
      <c r="S694" s="204">
        <v>1045.9000000000001</v>
      </c>
      <c r="T694" s="203">
        <v>14116</v>
      </c>
      <c r="U694" s="204">
        <v>1045.9000000000001</v>
      </c>
      <c r="V694" s="204">
        <f t="shared" si="21"/>
        <v>0</v>
      </c>
      <c r="W694" s="205">
        <v>0</v>
      </c>
      <c r="X694" s="203">
        <v>70260</v>
      </c>
      <c r="Y694" s="204">
        <v>0</v>
      </c>
      <c r="Z694" s="202" t="s">
        <v>97</v>
      </c>
      <c r="AA694" s="202"/>
      <c r="AB694" s="202" t="s">
        <v>2006</v>
      </c>
      <c r="AC694" s="202"/>
      <c r="AD694" s="202" t="s">
        <v>1152</v>
      </c>
      <c r="AE694" s="202" t="s">
        <v>1153</v>
      </c>
      <c r="AF694" s="203" t="s">
        <v>1154</v>
      </c>
      <c r="AG694" s="208">
        <v>41090</v>
      </c>
      <c r="AH694" s="203" t="s">
        <v>1155</v>
      </c>
      <c r="AI694" s="202">
        <v>0</v>
      </c>
      <c r="AJ694" s="202">
        <v>58.11</v>
      </c>
    </row>
    <row r="695" spans="2:36">
      <c r="B695" s="203">
        <v>2180</v>
      </c>
      <c r="C695" s="207">
        <v>94768</v>
      </c>
      <c r="D695" s="203">
        <v>94430</v>
      </c>
      <c r="E695" s="202" t="s">
        <v>2005</v>
      </c>
      <c r="F695" s="203">
        <v>0</v>
      </c>
      <c r="G695" s="202"/>
      <c r="H695" s="202" t="s">
        <v>2004</v>
      </c>
      <c r="I695" s="202"/>
      <c r="J695" s="202">
        <v>2011</v>
      </c>
      <c r="K695" s="202" t="s">
        <v>2003</v>
      </c>
      <c r="L695" s="202" t="s">
        <v>1395</v>
      </c>
      <c r="M695" s="202" t="s">
        <v>1999</v>
      </c>
      <c r="N695" s="206">
        <v>41014</v>
      </c>
      <c r="O695" s="206">
        <v>41014</v>
      </c>
      <c r="P695" s="202" t="s">
        <v>1998</v>
      </c>
      <c r="Q695" s="203">
        <v>900</v>
      </c>
      <c r="R695" s="203">
        <v>14040</v>
      </c>
      <c r="S695" s="204">
        <v>24205.87</v>
      </c>
      <c r="T695" s="203">
        <v>14046</v>
      </c>
      <c r="U695" s="204">
        <v>24205.87</v>
      </c>
      <c r="V695" s="204">
        <f t="shared" si="21"/>
        <v>0</v>
      </c>
      <c r="W695" s="205">
        <v>672.39</v>
      </c>
      <c r="X695" s="203">
        <v>51260</v>
      </c>
      <c r="Y695" s="204">
        <v>0</v>
      </c>
      <c r="Z695" s="202" t="s">
        <v>97</v>
      </c>
      <c r="AA695" s="202"/>
      <c r="AB695" s="210">
        <v>2771767</v>
      </c>
      <c r="AC695" s="202"/>
      <c r="AD695" s="202" t="s">
        <v>1152</v>
      </c>
      <c r="AE695" s="202" t="s">
        <v>1153</v>
      </c>
      <c r="AF695" s="203" t="s">
        <v>1154</v>
      </c>
      <c r="AG695" s="202"/>
      <c r="AH695" s="203" t="s">
        <v>1155</v>
      </c>
      <c r="AI695" s="202">
        <v>0</v>
      </c>
      <c r="AJ695" s="202">
        <v>0</v>
      </c>
    </row>
    <row r="696" spans="2:36">
      <c r="B696" s="203">
        <v>2180</v>
      </c>
      <c r="C696" s="207">
        <v>94430</v>
      </c>
      <c r="D696" s="203" t="s">
        <v>97</v>
      </c>
      <c r="E696" s="202" t="s">
        <v>2002</v>
      </c>
      <c r="F696" s="203">
        <v>0</v>
      </c>
      <c r="G696" s="202"/>
      <c r="H696" s="202" t="s">
        <v>2001</v>
      </c>
      <c r="I696" s="202"/>
      <c r="J696" s="202">
        <v>2011</v>
      </c>
      <c r="K696" s="202" t="s">
        <v>2000</v>
      </c>
      <c r="L696" s="202" t="s">
        <v>1395</v>
      </c>
      <c r="M696" s="202" t="s">
        <v>1999</v>
      </c>
      <c r="N696" s="206">
        <v>41014</v>
      </c>
      <c r="O696" s="206">
        <v>41014</v>
      </c>
      <c r="P696" s="202" t="s">
        <v>1998</v>
      </c>
      <c r="Q696" s="203">
        <v>900</v>
      </c>
      <c r="R696" s="203">
        <v>14040</v>
      </c>
      <c r="S696" s="204">
        <v>244600</v>
      </c>
      <c r="T696" s="203">
        <v>14046</v>
      </c>
      <c r="U696" s="204">
        <v>244600</v>
      </c>
      <c r="V696" s="204">
        <f t="shared" si="21"/>
        <v>0</v>
      </c>
      <c r="W696" s="205">
        <v>6794.43</v>
      </c>
      <c r="X696" s="203">
        <v>51260</v>
      </c>
      <c r="Y696" s="204">
        <v>0</v>
      </c>
      <c r="Z696" s="202" t="s">
        <v>97</v>
      </c>
      <c r="AA696" s="202"/>
      <c r="AB696" s="202" t="s">
        <v>1997</v>
      </c>
      <c r="AC696" s="202">
        <v>2039</v>
      </c>
      <c r="AD696" s="202" t="s">
        <v>1152</v>
      </c>
      <c r="AE696" s="202" t="s">
        <v>1153</v>
      </c>
      <c r="AF696" s="203" t="s">
        <v>1154</v>
      </c>
      <c r="AG696" s="202"/>
      <c r="AH696" s="203" t="s">
        <v>1155</v>
      </c>
      <c r="AI696" s="202">
        <v>0</v>
      </c>
      <c r="AJ696" s="202">
        <v>0</v>
      </c>
    </row>
    <row r="697" spans="2:36">
      <c r="B697" s="203">
        <v>2180</v>
      </c>
      <c r="C697" s="207">
        <v>94335</v>
      </c>
      <c r="D697" s="203" t="s">
        <v>97</v>
      </c>
      <c r="E697" s="202" t="s">
        <v>1875</v>
      </c>
      <c r="F697" s="203">
        <v>486</v>
      </c>
      <c r="G697" s="202"/>
      <c r="H697" s="202" t="s">
        <v>1996</v>
      </c>
      <c r="I697" s="202"/>
      <c r="J697" s="202">
        <v>0</v>
      </c>
      <c r="K697" s="202" t="s">
        <v>1658</v>
      </c>
      <c r="L697" s="202"/>
      <c r="M697" s="202"/>
      <c r="N697" s="206">
        <v>41073</v>
      </c>
      <c r="O697" s="206">
        <v>41073</v>
      </c>
      <c r="P697" s="202" t="s">
        <v>1995</v>
      </c>
      <c r="Q697" s="203">
        <v>700</v>
      </c>
      <c r="R697" s="203">
        <v>14050</v>
      </c>
      <c r="S697" s="204">
        <v>25058.26</v>
      </c>
      <c r="T697" s="203">
        <v>14056</v>
      </c>
      <c r="U697" s="204">
        <v>25058.26</v>
      </c>
      <c r="V697" s="204">
        <f t="shared" si="21"/>
        <v>0</v>
      </c>
      <c r="W697" s="205">
        <v>0</v>
      </c>
      <c r="X697" s="203">
        <v>54260</v>
      </c>
      <c r="Y697" s="204">
        <v>0</v>
      </c>
      <c r="Z697" s="202" t="s">
        <v>97</v>
      </c>
      <c r="AA697" s="202"/>
      <c r="AB697" s="202" t="s">
        <v>1994</v>
      </c>
      <c r="AC697" s="202"/>
      <c r="AD697" s="202" t="s">
        <v>1152</v>
      </c>
      <c r="AE697" s="202" t="s">
        <v>1153</v>
      </c>
      <c r="AF697" s="203" t="s">
        <v>1154</v>
      </c>
      <c r="AG697" s="202"/>
      <c r="AH697" s="203" t="s">
        <v>1155</v>
      </c>
      <c r="AI697" s="202">
        <v>0</v>
      </c>
      <c r="AJ697" s="202">
        <v>0</v>
      </c>
    </row>
    <row r="698" spans="2:36">
      <c r="B698" s="203">
        <v>2180</v>
      </c>
      <c r="C698" s="207">
        <v>93827</v>
      </c>
      <c r="D698" s="203" t="s">
        <v>97</v>
      </c>
      <c r="E698" s="202" t="s">
        <v>1991</v>
      </c>
      <c r="F698" s="203">
        <v>486</v>
      </c>
      <c r="G698" s="202"/>
      <c r="H698" s="202" t="s">
        <v>1993</v>
      </c>
      <c r="I698" s="202"/>
      <c r="J698" s="202">
        <v>0</v>
      </c>
      <c r="K698" s="202" t="s">
        <v>1658</v>
      </c>
      <c r="L698" s="202"/>
      <c r="M698" s="202"/>
      <c r="N698" s="206">
        <v>41050</v>
      </c>
      <c r="O698" s="206">
        <v>41050</v>
      </c>
      <c r="P698" s="202" t="s">
        <v>1989</v>
      </c>
      <c r="Q698" s="203">
        <v>700</v>
      </c>
      <c r="R698" s="203">
        <v>14050</v>
      </c>
      <c r="S698" s="204">
        <v>25589.94</v>
      </c>
      <c r="T698" s="203">
        <v>14056</v>
      </c>
      <c r="U698" s="204">
        <v>25589.94</v>
      </c>
      <c r="V698" s="204">
        <f t="shared" si="21"/>
        <v>0</v>
      </c>
      <c r="W698" s="205">
        <v>0</v>
      </c>
      <c r="X698" s="203">
        <v>54260</v>
      </c>
      <c r="Y698" s="204">
        <v>0</v>
      </c>
      <c r="Z698" s="202" t="s">
        <v>97</v>
      </c>
      <c r="AA698" s="202"/>
      <c r="AB698" s="202" t="s">
        <v>1992</v>
      </c>
      <c r="AC698" s="202"/>
      <c r="AD698" s="202" t="s">
        <v>1152</v>
      </c>
      <c r="AE698" s="202" t="s">
        <v>1153</v>
      </c>
      <c r="AF698" s="203" t="s">
        <v>1154</v>
      </c>
      <c r="AG698" s="202"/>
      <c r="AH698" s="203" t="s">
        <v>1155</v>
      </c>
      <c r="AI698" s="202">
        <v>0</v>
      </c>
      <c r="AJ698" s="202">
        <v>0</v>
      </c>
    </row>
    <row r="699" spans="2:36">
      <c r="B699" s="203">
        <v>2180</v>
      </c>
      <c r="C699" s="207">
        <v>93826</v>
      </c>
      <c r="D699" s="203" t="s">
        <v>97</v>
      </c>
      <c r="E699" s="202" t="s">
        <v>1991</v>
      </c>
      <c r="F699" s="203">
        <v>486</v>
      </c>
      <c r="G699" s="202"/>
      <c r="H699" s="202" t="s">
        <v>1990</v>
      </c>
      <c r="I699" s="202"/>
      <c r="J699" s="202">
        <v>0</v>
      </c>
      <c r="K699" s="202" t="s">
        <v>1658</v>
      </c>
      <c r="L699" s="202"/>
      <c r="M699" s="202"/>
      <c r="N699" s="206">
        <v>41050</v>
      </c>
      <c r="O699" s="206">
        <v>41050</v>
      </c>
      <c r="P699" s="202" t="s">
        <v>1989</v>
      </c>
      <c r="Q699" s="203">
        <v>700</v>
      </c>
      <c r="R699" s="203">
        <v>14050</v>
      </c>
      <c r="S699" s="204">
        <v>25589.94</v>
      </c>
      <c r="T699" s="203">
        <v>14056</v>
      </c>
      <c r="U699" s="204">
        <v>25589.94</v>
      </c>
      <c r="V699" s="204">
        <f t="shared" si="21"/>
        <v>0</v>
      </c>
      <c r="W699" s="205">
        <v>0</v>
      </c>
      <c r="X699" s="203">
        <v>54260</v>
      </c>
      <c r="Y699" s="204">
        <v>0</v>
      </c>
      <c r="Z699" s="202" t="s">
        <v>97</v>
      </c>
      <c r="AA699" s="202"/>
      <c r="AB699" s="202" t="s">
        <v>1988</v>
      </c>
      <c r="AC699" s="202"/>
      <c r="AD699" s="202" t="s">
        <v>1152</v>
      </c>
      <c r="AE699" s="202" t="s">
        <v>1153</v>
      </c>
      <c r="AF699" s="203" t="s">
        <v>1154</v>
      </c>
      <c r="AG699" s="202"/>
      <c r="AH699" s="203" t="s">
        <v>1155</v>
      </c>
      <c r="AI699" s="202">
        <v>0</v>
      </c>
      <c r="AJ699" s="202">
        <v>0</v>
      </c>
    </row>
    <row r="700" spans="2:36">
      <c r="B700" s="203">
        <v>2180</v>
      </c>
      <c r="C700" s="207">
        <v>93825</v>
      </c>
      <c r="D700" s="203" t="s">
        <v>97</v>
      </c>
      <c r="E700" s="202" t="s">
        <v>1987</v>
      </c>
      <c r="F700" s="203">
        <v>648</v>
      </c>
      <c r="G700" s="202"/>
      <c r="H700" s="202" t="s">
        <v>1986</v>
      </c>
      <c r="I700" s="202"/>
      <c r="J700" s="202">
        <v>0</v>
      </c>
      <c r="K700" s="202" t="s">
        <v>1658</v>
      </c>
      <c r="L700" s="202"/>
      <c r="M700" s="202"/>
      <c r="N700" s="206">
        <v>41038</v>
      </c>
      <c r="O700" s="206">
        <v>41038</v>
      </c>
      <c r="P700" s="202" t="s">
        <v>1985</v>
      </c>
      <c r="Q700" s="203">
        <v>700</v>
      </c>
      <c r="R700" s="203">
        <v>14050</v>
      </c>
      <c r="S700" s="204">
        <v>28682.58</v>
      </c>
      <c r="T700" s="203">
        <v>14056</v>
      </c>
      <c r="U700" s="204">
        <v>28682.58</v>
      </c>
      <c r="V700" s="204">
        <f t="shared" si="21"/>
        <v>0</v>
      </c>
      <c r="W700" s="205">
        <v>0</v>
      </c>
      <c r="X700" s="203">
        <v>54260</v>
      </c>
      <c r="Y700" s="204">
        <v>0</v>
      </c>
      <c r="Z700" s="202" t="s">
        <v>97</v>
      </c>
      <c r="AA700" s="202"/>
      <c r="AB700" s="202" t="s">
        <v>1984</v>
      </c>
      <c r="AC700" s="202"/>
      <c r="AD700" s="202" t="s">
        <v>1152</v>
      </c>
      <c r="AE700" s="202" t="s">
        <v>1153</v>
      </c>
      <c r="AF700" s="203" t="s">
        <v>1154</v>
      </c>
      <c r="AG700" s="202"/>
      <c r="AH700" s="203" t="s">
        <v>1155</v>
      </c>
      <c r="AI700" s="202">
        <v>0</v>
      </c>
      <c r="AJ700" s="202">
        <v>0</v>
      </c>
    </row>
    <row r="701" spans="2:36">
      <c r="B701" s="203">
        <v>2180</v>
      </c>
      <c r="C701" s="207">
        <v>93455</v>
      </c>
      <c r="D701" s="203" t="s">
        <v>97</v>
      </c>
      <c r="E701" s="202" t="s">
        <v>1983</v>
      </c>
      <c r="F701" s="203">
        <v>0</v>
      </c>
      <c r="G701" s="202"/>
      <c r="H701" s="202"/>
      <c r="I701" s="202"/>
      <c r="J701" s="202">
        <v>0</v>
      </c>
      <c r="K701" s="202" t="s">
        <v>1429</v>
      </c>
      <c r="L701" s="202"/>
      <c r="M701" s="202"/>
      <c r="N701" s="206">
        <v>41001</v>
      </c>
      <c r="O701" s="206">
        <v>41001</v>
      </c>
      <c r="P701" s="202" t="s">
        <v>1982</v>
      </c>
      <c r="Q701" s="203">
        <v>300</v>
      </c>
      <c r="R701" s="203">
        <v>14110</v>
      </c>
      <c r="S701" s="204">
        <v>743.32</v>
      </c>
      <c r="T701" s="203">
        <v>14116</v>
      </c>
      <c r="U701" s="204">
        <v>743.32</v>
      </c>
      <c r="V701" s="204">
        <f t="shared" si="21"/>
        <v>0</v>
      </c>
      <c r="W701" s="205">
        <v>0</v>
      </c>
      <c r="X701" s="203">
        <v>70260</v>
      </c>
      <c r="Y701" s="204">
        <v>0</v>
      </c>
      <c r="Z701" s="202" t="s">
        <v>97</v>
      </c>
      <c r="AA701" s="202"/>
      <c r="AB701" s="202" t="s">
        <v>1981</v>
      </c>
      <c r="AC701" s="202"/>
      <c r="AD701" s="202" t="s">
        <v>1152</v>
      </c>
      <c r="AE701" s="202" t="s">
        <v>1153</v>
      </c>
      <c r="AF701" s="203" t="s">
        <v>1154</v>
      </c>
      <c r="AG701" s="202"/>
      <c r="AH701" s="203" t="s">
        <v>1155</v>
      </c>
      <c r="AI701" s="202">
        <v>0</v>
      </c>
      <c r="AJ701" s="202">
        <v>0</v>
      </c>
    </row>
    <row r="702" spans="2:36">
      <c r="B702" s="203">
        <v>2180</v>
      </c>
      <c r="C702" s="207">
        <v>91123</v>
      </c>
      <c r="D702" s="203" t="s">
        <v>97</v>
      </c>
      <c r="E702" s="202" t="s">
        <v>1980</v>
      </c>
      <c r="F702" s="203">
        <v>0</v>
      </c>
      <c r="G702" s="202"/>
      <c r="H702" s="202"/>
      <c r="I702" s="202"/>
      <c r="J702" s="202">
        <v>0</v>
      </c>
      <c r="K702" s="202" t="s">
        <v>1429</v>
      </c>
      <c r="L702" s="202"/>
      <c r="M702" s="202"/>
      <c r="N702" s="206">
        <v>40954</v>
      </c>
      <c r="O702" s="206">
        <v>40954</v>
      </c>
      <c r="P702" s="202" t="s">
        <v>1979</v>
      </c>
      <c r="Q702" s="203">
        <v>300</v>
      </c>
      <c r="R702" s="203">
        <v>14110</v>
      </c>
      <c r="S702" s="204">
        <v>804.21</v>
      </c>
      <c r="T702" s="203">
        <v>14116</v>
      </c>
      <c r="U702" s="204">
        <v>804.21</v>
      </c>
      <c r="V702" s="204">
        <f t="shared" si="21"/>
        <v>0</v>
      </c>
      <c r="W702" s="205">
        <v>0</v>
      </c>
      <c r="X702" s="203">
        <v>70260</v>
      </c>
      <c r="Y702" s="204">
        <v>0</v>
      </c>
      <c r="Z702" s="202" t="s">
        <v>97</v>
      </c>
      <c r="AA702" s="202"/>
      <c r="AB702" s="202" t="s">
        <v>1978</v>
      </c>
      <c r="AC702" s="202"/>
      <c r="AD702" s="202" t="s">
        <v>1152</v>
      </c>
      <c r="AE702" s="202" t="s">
        <v>1153</v>
      </c>
      <c r="AF702" s="203" t="s">
        <v>1154</v>
      </c>
      <c r="AG702" s="202"/>
      <c r="AH702" s="203" t="s">
        <v>1155</v>
      </c>
      <c r="AI702" s="202">
        <v>0</v>
      </c>
      <c r="AJ702" s="202">
        <v>0</v>
      </c>
    </row>
    <row r="703" spans="2:36">
      <c r="B703" s="203">
        <v>2180</v>
      </c>
      <c r="C703" s="207">
        <v>90674</v>
      </c>
      <c r="D703" s="203" t="s">
        <v>97</v>
      </c>
      <c r="E703" s="202" t="s">
        <v>1977</v>
      </c>
      <c r="F703" s="203">
        <v>0</v>
      </c>
      <c r="G703" s="202"/>
      <c r="H703" s="202"/>
      <c r="I703" s="202"/>
      <c r="J703" s="202">
        <v>0</v>
      </c>
      <c r="K703" s="202"/>
      <c r="L703" s="202"/>
      <c r="M703" s="202"/>
      <c r="N703" s="206">
        <v>39755</v>
      </c>
      <c r="O703" s="206">
        <v>39755</v>
      </c>
      <c r="P703" s="202"/>
      <c r="Q703" s="203">
        <v>300</v>
      </c>
      <c r="R703" s="203">
        <v>15250</v>
      </c>
      <c r="S703" s="204">
        <v>0.01</v>
      </c>
      <c r="T703" s="203">
        <v>15256</v>
      </c>
      <c r="U703" s="204">
        <v>0.01</v>
      </c>
      <c r="V703" s="204">
        <f t="shared" si="21"/>
        <v>0</v>
      </c>
      <c r="W703" s="205">
        <v>0</v>
      </c>
      <c r="X703" s="203">
        <v>70269</v>
      </c>
      <c r="Y703" s="204">
        <v>0</v>
      </c>
      <c r="Z703" s="202" t="s">
        <v>1153</v>
      </c>
      <c r="AA703" s="202" t="s">
        <v>1383</v>
      </c>
      <c r="AB703" s="202"/>
      <c r="AC703" s="202"/>
      <c r="AD703" s="202" t="s">
        <v>1152</v>
      </c>
      <c r="AE703" s="202" t="s">
        <v>1153</v>
      </c>
      <c r="AF703" s="203" t="s">
        <v>1154</v>
      </c>
      <c r="AG703" s="208">
        <v>40939</v>
      </c>
      <c r="AH703" s="203" t="s">
        <v>1155</v>
      </c>
      <c r="AI703" s="202">
        <v>0</v>
      </c>
      <c r="AJ703" s="202">
        <v>0</v>
      </c>
    </row>
    <row r="704" spans="2:36">
      <c r="B704" s="203">
        <v>2180</v>
      </c>
      <c r="C704" s="207">
        <v>90673</v>
      </c>
      <c r="D704" s="203" t="s">
        <v>97</v>
      </c>
      <c r="E704" s="202" t="s">
        <v>1463</v>
      </c>
      <c r="F704" s="203">
        <v>263</v>
      </c>
      <c r="G704" s="202"/>
      <c r="H704" s="202"/>
      <c r="I704" s="202"/>
      <c r="J704" s="202">
        <v>0</v>
      </c>
      <c r="K704" s="202"/>
      <c r="L704" s="202"/>
      <c r="M704" s="202" t="s">
        <v>1462</v>
      </c>
      <c r="N704" s="206">
        <v>40544</v>
      </c>
      <c r="O704" s="206">
        <v>40544</v>
      </c>
      <c r="P704" s="202"/>
      <c r="Q704" s="203">
        <v>300</v>
      </c>
      <c r="R704" s="203">
        <v>14050</v>
      </c>
      <c r="S704" s="204">
        <v>0.01</v>
      </c>
      <c r="T704" s="203">
        <v>14056</v>
      </c>
      <c r="U704" s="204">
        <v>0.01</v>
      </c>
      <c r="V704" s="204">
        <f t="shared" si="21"/>
        <v>0</v>
      </c>
      <c r="W704" s="205">
        <v>0</v>
      </c>
      <c r="X704" s="203">
        <v>54260</v>
      </c>
      <c r="Y704" s="204">
        <v>0</v>
      </c>
      <c r="Z704" s="202" t="s">
        <v>97</v>
      </c>
      <c r="AA704" s="202"/>
      <c r="AB704" s="202"/>
      <c r="AC704" s="202"/>
      <c r="AD704" s="202" t="s">
        <v>1152</v>
      </c>
      <c r="AE704" s="202" t="s">
        <v>1153</v>
      </c>
      <c r="AF704" s="203" t="s">
        <v>1154</v>
      </c>
      <c r="AG704" s="208">
        <v>40939</v>
      </c>
      <c r="AH704" s="203" t="s">
        <v>1155</v>
      </c>
      <c r="AI704" s="202">
        <v>0</v>
      </c>
      <c r="AJ704" s="202">
        <v>0</v>
      </c>
    </row>
    <row r="705" spans="2:36">
      <c r="B705" s="203">
        <v>2180</v>
      </c>
      <c r="C705" s="207">
        <v>90672</v>
      </c>
      <c r="D705" s="203" t="s">
        <v>97</v>
      </c>
      <c r="E705" s="202" t="s">
        <v>1702</v>
      </c>
      <c r="F705" s="203">
        <v>144</v>
      </c>
      <c r="G705" s="202"/>
      <c r="H705" s="202"/>
      <c r="I705" s="202"/>
      <c r="J705" s="202">
        <v>0</v>
      </c>
      <c r="K705" s="202"/>
      <c r="L705" s="202"/>
      <c r="M705" s="202" t="s">
        <v>1701</v>
      </c>
      <c r="N705" s="206">
        <v>40544</v>
      </c>
      <c r="O705" s="206">
        <v>40544</v>
      </c>
      <c r="P705" s="202"/>
      <c r="Q705" s="203">
        <v>300</v>
      </c>
      <c r="R705" s="203">
        <v>14050</v>
      </c>
      <c r="S705" s="204">
        <v>0.01</v>
      </c>
      <c r="T705" s="203">
        <v>14056</v>
      </c>
      <c r="U705" s="204">
        <v>0.01</v>
      </c>
      <c r="V705" s="204">
        <f t="shared" si="21"/>
        <v>0</v>
      </c>
      <c r="W705" s="205">
        <v>0</v>
      </c>
      <c r="X705" s="203">
        <v>54260</v>
      </c>
      <c r="Y705" s="204">
        <v>0</v>
      </c>
      <c r="Z705" s="202" t="s">
        <v>97</v>
      </c>
      <c r="AA705" s="202"/>
      <c r="AB705" s="202"/>
      <c r="AC705" s="202"/>
      <c r="AD705" s="202" t="s">
        <v>1152</v>
      </c>
      <c r="AE705" s="202" t="s">
        <v>1153</v>
      </c>
      <c r="AF705" s="203" t="s">
        <v>1154</v>
      </c>
      <c r="AG705" s="208">
        <v>40939</v>
      </c>
      <c r="AH705" s="203" t="s">
        <v>1155</v>
      </c>
      <c r="AI705" s="202">
        <v>0</v>
      </c>
      <c r="AJ705" s="202">
        <v>0</v>
      </c>
    </row>
    <row r="706" spans="2:36">
      <c r="B706" s="203">
        <v>2180</v>
      </c>
      <c r="C706" s="207">
        <v>90671</v>
      </c>
      <c r="D706" s="203" t="s">
        <v>97</v>
      </c>
      <c r="E706" s="202" t="s">
        <v>1976</v>
      </c>
      <c r="F706" s="203">
        <v>333</v>
      </c>
      <c r="G706" s="202"/>
      <c r="H706" s="202"/>
      <c r="I706" s="202"/>
      <c r="J706" s="202">
        <v>0</v>
      </c>
      <c r="K706" s="202"/>
      <c r="L706" s="202"/>
      <c r="M706" s="202" t="s">
        <v>1975</v>
      </c>
      <c r="N706" s="206">
        <v>40544</v>
      </c>
      <c r="O706" s="206">
        <v>40544</v>
      </c>
      <c r="P706" s="202"/>
      <c r="Q706" s="203">
        <v>300</v>
      </c>
      <c r="R706" s="203">
        <v>14050</v>
      </c>
      <c r="S706" s="204">
        <v>0.01</v>
      </c>
      <c r="T706" s="203">
        <v>14056</v>
      </c>
      <c r="U706" s="204">
        <v>0.01</v>
      </c>
      <c r="V706" s="204">
        <f t="shared" si="21"/>
        <v>0</v>
      </c>
      <c r="W706" s="205">
        <v>0</v>
      </c>
      <c r="X706" s="203">
        <v>54260</v>
      </c>
      <c r="Y706" s="204">
        <v>0</v>
      </c>
      <c r="Z706" s="202" t="s">
        <v>97</v>
      </c>
      <c r="AA706" s="202"/>
      <c r="AB706" s="202"/>
      <c r="AC706" s="202"/>
      <c r="AD706" s="202" t="s">
        <v>1152</v>
      </c>
      <c r="AE706" s="202" t="s">
        <v>1153</v>
      </c>
      <c r="AF706" s="203" t="s">
        <v>1154</v>
      </c>
      <c r="AG706" s="208">
        <v>40939</v>
      </c>
      <c r="AH706" s="203" t="s">
        <v>1155</v>
      </c>
      <c r="AI706" s="202">
        <v>0</v>
      </c>
      <c r="AJ706" s="202">
        <v>0</v>
      </c>
    </row>
    <row r="707" spans="2:36">
      <c r="B707" s="203">
        <v>2180</v>
      </c>
      <c r="C707" s="207">
        <v>90670</v>
      </c>
      <c r="D707" s="203" t="s">
        <v>97</v>
      </c>
      <c r="E707" s="202" t="s">
        <v>1974</v>
      </c>
      <c r="F707" s="203">
        <v>347</v>
      </c>
      <c r="G707" s="202"/>
      <c r="H707" s="202"/>
      <c r="I707" s="202"/>
      <c r="J707" s="202">
        <v>0</v>
      </c>
      <c r="K707" s="202"/>
      <c r="L707" s="202"/>
      <c r="M707" s="202" t="s">
        <v>1973</v>
      </c>
      <c r="N707" s="206">
        <v>40544</v>
      </c>
      <c r="O707" s="206">
        <v>40544</v>
      </c>
      <c r="P707" s="202"/>
      <c r="Q707" s="203">
        <v>300</v>
      </c>
      <c r="R707" s="203">
        <v>14050</v>
      </c>
      <c r="S707" s="204">
        <v>0.01</v>
      </c>
      <c r="T707" s="203">
        <v>14056</v>
      </c>
      <c r="U707" s="204">
        <v>0.01</v>
      </c>
      <c r="V707" s="204">
        <f t="shared" si="21"/>
        <v>0</v>
      </c>
      <c r="W707" s="205">
        <v>0</v>
      </c>
      <c r="X707" s="203">
        <v>54260</v>
      </c>
      <c r="Y707" s="204">
        <v>0</v>
      </c>
      <c r="Z707" s="202" t="s">
        <v>97</v>
      </c>
      <c r="AA707" s="202"/>
      <c r="AB707" s="202"/>
      <c r="AC707" s="202"/>
      <c r="AD707" s="202" t="s">
        <v>1152</v>
      </c>
      <c r="AE707" s="202" t="s">
        <v>1153</v>
      </c>
      <c r="AF707" s="203" t="s">
        <v>1154</v>
      </c>
      <c r="AG707" s="208">
        <v>40939</v>
      </c>
      <c r="AH707" s="203" t="s">
        <v>1155</v>
      </c>
      <c r="AI707" s="202">
        <v>0</v>
      </c>
      <c r="AJ707" s="202">
        <v>0</v>
      </c>
    </row>
    <row r="708" spans="2:36">
      <c r="B708" s="203">
        <v>2180</v>
      </c>
      <c r="C708" s="207">
        <v>90667</v>
      </c>
      <c r="D708" s="203" t="s">
        <v>97</v>
      </c>
      <c r="E708" s="202" t="s">
        <v>1457</v>
      </c>
      <c r="F708" s="203">
        <v>234</v>
      </c>
      <c r="G708" s="202"/>
      <c r="H708" s="202"/>
      <c r="I708" s="202"/>
      <c r="J708" s="202">
        <v>0</v>
      </c>
      <c r="K708" s="202"/>
      <c r="L708" s="202"/>
      <c r="M708" s="202" t="s">
        <v>1456</v>
      </c>
      <c r="N708" s="206">
        <v>40544</v>
      </c>
      <c r="O708" s="206">
        <v>40544</v>
      </c>
      <c r="P708" s="202"/>
      <c r="Q708" s="203">
        <v>300</v>
      </c>
      <c r="R708" s="203">
        <v>14050</v>
      </c>
      <c r="S708" s="204">
        <v>0.01</v>
      </c>
      <c r="T708" s="203">
        <v>14056</v>
      </c>
      <c r="U708" s="204">
        <v>0.01</v>
      </c>
      <c r="V708" s="204">
        <f t="shared" si="21"/>
        <v>0</v>
      </c>
      <c r="W708" s="205">
        <v>0</v>
      </c>
      <c r="X708" s="203">
        <v>54260</v>
      </c>
      <c r="Y708" s="204">
        <v>0</v>
      </c>
      <c r="Z708" s="202" t="s">
        <v>97</v>
      </c>
      <c r="AA708" s="202"/>
      <c r="AB708" s="202"/>
      <c r="AC708" s="202"/>
      <c r="AD708" s="202" t="s">
        <v>1152</v>
      </c>
      <c r="AE708" s="202" t="s">
        <v>1153</v>
      </c>
      <c r="AF708" s="203" t="s">
        <v>1154</v>
      </c>
      <c r="AG708" s="208">
        <v>40939</v>
      </c>
      <c r="AH708" s="203" t="s">
        <v>1155</v>
      </c>
      <c r="AI708" s="202">
        <v>0</v>
      </c>
      <c r="AJ708" s="202">
        <v>0</v>
      </c>
    </row>
    <row r="709" spans="2:36">
      <c r="B709" s="203">
        <v>2180</v>
      </c>
      <c r="C709" s="207">
        <v>90666</v>
      </c>
      <c r="D709" s="203" t="s">
        <v>97</v>
      </c>
      <c r="E709" s="202" t="s">
        <v>1972</v>
      </c>
      <c r="F709" s="203">
        <v>881</v>
      </c>
      <c r="G709" s="202"/>
      <c r="H709" s="202"/>
      <c r="I709" s="202"/>
      <c r="J709" s="202">
        <v>0</v>
      </c>
      <c r="K709" s="202"/>
      <c r="L709" s="202"/>
      <c r="M709" s="202" t="s">
        <v>1573</v>
      </c>
      <c r="N709" s="206">
        <v>40544</v>
      </c>
      <c r="O709" s="206">
        <v>40544</v>
      </c>
      <c r="P709" s="202"/>
      <c r="Q709" s="203">
        <v>300</v>
      </c>
      <c r="R709" s="203">
        <v>14050</v>
      </c>
      <c r="S709" s="204">
        <v>0.01</v>
      </c>
      <c r="T709" s="203">
        <v>14056</v>
      </c>
      <c r="U709" s="204">
        <v>0.01</v>
      </c>
      <c r="V709" s="204">
        <f t="shared" si="21"/>
        <v>0</v>
      </c>
      <c r="W709" s="205">
        <v>0</v>
      </c>
      <c r="X709" s="203">
        <v>54260</v>
      </c>
      <c r="Y709" s="204">
        <v>0</v>
      </c>
      <c r="Z709" s="202" t="s">
        <v>97</v>
      </c>
      <c r="AA709" s="202"/>
      <c r="AB709" s="202"/>
      <c r="AC709" s="202"/>
      <c r="AD709" s="202" t="s">
        <v>1152</v>
      </c>
      <c r="AE709" s="202" t="s">
        <v>1153</v>
      </c>
      <c r="AF709" s="203" t="s">
        <v>1154</v>
      </c>
      <c r="AG709" s="208">
        <v>40939</v>
      </c>
      <c r="AH709" s="203" t="s">
        <v>1155</v>
      </c>
      <c r="AI709" s="202">
        <v>0</v>
      </c>
      <c r="AJ709" s="202">
        <v>0</v>
      </c>
    </row>
    <row r="710" spans="2:36">
      <c r="B710" s="203">
        <v>2180</v>
      </c>
      <c r="C710" s="207">
        <v>90665</v>
      </c>
      <c r="D710" s="203" t="s">
        <v>97</v>
      </c>
      <c r="E710" s="202" t="s">
        <v>1971</v>
      </c>
      <c r="F710" s="203">
        <v>3</v>
      </c>
      <c r="G710" s="202"/>
      <c r="H710" s="202"/>
      <c r="I710" s="202"/>
      <c r="J710" s="202">
        <v>0</v>
      </c>
      <c r="K710" s="202"/>
      <c r="L710" s="202"/>
      <c r="M710" s="202" t="s">
        <v>1970</v>
      </c>
      <c r="N710" s="206">
        <v>40544</v>
      </c>
      <c r="O710" s="206">
        <v>40544</v>
      </c>
      <c r="P710" s="202"/>
      <c r="Q710" s="203">
        <v>300</v>
      </c>
      <c r="R710" s="203">
        <v>14050</v>
      </c>
      <c r="S710" s="204">
        <v>0.01</v>
      </c>
      <c r="T710" s="203">
        <v>14056</v>
      </c>
      <c r="U710" s="204">
        <v>0.01</v>
      </c>
      <c r="V710" s="204">
        <f t="shared" si="21"/>
        <v>0</v>
      </c>
      <c r="W710" s="205">
        <v>0</v>
      </c>
      <c r="X710" s="203">
        <v>54260</v>
      </c>
      <c r="Y710" s="204">
        <v>0</v>
      </c>
      <c r="Z710" s="202" t="s">
        <v>97</v>
      </c>
      <c r="AA710" s="202"/>
      <c r="AB710" s="202"/>
      <c r="AC710" s="202"/>
      <c r="AD710" s="202" t="s">
        <v>1152</v>
      </c>
      <c r="AE710" s="202" t="s">
        <v>1153</v>
      </c>
      <c r="AF710" s="203" t="s">
        <v>1154</v>
      </c>
      <c r="AG710" s="208">
        <v>40939</v>
      </c>
      <c r="AH710" s="203" t="s">
        <v>1155</v>
      </c>
      <c r="AI710" s="202">
        <v>0</v>
      </c>
      <c r="AJ710" s="202">
        <v>0</v>
      </c>
    </row>
    <row r="711" spans="2:36">
      <c r="B711" s="203">
        <v>2180</v>
      </c>
      <c r="C711" s="207">
        <v>90662</v>
      </c>
      <c r="D711" s="203" t="s">
        <v>97</v>
      </c>
      <c r="E711" s="202" t="s">
        <v>1465</v>
      </c>
      <c r="F711" s="203">
        <v>182</v>
      </c>
      <c r="G711" s="202"/>
      <c r="H711" s="202"/>
      <c r="I711" s="202"/>
      <c r="J711" s="202">
        <v>0</v>
      </c>
      <c r="K711" s="202"/>
      <c r="L711" s="202"/>
      <c r="M711" s="202" t="s">
        <v>1464</v>
      </c>
      <c r="N711" s="206">
        <v>40544</v>
      </c>
      <c r="O711" s="206">
        <v>40544</v>
      </c>
      <c r="P711" s="202"/>
      <c r="Q711" s="203">
        <v>300</v>
      </c>
      <c r="R711" s="203">
        <v>14050</v>
      </c>
      <c r="S711" s="204">
        <v>0.01</v>
      </c>
      <c r="T711" s="203">
        <v>14056</v>
      </c>
      <c r="U711" s="204">
        <v>0.01</v>
      </c>
      <c r="V711" s="204">
        <f t="shared" si="21"/>
        <v>0</v>
      </c>
      <c r="W711" s="205">
        <v>0</v>
      </c>
      <c r="X711" s="203">
        <v>54260</v>
      </c>
      <c r="Y711" s="204">
        <v>0</v>
      </c>
      <c r="Z711" s="202" t="s">
        <v>97</v>
      </c>
      <c r="AA711" s="202"/>
      <c r="AB711" s="202"/>
      <c r="AC711" s="202"/>
      <c r="AD711" s="202" t="s">
        <v>1152</v>
      </c>
      <c r="AE711" s="202" t="s">
        <v>1153</v>
      </c>
      <c r="AF711" s="203" t="s">
        <v>1154</v>
      </c>
      <c r="AG711" s="208">
        <v>40939</v>
      </c>
      <c r="AH711" s="203" t="s">
        <v>1155</v>
      </c>
      <c r="AI711" s="202">
        <v>0</v>
      </c>
      <c r="AJ711" s="202">
        <v>0</v>
      </c>
    </row>
    <row r="712" spans="2:36">
      <c r="B712" s="203">
        <v>2180</v>
      </c>
      <c r="C712" s="207">
        <v>90660</v>
      </c>
      <c r="D712" s="203" t="s">
        <v>97</v>
      </c>
      <c r="E712" s="202" t="s">
        <v>1969</v>
      </c>
      <c r="F712" s="203">
        <v>0</v>
      </c>
      <c r="G712" s="202"/>
      <c r="H712" s="202">
        <v>31646</v>
      </c>
      <c r="I712" s="202"/>
      <c r="J712" s="202">
        <v>1990</v>
      </c>
      <c r="K712" s="202" t="s">
        <v>1255</v>
      </c>
      <c r="L712" s="202" t="s">
        <v>1255</v>
      </c>
      <c r="M712" s="202" t="s">
        <v>1968</v>
      </c>
      <c r="N712" s="206">
        <v>39814</v>
      </c>
      <c r="O712" s="206">
        <v>39814</v>
      </c>
      <c r="P712" s="202"/>
      <c r="Q712" s="203">
        <v>300</v>
      </c>
      <c r="R712" s="203">
        <v>14030</v>
      </c>
      <c r="S712" s="204">
        <v>0.01</v>
      </c>
      <c r="T712" s="203">
        <v>14036</v>
      </c>
      <c r="U712" s="204">
        <v>0.01</v>
      </c>
      <c r="V712" s="204">
        <f t="shared" si="21"/>
        <v>0</v>
      </c>
      <c r="W712" s="205">
        <v>0</v>
      </c>
      <c r="X712" s="203">
        <v>51260</v>
      </c>
      <c r="Y712" s="204">
        <v>0</v>
      </c>
      <c r="Z712" s="202" t="s">
        <v>97</v>
      </c>
      <c r="AA712" s="202"/>
      <c r="AB712" s="202"/>
      <c r="AC712" s="202">
        <v>7809</v>
      </c>
      <c r="AD712" s="202" t="s">
        <v>1152</v>
      </c>
      <c r="AE712" s="202" t="s">
        <v>1153</v>
      </c>
      <c r="AF712" s="203" t="s">
        <v>1154</v>
      </c>
      <c r="AG712" s="208">
        <v>40939</v>
      </c>
      <c r="AH712" s="203" t="s">
        <v>1155</v>
      </c>
      <c r="AI712" s="202">
        <v>0</v>
      </c>
      <c r="AJ712" s="202">
        <v>0</v>
      </c>
    </row>
    <row r="713" spans="2:36">
      <c r="B713" s="203">
        <v>2180</v>
      </c>
      <c r="C713" s="207">
        <v>90659</v>
      </c>
      <c r="D713" s="203" t="s">
        <v>97</v>
      </c>
      <c r="E713" s="202" t="s">
        <v>1967</v>
      </c>
      <c r="F713" s="203">
        <v>0</v>
      </c>
      <c r="G713" s="202"/>
      <c r="H713" s="202"/>
      <c r="I713" s="202"/>
      <c r="J713" s="202">
        <v>0</v>
      </c>
      <c r="K713" s="202"/>
      <c r="L713" s="202"/>
      <c r="M713" s="202"/>
      <c r="N713" s="206">
        <v>39755</v>
      </c>
      <c r="O713" s="206">
        <v>39755</v>
      </c>
      <c r="P713" s="202"/>
      <c r="Q713" s="203">
        <v>2500</v>
      </c>
      <c r="R713" s="203">
        <v>15250</v>
      </c>
      <c r="S713" s="204">
        <v>3941167.7</v>
      </c>
      <c r="T713" s="203">
        <v>15256</v>
      </c>
      <c r="U713" s="204">
        <v>2075681.68</v>
      </c>
      <c r="V713" s="204">
        <f t="shared" si="21"/>
        <v>1865486.0200000003</v>
      </c>
      <c r="W713" s="205">
        <v>157646.71</v>
      </c>
      <c r="X713" s="203">
        <v>70269</v>
      </c>
      <c r="Y713" s="204">
        <v>13137.23</v>
      </c>
      <c r="Z713" s="202" t="s">
        <v>1153</v>
      </c>
      <c r="AA713" s="202" t="s">
        <v>1383</v>
      </c>
      <c r="AB713" s="202"/>
      <c r="AC713" s="202"/>
      <c r="AD713" s="202" t="s">
        <v>1152</v>
      </c>
      <c r="AE713" s="202" t="s">
        <v>1153</v>
      </c>
      <c r="AF713" s="203" t="s">
        <v>1154</v>
      </c>
      <c r="AG713" s="208">
        <v>40939</v>
      </c>
      <c r="AH713" s="203" t="s">
        <v>1155</v>
      </c>
      <c r="AI713" s="202">
        <v>0</v>
      </c>
      <c r="AJ713" s="202">
        <v>512351.81</v>
      </c>
    </row>
    <row r="714" spans="2:36">
      <c r="B714" s="203">
        <v>2180</v>
      </c>
      <c r="C714" s="207">
        <v>90658</v>
      </c>
      <c r="D714" s="203" t="s">
        <v>97</v>
      </c>
      <c r="E714" s="202" t="s">
        <v>415</v>
      </c>
      <c r="F714" s="203">
        <v>0</v>
      </c>
      <c r="G714" s="202"/>
      <c r="H714" s="202"/>
      <c r="I714" s="202"/>
      <c r="J714" s="202">
        <v>0</v>
      </c>
      <c r="K714" s="202"/>
      <c r="L714" s="202"/>
      <c r="M714" s="202"/>
      <c r="N714" s="206">
        <v>39755</v>
      </c>
      <c r="O714" s="206">
        <v>39755</v>
      </c>
      <c r="P714" s="202"/>
      <c r="Q714" s="203">
        <v>2500</v>
      </c>
      <c r="R714" s="203">
        <v>15250</v>
      </c>
      <c r="S714" s="204">
        <v>2647605.84</v>
      </c>
      <c r="T714" s="203">
        <v>15256</v>
      </c>
      <c r="U714" s="204">
        <v>1394405.7</v>
      </c>
      <c r="V714" s="204">
        <f t="shared" si="21"/>
        <v>1253200.1399999999</v>
      </c>
      <c r="W714" s="205">
        <v>105904.23</v>
      </c>
      <c r="X714" s="203">
        <v>70269</v>
      </c>
      <c r="Y714" s="204">
        <v>8825.35</v>
      </c>
      <c r="Z714" s="202" t="s">
        <v>1153</v>
      </c>
      <c r="AA714" s="202" t="s">
        <v>1383</v>
      </c>
      <c r="AB714" s="202"/>
      <c r="AC714" s="202"/>
      <c r="AD714" s="202" t="s">
        <v>1152</v>
      </c>
      <c r="AE714" s="202" t="s">
        <v>1153</v>
      </c>
      <c r="AF714" s="203" t="s">
        <v>1154</v>
      </c>
      <c r="AG714" s="208">
        <v>40939</v>
      </c>
      <c r="AH714" s="203" t="s">
        <v>1155</v>
      </c>
      <c r="AI714" s="202">
        <v>0</v>
      </c>
      <c r="AJ714" s="202">
        <v>344188.75</v>
      </c>
    </row>
    <row r="715" spans="2:36">
      <c r="B715" s="203">
        <v>2180</v>
      </c>
      <c r="C715" s="207">
        <v>90657</v>
      </c>
      <c r="D715" s="203" t="s">
        <v>97</v>
      </c>
      <c r="E715" s="202" t="s">
        <v>1966</v>
      </c>
      <c r="F715" s="203">
        <v>0</v>
      </c>
      <c r="G715" s="202"/>
      <c r="H715" s="202"/>
      <c r="I715" s="202"/>
      <c r="J715" s="202">
        <v>0</v>
      </c>
      <c r="K715" s="202"/>
      <c r="L715" s="202"/>
      <c r="M715" s="202"/>
      <c r="N715" s="206">
        <v>39755</v>
      </c>
      <c r="O715" s="206">
        <v>39755</v>
      </c>
      <c r="P715" s="202"/>
      <c r="Q715" s="203">
        <v>2000</v>
      </c>
      <c r="R715" s="203">
        <v>15250</v>
      </c>
      <c r="S715" s="204">
        <v>269672</v>
      </c>
      <c r="T715" s="203">
        <v>15256</v>
      </c>
      <c r="U715" s="204">
        <v>177533.95</v>
      </c>
      <c r="V715" s="204">
        <f t="shared" si="21"/>
        <v>92138.049999999988</v>
      </c>
      <c r="W715" s="205">
        <v>13483.59</v>
      </c>
      <c r="X715" s="203">
        <v>70269</v>
      </c>
      <c r="Y715" s="204">
        <v>1123.6300000000001</v>
      </c>
      <c r="Z715" s="202" t="s">
        <v>1153</v>
      </c>
      <c r="AA715" s="202" t="s">
        <v>1383</v>
      </c>
      <c r="AB715" s="202"/>
      <c r="AC715" s="202"/>
      <c r="AD715" s="202" t="s">
        <v>1152</v>
      </c>
      <c r="AE715" s="202" t="s">
        <v>1153</v>
      </c>
      <c r="AF715" s="203" t="s">
        <v>1154</v>
      </c>
      <c r="AG715" s="208">
        <v>40939</v>
      </c>
      <c r="AH715" s="203" t="s">
        <v>1155</v>
      </c>
      <c r="AI715" s="202">
        <v>0</v>
      </c>
      <c r="AJ715" s="202">
        <v>43821.67</v>
      </c>
    </row>
    <row r="716" spans="2:36">
      <c r="B716" s="203">
        <v>2180</v>
      </c>
      <c r="C716" s="207">
        <v>90656</v>
      </c>
      <c r="D716" s="203" t="s">
        <v>97</v>
      </c>
      <c r="E716" s="202" t="s">
        <v>1965</v>
      </c>
      <c r="F716" s="203">
        <v>0</v>
      </c>
      <c r="G716" s="202"/>
      <c r="H716" s="202"/>
      <c r="I716" s="202"/>
      <c r="J716" s="202">
        <v>0</v>
      </c>
      <c r="K716" s="202"/>
      <c r="L716" s="202"/>
      <c r="M716" s="202"/>
      <c r="N716" s="206">
        <v>39755</v>
      </c>
      <c r="O716" s="206">
        <v>39755</v>
      </c>
      <c r="P716" s="202"/>
      <c r="Q716" s="203">
        <v>500</v>
      </c>
      <c r="R716" s="203">
        <v>15250</v>
      </c>
      <c r="S716" s="204">
        <v>148324.34</v>
      </c>
      <c r="T716" s="203">
        <v>15256</v>
      </c>
      <c r="U716" s="204">
        <v>148324.34</v>
      </c>
      <c r="V716" s="204">
        <f t="shared" si="21"/>
        <v>0</v>
      </c>
      <c r="W716" s="205">
        <v>0</v>
      </c>
      <c r="X716" s="203">
        <v>70269</v>
      </c>
      <c r="Y716" s="204">
        <v>0</v>
      </c>
      <c r="Z716" s="202" t="s">
        <v>1153</v>
      </c>
      <c r="AA716" s="202" t="s">
        <v>1383</v>
      </c>
      <c r="AB716" s="202"/>
      <c r="AC716" s="202"/>
      <c r="AD716" s="202" t="s">
        <v>1152</v>
      </c>
      <c r="AE716" s="202" t="s">
        <v>1153</v>
      </c>
      <c r="AF716" s="203" t="s">
        <v>1154</v>
      </c>
      <c r="AG716" s="208">
        <v>40939</v>
      </c>
      <c r="AH716" s="203" t="s">
        <v>1155</v>
      </c>
      <c r="AI716" s="202">
        <v>0</v>
      </c>
      <c r="AJ716" s="202">
        <v>96410.83</v>
      </c>
    </row>
    <row r="717" spans="2:36">
      <c r="B717" s="203">
        <v>2180</v>
      </c>
      <c r="C717" s="207">
        <v>90655</v>
      </c>
      <c r="D717" s="203" t="s">
        <v>97</v>
      </c>
      <c r="E717" s="202" t="s">
        <v>1964</v>
      </c>
      <c r="F717" s="203">
        <v>0</v>
      </c>
      <c r="G717" s="202"/>
      <c r="H717" s="202"/>
      <c r="I717" s="202"/>
      <c r="J717" s="202">
        <v>0</v>
      </c>
      <c r="K717" s="202"/>
      <c r="L717" s="202"/>
      <c r="M717" s="202"/>
      <c r="N717" s="206">
        <v>39755</v>
      </c>
      <c r="O717" s="206">
        <v>39755</v>
      </c>
      <c r="P717" s="202"/>
      <c r="Q717" s="203">
        <v>4000</v>
      </c>
      <c r="R717" s="203">
        <v>15250</v>
      </c>
      <c r="S717" s="204">
        <v>11217831.52</v>
      </c>
      <c r="T717" s="203">
        <v>15256</v>
      </c>
      <c r="U717" s="204">
        <v>3692536.24</v>
      </c>
      <c r="V717" s="204">
        <f t="shared" si="21"/>
        <v>7525295.2799999993</v>
      </c>
      <c r="W717" s="205">
        <v>280445.78999999998</v>
      </c>
      <c r="X717" s="203">
        <v>70269</v>
      </c>
      <c r="Y717" s="204">
        <v>23370.48</v>
      </c>
      <c r="Z717" s="202" t="s">
        <v>1153</v>
      </c>
      <c r="AA717" s="202" t="s">
        <v>1383</v>
      </c>
      <c r="AB717" s="202"/>
      <c r="AC717" s="202"/>
      <c r="AD717" s="202" t="s">
        <v>1152</v>
      </c>
      <c r="AE717" s="202" t="s">
        <v>1153</v>
      </c>
      <c r="AF717" s="203" t="s">
        <v>1154</v>
      </c>
      <c r="AG717" s="208">
        <v>40939</v>
      </c>
      <c r="AH717" s="203" t="s">
        <v>1155</v>
      </c>
      <c r="AI717" s="202">
        <v>0</v>
      </c>
      <c r="AJ717" s="202">
        <v>911448.82</v>
      </c>
    </row>
    <row r="718" spans="2:36">
      <c r="B718" s="203">
        <v>2180</v>
      </c>
      <c r="C718" s="207">
        <v>90654</v>
      </c>
      <c r="D718" s="203" t="s">
        <v>97</v>
      </c>
      <c r="E718" s="202" t="s">
        <v>1963</v>
      </c>
      <c r="F718" s="203">
        <v>0</v>
      </c>
      <c r="G718" s="202"/>
      <c r="H718" s="202"/>
      <c r="I718" s="202"/>
      <c r="J718" s="202">
        <v>0</v>
      </c>
      <c r="K718" s="202"/>
      <c r="L718" s="202"/>
      <c r="M718" s="202"/>
      <c r="N718" s="206">
        <v>39755</v>
      </c>
      <c r="O718" s="206">
        <v>39755</v>
      </c>
      <c r="P718" s="202"/>
      <c r="Q718" s="203">
        <v>2500</v>
      </c>
      <c r="R718" s="203">
        <v>15250</v>
      </c>
      <c r="S718" s="204">
        <v>647940.97</v>
      </c>
      <c r="T718" s="203">
        <v>15256</v>
      </c>
      <c r="U718" s="204">
        <v>341248.8</v>
      </c>
      <c r="V718" s="204">
        <f t="shared" ref="V718:V781" si="22">S718-U718</f>
        <v>306692.17</v>
      </c>
      <c r="W718" s="205">
        <v>25917.63</v>
      </c>
      <c r="X718" s="203">
        <v>70269</v>
      </c>
      <c r="Y718" s="204">
        <v>2159.8000000000002</v>
      </c>
      <c r="Z718" s="202" t="s">
        <v>1153</v>
      </c>
      <c r="AA718" s="202" t="s">
        <v>1383</v>
      </c>
      <c r="AB718" s="202"/>
      <c r="AC718" s="202"/>
      <c r="AD718" s="202" t="s">
        <v>1152</v>
      </c>
      <c r="AE718" s="202" t="s">
        <v>1153</v>
      </c>
      <c r="AF718" s="203" t="s">
        <v>1154</v>
      </c>
      <c r="AG718" s="208">
        <v>40939</v>
      </c>
      <c r="AH718" s="203" t="s">
        <v>1155</v>
      </c>
      <c r="AI718" s="202">
        <v>0</v>
      </c>
      <c r="AJ718" s="202">
        <v>84232.3</v>
      </c>
    </row>
    <row r="719" spans="2:36">
      <c r="B719" s="203">
        <v>2180</v>
      </c>
      <c r="C719" s="207">
        <v>90653</v>
      </c>
      <c r="D719" s="203" t="s">
        <v>97</v>
      </c>
      <c r="E719" s="202" t="s">
        <v>1962</v>
      </c>
      <c r="F719" s="203">
        <v>0</v>
      </c>
      <c r="G719" s="202"/>
      <c r="H719" s="202"/>
      <c r="I719" s="202"/>
      <c r="J719" s="202">
        <v>0</v>
      </c>
      <c r="K719" s="202"/>
      <c r="L719" s="202"/>
      <c r="M719" s="202"/>
      <c r="N719" s="206">
        <v>39755</v>
      </c>
      <c r="O719" s="206">
        <v>39755</v>
      </c>
      <c r="P719" s="202"/>
      <c r="Q719" s="203">
        <v>4000</v>
      </c>
      <c r="R719" s="203">
        <v>15250</v>
      </c>
      <c r="S719" s="204">
        <v>346545.29</v>
      </c>
      <c r="T719" s="203">
        <v>15256</v>
      </c>
      <c r="U719" s="204">
        <v>114071.13</v>
      </c>
      <c r="V719" s="204">
        <f t="shared" si="22"/>
        <v>232474.15999999997</v>
      </c>
      <c r="W719" s="205">
        <v>8663.6299999999992</v>
      </c>
      <c r="X719" s="203">
        <v>70269</v>
      </c>
      <c r="Y719" s="204">
        <v>721.97</v>
      </c>
      <c r="Z719" s="202" t="s">
        <v>1153</v>
      </c>
      <c r="AA719" s="202" t="s">
        <v>1383</v>
      </c>
      <c r="AB719" s="202"/>
      <c r="AC719" s="202"/>
      <c r="AD719" s="202" t="s">
        <v>1152</v>
      </c>
      <c r="AE719" s="202" t="s">
        <v>1153</v>
      </c>
      <c r="AF719" s="203" t="s">
        <v>1154</v>
      </c>
      <c r="AG719" s="208">
        <v>40939</v>
      </c>
      <c r="AH719" s="203" t="s">
        <v>1155</v>
      </c>
      <c r="AI719" s="202">
        <v>0</v>
      </c>
      <c r="AJ719" s="202">
        <v>28156.799999999999</v>
      </c>
    </row>
    <row r="720" spans="2:36">
      <c r="B720" s="203">
        <v>2180</v>
      </c>
      <c r="C720" s="207">
        <v>90652</v>
      </c>
      <c r="D720" s="203" t="s">
        <v>97</v>
      </c>
      <c r="E720" s="202" t="s">
        <v>1961</v>
      </c>
      <c r="F720" s="203">
        <v>0</v>
      </c>
      <c r="G720" s="202"/>
      <c r="H720" s="202"/>
      <c r="I720" s="202"/>
      <c r="J720" s="202">
        <v>0</v>
      </c>
      <c r="K720" s="202"/>
      <c r="L720" s="202"/>
      <c r="M720" s="202"/>
      <c r="N720" s="206">
        <v>39755</v>
      </c>
      <c r="O720" s="206">
        <v>39755</v>
      </c>
      <c r="P720" s="202"/>
      <c r="Q720" s="203">
        <v>500</v>
      </c>
      <c r="R720" s="203">
        <v>15250</v>
      </c>
      <c r="S720" s="204">
        <v>21094.79</v>
      </c>
      <c r="T720" s="203">
        <v>15256</v>
      </c>
      <c r="U720" s="204">
        <v>21094.79</v>
      </c>
      <c r="V720" s="204">
        <f t="shared" si="22"/>
        <v>0</v>
      </c>
      <c r="W720" s="205">
        <v>0</v>
      </c>
      <c r="X720" s="203">
        <v>70269</v>
      </c>
      <c r="Y720" s="204">
        <v>0</v>
      </c>
      <c r="Z720" s="202" t="s">
        <v>1153</v>
      </c>
      <c r="AA720" s="202" t="s">
        <v>1383</v>
      </c>
      <c r="AB720" s="202"/>
      <c r="AC720" s="202"/>
      <c r="AD720" s="202" t="s">
        <v>1152</v>
      </c>
      <c r="AE720" s="202" t="s">
        <v>1153</v>
      </c>
      <c r="AF720" s="203" t="s">
        <v>1154</v>
      </c>
      <c r="AG720" s="208">
        <v>40939</v>
      </c>
      <c r="AH720" s="203" t="s">
        <v>1155</v>
      </c>
      <c r="AI720" s="202">
        <v>0</v>
      </c>
      <c r="AJ720" s="202">
        <v>13711.62</v>
      </c>
    </row>
    <row r="721" spans="2:36">
      <c r="B721" s="203">
        <v>2180</v>
      </c>
      <c r="C721" s="207">
        <v>90651</v>
      </c>
      <c r="D721" s="203" t="s">
        <v>97</v>
      </c>
      <c r="E721" s="202" t="s">
        <v>1960</v>
      </c>
      <c r="F721" s="203">
        <v>0</v>
      </c>
      <c r="G721" s="202"/>
      <c r="H721" s="202"/>
      <c r="I721" s="202"/>
      <c r="J721" s="202">
        <v>0</v>
      </c>
      <c r="K721" s="202"/>
      <c r="L721" s="202"/>
      <c r="M721" s="202"/>
      <c r="N721" s="206">
        <v>39755</v>
      </c>
      <c r="O721" s="206">
        <v>39755</v>
      </c>
      <c r="P721" s="202"/>
      <c r="Q721" s="203">
        <v>2500</v>
      </c>
      <c r="R721" s="203">
        <v>15250</v>
      </c>
      <c r="S721" s="204">
        <v>563423.52</v>
      </c>
      <c r="T721" s="203">
        <v>15256</v>
      </c>
      <c r="U721" s="204">
        <v>296736.38</v>
      </c>
      <c r="V721" s="204">
        <f t="shared" si="22"/>
        <v>266687.14</v>
      </c>
      <c r="W721" s="205">
        <v>22536.94</v>
      </c>
      <c r="X721" s="203">
        <v>70269</v>
      </c>
      <c r="Y721" s="204">
        <v>1878.08</v>
      </c>
      <c r="Z721" s="202" t="s">
        <v>1153</v>
      </c>
      <c r="AA721" s="202" t="s">
        <v>1383</v>
      </c>
      <c r="AB721" s="202"/>
      <c r="AC721" s="202"/>
      <c r="AD721" s="202" t="s">
        <v>1152</v>
      </c>
      <c r="AE721" s="202" t="s">
        <v>1153</v>
      </c>
      <c r="AF721" s="203" t="s">
        <v>1154</v>
      </c>
      <c r="AG721" s="208">
        <v>40939</v>
      </c>
      <c r="AH721" s="203" t="s">
        <v>1155</v>
      </c>
      <c r="AI721" s="202">
        <v>0</v>
      </c>
      <c r="AJ721" s="202">
        <v>73245.06</v>
      </c>
    </row>
    <row r="722" spans="2:36">
      <c r="B722" s="203">
        <v>2180</v>
      </c>
      <c r="C722" s="207">
        <v>90650</v>
      </c>
      <c r="D722" s="203" t="s">
        <v>97</v>
      </c>
      <c r="E722" s="202" t="s">
        <v>1440</v>
      </c>
      <c r="F722" s="203">
        <v>0</v>
      </c>
      <c r="G722" s="202"/>
      <c r="H722" s="202"/>
      <c r="I722" s="202"/>
      <c r="J722" s="202">
        <v>0</v>
      </c>
      <c r="K722" s="202"/>
      <c r="L722" s="202"/>
      <c r="M722" s="202"/>
      <c r="N722" s="206">
        <v>39783</v>
      </c>
      <c r="O722" s="206">
        <v>39783</v>
      </c>
      <c r="P722" s="202"/>
      <c r="Q722" s="203">
        <v>0</v>
      </c>
      <c r="R722" s="203">
        <v>15110</v>
      </c>
      <c r="S722" s="204">
        <v>-2046212.52</v>
      </c>
      <c r="T722" s="203">
        <v>15120</v>
      </c>
      <c r="U722" s="204">
        <v>0</v>
      </c>
      <c r="V722" s="204">
        <f t="shared" si="22"/>
        <v>-2046212.52</v>
      </c>
      <c r="W722" s="205">
        <v>0</v>
      </c>
      <c r="X722" s="203">
        <v>0</v>
      </c>
      <c r="Y722" s="204">
        <v>0</v>
      </c>
      <c r="Z722" s="202" t="s">
        <v>1153</v>
      </c>
      <c r="AA722" s="202" t="s">
        <v>1439</v>
      </c>
      <c r="AB722" s="202"/>
      <c r="AC722" s="202"/>
      <c r="AD722" s="202" t="s">
        <v>1152</v>
      </c>
      <c r="AE722" s="202" t="s">
        <v>1153</v>
      </c>
      <c r="AF722" s="203" t="s">
        <v>1382</v>
      </c>
      <c r="AG722" s="208">
        <v>40939</v>
      </c>
      <c r="AH722" s="203" t="s">
        <v>1155</v>
      </c>
      <c r="AI722" s="202">
        <v>0</v>
      </c>
      <c r="AJ722" s="202">
        <v>0</v>
      </c>
    </row>
    <row r="723" spans="2:36">
      <c r="B723" s="203">
        <v>2180</v>
      </c>
      <c r="C723" s="207">
        <v>90649</v>
      </c>
      <c r="D723" s="203" t="s">
        <v>97</v>
      </c>
      <c r="E723" s="202" t="s">
        <v>1415</v>
      </c>
      <c r="F723" s="203">
        <v>0</v>
      </c>
      <c r="G723" s="202"/>
      <c r="H723" s="202"/>
      <c r="I723" s="202"/>
      <c r="J723" s="202">
        <v>0</v>
      </c>
      <c r="K723" s="202"/>
      <c r="L723" s="202"/>
      <c r="M723" s="202"/>
      <c r="N723" s="206">
        <v>39755</v>
      </c>
      <c r="O723" s="206">
        <v>39755</v>
      </c>
      <c r="P723" s="202"/>
      <c r="Q723" s="203">
        <v>0</v>
      </c>
      <c r="R723" s="203">
        <v>15110</v>
      </c>
      <c r="S723" s="204">
        <v>3420667.72</v>
      </c>
      <c r="T723" s="203">
        <v>15120</v>
      </c>
      <c r="U723" s="204">
        <v>0</v>
      </c>
      <c r="V723" s="204">
        <f t="shared" si="22"/>
        <v>3420667.72</v>
      </c>
      <c r="W723" s="205">
        <v>0</v>
      </c>
      <c r="X723" s="203"/>
      <c r="Y723" s="204">
        <v>0</v>
      </c>
      <c r="Z723" s="202" t="s">
        <v>1153</v>
      </c>
      <c r="AA723" s="202" t="s">
        <v>1383</v>
      </c>
      <c r="AB723" s="202"/>
      <c r="AC723" s="202"/>
      <c r="AD723" s="202" t="s">
        <v>1152</v>
      </c>
      <c r="AE723" s="202" t="s">
        <v>1153</v>
      </c>
      <c r="AF723" s="203" t="s">
        <v>1382</v>
      </c>
      <c r="AG723" s="208">
        <v>40939</v>
      </c>
      <c r="AH723" s="203" t="s">
        <v>1155</v>
      </c>
      <c r="AI723" s="202">
        <v>0</v>
      </c>
      <c r="AJ723" s="202">
        <v>0</v>
      </c>
    </row>
    <row r="724" spans="2:36">
      <c r="B724" s="203">
        <v>2180</v>
      </c>
      <c r="C724" s="207">
        <v>90648</v>
      </c>
      <c r="D724" s="203" t="s">
        <v>97</v>
      </c>
      <c r="E724" s="202" t="s">
        <v>1959</v>
      </c>
      <c r="F724" s="203">
        <v>0</v>
      </c>
      <c r="G724" s="202"/>
      <c r="H724" s="202"/>
      <c r="I724" s="202"/>
      <c r="J724" s="202">
        <v>0</v>
      </c>
      <c r="K724" s="202" t="s">
        <v>1429</v>
      </c>
      <c r="L724" s="202"/>
      <c r="M724" s="202"/>
      <c r="N724" s="206">
        <v>40147</v>
      </c>
      <c r="O724" s="206">
        <v>40147</v>
      </c>
      <c r="P724" s="202" t="s">
        <v>1958</v>
      </c>
      <c r="Q724" s="203">
        <v>300</v>
      </c>
      <c r="R724" s="203">
        <v>14110</v>
      </c>
      <c r="S724" s="204">
        <v>674.37</v>
      </c>
      <c r="T724" s="203">
        <v>14116</v>
      </c>
      <c r="U724" s="204">
        <v>674.37</v>
      </c>
      <c r="V724" s="204">
        <f t="shared" si="22"/>
        <v>0</v>
      </c>
      <c r="W724" s="205">
        <v>0</v>
      </c>
      <c r="X724" s="203">
        <v>70260</v>
      </c>
      <c r="Y724" s="204">
        <v>0</v>
      </c>
      <c r="Z724" s="202" t="s">
        <v>97</v>
      </c>
      <c r="AA724" s="202"/>
      <c r="AB724" s="202" t="s">
        <v>1952</v>
      </c>
      <c r="AC724" s="202"/>
      <c r="AD724" s="202" t="s">
        <v>1152</v>
      </c>
      <c r="AE724" s="202" t="s">
        <v>1153</v>
      </c>
      <c r="AF724" s="203" t="s">
        <v>1154</v>
      </c>
      <c r="AG724" s="208">
        <v>40939</v>
      </c>
      <c r="AH724" s="203" t="s">
        <v>1155</v>
      </c>
      <c r="AI724" s="202">
        <v>0</v>
      </c>
      <c r="AJ724" s="202">
        <v>487.04</v>
      </c>
    </row>
    <row r="725" spans="2:36">
      <c r="B725" s="203">
        <v>2180</v>
      </c>
      <c r="C725" s="207">
        <v>90647</v>
      </c>
      <c r="D725" s="203" t="s">
        <v>97</v>
      </c>
      <c r="E725" s="202" t="s">
        <v>1957</v>
      </c>
      <c r="F725" s="203">
        <v>0</v>
      </c>
      <c r="G725" s="202"/>
      <c r="H725" s="202"/>
      <c r="I725" s="202"/>
      <c r="J725" s="202">
        <v>0</v>
      </c>
      <c r="K725" s="202" t="s">
        <v>1429</v>
      </c>
      <c r="L725" s="202"/>
      <c r="M725" s="202"/>
      <c r="N725" s="206">
        <v>40797</v>
      </c>
      <c r="O725" s="206">
        <v>40797</v>
      </c>
      <c r="P725" s="202" t="s">
        <v>1956</v>
      </c>
      <c r="Q725" s="203">
        <v>300</v>
      </c>
      <c r="R725" s="203">
        <v>14110</v>
      </c>
      <c r="S725" s="204">
        <v>986.21</v>
      </c>
      <c r="T725" s="203">
        <v>14116</v>
      </c>
      <c r="U725" s="204">
        <v>986.21</v>
      </c>
      <c r="V725" s="204">
        <f t="shared" si="22"/>
        <v>0</v>
      </c>
      <c r="W725" s="205">
        <v>0</v>
      </c>
      <c r="X725" s="203">
        <v>70260</v>
      </c>
      <c r="Y725" s="204">
        <v>0</v>
      </c>
      <c r="Z725" s="202" t="s">
        <v>97</v>
      </c>
      <c r="AA725" s="202"/>
      <c r="AB725" s="202" t="s">
        <v>1955</v>
      </c>
      <c r="AC725" s="202"/>
      <c r="AD725" s="202" t="s">
        <v>1152</v>
      </c>
      <c r="AE725" s="202" t="s">
        <v>1153</v>
      </c>
      <c r="AF725" s="203" t="s">
        <v>1154</v>
      </c>
      <c r="AG725" s="208">
        <v>40939</v>
      </c>
      <c r="AH725" s="203" t="s">
        <v>1155</v>
      </c>
      <c r="AI725" s="202">
        <v>0</v>
      </c>
      <c r="AJ725" s="202">
        <v>136.97999999999999</v>
      </c>
    </row>
    <row r="726" spans="2:36">
      <c r="B726" s="203">
        <v>2180</v>
      </c>
      <c r="C726" s="207">
        <v>90646</v>
      </c>
      <c r="D726" s="203" t="s">
        <v>97</v>
      </c>
      <c r="E726" s="202" t="s">
        <v>1954</v>
      </c>
      <c r="F726" s="203">
        <v>0</v>
      </c>
      <c r="G726" s="202"/>
      <c r="H726" s="202"/>
      <c r="I726" s="202"/>
      <c r="J726" s="202">
        <v>0</v>
      </c>
      <c r="K726" s="202" t="s">
        <v>1429</v>
      </c>
      <c r="L726" s="202"/>
      <c r="M726" s="202"/>
      <c r="N726" s="206">
        <v>40147</v>
      </c>
      <c r="O726" s="206">
        <v>40147</v>
      </c>
      <c r="P726" s="202" t="s">
        <v>1953</v>
      </c>
      <c r="Q726" s="203">
        <v>300</v>
      </c>
      <c r="R726" s="203">
        <v>14110</v>
      </c>
      <c r="S726" s="204">
        <v>1902</v>
      </c>
      <c r="T726" s="203">
        <v>14116</v>
      </c>
      <c r="U726" s="204">
        <v>1902</v>
      </c>
      <c r="V726" s="204">
        <f t="shared" si="22"/>
        <v>0</v>
      </c>
      <c r="W726" s="205">
        <v>0</v>
      </c>
      <c r="X726" s="203">
        <v>70260</v>
      </c>
      <c r="Y726" s="204">
        <v>0</v>
      </c>
      <c r="Z726" s="202" t="s">
        <v>97</v>
      </c>
      <c r="AA726" s="202"/>
      <c r="AB726" s="202" t="s">
        <v>1952</v>
      </c>
      <c r="AC726" s="202"/>
      <c r="AD726" s="202" t="s">
        <v>1152</v>
      </c>
      <c r="AE726" s="202" t="s">
        <v>1153</v>
      </c>
      <c r="AF726" s="203" t="s">
        <v>1154</v>
      </c>
      <c r="AG726" s="208">
        <v>40939</v>
      </c>
      <c r="AH726" s="203" t="s">
        <v>1155</v>
      </c>
      <c r="AI726" s="202">
        <v>0</v>
      </c>
      <c r="AJ726" s="202">
        <v>1373.66</v>
      </c>
    </row>
    <row r="727" spans="2:36">
      <c r="B727" s="203">
        <v>2180</v>
      </c>
      <c r="C727" s="207">
        <v>90645</v>
      </c>
      <c r="D727" s="203" t="s">
        <v>97</v>
      </c>
      <c r="E727" s="202" t="s">
        <v>1951</v>
      </c>
      <c r="F727" s="203">
        <v>0</v>
      </c>
      <c r="G727" s="202"/>
      <c r="H727" s="202"/>
      <c r="I727" s="202"/>
      <c r="J727" s="202">
        <v>0</v>
      </c>
      <c r="K727" s="202"/>
      <c r="L727" s="202"/>
      <c r="M727" s="202"/>
      <c r="N727" s="206">
        <v>40862</v>
      </c>
      <c r="O727" s="206">
        <v>40862</v>
      </c>
      <c r="P727" s="202" t="s">
        <v>1950</v>
      </c>
      <c r="Q727" s="203">
        <v>300</v>
      </c>
      <c r="R727" s="203">
        <v>14110</v>
      </c>
      <c r="S727" s="204">
        <v>6989.73</v>
      </c>
      <c r="T727" s="203">
        <v>14116</v>
      </c>
      <c r="U727" s="204">
        <v>6989.73</v>
      </c>
      <c r="V727" s="204">
        <f t="shared" si="22"/>
        <v>0</v>
      </c>
      <c r="W727" s="205">
        <v>0</v>
      </c>
      <c r="X727" s="203">
        <v>70260</v>
      </c>
      <c r="Y727" s="204">
        <v>0</v>
      </c>
      <c r="Z727" s="202" t="s">
        <v>97</v>
      </c>
      <c r="AA727" s="202"/>
      <c r="AB727" s="202">
        <v>93763</v>
      </c>
      <c r="AC727" s="202"/>
      <c r="AD727" s="202" t="s">
        <v>1152</v>
      </c>
      <c r="AE727" s="202" t="s">
        <v>1153</v>
      </c>
      <c r="AF727" s="203" t="s">
        <v>1154</v>
      </c>
      <c r="AG727" s="208">
        <v>40939</v>
      </c>
      <c r="AH727" s="203" t="s">
        <v>1155</v>
      </c>
      <c r="AI727" s="202">
        <v>0</v>
      </c>
      <c r="AJ727" s="202">
        <v>582.48</v>
      </c>
    </row>
    <row r="728" spans="2:36">
      <c r="B728" s="203">
        <v>2180</v>
      </c>
      <c r="C728" s="207">
        <v>90644</v>
      </c>
      <c r="D728" s="203" t="s">
        <v>97</v>
      </c>
      <c r="E728" s="202" t="s">
        <v>1512</v>
      </c>
      <c r="F728" s="203">
        <v>0</v>
      </c>
      <c r="G728" s="202"/>
      <c r="H728" s="202"/>
      <c r="I728" s="202"/>
      <c r="J728" s="202">
        <v>0</v>
      </c>
      <c r="K728" s="202" t="s">
        <v>109</v>
      </c>
      <c r="L728" s="202"/>
      <c r="M728" s="202"/>
      <c r="N728" s="206">
        <v>40016</v>
      </c>
      <c r="O728" s="206">
        <v>40016</v>
      </c>
      <c r="P728" s="202" t="s">
        <v>1948</v>
      </c>
      <c r="Q728" s="203">
        <v>500</v>
      </c>
      <c r="R728" s="203">
        <v>14070</v>
      </c>
      <c r="S728" s="204">
        <v>10913.06</v>
      </c>
      <c r="T728" s="203">
        <v>14076</v>
      </c>
      <c r="U728" s="204">
        <v>10913.06</v>
      </c>
      <c r="V728" s="204">
        <f t="shared" si="22"/>
        <v>0</v>
      </c>
      <c r="W728" s="205">
        <v>0</v>
      </c>
      <c r="X728" s="203">
        <v>51260</v>
      </c>
      <c r="Y728" s="204">
        <v>0</v>
      </c>
      <c r="Z728" s="202" t="s">
        <v>97</v>
      </c>
      <c r="AA728" s="202"/>
      <c r="AB728" s="202" t="s">
        <v>1511</v>
      </c>
      <c r="AC728" s="202"/>
      <c r="AD728" s="202" t="s">
        <v>1152</v>
      </c>
      <c r="AE728" s="202" t="s">
        <v>1153</v>
      </c>
      <c r="AF728" s="203" t="s">
        <v>1154</v>
      </c>
      <c r="AG728" s="208">
        <v>40939</v>
      </c>
      <c r="AH728" s="203" t="s">
        <v>1155</v>
      </c>
      <c r="AI728" s="202">
        <v>0</v>
      </c>
      <c r="AJ728" s="202">
        <v>5456.52</v>
      </c>
    </row>
    <row r="729" spans="2:36">
      <c r="B729" s="203">
        <v>2180</v>
      </c>
      <c r="C729" s="207">
        <v>90643</v>
      </c>
      <c r="D729" s="203" t="s">
        <v>97</v>
      </c>
      <c r="E729" s="202" t="s">
        <v>1498</v>
      </c>
      <c r="F729" s="203">
        <v>0</v>
      </c>
      <c r="G729" s="202"/>
      <c r="H729" s="202"/>
      <c r="I729" s="202"/>
      <c r="J729" s="202">
        <v>0</v>
      </c>
      <c r="K729" s="202" t="s">
        <v>109</v>
      </c>
      <c r="L729" s="202"/>
      <c r="M729" s="202"/>
      <c r="N729" s="206">
        <v>40002</v>
      </c>
      <c r="O729" s="206">
        <v>40002</v>
      </c>
      <c r="P729" s="202" t="s">
        <v>1948</v>
      </c>
      <c r="Q729" s="203">
        <v>500</v>
      </c>
      <c r="R729" s="203">
        <v>14070</v>
      </c>
      <c r="S729" s="204">
        <v>1078.6500000000001</v>
      </c>
      <c r="T729" s="203">
        <v>14076</v>
      </c>
      <c r="U729" s="204">
        <v>1078.6500000000001</v>
      </c>
      <c r="V729" s="204">
        <f t="shared" si="22"/>
        <v>0</v>
      </c>
      <c r="W729" s="205">
        <v>0</v>
      </c>
      <c r="X729" s="203">
        <v>51260</v>
      </c>
      <c r="Y729" s="204">
        <v>0</v>
      </c>
      <c r="Z729" s="202" t="s">
        <v>97</v>
      </c>
      <c r="AA729" s="202"/>
      <c r="AB729" s="202" t="s">
        <v>1497</v>
      </c>
      <c r="AC729" s="202"/>
      <c r="AD729" s="202" t="s">
        <v>1152</v>
      </c>
      <c r="AE729" s="202" t="s">
        <v>1153</v>
      </c>
      <c r="AF729" s="203" t="s">
        <v>1154</v>
      </c>
      <c r="AG729" s="208">
        <v>40939</v>
      </c>
      <c r="AH729" s="203" t="s">
        <v>1155</v>
      </c>
      <c r="AI729" s="202">
        <v>0</v>
      </c>
      <c r="AJ729" s="202">
        <v>557.30999999999995</v>
      </c>
    </row>
    <row r="730" spans="2:36">
      <c r="B730" s="203">
        <v>2180</v>
      </c>
      <c r="C730" s="207">
        <v>90642</v>
      </c>
      <c r="D730" s="203" t="s">
        <v>97</v>
      </c>
      <c r="E730" s="202" t="s">
        <v>1949</v>
      </c>
      <c r="F730" s="203">
        <v>0</v>
      </c>
      <c r="G730" s="202"/>
      <c r="H730" s="202"/>
      <c r="I730" s="202"/>
      <c r="J730" s="202">
        <v>0</v>
      </c>
      <c r="K730" s="202" t="s">
        <v>109</v>
      </c>
      <c r="L730" s="202"/>
      <c r="M730" s="202"/>
      <c r="N730" s="206">
        <v>39986</v>
      </c>
      <c r="O730" s="206">
        <v>39986</v>
      </c>
      <c r="P730" s="202" t="s">
        <v>1948</v>
      </c>
      <c r="Q730" s="203">
        <v>500</v>
      </c>
      <c r="R730" s="203">
        <v>14070</v>
      </c>
      <c r="S730" s="204">
        <v>32932.65</v>
      </c>
      <c r="T730" s="203">
        <v>14076</v>
      </c>
      <c r="U730" s="204">
        <v>32932.65</v>
      </c>
      <c r="V730" s="204">
        <f t="shared" si="22"/>
        <v>0</v>
      </c>
      <c r="W730" s="205">
        <v>0</v>
      </c>
      <c r="X730" s="203">
        <v>51260</v>
      </c>
      <c r="Y730" s="204">
        <v>0</v>
      </c>
      <c r="Z730" s="202" t="s">
        <v>97</v>
      </c>
      <c r="AA730" s="202"/>
      <c r="AB730" s="202" t="s">
        <v>1493</v>
      </c>
      <c r="AC730" s="202"/>
      <c r="AD730" s="202" t="s">
        <v>1152</v>
      </c>
      <c r="AE730" s="202" t="s">
        <v>1153</v>
      </c>
      <c r="AF730" s="203" t="s">
        <v>1154</v>
      </c>
      <c r="AG730" s="208">
        <v>40939</v>
      </c>
      <c r="AH730" s="203" t="s">
        <v>1155</v>
      </c>
      <c r="AI730" s="202">
        <v>0</v>
      </c>
      <c r="AJ730" s="202">
        <v>17015.21</v>
      </c>
    </row>
    <row r="731" spans="2:36">
      <c r="B731" s="203">
        <v>2180</v>
      </c>
      <c r="C731" s="207">
        <v>90641</v>
      </c>
      <c r="D731" s="203" t="s">
        <v>97</v>
      </c>
      <c r="E731" s="202" t="s">
        <v>1543</v>
      </c>
      <c r="F731" s="203">
        <v>357</v>
      </c>
      <c r="G731" s="202"/>
      <c r="H731" s="202"/>
      <c r="I731" s="202"/>
      <c r="J731" s="202">
        <v>0</v>
      </c>
      <c r="K731" s="202" t="s">
        <v>1540</v>
      </c>
      <c r="L731" s="202"/>
      <c r="M731" s="202"/>
      <c r="N731" s="206">
        <v>40313</v>
      </c>
      <c r="O731" s="206">
        <v>40313</v>
      </c>
      <c r="P731" s="202" t="s">
        <v>1932</v>
      </c>
      <c r="Q731" s="203">
        <v>700</v>
      </c>
      <c r="R731" s="203">
        <v>14050</v>
      </c>
      <c r="S731" s="204">
        <v>19606</v>
      </c>
      <c r="T731" s="203">
        <v>14056</v>
      </c>
      <c r="U731" s="204">
        <v>19606</v>
      </c>
      <c r="V731" s="204">
        <f t="shared" si="22"/>
        <v>0</v>
      </c>
      <c r="W731" s="205">
        <v>0</v>
      </c>
      <c r="X731" s="203">
        <v>54260</v>
      </c>
      <c r="Y731" s="204">
        <v>0</v>
      </c>
      <c r="Z731" s="202" t="s">
        <v>97</v>
      </c>
      <c r="AA731" s="202"/>
      <c r="AB731" s="202" t="s">
        <v>1542</v>
      </c>
      <c r="AC731" s="202"/>
      <c r="AD731" s="202" t="s">
        <v>1152</v>
      </c>
      <c r="AE731" s="202" t="s">
        <v>1153</v>
      </c>
      <c r="AF731" s="203" t="s">
        <v>1154</v>
      </c>
      <c r="AG731" s="208">
        <v>40939</v>
      </c>
      <c r="AH731" s="203" t="s">
        <v>1155</v>
      </c>
      <c r="AI731" s="202">
        <v>0</v>
      </c>
      <c r="AJ731" s="202">
        <v>4901.51</v>
      </c>
    </row>
    <row r="732" spans="2:36">
      <c r="B732" s="203">
        <v>2180</v>
      </c>
      <c r="C732" s="207">
        <v>90640</v>
      </c>
      <c r="D732" s="203" t="s">
        <v>97</v>
      </c>
      <c r="E732" s="202" t="s">
        <v>1921</v>
      </c>
      <c r="F732" s="203">
        <v>486</v>
      </c>
      <c r="G732" s="202"/>
      <c r="H732" s="202" t="s">
        <v>1938</v>
      </c>
      <c r="I732" s="202"/>
      <c r="J732" s="202">
        <v>0</v>
      </c>
      <c r="K732" s="202" t="s">
        <v>1540</v>
      </c>
      <c r="L732" s="202"/>
      <c r="M732" s="202"/>
      <c r="N732" s="206">
        <v>40354</v>
      </c>
      <c r="O732" s="206">
        <v>40354</v>
      </c>
      <c r="P732" s="202" t="s">
        <v>1919</v>
      </c>
      <c r="Q732" s="203">
        <v>700</v>
      </c>
      <c r="R732" s="203">
        <v>14050</v>
      </c>
      <c r="S732" s="204">
        <v>25672.799999999999</v>
      </c>
      <c r="T732" s="203">
        <v>14056</v>
      </c>
      <c r="U732" s="204">
        <v>25672.799999999999</v>
      </c>
      <c r="V732" s="204">
        <f t="shared" si="22"/>
        <v>0</v>
      </c>
      <c r="W732" s="205">
        <v>0</v>
      </c>
      <c r="X732" s="203">
        <v>54260</v>
      </c>
      <c r="Y732" s="204">
        <v>0</v>
      </c>
      <c r="Z732" s="202" t="s">
        <v>97</v>
      </c>
      <c r="AA732" s="202"/>
      <c r="AB732" s="202" t="s">
        <v>1947</v>
      </c>
      <c r="AC732" s="202"/>
      <c r="AD732" s="202" t="s">
        <v>1152</v>
      </c>
      <c r="AE732" s="202" t="s">
        <v>1153</v>
      </c>
      <c r="AF732" s="203" t="s">
        <v>1154</v>
      </c>
      <c r="AG732" s="208">
        <v>40939</v>
      </c>
      <c r="AH732" s="203" t="s">
        <v>1155</v>
      </c>
      <c r="AI732" s="202">
        <v>0</v>
      </c>
      <c r="AJ732" s="202">
        <v>5806.94</v>
      </c>
    </row>
    <row r="733" spans="2:36">
      <c r="B733" s="203">
        <v>2180</v>
      </c>
      <c r="C733" s="207">
        <v>90638</v>
      </c>
      <c r="D733" s="203" t="s">
        <v>97</v>
      </c>
      <c r="E733" s="202" t="s">
        <v>1946</v>
      </c>
      <c r="F733" s="203">
        <v>486</v>
      </c>
      <c r="G733" s="202"/>
      <c r="H733" s="202" t="s">
        <v>1945</v>
      </c>
      <c r="I733" s="202"/>
      <c r="J733" s="202">
        <v>0</v>
      </c>
      <c r="K733" s="202" t="s">
        <v>1658</v>
      </c>
      <c r="L733" s="202"/>
      <c r="M733" s="202"/>
      <c r="N733" s="206">
        <v>40667</v>
      </c>
      <c r="O733" s="206">
        <v>40667</v>
      </c>
      <c r="P733" s="202" t="s">
        <v>1883</v>
      </c>
      <c r="Q733" s="203">
        <v>700</v>
      </c>
      <c r="R733" s="203">
        <v>14050</v>
      </c>
      <c r="S733" s="204">
        <v>25210.65</v>
      </c>
      <c r="T733" s="203">
        <v>14056</v>
      </c>
      <c r="U733" s="204">
        <v>25210.65</v>
      </c>
      <c r="V733" s="204">
        <f t="shared" si="22"/>
        <v>0</v>
      </c>
      <c r="W733" s="205">
        <v>0</v>
      </c>
      <c r="X733" s="203">
        <v>54260</v>
      </c>
      <c r="Y733" s="204">
        <v>0</v>
      </c>
      <c r="Z733" s="202" t="s">
        <v>97</v>
      </c>
      <c r="AA733" s="202"/>
      <c r="AB733" s="202" t="s">
        <v>1944</v>
      </c>
      <c r="AC733" s="202"/>
      <c r="AD733" s="202" t="s">
        <v>1152</v>
      </c>
      <c r="AE733" s="202" t="s">
        <v>1153</v>
      </c>
      <c r="AF733" s="203" t="s">
        <v>1154</v>
      </c>
      <c r="AG733" s="208">
        <v>40939</v>
      </c>
      <c r="AH733" s="203" t="s">
        <v>1155</v>
      </c>
      <c r="AI733" s="202">
        <v>0</v>
      </c>
      <c r="AJ733" s="202">
        <v>2701.15</v>
      </c>
    </row>
    <row r="734" spans="2:36">
      <c r="B734" s="203">
        <v>2180</v>
      </c>
      <c r="C734" s="207">
        <v>90637</v>
      </c>
      <c r="D734" s="203" t="s">
        <v>97</v>
      </c>
      <c r="E734" s="202" t="s">
        <v>1670</v>
      </c>
      <c r="F734" s="203">
        <v>49</v>
      </c>
      <c r="G734" s="202"/>
      <c r="H734" s="202"/>
      <c r="I734" s="202"/>
      <c r="J734" s="202">
        <v>0</v>
      </c>
      <c r="K734" s="202" t="s">
        <v>1658</v>
      </c>
      <c r="L734" s="202"/>
      <c r="M734" s="202"/>
      <c r="N734" s="206">
        <v>40667</v>
      </c>
      <c r="O734" s="206">
        <v>40667</v>
      </c>
      <c r="P734" s="202" t="s">
        <v>1883</v>
      </c>
      <c r="Q734" s="203">
        <v>700</v>
      </c>
      <c r="R734" s="203">
        <v>14050</v>
      </c>
      <c r="S734" s="204">
        <v>2541.8200000000002</v>
      </c>
      <c r="T734" s="203">
        <v>14056</v>
      </c>
      <c r="U734" s="204">
        <v>2541.8200000000002</v>
      </c>
      <c r="V734" s="204">
        <f t="shared" si="22"/>
        <v>0</v>
      </c>
      <c r="W734" s="205">
        <v>0</v>
      </c>
      <c r="X734" s="203">
        <v>54260</v>
      </c>
      <c r="Y734" s="204">
        <v>0</v>
      </c>
      <c r="Z734" s="202" t="s">
        <v>97</v>
      </c>
      <c r="AA734" s="202"/>
      <c r="AB734" s="202" t="s">
        <v>1943</v>
      </c>
      <c r="AC734" s="202"/>
      <c r="AD734" s="202" t="s">
        <v>1152</v>
      </c>
      <c r="AE734" s="202" t="s">
        <v>1153</v>
      </c>
      <c r="AF734" s="203" t="s">
        <v>1154</v>
      </c>
      <c r="AG734" s="208">
        <v>40939</v>
      </c>
      <c r="AH734" s="203" t="s">
        <v>1155</v>
      </c>
      <c r="AI734" s="202">
        <v>0</v>
      </c>
      <c r="AJ734" s="202">
        <v>272.33999999999997</v>
      </c>
    </row>
    <row r="735" spans="2:36">
      <c r="B735" s="203">
        <v>2180</v>
      </c>
      <c r="C735" s="207">
        <v>90636</v>
      </c>
      <c r="D735" s="203" t="s">
        <v>97</v>
      </c>
      <c r="E735" s="202" t="s">
        <v>1670</v>
      </c>
      <c r="F735" s="203">
        <v>486</v>
      </c>
      <c r="G735" s="202"/>
      <c r="H735" s="202" t="s">
        <v>1942</v>
      </c>
      <c r="I735" s="202"/>
      <c r="J735" s="202">
        <v>0</v>
      </c>
      <c r="K735" s="202" t="s">
        <v>1658</v>
      </c>
      <c r="L735" s="202"/>
      <c r="M735" s="202"/>
      <c r="N735" s="206">
        <v>40667</v>
      </c>
      <c r="O735" s="206">
        <v>40667</v>
      </c>
      <c r="P735" s="202" t="s">
        <v>1883</v>
      </c>
      <c r="Q735" s="203">
        <v>700</v>
      </c>
      <c r="R735" s="203">
        <v>14050</v>
      </c>
      <c r="S735" s="204">
        <v>25210.65</v>
      </c>
      <c r="T735" s="203">
        <v>14056</v>
      </c>
      <c r="U735" s="204">
        <v>25210.65</v>
      </c>
      <c r="V735" s="204">
        <f t="shared" si="22"/>
        <v>0</v>
      </c>
      <c r="W735" s="205">
        <v>0</v>
      </c>
      <c r="X735" s="203">
        <v>54260</v>
      </c>
      <c r="Y735" s="204">
        <v>0</v>
      </c>
      <c r="Z735" s="202" t="s">
        <v>97</v>
      </c>
      <c r="AA735" s="202"/>
      <c r="AB735" s="202" t="s">
        <v>1941</v>
      </c>
      <c r="AC735" s="202"/>
      <c r="AD735" s="202" t="s">
        <v>1152</v>
      </c>
      <c r="AE735" s="202" t="s">
        <v>1153</v>
      </c>
      <c r="AF735" s="203" t="s">
        <v>1154</v>
      </c>
      <c r="AG735" s="208">
        <v>40939</v>
      </c>
      <c r="AH735" s="203" t="s">
        <v>1155</v>
      </c>
      <c r="AI735" s="202">
        <v>0</v>
      </c>
      <c r="AJ735" s="202">
        <v>2701.15</v>
      </c>
    </row>
    <row r="736" spans="2:36">
      <c r="B736" s="203">
        <v>2180</v>
      </c>
      <c r="C736" s="207">
        <v>90635</v>
      </c>
      <c r="D736" s="203" t="s">
        <v>97</v>
      </c>
      <c r="E736" s="202" t="s">
        <v>1666</v>
      </c>
      <c r="F736" s="203">
        <v>440</v>
      </c>
      <c r="G736" s="202"/>
      <c r="H736" s="202" t="s">
        <v>1940</v>
      </c>
      <c r="I736" s="202"/>
      <c r="J736" s="202">
        <v>0</v>
      </c>
      <c r="K736" s="202" t="s">
        <v>1658</v>
      </c>
      <c r="L736" s="202"/>
      <c r="M736" s="202"/>
      <c r="N736" s="206">
        <v>40651</v>
      </c>
      <c r="O736" s="206">
        <v>40651</v>
      </c>
      <c r="P736" s="202" t="s">
        <v>1899</v>
      </c>
      <c r="Q736" s="203">
        <v>700</v>
      </c>
      <c r="R736" s="203">
        <v>14050</v>
      </c>
      <c r="S736" s="204">
        <v>15548.14</v>
      </c>
      <c r="T736" s="203">
        <v>14056</v>
      </c>
      <c r="U736" s="204">
        <v>15548.14</v>
      </c>
      <c r="V736" s="204">
        <f t="shared" si="22"/>
        <v>0</v>
      </c>
      <c r="W736" s="205">
        <v>0</v>
      </c>
      <c r="X736" s="203">
        <v>54260</v>
      </c>
      <c r="Y736" s="204">
        <v>0</v>
      </c>
      <c r="Z736" s="202" t="s">
        <v>97</v>
      </c>
      <c r="AA736" s="202"/>
      <c r="AB736" s="202" t="s">
        <v>1939</v>
      </c>
      <c r="AC736" s="202"/>
      <c r="AD736" s="202" t="s">
        <v>1152</v>
      </c>
      <c r="AE736" s="202" t="s">
        <v>1153</v>
      </c>
      <c r="AF736" s="203" t="s">
        <v>1154</v>
      </c>
      <c r="AG736" s="208">
        <v>40939</v>
      </c>
      <c r="AH736" s="203" t="s">
        <v>1155</v>
      </c>
      <c r="AI736" s="202">
        <v>0</v>
      </c>
      <c r="AJ736" s="202">
        <v>1665.88</v>
      </c>
    </row>
    <row r="737" spans="2:36">
      <c r="B737" s="203">
        <v>2180</v>
      </c>
      <c r="C737" s="207">
        <v>90634</v>
      </c>
      <c r="D737" s="203" t="s">
        <v>97</v>
      </c>
      <c r="E737" s="202" t="s">
        <v>1921</v>
      </c>
      <c r="F737" s="203">
        <v>486</v>
      </c>
      <c r="G737" s="202"/>
      <c r="H737" s="202" t="s">
        <v>1938</v>
      </c>
      <c r="I737" s="202"/>
      <c r="J737" s="202">
        <v>0</v>
      </c>
      <c r="K737" s="202" t="s">
        <v>1540</v>
      </c>
      <c r="L737" s="202"/>
      <c r="M737" s="202"/>
      <c r="N737" s="206">
        <v>40446</v>
      </c>
      <c r="O737" s="206">
        <v>40446</v>
      </c>
      <c r="P737" s="202" t="s">
        <v>1919</v>
      </c>
      <c r="Q737" s="203">
        <v>700</v>
      </c>
      <c r="R737" s="203">
        <v>14050</v>
      </c>
      <c r="S737" s="204">
        <v>24169.51</v>
      </c>
      <c r="T737" s="203">
        <v>14056</v>
      </c>
      <c r="U737" s="204">
        <v>24169.51</v>
      </c>
      <c r="V737" s="204">
        <f t="shared" si="22"/>
        <v>0</v>
      </c>
      <c r="W737" s="205">
        <v>0</v>
      </c>
      <c r="X737" s="203">
        <v>54260</v>
      </c>
      <c r="Y737" s="204">
        <v>0</v>
      </c>
      <c r="Z737" s="202" t="s">
        <v>97</v>
      </c>
      <c r="AA737" s="202"/>
      <c r="AB737" s="202" t="s">
        <v>1937</v>
      </c>
      <c r="AC737" s="202"/>
      <c r="AD737" s="202" t="s">
        <v>1152</v>
      </c>
      <c r="AE737" s="202" t="s">
        <v>1153</v>
      </c>
      <c r="AF737" s="203" t="s">
        <v>1154</v>
      </c>
      <c r="AG737" s="208">
        <v>40939</v>
      </c>
      <c r="AH737" s="203" t="s">
        <v>1155</v>
      </c>
      <c r="AI737" s="202">
        <v>0</v>
      </c>
      <c r="AJ737" s="202">
        <v>4603.72</v>
      </c>
    </row>
    <row r="738" spans="2:36">
      <c r="B738" s="203">
        <v>2180</v>
      </c>
      <c r="C738" s="207">
        <v>90633</v>
      </c>
      <c r="D738" s="203" t="s">
        <v>97</v>
      </c>
      <c r="E738" s="202" t="s">
        <v>1461</v>
      </c>
      <c r="F738" s="203">
        <v>2</v>
      </c>
      <c r="G738" s="202"/>
      <c r="H738" s="202"/>
      <c r="I738" s="202"/>
      <c r="J738" s="202">
        <v>0</v>
      </c>
      <c r="K738" s="202"/>
      <c r="L738" s="202"/>
      <c r="M738" s="202" t="s">
        <v>1460</v>
      </c>
      <c r="N738" s="206">
        <v>39755</v>
      </c>
      <c r="O738" s="206">
        <v>39755</v>
      </c>
      <c r="P738" s="202"/>
      <c r="Q738" s="203">
        <v>700</v>
      </c>
      <c r="R738" s="203">
        <v>14050</v>
      </c>
      <c r="S738" s="204">
        <v>5000</v>
      </c>
      <c r="T738" s="203">
        <v>14056</v>
      </c>
      <c r="U738" s="204">
        <v>5000</v>
      </c>
      <c r="V738" s="204">
        <f t="shared" si="22"/>
        <v>0</v>
      </c>
      <c r="W738" s="205">
        <v>0</v>
      </c>
      <c r="X738" s="203">
        <v>54260</v>
      </c>
      <c r="Y738" s="204">
        <v>0</v>
      </c>
      <c r="Z738" s="202" t="s">
        <v>1153</v>
      </c>
      <c r="AA738" s="202" t="s">
        <v>1383</v>
      </c>
      <c r="AB738" s="202"/>
      <c r="AC738" s="202"/>
      <c r="AD738" s="202" t="s">
        <v>1152</v>
      </c>
      <c r="AE738" s="202" t="s">
        <v>1153</v>
      </c>
      <c r="AF738" s="203" t="s">
        <v>1154</v>
      </c>
      <c r="AG738" s="208">
        <v>40939</v>
      </c>
      <c r="AH738" s="203" t="s">
        <v>1155</v>
      </c>
      <c r="AI738" s="202">
        <v>0</v>
      </c>
      <c r="AJ738" s="202">
        <v>2321.4299999999998</v>
      </c>
    </row>
    <row r="739" spans="2:36">
      <c r="B739" s="203">
        <v>2180</v>
      </c>
      <c r="C739" s="207">
        <v>90632</v>
      </c>
      <c r="D739" s="203" t="s">
        <v>97</v>
      </c>
      <c r="E739" s="202" t="s">
        <v>1936</v>
      </c>
      <c r="F739" s="203">
        <v>648</v>
      </c>
      <c r="G739" s="202"/>
      <c r="H739" s="202"/>
      <c r="I739" s="202"/>
      <c r="J739" s="202">
        <v>0</v>
      </c>
      <c r="K739" s="202" t="s">
        <v>1540</v>
      </c>
      <c r="L739" s="202"/>
      <c r="M739" s="202"/>
      <c r="N739" s="206">
        <v>40434</v>
      </c>
      <c r="O739" s="206">
        <v>40434</v>
      </c>
      <c r="P739" s="202" t="s">
        <v>1935</v>
      </c>
      <c r="Q739" s="203">
        <v>700</v>
      </c>
      <c r="R739" s="203">
        <v>14050</v>
      </c>
      <c r="S739" s="204">
        <v>27714.37</v>
      </c>
      <c r="T739" s="203">
        <v>14056</v>
      </c>
      <c r="U739" s="204">
        <v>27714.37</v>
      </c>
      <c r="V739" s="204">
        <f t="shared" si="22"/>
        <v>0</v>
      </c>
      <c r="W739" s="205">
        <v>0</v>
      </c>
      <c r="X739" s="203">
        <v>54260</v>
      </c>
      <c r="Y739" s="204">
        <v>0</v>
      </c>
      <c r="Z739" s="202" t="s">
        <v>97</v>
      </c>
      <c r="AA739" s="202"/>
      <c r="AB739" s="202" t="s">
        <v>1934</v>
      </c>
      <c r="AC739" s="202"/>
      <c r="AD739" s="202" t="s">
        <v>1152</v>
      </c>
      <c r="AE739" s="202" t="s">
        <v>1153</v>
      </c>
      <c r="AF739" s="203" t="s">
        <v>1154</v>
      </c>
      <c r="AG739" s="208">
        <v>40939</v>
      </c>
      <c r="AH739" s="203" t="s">
        <v>1155</v>
      </c>
      <c r="AI739" s="202">
        <v>0</v>
      </c>
      <c r="AJ739" s="202">
        <v>5608.86</v>
      </c>
    </row>
    <row r="740" spans="2:36">
      <c r="B740" s="203">
        <v>2180</v>
      </c>
      <c r="C740" s="207">
        <v>90631</v>
      </c>
      <c r="D740" s="203" t="s">
        <v>97</v>
      </c>
      <c r="E740" s="202" t="s">
        <v>1550</v>
      </c>
      <c r="F740" s="203">
        <v>13</v>
      </c>
      <c r="G740" s="202"/>
      <c r="H740" s="202"/>
      <c r="I740" s="202"/>
      <c r="J740" s="202">
        <v>0</v>
      </c>
      <c r="K740" s="202" t="s">
        <v>1549</v>
      </c>
      <c r="L740" s="202"/>
      <c r="M740" s="202" t="s">
        <v>1421</v>
      </c>
      <c r="N740" s="206">
        <v>40332</v>
      </c>
      <c r="O740" s="206">
        <v>40332</v>
      </c>
      <c r="P740" s="202" t="s">
        <v>1933</v>
      </c>
      <c r="Q740" s="203">
        <v>1200</v>
      </c>
      <c r="R740" s="203">
        <v>14050</v>
      </c>
      <c r="S740" s="204">
        <v>6771.14</v>
      </c>
      <c r="T740" s="203">
        <v>14056</v>
      </c>
      <c r="U740" s="204">
        <v>6536.01</v>
      </c>
      <c r="V740" s="204">
        <f t="shared" si="22"/>
        <v>235.13000000000011</v>
      </c>
      <c r="W740" s="205">
        <v>564.26</v>
      </c>
      <c r="X740" s="203">
        <v>54260</v>
      </c>
      <c r="Y740" s="204">
        <v>47.02</v>
      </c>
      <c r="Z740" s="202" t="s">
        <v>97</v>
      </c>
      <c r="AA740" s="202"/>
      <c r="AB740" s="202" t="s">
        <v>1547</v>
      </c>
      <c r="AC740" s="202"/>
      <c r="AD740" s="202" t="s">
        <v>1152</v>
      </c>
      <c r="AE740" s="202" t="s">
        <v>1153</v>
      </c>
      <c r="AF740" s="203" t="s">
        <v>1154</v>
      </c>
      <c r="AG740" s="208">
        <v>40939</v>
      </c>
      <c r="AH740" s="203" t="s">
        <v>1155</v>
      </c>
      <c r="AI740" s="202">
        <v>0</v>
      </c>
      <c r="AJ740" s="202">
        <v>940.43</v>
      </c>
    </row>
    <row r="741" spans="2:36">
      <c r="B741" s="203">
        <v>2180</v>
      </c>
      <c r="C741" s="207">
        <v>90630</v>
      </c>
      <c r="D741" s="203" t="s">
        <v>97</v>
      </c>
      <c r="E741" s="202" t="s">
        <v>520</v>
      </c>
      <c r="F741" s="203">
        <v>11</v>
      </c>
      <c r="G741" s="202"/>
      <c r="H741" s="202"/>
      <c r="I741" s="202"/>
      <c r="J741" s="202">
        <v>0</v>
      </c>
      <c r="K741" s="202" t="s">
        <v>1574</v>
      </c>
      <c r="L741" s="202"/>
      <c r="M741" s="202" t="s">
        <v>1456</v>
      </c>
      <c r="N741" s="206">
        <v>40451</v>
      </c>
      <c r="O741" s="206">
        <v>40451</v>
      </c>
      <c r="P741" s="202" t="s">
        <v>1886</v>
      </c>
      <c r="Q741" s="203">
        <v>1200</v>
      </c>
      <c r="R741" s="203">
        <v>14050</v>
      </c>
      <c r="S741" s="204">
        <v>8897.02</v>
      </c>
      <c r="T741" s="203">
        <v>14056</v>
      </c>
      <c r="U741" s="204">
        <v>8340.8799999999992</v>
      </c>
      <c r="V741" s="204">
        <f t="shared" si="22"/>
        <v>556.14000000000124</v>
      </c>
      <c r="W741" s="205">
        <v>741.41</v>
      </c>
      <c r="X741" s="203">
        <v>54260</v>
      </c>
      <c r="Y741" s="204">
        <v>61.78</v>
      </c>
      <c r="Z741" s="202" t="s">
        <v>97</v>
      </c>
      <c r="AA741" s="202"/>
      <c r="AB741" s="202">
        <v>50478</v>
      </c>
      <c r="AC741" s="202"/>
      <c r="AD741" s="202" t="s">
        <v>1152</v>
      </c>
      <c r="AE741" s="202" t="s">
        <v>1153</v>
      </c>
      <c r="AF741" s="203" t="s">
        <v>1154</v>
      </c>
      <c r="AG741" s="208">
        <v>40939</v>
      </c>
      <c r="AH741" s="203" t="s">
        <v>1155</v>
      </c>
      <c r="AI741" s="202">
        <v>0</v>
      </c>
      <c r="AJ741" s="202">
        <v>988.56</v>
      </c>
    </row>
    <row r="742" spans="2:36">
      <c r="B742" s="203">
        <v>2180</v>
      </c>
      <c r="C742" s="207">
        <v>90629</v>
      </c>
      <c r="D742" s="203" t="s">
        <v>97</v>
      </c>
      <c r="E742" s="202" t="s">
        <v>1543</v>
      </c>
      <c r="F742" s="203">
        <v>357</v>
      </c>
      <c r="G742" s="202"/>
      <c r="H742" s="202"/>
      <c r="I742" s="202"/>
      <c r="J742" s="202">
        <v>0</v>
      </c>
      <c r="K742" s="202" t="s">
        <v>1540</v>
      </c>
      <c r="L742" s="202"/>
      <c r="M742" s="202"/>
      <c r="N742" s="206">
        <v>40313</v>
      </c>
      <c r="O742" s="206">
        <v>40313</v>
      </c>
      <c r="P742" s="202" t="s">
        <v>1932</v>
      </c>
      <c r="Q742" s="203">
        <v>700</v>
      </c>
      <c r="R742" s="203">
        <v>14050</v>
      </c>
      <c r="S742" s="204">
        <v>12578.06</v>
      </c>
      <c r="T742" s="203">
        <v>14056</v>
      </c>
      <c r="U742" s="204">
        <v>12578.06</v>
      </c>
      <c r="V742" s="204">
        <f t="shared" si="22"/>
        <v>0</v>
      </c>
      <c r="W742" s="205">
        <v>0</v>
      </c>
      <c r="X742" s="203">
        <v>54260</v>
      </c>
      <c r="Y742" s="204">
        <v>0</v>
      </c>
      <c r="Z742" s="202" t="s">
        <v>97</v>
      </c>
      <c r="AA742" s="202"/>
      <c r="AB742" s="202" t="s">
        <v>1538</v>
      </c>
      <c r="AC742" s="202"/>
      <c r="AD742" s="202" t="s">
        <v>1152</v>
      </c>
      <c r="AE742" s="202" t="s">
        <v>1153</v>
      </c>
      <c r="AF742" s="203" t="s">
        <v>1154</v>
      </c>
      <c r="AG742" s="208">
        <v>40939</v>
      </c>
      <c r="AH742" s="203" t="s">
        <v>1155</v>
      </c>
      <c r="AI742" s="202">
        <v>0</v>
      </c>
      <c r="AJ742" s="202">
        <v>3144.52</v>
      </c>
    </row>
    <row r="743" spans="2:36">
      <c r="B743" s="203">
        <v>2180</v>
      </c>
      <c r="C743" s="207">
        <v>90628</v>
      </c>
      <c r="D743" s="203" t="s">
        <v>97</v>
      </c>
      <c r="E743" s="202" t="s">
        <v>1372</v>
      </c>
      <c r="F743" s="203">
        <v>486</v>
      </c>
      <c r="G743" s="202"/>
      <c r="H743" s="202"/>
      <c r="I743" s="202"/>
      <c r="J743" s="202">
        <v>0</v>
      </c>
      <c r="K743" s="202" t="s">
        <v>1540</v>
      </c>
      <c r="L743" s="202"/>
      <c r="M743" s="202"/>
      <c r="N743" s="206">
        <v>40058</v>
      </c>
      <c r="O743" s="206">
        <v>40058</v>
      </c>
      <c r="P743" s="202" t="s">
        <v>1930</v>
      </c>
      <c r="Q743" s="203">
        <v>700</v>
      </c>
      <c r="R743" s="203">
        <v>14050</v>
      </c>
      <c r="S743" s="204">
        <v>23308.959999999999</v>
      </c>
      <c r="T743" s="203">
        <v>14056</v>
      </c>
      <c r="U743" s="204">
        <v>23308.959999999999</v>
      </c>
      <c r="V743" s="204">
        <f t="shared" si="22"/>
        <v>0</v>
      </c>
      <c r="W743" s="205">
        <v>0</v>
      </c>
      <c r="X743" s="203">
        <v>54260</v>
      </c>
      <c r="Y743" s="204">
        <v>0</v>
      </c>
      <c r="Z743" s="202" t="s">
        <v>97</v>
      </c>
      <c r="AA743" s="202"/>
      <c r="AB743" s="202" t="s">
        <v>1931</v>
      </c>
      <c r="AC743" s="202"/>
      <c r="AD743" s="202" t="s">
        <v>1152</v>
      </c>
      <c r="AE743" s="202" t="s">
        <v>1153</v>
      </c>
      <c r="AF743" s="203" t="s">
        <v>1154</v>
      </c>
      <c r="AG743" s="208">
        <v>40939</v>
      </c>
      <c r="AH743" s="203" t="s">
        <v>1155</v>
      </c>
      <c r="AI743" s="202">
        <v>0</v>
      </c>
      <c r="AJ743" s="202">
        <v>8047.14</v>
      </c>
    </row>
    <row r="744" spans="2:36">
      <c r="B744" s="203">
        <v>2180</v>
      </c>
      <c r="C744" s="207">
        <v>90627</v>
      </c>
      <c r="D744" s="203" t="s">
        <v>97</v>
      </c>
      <c r="E744" s="202" t="s">
        <v>1660</v>
      </c>
      <c r="F744" s="203">
        <v>486</v>
      </c>
      <c r="G744" s="202"/>
      <c r="H744" s="202"/>
      <c r="I744" s="202"/>
      <c r="J744" s="202">
        <v>0</v>
      </c>
      <c r="K744" s="202" t="s">
        <v>1540</v>
      </c>
      <c r="L744" s="202"/>
      <c r="M744" s="202"/>
      <c r="N744" s="206">
        <v>40058</v>
      </c>
      <c r="O744" s="206">
        <v>40058</v>
      </c>
      <c r="P744" s="202" t="s">
        <v>1930</v>
      </c>
      <c r="Q744" s="203">
        <v>700</v>
      </c>
      <c r="R744" s="203">
        <v>14050</v>
      </c>
      <c r="S744" s="204">
        <v>23308.959999999999</v>
      </c>
      <c r="T744" s="203">
        <v>14056</v>
      </c>
      <c r="U744" s="204">
        <v>23308.959999999999</v>
      </c>
      <c r="V744" s="204">
        <f t="shared" si="22"/>
        <v>0</v>
      </c>
      <c r="W744" s="205">
        <v>0</v>
      </c>
      <c r="X744" s="203">
        <v>54260</v>
      </c>
      <c r="Y744" s="204">
        <v>0</v>
      </c>
      <c r="Z744" s="202" t="s">
        <v>97</v>
      </c>
      <c r="AA744" s="202"/>
      <c r="AB744" s="202" t="s">
        <v>1929</v>
      </c>
      <c r="AC744" s="202"/>
      <c r="AD744" s="202" t="s">
        <v>1152</v>
      </c>
      <c r="AE744" s="202" t="s">
        <v>1153</v>
      </c>
      <c r="AF744" s="203" t="s">
        <v>1154</v>
      </c>
      <c r="AG744" s="208">
        <v>40939</v>
      </c>
      <c r="AH744" s="203" t="s">
        <v>1155</v>
      </c>
      <c r="AI744" s="202">
        <v>0</v>
      </c>
      <c r="AJ744" s="202">
        <v>8047.14</v>
      </c>
    </row>
    <row r="745" spans="2:36">
      <c r="B745" s="203">
        <v>2180</v>
      </c>
      <c r="C745" s="207">
        <v>90626</v>
      </c>
      <c r="D745" s="203" t="s">
        <v>97</v>
      </c>
      <c r="E745" s="202" t="s">
        <v>1928</v>
      </c>
      <c r="F745" s="203">
        <v>486</v>
      </c>
      <c r="G745" s="202"/>
      <c r="H745" s="202"/>
      <c r="I745" s="202"/>
      <c r="J745" s="202">
        <v>0</v>
      </c>
      <c r="K745" s="202" t="s">
        <v>1540</v>
      </c>
      <c r="L745" s="202"/>
      <c r="M745" s="202"/>
      <c r="N745" s="206">
        <v>40126</v>
      </c>
      <c r="O745" s="206">
        <v>40126</v>
      </c>
      <c r="P745" s="202" t="s">
        <v>1925</v>
      </c>
      <c r="Q745" s="203">
        <v>700</v>
      </c>
      <c r="R745" s="203">
        <v>14050</v>
      </c>
      <c r="S745" s="204">
        <v>23622.38</v>
      </c>
      <c r="T745" s="203">
        <v>14056</v>
      </c>
      <c r="U745" s="204">
        <v>23622.38</v>
      </c>
      <c r="V745" s="204">
        <f t="shared" si="22"/>
        <v>0</v>
      </c>
      <c r="W745" s="205">
        <v>0</v>
      </c>
      <c r="X745" s="203">
        <v>54260</v>
      </c>
      <c r="Y745" s="204">
        <v>0</v>
      </c>
      <c r="Z745" s="202" t="s">
        <v>97</v>
      </c>
      <c r="AA745" s="202"/>
      <c r="AB745" s="202" t="s">
        <v>1927</v>
      </c>
      <c r="AC745" s="202"/>
      <c r="AD745" s="202" t="s">
        <v>1152</v>
      </c>
      <c r="AE745" s="202" t="s">
        <v>1153</v>
      </c>
      <c r="AF745" s="203" t="s">
        <v>1154</v>
      </c>
      <c r="AG745" s="208">
        <v>40939</v>
      </c>
      <c r="AH745" s="203" t="s">
        <v>1155</v>
      </c>
      <c r="AI745" s="202">
        <v>0</v>
      </c>
      <c r="AJ745" s="202">
        <v>7592.92</v>
      </c>
    </row>
    <row r="746" spans="2:36">
      <c r="B746" s="203">
        <v>2180</v>
      </c>
      <c r="C746" s="207">
        <v>90625</v>
      </c>
      <c r="D746" s="203" t="s">
        <v>97</v>
      </c>
      <c r="E746" s="202" t="s">
        <v>1372</v>
      </c>
      <c r="F746" s="203">
        <v>486</v>
      </c>
      <c r="G746" s="202"/>
      <c r="H746" s="202"/>
      <c r="I746" s="202"/>
      <c r="J746" s="202">
        <v>0</v>
      </c>
      <c r="K746" s="202" t="s">
        <v>1540</v>
      </c>
      <c r="L746" s="202"/>
      <c r="M746" s="202"/>
      <c r="N746" s="206">
        <v>40123</v>
      </c>
      <c r="O746" s="206">
        <v>40123</v>
      </c>
      <c r="P746" s="202" t="s">
        <v>1925</v>
      </c>
      <c r="Q746" s="203">
        <v>700</v>
      </c>
      <c r="R746" s="203">
        <v>14050</v>
      </c>
      <c r="S746" s="204">
        <v>23622.38</v>
      </c>
      <c r="T746" s="203">
        <v>14056</v>
      </c>
      <c r="U746" s="204">
        <v>23622.38</v>
      </c>
      <c r="V746" s="204">
        <f t="shared" si="22"/>
        <v>0</v>
      </c>
      <c r="W746" s="205">
        <v>0</v>
      </c>
      <c r="X746" s="203">
        <v>54260</v>
      </c>
      <c r="Y746" s="204">
        <v>0</v>
      </c>
      <c r="Z746" s="202" t="s">
        <v>97</v>
      </c>
      <c r="AA746" s="202"/>
      <c r="AB746" s="202" t="s">
        <v>1926</v>
      </c>
      <c r="AC746" s="202"/>
      <c r="AD746" s="202" t="s">
        <v>1152</v>
      </c>
      <c r="AE746" s="202" t="s">
        <v>1153</v>
      </c>
      <c r="AF746" s="203" t="s">
        <v>1154</v>
      </c>
      <c r="AG746" s="208">
        <v>40939</v>
      </c>
      <c r="AH746" s="203" t="s">
        <v>1155</v>
      </c>
      <c r="AI746" s="202">
        <v>0</v>
      </c>
      <c r="AJ746" s="202">
        <v>7592.92</v>
      </c>
    </row>
    <row r="747" spans="2:36">
      <c r="B747" s="203">
        <v>2180</v>
      </c>
      <c r="C747" s="207">
        <v>90624</v>
      </c>
      <c r="D747" s="203" t="s">
        <v>97</v>
      </c>
      <c r="E747" s="202" t="s">
        <v>1372</v>
      </c>
      <c r="F747" s="203">
        <v>486</v>
      </c>
      <c r="G747" s="202"/>
      <c r="H747" s="202"/>
      <c r="I747" s="202"/>
      <c r="J747" s="202">
        <v>0</v>
      </c>
      <c r="K747" s="202" t="s">
        <v>1540</v>
      </c>
      <c r="L747" s="202"/>
      <c r="M747" s="202"/>
      <c r="N747" s="206">
        <v>40123</v>
      </c>
      <c r="O747" s="206">
        <v>40123</v>
      </c>
      <c r="P747" s="202" t="s">
        <v>1925</v>
      </c>
      <c r="Q747" s="203">
        <v>700</v>
      </c>
      <c r="R747" s="203">
        <v>14050</v>
      </c>
      <c r="S747" s="204">
        <v>23622.38</v>
      </c>
      <c r="T747" s="203">
        <v>14056</v>
      </c>
      <c r="U747" s="204">
        <v>23622.38</v>
      </c>
      <c r="V747" s="204">
        <f t="shared" si="22"/>
        <v>0</v>
      </c>
      <c r="W747" s="205">
        <v>0</v>
      </c>
      <c r="X747" s="203">
        <v>54260</v>
      </c>
      <c r="Y747" s="204">
        <v>0</v>
      </c>
      <c r="Z747" s="202" t="s">
        <v>97</v>
      </c>
      <c r="AA747" s="202"/>
      <c r="AB747" s="202" t="s">
        <v>1924</v>
      </c>
      <c r="AC747" s="202"/>
      <c r="AD747" s="202" t="s">
        <v>1152</v>
      </c>
      <c r="AE747" s="202" t="s">
        <v>1153</v>
      </c>
      <c r="AF747" s="203" t="s">
        <v>1154</v>
      </c>
      <c r="AG747" s="208">
        <v>40939</v>
      </c>
      <c r="AH747" s="203" t="s">
        <v>1155</v>
      </c>
      <c r="AI747" s="202">
        <v>0</v>
      </c>
      <c r="AJ747" s="202">
        <v>7592.92</v>
      </c>
    </row>
    <row r="748" spans="2:36">
      <c r="B748" s="203">
        <v>2180</v>
      </c>
      <c r="C748" s="207">
        <v>90623</v>
      </c>
      <c r="D748" s="203" t="s">
        <v>97</v>
      </c>
      <c r="E748" s="202" t="s">
        <v>1660</v>
      </c>
      <c r="F748" s="203">
        <v>486</v>
      </c>
      <c r="G748" s="202"/>
      <c r="H748" s="202"/>
      <c r="I748" s="202"/>
      <c r="J748" s="202">
        <v>0</v>
      </c>
      <c r="K748" s="202" t="s">
        <v>1540</v>
      </c>
      <c r="L748" s="202"/>
      <c r="M748" s="202"/>
      <c r="N748" s="206">
        <v>40001</v>
      </c>
      <c r="O748" s="206">
        <v>40001</v>
      </c>
      <c r="P748" s="202" t="s">
        <v>1869</v>
      </c>
      <c r="Q748" s="203">
        <v>700</v>
      </c>
      <c r="R748" s="203">
        <v>14050</v>
      </c>
      <c r="S748" s="204">
        <v>23117.72</v>
      </c>
      <c r="T748" s="203">
        <v>14056</v>
      </c>
      <c r="U748" s="204">
        <v>23117.72</v>
      </c>
      <c r="V748" s="204">
        <f t="shared" si="22"/>
        <v>0</v>
      </c>
      <c r="W748" s="205">
        <v>0</v>
      </c>
      <c r="X748" s="203">
        <v>54260</v>
      </c>
      <c r="Y748" s="204">
        <v>0</v>
      </c>
      <c r="Z748" s="202" t="s">
        <v>97</v>
      </c>
      <c r="AA748" s="202"/>
      <c r="AB748" s="202" t="s">
        <v>1923</v>
      </c>
      <c r="AC748" s="202"/>
      <c r="AD748" s="202" t="s">
        <v>1152</v>
      </c>
      <c r="AE748" s="202" t="s">
        <v>1153</v>
      </c>
      <c r="AF748" s="203" t="s">
        <v>1154</v>
      </c>
      <c r="AG748" s="208">
        <v>40939</v>
      </c>
      <c r="AH748" s="203" t="s">
        <v>1155</v>
      </c>
      <c r="AI748" s="202">
        <v>0</v>
      </c>
      <c r="AJ748" s="202">
        <v>8531.39</v>
      </c>
    </row>
    <row r="749" spans="2:36">
      <c r="B749" s="203">
        <v>2180</v>
      </c>
      <c r="C749" s="207">
        <v>90622</v>
      </c>
      <c r="D749" s="203" t="s">
        <v>97</v>
      </c>
      <c r="E749" s="202" t="s">
        <v>1922</v>
      </c>
      <c r="F749" s="203">
        <v>1</v>
      </c>
      <c r="G749" s="202"/>
      <c r="H749" s="202"/>
      <c r="I749" s="202"/>
      <c r="J749" s="202">
        <v>0</v>
      </c>
      <c r="K749" s="202" t="s">
        <v>1574</v>
      </c>
      <c r="L749" s="202"/>
      <c r="M749" s="202" t="s">
        <v>1573</v>
      </c>
      <c r="N749" s="206">
        <v>40842</v>
      </c>
      <c r="O749" s="206">
        <v>40842</v>
      </c>
      <c r="P749" s="202" t="s">
        <v>1887</v>
      </c>
      <c r="Q749" s="203">
        <v>1200</v>
      </c>
      <c r="R749" s="203">
        <v>14050</v>
      </c>
      <c r="S749" s="204">
        <v>435.01</v>
      </c>
      <c r="T749" s="203">
        <v>14056</v>
      </c>
      <c r="U749" s="204">
        <v>368.45</v>
      </c>
      <c r="V749" s="204">
        <f t="shared" si="22"/>
        <v>66.56</v>
      </c>
      <c r="W749" s="205">
        <v>36.24</v>
      </c>
      <c r="X749" s="203">
        <v>54260</v>
      </c>
      <c r="Y749" s="204">
        <v>3.02</v>
      </c>
      <c r="Z749" s="202" t="s">
        <v>97</v>
      </c>
      <c r="AA749" s="202"/>
      <c r="AB749" s="202">
        <v>63210</v>
      </c>
      <c r="AC749" s="202"/>
      <c r="AD749" s="202" t="s">
        <v>1152</v>
      </c>
      <c r="AE749" s="202" t="s">
        <v>1153</v>
      </c>
      <c r="AF749" s="203" t="s">
        <v>1154</v>
      </c>
      <c r="AG749" s="208">
        <v>40939</v>
      </c>
      <c r="AH749" s="203" t="s">
        <v>1155</v>
      </c>
      <c r="AI749" s="202">
        <v>0</v>
      </c>
      <c r="AJ749" s="202">
        <v>9.06</v>
      </c>
    </row>
    <row r="750" spans="2:36">
      <c r="B750" s="203">
        <v>2180</v>
      </c>
      <c r="C750" s="207">
        <v>90621</v>
      </c>
      <c r="D750" s="203" t="s">
        <v>97</v>
      </c>
      <c r="E750" s="202" t="s">
        <v>1921</v>
      </c>
      <c r="F750" s="203">
        <v>49</v>
      </c>
      <c r="G750" s="202"/>
      <c r="H750" s="202" t="s">
        <v>1920</v>
      </c>
      <c r="I750" s="202"/>
      <c r="J750" s="202">
        <v>0</v>
      </c>
      <c r="K750" s="202" t="s">
        <v>1540</v>
      </c>
      <c r="L750" s="202"/>
      <c r="M750" s="202"/>
      <c r="N750" s="206">
        <v>40354</v>
      </c>
      <c r="O750" s="206">
        <v>40354</v>
      </c>
      <c r="P750" s="202" t="s">
        <v>1919</v>
      </c>
      <c r="Q750" s="203">
        <v>700</v>
      </c>
      <c r="R750" s="203">
        <v>14050</v>
      </c>
      <c r="S750" s="204">
        <v>2588.4</v>
      </c>
      <c r="T750" s="203">
        <v>14056</v>
      </c>
      <c r="U750" s="204">
        <v>2588.4</v>
      </c>
      <c r="V750" s="204">
        <f t="shared" si="22"/>
        <v>0</v>
      </c>
      <c r="W750" s="205">
        <v>0</v>
      </c>
      <c r="X750" s="203">
        <v>54260</v>
      </c>
      <c r="Y750" s="204">
        <v>0</v>
      </c>
      <c r="Z750" s="202" t="s">
        <v>97</v>
      </c>
      <c r="AA750" s="202"/>
      <c r="AB750" s="202" t="s">
        <v>1918</v>
      </c>
      <c r="AC750" s="202"/>
      <c r="AD750" s="202" t="s">
        <v>1152</v>
      </c>
      <c r="AE750" s="202" t="s">
        <v>1153</v>
      </c>
      <c r="AF750" s="203" t="s">
        <v>1154</v>
      </c>
      <c r="AG750" s="208">
        <v>40939</v>
      </c>
      <c r="AH750" s="203" t="s">
        <v>1155</v>
      </c>
      <c r="AI750" s="202">
        <v>0</v>
      </c>
      <c r="AJ750" s="202">
        <v>585.47</v>
      </c>
    </row>
    <row r="751" spans="2:36">
      <c r="B751" s="203">
        <v>2180</v>
      </c>
      <c r="C751" s="207">
        <v>90620</v>
      </c>
      <c r="D751" s="203" t="s">
        <v>97</v>
      </c>
      <c r="E751" s="202" t="s">
        <v>1797</v>
      </c>
      <c r="F751" s="203">
        <v>418</v>
      </c>
      <c r="G751" s="202"/>
      <c r="H751" s="202"/>
      <c r="I751" s="202"/>
      <c r="J751" s="202">
        <v>0</v>
      </c>
      <c r="K751" s="202" t="s">
        <v>1658</v>
      </c>
      <c r="L751" s="202"/>
      <c r="M751" s="202"/>
      <c r="N751" s="206">
        <v>40782</v>
      </c>
      <c r="O751" s="206">
        <v>40782</v>
      </c>
      <c r="P751" s="202" t="s">
        <v>1917</v>
      </c>
      <c r="Q751" s="203">
        <v>700</v>
      </c>
      <c r="R751" s="203">
        <v>14050</v>
      </c>
      <c r="S751" s="204">
        <v>23780.3</v>
      </c>
      <c r="T751" s="203">
        <v>14056</v>
      </c>
      <c r="U751" s="204">
        <v>23780.3</v>
      </c>
      <c r="V751" s="204">
        <f t="shared" si="22"/>
        <v>0</v>
      </c>
      <c r="W751" s="205">
        <v>0</v>
      </c>
      <c r="X751" s="203">
        <v>54260</v>
      </c>
      <c r="Y751" s="204">
        <v>0</v>
      </c>
      <c r="Z751" s="202" t="s">
        <v>97</v>
      </c>
      <c r="AA751" s="202"/>
      <c r="AB751" s="202" t="s">
        <v>1916</v>
      </c>
      <c r="AC751" s="202"/>
      <c r="AD751" s="202" t="s">
        <v>1152</v>
      </c>
      <c r="AE751" s="202" t="s">
        <v>1153</v>
      </c>
      <c r="AF751" s="203" t="s">
        <v>1154</v>
      </c>
      <c r="AG751" s="208">
        <v>40939</v>
      </c>
      <c r="AH751" s="203" t="s">
        <v>1155</v>
      </c>
      <c r="AI751" s="202">
        <v>0</v>
      </c>
      <c r="AJ751" s="202">
        <v>1415.5</v>
      </c>
    </row>
    <row r="752" spans="2:36">
      <c r="B752" s="203">
        <v>2180</v>
      </c>
      <c r="C752" s="207">
        <v>90619</v>
      </c>
      <c r="D752" s="203" t="s">
        <v>97</v>
      </c>
      <c r="E752" s="202" t="s">
        <v>1892</v>
      </c>
      <c r="F752" s="203">
        <v>3</v>
      </c>
      <c r="G752" s="202"/>
      <c r="H752" s="202"/>
      <c r="I752" s="202"/>
      <c r="J752" s="202">
        <v>0</v>
      </c>
      <c r="K752" s="202" t="s">
        <v>1574</v>
      </c>
      <c r="L752" s="202"/>
      <c r="M752" s="202" t="s">
        <v>1573</v>
      </c>
      <c r="N752" s="206">
        <v>40816</v>
      </c>
      <c r="O752" s="206">
        <v>40816</v>
      </c>
      <c r="P752" s="202" t="s">
        <v>1891</v>
      </c>
      <c r="Q752" s="203">
        <v>1200</v>
      </c>
      <c r="R752" s="203">
        <v>14050</v>
      </c>
      <c r="S752" s="204">
        <v>1442.76</v>
      </c>
      <c r="T752" s="203">
        <v>14056</v>
      </c>
      <c r="U752" s="204">
        <v>1232.3599999999999</v>
      </c>
      <c r="V752" s="204">
        <f t="shared" si="22"/>
        <v>210.40000000000009</v>
      </c>
      <c r="W752" s="205">
        <v>120.23</v>
      </c>
      <c r="X752" s="203">
        <v>54260</v>
      </c>
      <c r="Y752" s="204">
        <v>10.02</v>
      </c>
      <c r="Z752" s="202" t="s">
        <v>97</v>
      </c>
      <c r="AA752" s="202"/>
      <c r="AB752" s="202">
        <v>62455</v>
      </c>
      <c r="AC752" s="202"/>
      <c r="AD752" s="202" t="s">
        <v>1152</v>
      </c>
      <c r="AE752" s="202" t="s">
        <v>1153</v>
      </c>
      <c r="AF752" s="203" t="s">
        <v>1154</v>
      </c>
      <c r="AG752" s="208">
        <v>40939</v>
      </c>
      <c r="AH752" s="203" t="s">
        <v>1155</v>
      </c>
      <c r="AI752" s="202">
        <v>0</v>
      </c>
      <c r="AJ752" s="202">
        <v>40.08</v>
      </c>
    </row>
    <row r="753" spans="2:36">
      <c r="B753" s="203">
        <v>2180</v>
      </c>
      <c r="C753" s="207">
        <v>90618</v>
      </c>
      <c r="D753" s="203" t="s">
        <v>97</v>
      </c>
      <c r="E753" s="202" t="s">
        <v>1418</v>
      </c>
      <c r="F753" s="203">
        <v>50</v>
      </c>
      <c r="G753" s="202"/>
      <c r="H753" s="202"/>
      <c r="I753" s="202"/>
      <c r="J753" s="202">
        <v>0</v>
      </c>
      <c r="K753" s="202"/>
      <c r="L753" s="202"/>
      <c r="M753" s="202" t="s">
        <v>1417</v>
      </c>
      <c r="N753" s="206">
        <v>39755</v>
      </c>
      <c r="O753" s="206">
        <v>39755</v>
      </c>
      <c r="P753" s="202"/>
      <c r="Q753" s="203">
        <v>700</v>
      </c>
      <c r="R753" s="203">
        <v>14050</v>
      </c>
      <c r="S753" s="204">
        <v>98896.04</v>
      </c>
      <c r="T753" s="203">
        <v>14056</v>
      </c>
      <c r="U753" s="204">
        <v>98896.04</v>
      </c>
      <c r="V753" s="204">
        <f t="shared" si="22"/>
        <v>0</v>
      </c>
      <c r="W753" s="205">
        <v>0</v>
      </c>
      <c r="X753" s="203">
        <v>54260</v>
      </c>
      <c r="Y753" s="204">
        <v>0</v>
      </c>
      <c r="Z753" s="202" t="s">
        <v>1153</v>
      </c>
      <c r="AA753" s="202" t="s">
        <v>1383</v>
      </c>
      <c r="AB753" s="202"/>
      <c r="AC753" s="202"/>
      <c r="AD753" s="202" t="s">
        <v>1152</v>
      </c>
      <c r="AE753" s="202" t="s">
        <v>1153</v>
      </c>
      <c r="AF753" s="203" t="s">
        <v>1154</v>
      </c>
      <c r="AG753" s="208">
        <v>40939</v>
      </c>
      <c r="AH753" s="203" t="s">
        <v>1155</v>
      </c>
      <c r="AI753" s="202">
        <v>4</v>
      </c>
      <c r="AJ753" s="202">
        <v>45916.02</v>
      </c>
    </row>
    <row r="754" spans="2:36">
      <c r="B754" s="203">
        <v>2180</v>
      </c>
      <c r="C754" s="207">
        <v>90617</v>
      </c>
      <c r="D754" s="203" t="s">
        <v>97</v>
      </c>
      <c r="E754" s="202" t="s">
        <v>1749</v>
      </c>
      <c r="F754" s="203">
        <v>418</v>
      </c>
      <c r="G754" s="202"/>
      <c r="H754" s="202" t="s">
        <v>1915</v>
      </c>
      <c r="I754" s="202"/>
      <c r="J754" s="202">
        <v>0</v>
      </c>
      <c r="K754" s="202" t="s">
        <v>1658</v>
      </c>
      <c r="L754" s="202"/>
      <c r="M754" s="202"/>
      <c r="N754" s="206">
        <v>40796</v>
      </c>
      <c r="O754" s="206">
        <v>40796</v>
      </c>
      <c r="P754" s="202" t="s">
        <v>1914</v>
      </c>
      <c r="Q754" s="203">
        <v>700</v>
      </c>
      <c r="R754" s="203">
        <v>14050</v>
      </c>
      <c r="S754" s="204">
        <v>23780.3</v>
      </c>
      <c r="T754" s="203">
        <v>14056</v>
      </c>
      <c r="U754" s="204">
        <v>23780.3</v>
      </c>
      <c r="V754" s="204">
        <f t="shared" si="22"/>
        <v>0</v>
      </c>
      <c r="W754" s="205">
        <v>0</v>
      </c>
      <c r="X754" s="203">
        <v>54260</v>
      </c>
      <c r="Y754" s="204">
        <v>0</v>
      </c>
      <c r="Z754" s="202" t="s">
        <v>97</v>
      </c>
      <c r="AA754" s="202"/>
      <c r="AB754" s="202" t="s">
        <v>1913</v>
      </c>
      <c r="AC754" s="202"/>
      <c r="AD754" s="202" t="s">
        <v>1152</v>
      </c>
      <c r="AE754" s="202" t="s">
        <v>1153</v>
      </c>
      <c r="AF754" s="203" t="s">
        <v>1154</v>
      </c>
      <c r="AG754" s="208">
        <v>40939</v>
      </c>
      <c r="AH754" s="203" t="s">
        <v>1155</v>
      </c>
      <c r="AI754" s="202">
        <v>0</v>
      </c>
      <c r="AJ754" s="202">
        <v>1415.5</v>
      </c>
    </row>
    <row r="755" spans="2:36">
      <c r="B755" s="203">
        <v>2180</v>
      </c>
      <c r="C755" s="207">
        <v>90616</v>
      </c>
      <c r="D755" s="203" t="s">
        <v>97</v>
      </c>
      <c r="E755" s="202" t="s">
        <v>1749</v>
      </c>
      <c r="F755" s="203">
        <v>423</v>
      </c>
      <c r="G755" s="202"/>
      <c r="H755" s="202" t="s">
        <v>1912</v>
      </c>
      <c r="I755" s="202"/>
      <c r="J755" s="202">
        <v>0</v>
      </c>
      <c r="K755" s="202" t="s">
        <v>1658</v>
      </c>
      <c r="L755" s="202"/>
      <c r="M755" s="202"/>
      <c r="N755" s="206">
        <v>40810</v>
      </c>
      <c r="O755" s="206">
        <v>40810</v>
      </c>
      <c r="P755" s="202" t="s">
        <v>1911</v>
      </c>
      <c r="Q755" s="203">
        <v>700</v>
      </c>
      <c r="R755" s="203">
        <v>14050</v>
      </c>
      <c r="S755" s="204">
        <v>24527.09</v>
      </c>
      <c r="T755" s="203">
        <v>14056</v>
      </c>
      <c r="U755" s="204">
        <v>24527.09</v>
      </c>
      <c r="V755" s="204">
        <f t="shared" si="22"/>
        <v>0</v>
      </c>
      <c r="W755" s="205">
        <v>0</v>
      </c>
      <c r="X755" s="203">
        <v>54260</v>
      </c>
      <c r="Y755" s="204">
        <v>0</v>
      </c>
      <c r="Z755" s="202" t="s">
        <v>97</v>
      </c>
      <c r="AA755" s="202"/>
      <c r="AB755" s="202" t="s">
        <v>1910</v>
      </c>
      <c r="AC755" s="202"/>
      <c r="AD755" s="202" t="s">
        <v>1152</v>
      </c>
      <c r="AE755" s="202" t="s">
        <v>1153</v>
      </c>
      <c r="AF755" s="203" t="s">
        <v>1154</v>
      </c>
      <c r="AG755" s="208">
        <v>40939</v>
      </c>
      <c r="AH755" s="203" t="s">
        <v>1155</v>
      </c>
      <c r="AI755" s="202">
        <v>0</v>
      </c>
      <c r="AJ755" s="202">
        <v>1167.96</v>
      </c>
    </row>
    <row r="756" spans="2:36">
      <c r="B756" s="203">
        <v>2180</v>
      </c>
      <c r="C756" s="207">
        <v>90615</v>
      </c>
      <c r="D756" s="203" t="s">
        <v>97</v>
      </c>
      <c r="E756" s="202" t="s">
        <v>1909</v>
      </c>
      <c r="F756" s="203">
        <v>2</v>
      </c>
      <c r="G756" s="202"/>
      <c r="H756" s="202"/>
      <c r="I756" s="202"/>
      <c r="J756" s="202">
        <v>0</v>
      </c>
      <c r="K756" s="202"/>
      <c r="L756" s="202"/>
      <c r="M756" s="202" t="s">
        <v>1908</v>
      </c>
      <c r="N756" s="206">
        <v>39755</v>
      </c>
      <c r="O756" s="206">
        <v>39755</v>
      </c>
      <c r="P756" s="202"/>
      <c r="Q756" s="203">
        <v>700</v>
      </c>
      <c r="R756" s="203">
        <v>14050</v>
      </c>
      <c r="S756" s="204">
        <v>2266.67</v>
      </c>
      <c r="T756" s="203">
        <v>14056</v>
      </c>
      <c r="U756" s="204">
        <v>2266.67</v>
      </c>
      <c r="V756" s="204">
        <f t="shared" si="22"/>
        <v>0</v>
      </c>
      <c r="W756" s="205">
        <v>0</v>
      </c>
      <c r="X756" s="203">
        <v>54260</v>
      </c>
      <c r="Y756" s="204">
        <v>0</v>
      </c>
      <c r="Z756" s="202" t="s">
        <v>1153</v>
      </c>
      <c r="AA756" s="202" t="s">
        <v>1383</v>
      </c>
      <c r="AB756" s="202"/>
      <c r="AC756" s="202"/>
      <c r="AD756" s="202" t="s">
        <v>1152</v>
      </c>
      <c r="AE756" s="202" t="s">
        <v>1153</v>
      </c>
      <c r="AF756" s="203" t="s">
        <v>1154</v>
      </c>
      <c r="AG756" s="208">
        <v>40939</v>
      </c>
      <c r="AH756" s="203" t="s">
        <v>1155</v>
      </c>
      <c r="AI756" s="202">
        <v>2</v>
      </c>
      <c r="AJ756" s="202">
        <v>1052.3800000000001</v>
      </c>
    </row>
    <row r="757" spans="2:36">
      <c r="B757" s="203">
        <v>2180</v>
      </c>
      <c r="C757" s="207">
        <v>90614</v>
      </c>
      <c r="D757" s="203" t="s">
        <v>97</v>
      </c>
      <c r="E757" s="202" t="s">
        <v>1550</v>
      </c>
      <c r="F757" s="203">
        <v>45</v>
      </c>
      <c r="G757" s="202"/>
      <c r="H757" s="202"/>
      <c r="I757" s="202"/>
      <c r="J757" s="202">
        <v>0</v>
      </c>
      <c r="K757" s="202" t="s">
        <v>1574</v>
      </c>
      <c r="L757" s="202"/>
      <c r="M757" s="202" t="s">
        <v>1421</v>
      </c>
      <c r="N757" s="206">
        <v>40847</v>
      </c>
      <c r="O757" s="206">
        <v>40847</v>
      </c>
      <c r="P757" s="202" t="s">
        <v>1907</v>
      </c>
      <c r="Q757" s="203">
        <v>1200</v>
      </c>
      <c r="R757" s="203">
        <v>14050</v>
      </c>
      <c r="S757" s="204">
        <v>23953.1</v>
      </c>
      <c r="T757" s="203">
        <v>14056</v>
      </c>
      <c r="U757" s="204">
        <v>20293.580000000002</v>
      </c>
      <c r="V757" s="204">
        <f t="shared" si="22"/>
        <v>3659.5199999999968</v>
      </c>
      <c r="W757" s="205">
        <v>1996.09</v>
      </c>
      <c r="X757" s="203">
        <v>54260</v>
      </c>
      <c r="Y757" s="204">
        <v>166.34</v>
      </c>
      <c r="Z757" s="202" t="s">
        <v>97</v>
      </c>
      <c r="AA757" s="202"/>
      <c r="AB757" s="202">
        <v>63400</v>
      </c>
      <c r="AC757" s="202"/>
      <c r="AD757" s="202" t="s">
        <v>1152</v>
      </c>
      <c r="AE757" s="202" t="s">
        <v>1153</v>
      </c>
      <c r="AF757" s="203" t="s">
        <v>1154</v>
      </c>
      <c r="AG757" s="208">
        <v>40939</v>
      </c>
      <c r="AH757" s="203" t="s">
        <v>1155</v>
      </c>
      <c r="AI757" s="202">
        <v>0</v>
      </c>
      <c r="AJ757" s="202">
        <v>499.02</v>
      </c>
    </row>
    <row r="758" spans="2:36">
      <c r="B758" s="203">
        <v>2180</v>
      </c>
      <c r="C758" s="207">
        <v>90613</v>
      </c>
      <c r="D758" s="203" t="s">
        <v>97</v>
      </c>
      <c r="E758" s="202" t="s">
        <v>1660</v>
      </c>
      <c r="F758" s="203">
        <v>49</v>
      </c>
      <c r="G758" s="202"/>
      <c r="H758" s="202" t="s">
        <v>1906</v>
      </c>
      <c r="I758" s="202"/>
      <c r="J758" s="202">
        <v>0</v>
      </c>
      <c r="K758" s="202" t="s">
        <v>1658</v>
      </c>
      <c r="L758" s="202"/>
      <c r="M758" s="202"/>
      <c r="N758" s="206">
        <v>40651</v>
      </c>
      <c r="O758" s="206">
        <v>40651</v>
      </c>
      <c r="P758" s="202" t="s">
        <v>1899</v>
      </c>
      <c r="Q758" s="203">
        <v>700</v>
      </c>
      <c r="R758" s="203">
        <v>14050</v>
      </c>
      <c r="S758" s="204">
        <v>2595.37</v>
      </c>
      <c r="T758" s="203">
        <v>14056</v>
      </c>
      <c r="U758" s="204">
        <v>2595.37</v>
      </c>
      <c r="V758" s="204">
        <f t="shared" si="22"/>
        <v>0</v>
      </c>
      <c r="W758" s="205">
        <v>0</v>
      </c>
      <c r="X758" s="203">
        <v>54260</v>
      </c>
      <c r="Y758" s="204">
        <v>0</v>
      </c>
      <c r="Z758" s="202" t="s">
        <v>97</v>
      </c>
      <c r="AA758" s="202"/>
      <c r="AB758" s="202" t="s">
        <v>1905</v>
      </c>
      <c r="AC758" s="202"/>
      <c r="AD758" s="202" t="s">
        <v>1152</v>
      </c>
      <c r="AE758" s="202" t="s">
        <v>1153</v>
      </c>
      <c r="AF758" s="203" t="s">
        <v>1154</v>
      </c>
      <c r="AG758" s="208">
        <v>40939</v>
      </c>
      <c r="AH758" s="203" t="s">
        <v>1155</v>
      </c>
      <c r="AI758" s="202">
        <v>0</v>
      </c>
      <c r="AJ758" s="202">
        <v>278.08</v>
      </c>
    </row>
    <row r="759" spans="2:36">
      <c r="B759" s="203">
        <v>2180</v>
      </c>
      <c r="C759" s="207">
        <v>90612</v>
      </c>
      <c r="D759" s="203" t="s">
        <v>97</v>
      </c>
      <c r="E759" s="202" t="s">
        <v>1465</v>
      </c>
      <c r="F759" s="203">
        <v>17</v>
      </c>
      <c r="G759" s="202"/>
      <c r="H759" s="202"/>
      <c r="I759" s="202"/>
      <c r="J759" s="202">
        <v>0</v>
      </c>
      <c r="K759" s="202" t="s">
        <v>1658</v>
      </c>
      <c r="L759" s="202"/>
      <c r="M759" s="202" t="s">
        <v>1464</v>
      </c>
      <c r="N759" s="206">
        <v>40702</v>
      </c>
      <c r="O759" s="206">
        <v>40702</v>
      </c>
      <c r="P759" s="202" t="s">
        <v>1894</v>
      </c>
      <c r="Q759" s="203">
        <v>700</v>
      </c>
      <c r="R759" s="203">
        <v>14050</v>
      </c>
      <c r="S759" s="204">
        <v>12054.44</v>
      </c>
      <c r="T759" s="203">
        <v>14056</v>
      </c>
      <c r="U759" s="204">
        <v>12054.44</v>
      </c>
      <c r="V759" s="204">
        <f t="shared" si="22"/>
        <v>0</v>
      </c>
      <c r="W759" s="205">
        <v>0</v>
      </c>
      <c r="X759" s="203">
        <v>54260</v>
      </c>
      <c r="Y759" s="204">
        <v>0</v>
      </c>
      <c r="Z759" s="202" t="s">
        <v>97</v>
      </c>
      <c r="AA759" s="202"/>
      <c r="AB759" s="202" t="s">
        <v>1904</v>
      </c>
      <c r="AC759" s="202"/>
      <c r="AD759" s="202" t="s">
        <v>1152</v>
      </c>
      <c r="AE759" s="202" t="s">
        <v>1153</v>
      </c>
      <c r="AF759" s="203" t="s">
        <v>1154</v>
      </c>
      <c r="AG759" s="208">
        <v>40939</v>
      </c>
      <c r="AH759" s="203" t="s">
        <v>1155</v>
      </c>
      <c r="AI759" s="202">
        <v>0</v>
      </c>
      <c r="AJ759" s="202">
        <v>1148.05</v>
      </c>
    </row>
    <row r="760" spans="2:36">
      <c r="B760" s="203">
        <v>2180</v>
      </c>
      <c r="C760" s="207">
        <v>90611</v>
      </c>
      <c r="D760" s="203" t="s">
        <v>97</v>
      </c>
      <c r="E760" s="202" t="s">
        <v>1543</v>
      </c>
      <c r="F760" s="203">
        <v>557</v>
      </c>
      <c r="G760" s="202"/>
      <c r="H760" s="202" t="s">
        <v>1903</v>
      </c>
      <c r="I760" s="202"/>
      <c r="J760" s="202">
        <v>0</v>
      </c>
      <c r="K760" s="202" t="s">
        <v>1658</v>
      </c>
      <c r="L760" s="202"/>
      <c r="M760" s="202"/>
      <c r="N760" s="206">
        <v>40693</v>
      </c>
      <c r="O760" s="206">
        <v>40693</v>
      </c>
      <c r="P760" s="202" t="s">
        <v>1902</v>
      </c>
      <c r="Q760" s="203">
        <v>700</v>
      </c>
      <c r="R760" s="203">
        <v>14050</v>
      </c>
      <c r="S760" s="204">
        <v>27249.94</v>
      </c>
      <c r="T760" s="203">
        <v>14056</v>
      </c>
      <c r="U760" s="204">
        <v>27249.94</v>
      </c>
      <c r="V760" s="204">
        <f t="shared" si="22"/>
        <v>0</v>
      </c>
      <c r="W760" s="205">
        <v>0</v>
      </c>
      <c r="X760" s="203">
        <v>54260</v>
      </c>
      <c r="Y760" s="204">
        <v>0</v>
      </c>
      <c r="Z760" s="202" t="s">
        <v>97</v>
      </c>
      <c r="AA760" s="202"/>
      <c r="AB760" s="202" t="s">
        <v>1901</v>
      </c>
      <c r="AC760" s="202"/>
      <c r="AD760" s="202" t="s">
        <v>1152</v>
      </c>
      <c r="AE760" s="202" t="s">
        <v>1153</v>
      </c>
      <c r="AF760" s="203" t="s">
        <v>1154</v>
      </c>
      <c r="AG760" s="208">
        <v>40939</v>
      </c>
      <c r="AH760" s="203" t="s">
        <v>1155</v>
      </c>
      <c r="AI760" s="202">
        <v>0</v>
      </c>
      <c r="AJ760" s="202">
        <v>2595.2199999999998</v>
      </c>
    </row>
    <row r="761" spans="2:36">
      <c r="B761" s="203">
        <v>2180</v>
      </c>
      <c r="C761" s="207">
        <v>90610</v>
      </c>
      <c r="D761" s="203" t="s">
        <v>97</v>
      </c>
      <c r="E761" s="202" t="s">
        <v>1889</v>
      </c>
      <c r="F761" s="203">
        <v>9</v>
      </c>
      <c r="G761" s="202"/>
      <c r="H761" s="202"/>
      <c r="I761" s="202"/>
      <c r="J761" s="202">
        <v>0</v>
      </c>
      <c r="K761" s="202" t="s">
        <v>1574</v>
      </c>
      <c r="L761" s="202"/>
      <c r="M761" s="202" t="s">
        <v>1456</v>
      </c>
      <c r="N761" s="206">
        <v>40816</v>
      </c>
      <c r="O761" s="206">
        <v>40816</v>
      </c>
      <c r="P761" s="202" t="s">
        <v>1888</v>
      </c>
      <c r="Q761" s="203">
        <v>1200</v>
      </c>
      <c r="R761" s="203">
        <v>14050</v>
      </c>
      <c r="S761" s="204">
        <v>7358.08</v>
      </c>
      <c r="T761" s="203">
        <v>14056</v>
      </c>
      <c r="U761" s="204">
        <v>6284.99</v>
      </c>
      <c r="V761" s="204">
        <f t="shared" si="22"/>
        <v>1073.0900000000001</v>
      </c>
      <c r="W761" s="205">
        <v>613.16999999999996</v>
      </c>
      <c r="X761" s="203">
        <v>54260</v>
      </c>
      <c r="Y761" s="204">
        <v>51.1</v>
      </c>
      <c r="Z761" s="202" t="s">
        <v>97</v>
      </c>
      <c r="AA761" s="202"/>
      <c r="AB761" s="202">
        <v>62438</v>
      </c>
      <c r="AC761" s="202"/>
      <c r="AD761" s="202" t="s">
        <v>1152</v>
      </c>
      <c r="AE761" s="202" t="s">
        <v>1153</v>
      </c>
      <c r="AF761" s="203" t="s">
        <v>1154</v>
      </c>
      <c r="AG761" s="208">
        <v>40939</v>
      </c>
      <c r="AH761" s="203" t="s">
        <v>1155</v>
      </c>
      <c r="AI761" s="202">
        <v>0</v>
      </c>
      <c r="AJ761" s="202">
        <v>204.39</v>
      </c>
    </row>
    <row r="762" spans="2:36">
      <c r="B762" s="203">
        <v>2180</v>
      </c>
      <c r="C762" s="207">
        <v>90609</v>
      </c>
      <c r="D762" s="203" t="s">
        <v>97</v>
      </c>
      <c r="E762" s="202" t="s">
        <v>1660</v>
      </c>
      <c r="F762" s="203">
        <v>486</v>
      </c>
      <c r="G762" s="202"/>
      <c r="H762" s="202" t="s">
        <v>1900</v>
      </c>
      <c r="I762" s="202"/>
      <c r="J762" s="202">
        <v>0</v>
      </c>
      <c r="K762" s="202" t="s">
        <v>1658</v>
      </c>
      <c r="L762" s="202"/>
      <c r="M762" s="202"/>
      <c r="N762" s="206">
        <v>40651</v>
      </c>
      <c r="O762" s="206">
        <v>40651</v>
      </c>
      <c r="P762" s="202" t="s">
        <v>1899</v>
      </c>
      <c r="Q762" s="203">
        <v>700</v>
      </c>
      <c r="R762" s="203">
        <v>14050</v>
      </c>
      <c r="S762" s="204">
        <v>25741.84</v>
      </c>
      <c r="T762" s="203">
        <v>14056</v>
      </c>
      <c r="U762" s="204">
        <v>25741.84</v>
      </c>
      <c r="V762" s="204">
        <f t="shared" si="22"/>
        <v>0</v>
      </c>
      <c r="W762" s="205">
        <v>0</v>
      </c>
      <c r="X762" s="203">
        <v>54260</v>
      </c>
      <c r="Y762" s="204">
        <v>0</v>
      </c>
      <c r="Z762" s="202" t="s">
        <v>97</v>
      </c>
      <c r="AA762" s="202"/>
      <c r="AB762" s="202" t="s">
        <v>1898</v>
      </c>
      <c r="AC762" s="202"/>
      <c r="AD762" s="202" t="s">
        <v>1152</v>
      </c>
      <c r="AE762" s="202" t="s">
        <v>1153</v>
      </c>
      <c r="AF762" s="203" t="s">
        <v>1154</v>
      </c>
      <c r="AG762" s="208">
        <v>40939</v>
      </c>
      <c r="AH762" s="203" t="s">
        <v>1155</v>
      </c>
      <c r="AI762" s="202">
        <v>0</v>
      </c>
      <c r="AJ762" s="202">
        <v>2758.05</v>
      </c>
    </row>
    <row r="763" spans="2:36">
      <c r="B763" s="203">
        <v>2180</v>
      </c>
      <c r="C763" s="207">
        <v>90608</v>
      </c>
      <c r="D763" s="203" t="s">
        <v>97</v>
      </c>
      <c r="E763" s="202" t="s">
        <v>1465</v>
      </c>
      <c r="F763" s="203">
        <v>10</v>
      </c>
      <c r="G763" s="202"/>
      <c r="H763" s="202"/>
      <c r="I763" s="202"/>
      <c r="J763" s="202">
        <v>0</v>
      </c>
      <c r="K763" s="202" t="s">
        <v>1658</v>
      </c>
      <c r="L763" s="202"/>
      <c r="M763" s="202" t="s">
        <v>1464</v>
      </c>
      <c r="N763" s="206">
        <v>40702</v>
      </c>
      <c r="O763" s="206">
        <v>40702</v>
      </c>
      <c r="P763" s="202" t="s">
        <v>1894</v>
      </c>
      <c r="Q763" s="203">
        <v>700</v>
      </c>
      <c r="R763" s="203">
        <v>14050</v>
      </c>
      <c r="S763" s="204">
        <v>7090.84</v>
      </c>
      <c r="T763" s="203">
        <v>14056</v>
      </c>
      <c r="U763" s="204">
        <v>7090.84</v>
      </c>
      <c r="V763" s="204">
        <f t="shared" si="22"/>
        <v>0</v>
      </c>
      <c r="W763" s="205">
        <v>0</v>
      </c>
      <c r="X763" s="203">
        <v>54260</v>
      </c>
      <c r="Y763" s="204">
        <v>0</v>
      </c>
      <c r="Z763" s="202" t="s">
        <v>97</v>
      </c>
      <c r="AA763" s="202"/>
      <c r="AB763" s="202" t="s">
        <v>1897</v>
      </c>
      <c r="AC763" s="202"/>
      <c r="AD763" s="202" t="s">
        <v>1152</v>
      </c>
      <c r="AE763" s="202" t="s">
        <v>1153</v>
      </c>
      <c r="AF763" s="203" t="s">
        <v>1154</v>
      </c>
      <c r="AG763" s="208">
        <v>40939</v>
      </c>
      <c r="AH763" s="203" t="s">
        <v>1155</v>
      </c>
      <c r="AI763" s="202">
        <v>0</v>
      </c>
      <c r="AJ763" s="202">
        <v>675.32</v>
      </c>
    </row>
    <row r="764" spans="2:36">
      <c r="B764" s="203">
        <v>2180</v>
      </c>
      <c r="C764" s="207">
        <v>90607</v>
      </c>
      <c r="D764" s="203" t="s">
        <v>97</v>
      </c>
      <c r="E764" s="202" t="s">
        <v>1896</v>
      </c>
      <c r="F764" s="203">
        <v>20</v>
      </c>
      <c r="G764" s="202"/>
      <c r="H764" s="202"/>
      <c r="I764" s="202"/>
      <c r="J764" s="202">
        <v>0</v>
      </c>
      <c r="K764" s="202" t="s">
        <v>1658</v>
      </c>
      <c r="L764" s="202"/>
      <c r="M764" s="202" t="s">
        <v>1701</v>
      </c>
      <c r="N764" s="206">
        <v>40702</v>
      </c>
      <c r="O764" s="206">
        <v>40702</v>
      </c>
      <c r="P764" s="202" t="s">
        <v>1894</v>
      </c>
      <c r="Q764" s="203">
        <v>700</v>
      </c>
      <c r="R764" s="203">
        <v>14050</v>
      </c>
      <c r="S764" s="204">
        <v>12881.01</v>
      </c>
      <c r="T764" s="203">
        <v>14056</v>
      </c>
      <c r="U764" s="204">
        <v>12881.01</v>
      </c>
      <c r="V764" s="204">
        <f t="shared" si="22"/>
        <v>0</v>
      </c>
      <c r="W764" s="205">
        <v>0</v>
      </c>
      <c r="X764" s="203">
        <v>54260</v>
      </c>
      <c r="Y764" s="204">
        <v>0</v>
      </c>
      <c r="Z764" s="202" t="s">
        <v>97</v>
      </c>
      <c r="AA764" s="202"/>
      <c r="AB764" s="202" t="s">
        <v>1895</v>
      </c>
      <c r="AC764" s="202"/>
      <c r="AD764" s="202" t="s">
        <v>1152</v>
      </c>
      <c r="AE764" s="202" t="s">
        <v>1153</v>
      </c>
      <c r="AF764" s="203" t="s">
        <v>1154</v>
      </c>
      <c r="AG764" s="208">
        <v>40939</v>
      </c>
      <c r="AH764" s="203" t="s">
        <v>1155</v>
      </c>
      <c r="AI764" s="202">
        <v>0</v>
      </c>
      <c r="AJ764" s="202">
        <v>1226.77</v>
      </c>
    </row>
    <row r="765" spans="2:36">
      <c r="B765" s="203">
        <v>2180</v>
      </c>
      <c r="C765" s="207">
        <v>90606</v>
      </c>
      <c r="D765" s="203" t="s">
        <v>97</v>
      </c>
      <c r="E765" s="202" t="s">
        <v>1702</v>
      </c>
      <c r="F765" s="203">
        <v>7</v>
      </c>
      <c r="G765" s="202"/>
      <c r="H765" s="202"/>
      <c r="I765" s="202"/>
      <c r="J765" s="202">
        <v>0</v>
      </c>
      <c r="K765" s="202" t="s">
        <v>1658</v>
      </c>
      <c r="L765" s="202"/>
      <c r="M765" s="202" t="s">
        <v>1701</v>
      </c>
      <c r="N765" s="206">
        <v>40702</v>
      </c>
      <c r="O765" s="206">
        <v>40702</v>
      </c>
      <c r="P765" s="202" t="s">
        <v>1894</v>
      </c>
      <c r="Q765" s="203">
        <v>700</v>
      </c>
      <c r="R765" s="203">
        <v>14050</v>
      </c>
      <c r="S765" s="204">
        <v>4508.37</v>
      </c>
      <c r="T765" s="203">
        <v>14056</v>
      </c>
      <c r="U765" s="204">
        <v>4508.37</v>
      </c>
      <c r="V765" s="204">
        <f t="shared" si="22"/>
        <v>0</v>
      </c>
      <c r="W765" s="205">
        <v>0</v>
      </c>
      <c r="X765" s="203">
        <v>54260</v>
      </c>
      <c r="Y765" s="204">
        <v>0</v>
      </c>
      <c r="Z765" s="202" t="s">
        <v>97</v>
      </c>
      <c r="AA765" s="202"/>
      <c r="AB765" s="202" t="s">
        <v>1893</v>
      </c>
      <c r="AC765" s="202"/>
      <c r="AD765" s="202" t="s">
        <v>1152</v>
      </c>
      <c r="AE765" s="202" t="s">
        <v>1153</v>
      </c>
      <c r="AF765" s="203" t="s">
        <v>1154</v>
      </c>
      <c r="AG765" s="208">
        <v>40939</v>
      </c>
      <c r="AH765" s="203" t="s">
        <v>1155</v>
      </c>
      <c r="AI765" s="202">
        <v>0</v>
      </c>
      <c r="AJ765" s="202">
        <v>429.36</v>
      </c>
    </row>
    <row r="766" spans="2:36">
      <c r="B766" s="203">
        <v>2180</v>
      </c>
      <c r="C766" s="207">
        <v>90605</v>
      </c>
      <c r="D766" s="203" t="s">
        <v>97</v>
      </c>
      <c r="E766" s="202" t="s">
        <v>520</v>
      </c>
      <c r="F766" s="203">
        <v>11</v>
      </c>
      <c r="G766" s="202"/>
      <c r="H766" s="202"/>
      <c r="I766" s="202"/>
      <c r="J766" s="202">
        <v>0</v>
      </c>
      <c r="K766" s="202" t="s">
        <v>1574</v>
      </c>
      <c r="L766" s="202"/>
      <c r="M766" s="202" t="s">
        <v>1456</v>
      </c>
      <c r="N766" s="206">
        <v>40451</v>
      </c>
      <c r="O766" s="206">
        <v>40451</v>
      </c>
      <c r="P766" s="202" t="s">
        <v>1886</v>
      </c>
      <c r="Q766" s="203">
        <v>1200</v>
      </c>
      <c r="R766" s="203">
        <v>14050</v>
      </c>
      <c r="S766" s="204">
        <v>8897.02</v>
      </c>
      <c r="T766" s="203">
        <v>14056</v>
      </c>
      <c r="U766" s="204">
        <v>8340.8799999999992</v>
      </c>
      <c r="V766" s="204">
        <f t="shared" si="22"/>
        <v>556.14000000000124</v>
      </c>
      <c r="W766" s="205">
        <v>741.41</v>
      </c>
      <c r="X766" s="203">
        <v>54260</v>
      </c>
      <c r="Y766" s="204">
        <v>61.78</v>
      </c>
      <c r="Z766" s="202" t="s">
        <v>97</v>
      </c>
      <c r="AA766" s="202"/>
      <c r="AB766" s="202">
        <v>50466</v>
      </c>
      <c r="AC766" s="202"/>
      <c r="AD766" s="202" t="s">
        <v>1152</v>
      </c>
      <c r="AE766" s="202" t="s">
        <v>1153</v>
      </c>
      <c r="AF766" s="203" t="s">
        <v>1154</v>
      </c>
      <c r="AG766" s="208">
        <v>40939</v>
      </c>
      <c r="AH766" s="203" t="s">
        <v>1155</v>
      </c>
      <c r="AI766" s="202">
        <v>0</v>
      </c>
      <c r="AJ766" s="202">
        <v>988.56</v>
      </c>
    </row>
    <row r="767" spans="2:36">
      <c r="B767" s="203">
        <v>2180</v>
      </c>
      <c r="C767" s="207">
        <v>90604</v>
      </c>
      <c r="D767" s="203" t="s">
        <v>97</v>
      </c>
      <c r="E767" s="202" t="s">
        <v>1455</v>
      </c>
      <c r="F767" s="203">
        <v>43</v>
      </c>
      <c r="G767" s="202"/>
      <c r="H767" s="202"/>
      <c r="I767" s="202"/>
      <c r="J767" s="202">
        <v>0</v>
      </c>
      <c r="K767" s="202"/>
      <c r="L767" s="202"/>
      <c r="M767" s="202" t="s">
        <v>1454</v>
      </c>
      <c r="N767" s="206">
        <v>39755</v>
      </c>
      <c r="O767" s="206">
        <v>39755</v>
      </c>
      <c r="P767" s="202"/>
      <c r="Q767" s="203">
        <v>700</v>
      </c>
      <c r="R767" s="203">
        <v>14050</v>
      </c>
      <c r="S767" s="204">
        <v>75250.77</v>
      </c>
      <c r="T767" s="203">
        <v>14056</v>
      </c>
      <c r="U767" s="204">
        <v>75250.77</v>
      </c>
      <c r="V767" s="204">
        <f t="shared" si="22"/>
        <v>0</v>
      </c>
      <c r="W767" s="205">
        <v>0</v>
      </c>
      <c r="X767" s="203">
        <v>54260</v>
      </c>
      <c r="Y767" s="204">
        <v>0</v>
      </c>
      <c r="Z767" s="202" t="s">
        <v>1153</v>
      </c>
      <c r="AA767" s="202" t="s">
        <v>1383</v>
      </c>
      <c r="AB767" s="202"/>
      <c r="AC767" s="202"/>
      <c r="AD767" s="202" t="s">
        <v>1152</v>
      </c>
      <c r="AE767" s="202" t="s">
        <v>1153</v>
      </c>
      <c r="AF767" s="203" t="s">
        <v>1154</v>
      </c>
      <c r="AG767" s="208">
        <v>40939</v>
      </c>
      <c r="AH767" s="203" t="s">
        <v>1155</v>
      </c>
      <c r="AI767" s="202">
        <v>6</v>
      </c>
      <c r="AJ767" s="202">
        <v>34937.86</v>
      </c>
    </row>
    <row r="768" spans="2:36">
      <c r="B768" s="203">
        <v>2180</v>
      </c>
      <c r="C768" s="207">
        <v>90603</v>
      </c>
      <c r="D768" s="203" t="s">
        <v>97</v>
      </c>
      <c r="E768" s="202" t="s">
        <v>1892</v>
      </c>
      <c r="F768" s="203">
        <v>17</v>
      </c>
      <c r="G768" s="202"/>
      <c r="H768" s="202"/>
      <c r="I768" s="202"/>
      <c r="J768" s="202">
        <v>0</v>
      </c>
      <c r="K768" s="202" t="s">
        <v>1574</v>
      </c>
      <c r="L768" s="202"/>
      <c r="M768" s="202" t="s">
        <v>1573</v>
      </c>
      <c r="N768" s="206">
        <v>40816</v>
      </c>
      <c r="O768" s="206">
        <v>40816</v>
      </c>
      <c r="P768" s="202" t="s">
        <v>1891</v>
      </c>
      <c r="Q768" s="203">
        <v>1200</v>
      </c>
      <c r="R768" s="203">
        <v>14050</v>
      </c>
      <c r="S768" s="204">
        <v>8175.64</v>
      </c>
      <c r="T768" s="203">
        <v>14056</v>
      </c>
      <c r="U768" s="204">
        <v>6983.33</v>
      </c>
      <c r="V768" s="204">
        <f t="shared" si="22"/>
        <v>1192.3100000000004</v>
      </c>
      <c r="W768" s="205">
        <v>681.3</v>
      </c>
      <c r="X768" s="203">
        <v>54260</v>
      </c>
      <c r="Y768" s="204">
        <v>56.77</v>
      </c>
      <c r="Z768" s="202" t="s">
        <v>97</v>
      </c>
      <c r="AA768" s="202"/>
      <c r="AB768" s="202">
        <v>62437</v>
      </c>
      <c r="AC768" s="202"/>
      <c r="AD768" s="202" t="s">
        <v>1152</v>
      </c>
      <c r="AE768" s="202" t="s">
        <v>1153</v>
      </c>
      <c r="AF768" s="203" t="s">
        <v>1154</v>
      </c>
      <c r="AG768" s="208">
        <v>40939</v>
      </c>
      <c r="AH768" s="203" t="s">
        <v>1155</v>
      </c>
      <c r="AI768" s="202">
        <v>0</v>
      </c>
      <c r="AJ768" s="202">
        <v>227.11</v>
      </c>
    </row>
    <row r="769" spans="2:36">
      <c r="B769" s="203">
        <v>2180</v>
      </c>
      <c r="C769" s="207">
        <v>90602</v>
      </c>
      <c r="D769" s="203" t="s">
        <v>97</v>
      </c>
      <c r="E769" s="202" t="s">
        <v>1660</v>
      </c>
      <c r="F769" s="203">
        <v>486</v>
      </c>
      <c r="G769" s="202"/>
      <c r="H769" s="202"/>
      <c r="I769" s="202"/>
      <c r="J769" s="202">
        <v>0</v>
      </c>
      <c r="K769" s="202" t="s">
        <v>1540</v>
      </c>
      <c r="L769" s="202"/>
      <c r="M769" s="202"/>
      <c r="N769" s="206">
        <v>39930</v>
      </c>
      <c r="O769" s="206">
        <v>39930</v>
      </c>
      <c r="P769" s="202" t="s">
        <v>1880</v>
      </c>
      <c r="Q769" s="203">
        <v>700</v>
      </c>
      <c r="R769" s="203">
        <v>14050</v>
      </c>
      <c r="S769" s="204">
        <v>25794.99</v>
      </c>
      <c r="T769" s="203">
        <v>14056</v>
      </c>
      <c r="U769" s="204">
        <v>25794.99</v>
      </c>
      <c r="V769" s="204">
        <f t="shared" si="22"/>
        <v>0</v>
      </c>
      <c r="W769" s="205">
        <v>0</v>
      </c>
      <c r="X769" s="203">
        <v>54260</v>
      </c>
      <c r="Y769" s="204">
        <v>0</v>
      </c>
      <c r="Z769" s="202" t="s">
        <v>97</v>
      </c>
      <c r="AA769" s="202"/>
      <c r="AB769" s="202" t="s">
        <v>1890</v>
      </c>
      <c r="AC769" s="202"/>
      <c r="AD769" s="202" t="s">
        <v>1152</v>
      </c>
      <c r="AE769" s="202" t="s">
        <v>1153</v>
      </c>
      <c r="AF769" s="203" t="s">
        <v>1154</v>
      </c>
      <c r="AG769" s="208">
        <v>40939</v>
      </c>
      <c r="AH769" s="203" t="s">
        <v>1155</v>
      </c>
      <c r="AI769" s="202">
        <v>0</v>
      </c>
      <c r="AJ769" s="202">
        <v>10133.75</v>
      </c>
    </row>
    <row r="770" spans="2:36">
      <c r="B770" s="203">
        <v>2180</v>
      </c>
      <c r="C770" s="207">
        <v>90601</v>
      </c>
      <c r="D770" s="203" t="s">
        <v>97</v>
      </c>
      <c r="E770" s="202" t="s">
        <v>1889</v>
      </c>
      <c r="F770" s="203">
        <v>1</v>
      </c>
      <c r="G770" s="202"/>
      <c r="H770" s="202"/>
      <c r="I770" s="202"/>
      <c r="J770" s="202">
        <v>0</v>
      </c>
      <c r="K770" s="202" t="s">
        <v>1574</v>
      </c>
      <c r="L770" s="202"/>
      <c r="M770" s="202" t="s">
        <v>1456</v>
      </c>
      <c r="N770" s="206">
        <v>40816</v>
      </c>
      <c r="O770" s="206">
        <v>40816</v>
      </c>
      <c r="P770" s="202" t="s">
        <v>1888</v>
      </c>
      <c r="Q770" s="203">
        <v>1200</v>
      </c>
      <c r="R770" s="203">
        <v>14050</v>
      </c>
      <c r="S770" s="204">
        <v>817.56</v>
      </c>
      <c r="T770" s="203">
        <v>14056</v>
      </c>
      <c r="U770" s="204">
        <v>698.33</v>
      </c>
      <c r="V770" s="204">
        <f t="shared" si="22"/>
        <v>119.2299999999999</v>
      </c>
      <c r="W770" s="205">
        <v>68.13</v>
      </c>
      <c r="X770" s="203">
        <v>54260</v>
      </c>
      <c r="Y770" s="204">
        <v>5.68</v>
      </c>
      <c r="Z770" s="202" t="s">
        <v>97</v>
      </c>
      <c r="AA770" s="202"/>
      <c r="AB770" s="202">
        <v>62456</v>
      </c>
      <c r="AC770" s="202"/>
      <c r="AD770" s="202" t="s">
        <v>1152</v>
      </c>
      <c r="AE770" s="202" t="s">
        <v>1153</v>
      </c>
      <c r="AF770" s="203" t="s">
        <v>1154</v>
      </c>
      <c r="AG770" s="208">
        <v>40939</v>
      </c>
      <c r="AH770" s="203" t="s">
        <v>1155</v>
      </c>
      <c r="AI770" s="202">
        <v>0</v>
      </c>
      <c r="AJ770" s="202">
        <v>22.71</v>
      </c>
    </row>
    <row r="771" spans="2:36">
      <c r="B771" s="203">
        <v>2180</v>
      </c>
      <c r="C771" s="207">
        <v>90600</v>
      </c>
      <c r="D771" s="203" t="s">
        <v>97</v>
      </c>
      <c r="E771" s="202" t="s">
        <v>1794</v>
      </c>
      <c r="F771" s="203">
        <v>19</v>
      </c>
      <c r="G771" s="202"/>
      <c r="H771" s="202"/>
      <c r="I771" s="202"/>
      <c r="J771" s="202">
        <v>0</v>
      </c>
      <c r="K771" s="202" t="s">
        <v>1574</v>
      </c>
      <c r="L771" s="202"/>
      <c r="M771" s="202" t="s">
        <v>1793</v>
      </c>
      <c r="N771" s="206">
        <v>40842</v>
      </c>
      <c r="O771" s="206">
        <v>40842</v>
      </c>
      <c r="P771" s="202" t="s">
        <v>1887</v>
      </c>
      <c r="Q771" s="203">
        <v>1200</v>
      </c>
      <c r="R771" s="203">
        <v>14050</v>
      </c>
      <c r="S771" s="204">
        <v>8265.27</v>
      </c>
      <c r="T771" s="203">
        <v>14056</v>
      </c>
      <c r="U771" s="204">
        <v>7002.5</v>
      </c>
      <c r="V771" s="204">
        <f t="shared" si="22"/>
        <v>1262.7700000000004</v>
      </c>
      <c r="W771" s="205">
        <v>688.77</v>
      </c>
      <c r="X771" s="203">
        <v>54260</v>
      </c>
      <c r="Y771" s="204">
        <v>57.4</v>
      </c>
      <c r="Z771" s="202" t="s">
        <v>97</v>
      </c>
      <c r="AA771" s="202"/>
      <c r="AB771" s="202">
        <v>63148</v>
      </c>
      <c r="AC771" s="202"/>
      <c r="AD771" s="202" t="s">
        <v>1152</v>
      </c>
      <c r="AE771" s="202" t="s">
        <v>1153</v>
      </c>
      <c r="AF771" s="203" t="s">
        <v>1154</v>
      </c>
      <c r="AG771" s="208">
        <v>40939</v>
      </c>
      <c r="AH771" s="203" t="s">
        <v>1155</v>
      </c>
      <c r="AI771" s="202">
        <v>0</v>
      </c>
      <c r="AJ771" s="202">
        <v>172.2</v>
      </c>
    </row>
    <row r="772" spans="2:36">
      <c r="B772" s="203">
        <v>2180</v>
      </c>
      <c r="C772" s="207">
        <v>90599</v>
      </c>
      <c r="D772" s="203" t="s">
        <v>97</v>
      </c>
      <c r="E772" s="202" t="s">
        <v>520</v>
      </c>
      <c r="F772" s="203">
        <v>11</v>
      </c>
      <c r="G772" s="202"/>
      <c r="H772" s="202"/>
      <c r="I772" s="202"/>
      <c r="J772" s="202">
        <v>0</v>
      </c>
      <c r="K772" s="202" t="s">
        <v>1574</v>
      </c>
      <c r="L772" s="202"/>
      <c r="M772" s="202" t="s">
        <v>1456</v>
      </c>
      <c r="N772" s="206">
        <v>40451</v>
      </c>
      <c r="O772" s="206">
        <v>40451</v>
      </c>
      <c r="P772" s="202" t="s">
        <v>1886</v>
      </c>
      <c r="Q772" s="203">
        <v>1200</v>
      </c>
      <c r="R772" s="203">
        <v>14050</v>
      </c>
      <c r="S772" s="204">
        <v>8897.02</v>
      </c>
      <c r="T772" s="203">
        <v>14056</v>
      </c>
      <c r="U772" s="204">
        <v>8340.8799999999992</v>
      </c>
      <c r="V772" s="204">
        <f t="shared" si="22"/>
        <v>556.14000000000124</v>
      </c>
      <c r="W772" s="205">
        <v>741.41</v>
      </c>
      <c r="X772" s="203">
        <v>54260</v>
      </c>
      <c r="Y772" s="204">
        <v>61.78</v>
      </c>
      <c r="Z772" s="202" t="s">
        <v>97</v>
      </c>
      <c r="AA772" s="202"/>
      <c r="AB772" s="202">
        <v>50477</v>
      </c>
      <c r="AC772" s="202"/>
      <c r="AD772" s="202" t="s">
        <v>1152</v>
      </c>
      <c r="AE772" s="202" t="s">
        <v>1153</v>
      </c>
      <c r="AF772" s="203" t="s">
        <v>1154</v>
      </c>
      <c r="AG772" s="208">
        <v>40939</v>
      </c>
      <c r="AH772" s="203" t="s">
        <v>1155</v>
      </c>
      <c r="AI772" s="202">
        <v>0</v>
      </c>
      <c r="AJ772" s="202">
        <v>988.56</v>
      </c>
    </row>
    <row r="773" spans="2:36">
      <c r="B773" s="203">
        <v>2180</v>
      </c>
      <c r="C773" s="207">
        <v>90598</v>
      </c>
      <c r="D773" s="203" t="s">
        <v>97</v>
      </c>
      <c r="E773" s="202" t="s">
        <v>520</v>
      </c>
      <c r="F773" s="203">
        <v>3</v>
      </c>
      <c r="G773" s="202"/>
      <c r="H773" s="202"/>
      <c r="I773" s="202"/>
      <c r="J773" s="202">
        <v>0</v>
      </c>
      <c r="K773" s="202" t="s">
        <v>1574</v>
      </c>
      <c r="L773" s="202"/>
      <c r="M773" s="202" t="s">
        <v>1456</v>
      </c>
      <c r="N773" s="206">
        <v>40451</v>
      </c>
      <c r="O773" s="206">
        <v>40451</v>
      </c>
      <c r="P773" s="202" t="s">
        <v>1886</v>
      </c>
      <c r="Q773" s="203">
        <v>1200</v>
      </c>
      <c r="R773" s="203">
        <v>14050</v>
      </c>
      <c r="S773" s="204">
        <v>2426.46</v>
      </c>
      <c r="T773" s="203">
        <v>14056</v>
      </c>
      <c r="U773" s="204">
        <v>2274.56</v>
      </c>
      <c r="V773" s="204">
        <f t="shared" si="22"/>
        <v>151.90000000000009</v>
      </c>
      <c r="W773" s="205">
        <v>202.18</v>
      </c>
      <c r="X773" s="203">
        <v>54260</v>
      </c>
      <c r="Y773" s="204">
        <v>16.850000000000001</v>
      </c>
      <c r="Z773" s="202" t="s">
        <v>97</v>
      </c>
      <c r="AA773" s="202"/>
      <c r="AB773" s="202">
        <v>50479</v>
      </c>
      <c r="AC773" s="202"/>
      <c r="AD773" s="202" t="s">
        <v>1152</v>
      </c>
      <c r="AE773" s="202" t="s">
        <v>1153</v>
      </c>
      <c r="AF773" s="203" t="s">
        <v>1154</v>
      </c>
      <c r="AG773" s="208">
        <v>40939</v>
      </c>
      <c r="AH773" s="203" t="s">
        <v>1155</v>
      </c>
      <c r="AI773" s="202">
        <v>0</v>
      </c>
      <c r="AJ773" s="202">
        <v>269.58</v>
      </c>
    </row>
    <row r="774" spans="2:36">
      <c r="B774" s="203">
        <v>2180</v>
      </c>
      <c r="C774" s="207">
        <v>90597</v>
      </c>
      <c r="D774" s="203" t="s">
        <v>97</v>
      </c>
      <c r="E774" s="202" t="s">
        <v>1885</v>
      </c>
      <c r="F774" s="203">
        <v>49</v>
      </c>
      <c r="G774" s="202"/>
      <c r="H774" s="202" t="s">
        <v>1884</v>
      </c>
      <c r="I774" s="202"/>
      <c r="J774" s="202">
        <v>0</v>
      </c>
      <c r="K774" s="202" t="s">
        <v>1658</v>
      </c>
      <c r="L774" s="202"/>
      <c r="M774" s="202"/>
      <c r="N774" s="206">
        <v>40667</v>
      </c>
      <c r="O774" s="206">
        <v>40667</v>
      </c>
      <c r="P774" s="202" t="s">
        <v>1883</v>
      </c>
      <c r="Q774" s="203">
        <v>700</v>
      </c>
      <c r="R774" s="203">
        <v>14050</v>
      </c>
      <c r="S774" s="204">
        <v>2541.8200000000002</v>
      </c>
      <c r="T774" s="203">
        <v>14056</v>
      </c>
      <c r="U774" s="204">
        <v>2541.8200000000002</v>
      </c>
      <c r="V774" s="204">
        <f t="shared" si="22"/>
        <v>0</v>
      </c>
      <c r="W774" s="205">
        <v>0</v>
      </c>
      <c r="X774" s="203">
        <v>54260</v>
      </c>
      <c r="Y774" s="204">
        <v>0</v>
      </c>
      <c r="Z774" s="202" t="s">
        <v>97</v>
      </c>
      <c r="AA774" s="202"/>
      <c r="AB774" s="202" t="s">
        <v>1882</v>
      </c>
      <c r="AC774" s="202"/>
      <c r="AD774" s="202" t="s">
        <v>1152</v>
      </c>
      <c r="AE774" s="202" t="s">
        <v>1153</v>
      </c>
      <c r="AF774" s="203" t="s">
        <v>1154</v>
      </c>
      <c r="AG774" s="208">
        <v>40939</v>
      </c>
      <c r="AH774" s="203" t="s">
        <v>1155</v>
      </c>
      <c r="AI774" s="202">
        <v>0</v>
      </c>
      <c r="AJ774" s="202">
        <v>272.33999999999997</v>
      </c>
    </row>
    <row r="775" spans="2:36">
      <c r="B775" s="203">
        <v>2180</v>
      </c>
      <c r="C775" s="207">
        <v>90596</v>
      </c>
      <c r="D775" s="203" t="s">
        <v>97</v>
      </c>
      <c r="E775" s="202" t="s">
        <v>1881</v>
      </c>
      <c r="F775" s="203">
        <v>43065</v>
      </c>
      <c r="G775" s="202"/>
      <c r="H775" s="202"/>
      <c r="I775" s="202"/>
      <c r="J775" s="202">
        <v>0</v>
      </c>
      <c r="K775" s="202"/>
      <c r="L775" s="202"/>
      <c r="M775" s="202"/>
      <c r="N775" s="206">
        <v>39755</v>
      </c>
      <c r="O775" s="206">
        <v>39755</v>
      </c>
      <c r="P775" s="202"/>
      <c r="Q775" s="203">
        <v>500</v>
      </c>
      <c r="R775" s="203">
        <v>14050</v>
      </c>
      <c r="S775" s="204">
        <v>430650</v>
      </c>
      <c r="T775" s="203">
        <v>14056</v>
      </c>
      <c r="U775" s="204">
        <v>430650</v>
      </c>
      <c r="V775" s="204">
        <f t="shared" si="22"/>
        <v>0</v>
      </c>
      <c r="W775" s="205">
        <v>0</v>
      </c>
      <c r="X775" s="203">
        <v>54260</v>
      </c>
      <c r="Y775" s="204">
        <v>0</v>
      </c>
      <c r="Z775" s="202" t="s">
        <v>1153</v>
      </c>
      <c r="AA775" s="202" t="s">
        <v>1383</v>
      </c>
      <c r="AB775" s="202"/>
      <c r="AC775" s="202"/>
      <c r="AD775" s="202" t="s">
        <v>1152</v>
      </c>
      <c r="AE775" s="202" t="s">
        <v>1153</v>
      </c>
      <c r="AF775" s="203" t="s">
        <v>1154</v>
      </c>
      <c r="AG775" s="208">
        <v>40939</v>
      </c>
      <c r="AH775" s="203" t="s">
        <v>1155</v>
      </c>
      <c r="AI775" s="202">
        <v>0</v>
      </c>
      <c r="AJ775" s="202">
        <v>279922.5</v>
      </c>
    </row>
    <row r="776" spans="2:36">
      <c r="B776" s="203">
        <v>2180</v>
      </c>
      <c r="C776" s="207">
        <v>90595</v>
      </c>
      <c r="D776" s="203" t="s">
        <v>97</v>
      </c>
      <c r="E776" s="202" t="s">
        <v>1666</v>
      </c>
      <c r="F776" s="203">
        <v>500</v>
      </c>
      <c r="G776" s="202"/>
      <c r="H776" s="202"/>
      <c r="I776" s="202"/>
      <c r="J776" s="202">
        <v>0</v>
      </c>
      <c r="K776" s="202" t="s">
        <v>1540</v>
      </c>
      <c r="L776" s="202"/>
      <c r="M776" s="202"/>
      <c r="N776" s="206">
        <v>39930</v>
      </c>
      <c r="O776" s="206">
        <v>39930</v>
      </c>
      <c r="P776" s="202" t="s">
        <v>1880</v>
      </c>
      <c r="Q776" s="203">
        <v>700</v>
      </c>
      <c r="R776" s="203">
        <v>14050</v>
      </c>
      <c r="S776" s="204">
        <v>17214.75</v>
      </c>
      <c r="T776" s="203">
        <v>14056</v>
      </c>
      <c r="U776" s="204">
        <v>17214.75</v>
      </c>
      <c r="V776" s="204">
        <f t="shared" si="22"/>
        <v>0</v>
      </c>
      <c r="W776" s="205">
        <v>0</v>
      </c>
      <c r="X776" s="203">
        <v>54260</v>
      </c>
      <c r="Y776" s="204">
        <v>0</v>
      </c>
      <c r="Z776" s="202" t="s">
        <v>97</v>
      </c>
      <c r="AA776" s="202"/>
      <c r="AB776" s="202" t="s">
        <v>1879</v>
      </c>
      <c r="AC776" s="202"/>
      <c r="AD776" s="202" t="s">
        <v>1152</v>
      </c>
      <c r="AE776" s="202" t="s">
        <v>1153</v>
      </c>
      <c r="AF776" s="203" t="s">
        <v>1154</v>
      </c>
      <c r="AG776" s="208">
        <v>40939</v>
      </c>
      <c r="AH776" s="203" t="s">
        <v>1155</v>
      </c>
      <c r="AI776" s="202">
        <v>0</v>
      </c>
      <c r="AJ776" s="202">
        <v>6762.94</v>
      </c>
    </row>
    <row r="777" spans="2:36">
      <c r="B777" s="203">
        <v>2180</v>
      </c>
      <c r="C777" s="207">
        <v>90594</v>
      </c>
      <c r="D777" s="203" t="s">
        <v>97</v>
      </c>
      <c r="E777" s="202" t="s">
        <v>1878</v>
      </c>
      <c r="F777" s="203">
        <v>648</v>
      </c>
      <c r="G777" s="202"/>
      <c r="H777" s="202"/>
      <c r="I777" s="202"/>
      <c r="J777" s="202">
        <v>0</v>
      </c>
      <c r="K777" s="202" t="s">
        <v>1540</v>
      </c>
      <c r="L777" s="202"/>
      <c r="M777" s="202"/>
      <c r="N777" s="206">
        <v>39987</v>
      </c>
      <c r="O777" s="206">
        <v>39987</v>
      </c>
      <c r="P777" s="202" t="s">
        <v>1869</v>
      </c>
      <c r="Q777" s="203">
        <v>700</v>
      </c>
      <c r="R777" s="203">
        <v>14050</v>
      </c>
      <c r="S777" s="204">
        <v>26659.040000000001</v>
      </c>
      <c r="T777" s="203">
        <v>14056</v>
      </c>
      <c r="U777" s="204">
        <v>26659.040000000001</v>
      </c>
      <c r="V777" s="204">
        <f t="shared" si="22"/>
        <v>0</v>
      </c>
      <c r="W777" s="205">
        <v>0</v>
      </c>
      <c r="X777" s="203">
        <v>54260</v>
      </c>
      <c r="Y777" s="204">
        <v>0</v>
      </c>
      <c r="Z777" s="202" t="s">
        <v>97</v>
      </c>
      <c r="AA777" s="202"/>
      <c r="AB777" s="202" t="s">
        <v>1877</v>
      </c>
      <c r="AC777" s="202"/>
      <c r="AD777" s="202" t="s">
        <v>1152</v>
      </c>
      <c r="AE777" s="202" t="s">
        <v>1153</v>
      </c>
      <c r="AF777" s="203" t="s">
        <v>1154</v>
      </c>
      <c r="AG777" s="208">
        <v>40939</v>
      </c>
      <c r="AH777" s="203" t="s">
        <v>1155</v>
      </c>
      <c r="AI777" s="202">
        <v>0</v>
      </c>
      <c r="AJ777" s="202">
        <v>9838.4699999999993</v>
      </c>
    </row>
    <row r="778" spans="2:36">
      <c r="B778" s="203">
        <v>2180</v>
      </c>
      <c r="C778" s="207">
        <v>90593</v>
      </c>
      <c r="D778" s="203" t="s">
        <v>97</v>
      </c>
      <c r="E778" s="202" t="s">
        <v>1873</v>
      </c>
      <c r="F778" s="203">
        <v>486</v>
      </c>
      <c r="G778" s="202"/>
      <c r="H778" s="202"/>
      <c r="I778" s="202"/>
      <c r="J778" s="202">
        <v>0</v>
      </c>
      <c r="K778" s="202" t="s">
        <v>1540</v>
      </c>
      <c r="L778" s="202"/>
      <c r="M778" s="202"/>
      <c r="N778" s="206">
        <v>40010</v>
      </c>
      <c r="O778" s="206">
        <v>40010</v>
      </c>
      <c r="P778" s="202" t="s">
        <v>1872</v>
      </c>
      <c r="Q778" s="203">
        <v>700</v>
      </c>
      <c r="R778" s="203">
        <v>14050</v>
      </c>
      <c r="S778" s="204">
        <v>22586.55</v>
      </c>
      <c r="T778" s="203">
        <v>14056</v>
      </c>
      <c r="U778" s="204">
        <v>22586.55</v>
      </c>
      <c r="V778" s="204">
        <f t="shared" si="22"/>
        <v>0</v>
      </c>
      <c r="W778" s="205">
        <v>0</v>
      </c>
      <c r="X778" s="203">
        <v>54260</v>
      </c>
      <c r="Y778" s="204">
        <v>0</v>
      </c>
      <c r="Z778" s="202" t="s">
        <v>97</v>
      </c>
      <c r="AA778" s="202"/>
      <c r="AB778" s="202" t="s">
        <v>1876</v>
      </c>
      <c r="AC778" s="202"/>
      <c r="AD778" s="202" t="s">
        <v>1152</v>
      </c>
      <c r="AE778" s="202" t="s">
        <v>1153</v>
      </c>
      <c r="AF778" s="203" t="s">
        <v>1154</v>
      </c>
      <c r="AG778" s="208">
        <v>40939</v>
      </c>
      <c r="AH778" s="203" t="s">
        <v>1155</v>
      </c>
      <c r="AI778" s="202">
        <v>0</v>
      </c>
      <c r="AJ778" s="202">
        <v>8066.63</v>
      </c>
    </row>
    <row r="779" spans="2:36">
      <c r="B779" s="203">
        <v>2180</v>
      </c>
      <c r="C779" s="207">
        <v>90592</v>
      </c>
      <c r="D779" s="203" t="s">
        <v>97</v>
      </c>
      <c r="E779" s="202" t="s">
        <v>1875</v>
      </c>
      <c r="F779" s="203">
        <v>486</v>
      </c>
      <c r="G779" s="202"/>
      <c r="H779" s="202"/>
      <c r="I779" s="202"/>
      <c r="J779" s="202">
        <v>0</v>
      </c>
      <c r="K779" s="202" t="s">
        <v>1540</v>
      </c>
      <c r="L779" s="202"/>
      <c r="M779" s="202"/>
      <c r="N779" s="206">
        <v>40001</v>
      </c>
      <c r="O779" s="206">
        <v>40001</v>
      </c>
      <c r="P779" s="202" t="s">
        <v>1869</v>
      </c>
      <c r="Q779" s="203">
        <v>700</v>
      </c>
      <c r="R779" s="203">
        <v>14050</v>
      </c>
      <c r="S779" s="204">
        <v>22586.53</v>
      </c>
      <c r="T779" s="203">
        <v>14056</v>
      </c>
      <c r="U779" s="204">
        <v>22586.53</v>
      </c>
      <c r="V779" s="204">
        <f t="shared" si="22"/>
        <v>0</v>
      </c>
      <c r="W779" s="205">
        <v>0</v>
      </c>
      <c r="X779" s="203">
        <v>54260</v>
      </c>
      <c r="Y779" s="204">
        <v>0</v>
      </c>
      <c r="Z779" s="202" t="s">
        <v>97</v>
      </c>
      <c r="AA779" s="202"/>
      <c r="AB779" s="202" t="s">
        <v>1874</v>
      </c>
      <c r="AC779" s="202"/>
      <c r="AD779" s="202" t="s">
        <v>1152</v>
      </c>
      <c r="AE779" s="202" t="s">
        <v>1153</v>
      </c>
      <c r="AF779" s="203" t="s">
        <v>1154</v>
      </c>
      <c r="AG779" s="208">
        <v>40939</v>
      </c>
      <c r="AH779" s="203" t="s">
        <v>1155</v>
      </c>
      <c r="AI779" s="202">
        <v>0</v>
      </c>
      <c r="AJ779" s="202">
        <v>8335.51</v>
      </c>
    </row>
    <row r="780" spans="2:36">
      <c r="B780" s="203">
        <v>2180</v>
      </c>
      <c r="C780" s="207">
        <v>90591</v>
      </c>
      <c r="D780" s="203" t="s">
        <v>97</v>
      </c>
      <c r="E780" s="202" t="s">
        <v>1873</v>
      </c>
      <c r="F780" s="203">
        <v>486</v>
      </c>
      <c r="G780" s="202"/>
      <c r="H780" s="202"/>
      <c r="I780" s="202"/>
      <c r="J780" s="202">
        <v>0</v>
      </c>
      <c r="K780" s="202" t="s">
        <v>1540</v>
      </c>
      <c r="L780" s="202"/>
      <c r="M780" s="202"/>
      <c r="N780" s="206">
        <v>40010</v>
      </c>
      <c r="O780" s="206">
        <v>40010</v>
      </c>
      <c r="P780" s="202" t="s">
        <v>1872</v>
      </c>
      <c r="Q780" s="203">
        <v>700</v>
      </c>
      <c r="R780" s="203">
        <v>14050</v>
      </c>
      <c r="S780" s="204">
        <v>22586.55</v>
      </c>
      <c r="T780" s="203">
        <v>14056</v>
      </c>
      <c r="U780" s="204">
        <v>22586.55</v>
      </c>
      <c r="V780" s="204">
        <f t="shared" si="22"/>
        <v>0</v>
      </c>
      <c r="W780" s="205">
        <v>0</v>
      </c>
      <c r="X780" s="203">
        <v>54260</v>
      </c>
      <c r="Y780" s="204">
        <v>0</v>
      </c>
      <c r="Z780" s="202" t="s">
        <v>97</v>
      </c>
      <c r="AA780" s="202"/>
      <c r="AB780" s="202" t="s">
        <v>1871</v>
      </c>
      <c r="AC780" s="202"/>
      <c r="AD780" s="202" t="s">
        <v>1152</v>
      </c>
      <c r="AE780" s="202" t="s">
        <v>1153</v>
      </c>
      <c r="AF780" s="203" t="s">
        <v>1154</v>
      </c>
      <c r="AG780" s="208">
        <v>40939</v>
      </c>
      <c r="AH780" s="203" t="s">
        <v>1155</v>
      </c>
      <c r="AI780" s="202">
        <v>0</v>
      </c>
      <c r="AJ780" s="202">
        <v>8066.63</v>
      </c>
    </row>
    <row r="781" spans="2:36">
      <c r="B781" s="203">
        <v>2180</v>
      </c>
      <c r="C781" s="207">
        <v>90590</v>
      </c>
      <c r="D781" s="203" t="s">
        <v>97</v>
      </c>
      <c r="E781" s="202" t="s">
        <v>1870</v>
      </c>
      <c r="F781" s="203">
        <v>486</v>
      </c>
      <c r="G781" s="202"/>
      <c r="H781" s="202"/>
      <c r="I781" s="202"/>
      <c r="J781" s="202">
        <v>0</v>
      </c>
      <c r="K781" s="202" t="s">
        <v>1540</v>
      </c>
      <c r="L781" s="202"/>
      <c r="M781" s="202"/>
      <c r="N781" s="206">
        <v>39966</v>
      </c>
      <c r="O781" s="206">
        <v>39966</v>
      </c>
      <c r="P781" s="202" t="s">
        <v>1869</v>
      </c>
      <c r="Q781" s="203">
        <v>700</v>
      </c>
      <c r="R781" s="203">
        <v>14050</v>
      </c>
      <c r="S781" s="204">
        <v>22586.55</v>
      </c>
      <c r="T781" s="203">
        <v>14056</v>
      </c>
      <c r="U781" s="204">
        <v>22586.55</v>
      </c>
      <c r="V781" s="204">
        <f t="shared" si="22"/>
        <v>0</v>
      </c>
      <c r="W781" s="205">
        <v>0</v>
      </c>
      <c r="X781" s="203">
        <v>54260</v>
      </c>
      <c r="Y781" s="204">
        <v>0</v>
      </c>
      <c r="Z781" s="202" t="s">
        <v>97</v>
      </c>
      <c r="AA781" s="202"/>
      <c r="AB781" s="202" t="s">
        <v>1868</v>
      </c>
      <c r="AC781" s="202"/>
      <c r="AD781" s="202" t="s">
        <v>1152</v>
      </c>
      <c r="AE781" s="202" t="s">
        <v>1153</v>
      </c>
      <c r="AF781" s="203" t="s">
        <v>1154</v>
      </c>
      <c r="AG781" s="208">
        <v>40939</v>
      </c>
      <c r="AH781" s="203" t="s">
        <v>1155</v>
      </c>
      <c r="AI781" s="202">
        <v>0</v>
      </c>
      <c r="AJ781" s="202">
        <v>8604.4</v>
      </c>
    </row>
    <row r="782" spans="2:36">
      <c r="B782" s="203">
        <v>2180</v>
      </c>
      <c r="C782" s="207">
        <v>90589</v>
      </c>
      <c r="D782" s="203" t="s">
        <v>97</v>
      </c>
      <c r="E782" s="202" t="s">
        <v>1459</v>
      </c>
      <c r="F782" s="203">
        <v>45</v>
      </c>
      <c r="G782" s="202"/>
      <c r="H782" s="202"/>
      <c r="I782" s="202"/>
      <c r="J782" s="202">
        <v>0</v>
      </c>
      <c r="K782" s="202"/>
      <c r="L782" s="202"/>
      <c r="M782" s="202" t="s">
        <v>1458</v>
      </c>
      <c r="N782" s="206">
        <v>39755</v>
      </c>
      <c r="O782" s="206">
        <v>39755</v>
      </c>
      <c r="P782" s="202"/>
      <c r="Q782" s="203">
        <v>700</v>
      </c>
      <c r="R782" s="203">
        <v>14050</v>
      </c>
      <c r="S782" s="204">
        <v>58500</v>
      </c>
      <c r="T782" s="203">
        <v>14056</v>
      </c>
      <c r="U782" s="204">
        <v>58500</v>
      </c>
      <c r="V782" s="204">
        <f t="shared" ref="V782:V845" si="23">S782-U782</f>
        <v>0</v>
      </c>
      <c r="W782" s="205">
        <v>0</v>
      </c>
      <c r="X782" s="203">
        <v>54260</v>
      </c>
      <c r="Y782" s="204">
        <v>0</v>
      </c>
      <c r="Z782" s="202" t="s">
        <v>1153</v>
      </c>
      <c r="AA782" s="202" t="s">
        <v>1383</v>
      </c>
      <c r="AB782" s="202"/>
      <c r="AC782" s="202"/>
      <c r="AD782" s="202" t="s">
        <v>1152</v>
      </c>
      <c r="AE782" s="202" t="s">
        <v>1153</v>
      </c>
      <c r="AF782" s="203" t="s">
        <v>1154</v>
      </c>
      <c r="AG782" s="208">
        <v>40939</v>
      </c>
      <c r="AH782" s="203" t="s">
        <v>1155</v>
      </c>
      <c r="AI782" s="202">
        <v>2</v>
      </c>
      <c r="AJ782" s="202">
        <v>27160.720000000001</v>
      </c>
    </row>
    <row r="783" spans="2:36">
      <c r="B783" s="203">
        <v>2180</v>
      </c>
      <c r="C783" s="207">
        <v>90588</v>
      </c>
      <c r="D783" s="203" t="s">
        <v>97</v>
      </c>
      <c r="E783" s="202" t="s">
        <v>1867</v>
      </c>
      <c r="F783" s="203">
        <v>128</v>
      </c>
      <c r="G783" s="202"/>
      <c r="H783" s="202"/>
      <c r="I783" s="202"/>
      <c r="J783" s="202">
        <v>0</v>
      </c>
      <c r="K783" s="202"/>
      <c r="L783" s="202"/>
      <c r="M783" s="202"/>
      <c r="N783" s="206">
        <v>39755</v>
      </c>
      <c r="O783" s="206">
        <v>39755</v>
      </c>
      <c r="P783" s="202"/>
      <c r="Q783" s="203">
        <v>1200</v>
      </c>
      <c r="R783" s="203">
        <v>14050</v>
      </c>
      <c r="S783" s="204">
        <v>46832.98</v>
      </c>
      <c r="T783" s="203">
        <v>14056</v>
      </c>
      <c r="U783" s="204">
        <v>46832.98</v>
      </c>
      <c r="V783" s="204">
        <f t="shared" si="23"/>
        <v>0</v>
      </c>
      <c r="W783" s="205">
        <v>0</v>
      </c>
      <c r="X783" s="203">
        <v>54260</v>
      </c>
      <c r="Y783" s="204">
        <v>0</v>
      </c>
      <c r="Z783" s="202" t="s">
        <v>1153</v>
      </c>
      <c r="AA783" s="202" t="s">
        <v>1383</v>
      </c>
      <c r="AB783" s="202"/>
      <c r="AC783" s="202"/>
      <c r="AD783" s="202" t="s">
        <v>1152</v>
      </c>
      <c r="AE783" s="202" t="s">
        <v>1153</v>
      </c>
      <c r="AF783" s="203" t="s">
        <v>1154</v>
      </c>
      <c r="AG783" s="208">
        <v>40939</v>
      </c>
      <c r="AH783" s="203" t="s">
        <v>1155</v>
      </c>
      <c r="AI783" s="202">
        <v>2</v>
      </c>
      <c r="AJ783" s="202">
        <v>12683.92</v>
      </c>
    </row>
    <row r="784" spans="2:36">
      <c r="B784" s="203">
        <v>2180</v>
      </c>
      <c r="C784" s="207">
        <v>90587</v>
      </c>
      <c r="D784" s="203" t="s">
        <v>97</v>
      </c>
      <c r="E784" s="202" t="s">
        <v>1866</v>
      </c>
      <c r="F784" s="203">
        <v>2532</v>
      </c>
      <c r="G784" s="202"/>
      <c r="H784" s="202"/>
      <c r="I784" s="202"/>
      <c r="J784" s="202">
        <v>0</v>
      </c>
      <c r="K784" s="202"/>
      <c r="L784" s="202"/>
      <c r="M784" s="202"/>
      <c r="N784" s="206">
        <v>39755</v>
      </c>
      <c r="O784" s="206">
        <v>39755</v>
      </c>
      <c r="P784" s="202"/>
      <c r="Q784" s="203">
        <v>700</v>
      </c>
      <c r="R784" s="203">
        <v>14050</v>
      </c>
      <c r="S784" s="204">
        <v>220497.88</v>
      </c>
      <c r="T784" s="203">
        <v>14056</v>
      </c>
      <c r="U784" s="204">
        <v>220497.88</v>
      </c>
      <c r="V784" s="204">
        <f t="shared" si="23"/>
        <v>0</v>
      </c>
      <c r="W784" s="205">
        <v>0</v>
      </c>
      <c r="X784" s="203">
        <v>54260</v>
      </c>
      <c r="Y784" s="204">
        <v>0</v>
      </c>
      <c r="Z784" s="202" t="s">
        <v>1153</v>
      </c>
      <c r="AA784" s="202" t="s">
        <v>1383</v>
      </c>
      <c r="AB784" s="202"/>
      <c r="AC784" s="202"/>
      <c r="AD784" s="202" t="s">
        <v>1152</v>
      </c>
      <c r="AE784" s="202" t="s">
        <v>1153</v>
      </c>
      <c r="AF784" s="203" t="s">
        <v>1154</v>
      </c>
      <c r="AG784" s="208">
        <v>44104</v>
      </c>
      <c r="AH784" s="203" t="s">
        <v>1155</v>
      </c>
      <c r="AI784" s="202">
        <v>47</v>
      </c>
      <c r="AJ784" s="202">
        <v>220497.88</v>
      </c>
    </row>
    <row r="785" spans="2:36">
      <c r="B785" s="203">
        <v>2180</v>
      </c>
      <c r="C785" s="207">
        <v>90586</v>
      </c>
      <c r="D785" s="203" t="s">
        <v>97</v>
      </c>
      <c r="E785" s="202" t="s">
        <v>1420</v>
      </c>
      <c r="F785" s="203">
        <v>923</v>
      </c>
      <c r="G785" s="202"/>
      <c r="H785" s="202"/>
      <c r="I785" s="202"/>
      <c r="J785" s="202">
        <v>0</v>
      </c>
      <c r="K785" s="202"/>
      <c r="L785" s="202"/>
      <c r="M785" s="202"/>
      <c r="N785" s="206">
        <v>39755</v>
      </c>
      <c r="O785" s="206">
        <v>39755</v>
      </c>
      <c r="P785" s="202"/>
      <c r="Q785" s="203">
        <v>700</v>
      </c>
      <c r="R785" s="203">
        <v>14050</v>
      </c>
      <c r="S785" s="204">
        <v>40800</v>
      </c>
      <c r="T785" s="203">
        <v>14056</v>
      </c>
      <c r="U785" s="204">
        <v>40800</v>
      </c>
      <c r="V785" s="204">
        <f t="shared" si="23"/>
        <v>0</v>
      </c>
      <c r="W785" s="205">
        <v>0</v>
      </c>
      <c r="X785" s="203">
        <v>54260</v>
      </c>
      <c r="Y785" s="204">
        <v>0</v>
      </c>
      <c r="Z785" s="202" t="s">
        <v>1153</v>
      </c>
      <c r="AA785" s="202" t="s">
        <v>1383</v>
      </c>
      <c r="AB785" s="202"/>
      <c r="AC785" s="202"/>
      <c r="AD785" s="202" t="s">
        <v>1152</v>
      </c>
      <c r="AE785" s="202" t="s">
        <v>1153</v>
      </c>
      <c r="AF785" s="203" t="s">
        <v>1154</v>
      </c>
      <c r="AG785" s="208">
        <v>40939</v>
      </c>
      <c r="AH785" s="203" t="s">
        <v>1155</v>
      </c>
      <c r="AI785" s="202">
        <v>0</v>
      </c>
      <c r="AJ785" s="202">
        <v>18942.849999999999</v>
      </c>
    </row>
    <row r="786" spans="2:36">
      <c r="B786" s="203">
        <v>2180</v>
      </c>
      <c r="C786" s="207">
        <v>90584</v>
      </c>
      <c r="D786" s="203" t="s">
        <v>97</v>
      </c>
      <c r="E786" s="202" t="s">
        <v>1860</v>
      </c>
      <c r="F786" s="203">
        <v>0</v>
      </c>
      <c r="G786" s="202"/>
      <c r="H786" s="202" t="s">
        <v>1865</v>
      </c>
      <c r="I786" s="202"/>
      <c r="J786" s="202">
        <v>2006</v>
      </c>
      <c r="K786" s="202" t="s">
        <v>1858</v>
      </c>
      <c r="L786" s="202" t="s">
        <v>1042</v>
      </c>
      <c r="M786" s="202" t="s">
        <v>1149</v>
      </c>
      <c r="N786" s="206">
        <v>39755</v>
      </c>
      <c r="O786" s="206">
        <v>39755</v>
      </c>
      <c r="P786" s="202"/>
      <c r="Q786" s="203">
        <v>700</v>
      </c>
      <c r="R786" s="203">
        <v>14040</v>
      </c>
      <c r="S786" s="204">
        <v>43500</v>
      </c>
      <c r="T786" s="203">
        <v>14046</v>
      </c>
      <c r="U786" s="204">
        <v>43500</v>
      </c>
      <c r="V786" s="204">
        <f t="shared" si="23"/>
        <v>0</v>
      </c>
      <c r="W786" s="205">
        <v>0</v>
      </c>
      <c r="X786" s="203">
        <v>51260</v>
      </c>
      <c r="Y786" s="204">
        <v>0</v>
      </c>
      <c r="Z786" s="202" t="s">
        <v>1153</v>
      </c>
      <c r="AA786" s="202" t="s">
        <v>1383</v>
      </c>
      <c r="AB786" s="202"/>
      <c r="AC786" s="202">
        <v>5594</v>
      </c>
      <c r="AD786" s="202" t="s">
        <v>1152</v>
      </c>
      <c r="AE786" s="202" t="s">
        <v>1153</v>
      </c>
      <c r="AF786" s="203" t="s">
        <v>1154</v>
      </c>
      <c r="AG786" s="208">
        <v>40939</v>
      </c>
      <c r="AH786" s="203" t="s">
        <v>1155</v>
      </c>
      <c r="AI786" s="202">
        <v>0</v>
      </c>
      <c r="AJ786" s="202">
        <v>20196.45</v>
      </c>
    </row>
    <row r="787" spans="2:36">
      <c r="B787" s="203">
        <v>2180</v>
      </c>
      <c r="C787" s="207">
        <v>90579</v>
      </c>
      <c r="D787" s="203" t="s">
        <v>97</v>
      </c>
      <c r="E787" s="202" t="s">
        <v>1864</v>
      </c>
      <c r="F787" s="203">
        <v>0</v>
      </c>
      <c r="G787" s="202"/>
      <c r="H787" s="202" t="s">
        <v>1863</v>
      </c>
      <c r="I787" s="202"/>
      <c r="J787" s="202">
        <v>1997</v>
      </c>
      <c r="K787" s="202" t="s">
        <v>1862</v>
      </c>
      <c r="L787" s="202" t="s">
        <v>1255</v>
      </c>
      <c r="M787" s="202" t="s">
        <v>1503</v>
      </c>
      <c r="N787" s="206">
        <v>39755</v>
      </c>
      <c r="O787" s="206">
        <v>39755</v>
      </c>
      <c r="P787" s="202"/>
      <c r="Q787" s="203">
        <v>300</v>
      </c>
      <c r="R787" s="203">
        <v>14040</v>
      </c>
      <c r="S787" s="204">
        <v>2500</v>
      </c>
      <c r="T787" s="203">
        <v>14046</v>
      </c>
      <c r="U787" s="204">
        <v>2500</v>
      </c>
      <c r="V787" s="204">
        <f t="shared" si="23"/>
        <v>0</v>
      </c>
      <c r="W787" s="205">
        <v>0</v>
      </c>
      <c r="X787" s="203">
        <v>51260</v>
      </c>
      <c r="Y787" s="204">
        <v>0</v>
      </c>
      <c r="Z787" s="202" t="s">
        <v>1153</v>
      </c>
      <c r="AA787" s="202" t="s">
        <v>1383</v>
      </c>
      <c r="AB787" s="202"/>
      <c r="AC787" s="202">
        <v>9981</v>
      </c>
      <c r="AD787" s="202" t="s">
        <v>1152</v>
      </c>
      <c r="AE787" s="202" t="s">
        <v>1153</v>
      </c>
      <c r="AF787" s="203" t="s">
        <v>1154</v>
      </c>
      <c r="AG787" s="208">
        <v>40939</v>
      </c>
      <c r="AH787" s="203" t="s">
        <v>1155</v>
      </c>
      <c r="AI787" s="202">
        <v>0</v>
      </c>
      <c r="AJ787" s="202">
        <v>2500</v>
      </c>
    </row>
    <row r="788" spans="2:36">
      <c r="B788" s="203">
        <v>2180</v>
      </c>
      <c r="C788" s="207">
        <v>90564</v>
      </c>
      <c r="D788" s="203" t="s">
        <v>97</v>
      </c>
      <c r="E788" s="202" t="s">
        <v>155</v>
      </c>
      <c r="F788" s="203">
        <v>0</v>
      </c>
      <c r="G788" s="202"/>
      <c r="H788" s="202" t="s">
        <v>1861</v>
      </c>
      <c r="I788" s="202"/>
      <c r="J788" s="202">
        <v>2009</v>
      </c>
      <c r="K788" s="202" t="s">
        <v>1826</v>
      </c>
      <c r="L788" s="202" t="s">
        <v>1825</v>
      </c>
      <c r="M788" s="202" t="s">
        <v>1824</v>
      </c>
      <c r="N788" s="206">
        <v>39755</v>
      </c>
      <c r="O788" s="206">
        <v>39755</v>
      </c>
      <c r="P788" s="202"/>
      <c r="Q788" s="203">
        <v>1000</v>
      </c>
      <c r="R788" s="203">
        <v>14040</v>
      </c>
      <c r="S788" s="204">
        <v>165486.5</v>
      </c>
      <c r="T788" s="203">
        <v>14046</v>
      </c>
      <c r="U788" s="204">
        <v>165486.5</v>
      </c>
      <c r="V788" s="204">
        <f t="shared" si="23"/>
        <v>0</v>
      </c>
      <c r="W788" s="205">
        <v>0</v>
      </c>
      <c r="X788" s="203">
        <v>51260</v>
      </c>
      <c r="Y788" s="204">
        <v>0</v>
      </c>
      <c r="Z788" s="202" t="s">
        <v>1153</v>
      </c>
      <c r="AA788" s="202" t="s">
        <v>1383</v>
      </c>
      <c r="AB788" s="202"/>
      <c r="AC788" s="202">
        <v>4067</v>
      </c>
      <c r="AD788" s="202" t="s">
        <v>1152</v>
      </c>
      <c r="AE788" s="202" t="s">
        <v>1153</v>
      </c>
      <c r="AF788" s="203" t="s">
        <v>1154</v>
      </c>
      <c r="AG788" s="208">
        <v>40939</v>
      </c>
      <c r="AH788" s="203" t="s">
        <v>1155</v>
      </c>
      <c r="AI788" s="202">
        <v>0</v>
      </c>
      <c r="AJ788" s="202">
        <v>53783.11</v>
      </c>
    </row>
    <row r="789" spans="2:36">
      <c r="B789" s="203">
        <v>2180</v>
      </c>
      <c r="C789" s="207">
        <v>90563</v>
      </c>
      <c r="D789" s="203" t="s">
        <v>97</v>
      </c>
      <c r="E789" s="202" t="s">
        <v>1860</v>
      </c>
      <c r="F789" s="203">
        <v>0</v>
      </c>
      <c r="G789" s="202"/>
      <c r="H789" s="202" t="s">
        <v>1859</v>
      </c>
      <c r="I789" s="202"/>
      <c r="J789" s="202">
        <v>2006</v>
      </c>
      <c r="K789" s="202" t="s">
        <v>1858</v>
      </c>
      <c r="L789" s="202" t="s">
        <v>1042</v>
      </c>
      <c r="M789" s="202" t="s">
        <v>1149</v>
      </c>
      <c r="N789" s="206">
        <v>39755</v>
      </c>
      <c r="O789" s="206">
        <v>39755</v>
      </c>
      <c r="P789" s="202"/>
      <c r="Q789" s="203">
        <v>700</v>
      </c>
      <c r="R789" s="203">
        <v>14040</v>
      </c>
      <c r="S789" s="204">
        <v>43500</v>
      </c>
      <c r="T789" s="203">
        <v>14046</v>
      </c>
      <c r="U789" s="204">
        <v>43500</v>
      </c>
      <c r="V789" s="204">
        <f t="shared" si="23"/>
        <v>0</v>
      </c>
      <c r="W789" s="205">
        <v>0</v>
      </c>
      <c r="X789" s="203">
        <v>51260</v>
      </c>
      <c r="Y789" s="204">
        <v>0</v>
      </c>
      <c r="Z789" s="202" t="s">
        <v>1153</v>
      </c>
      <c r="AA789" s="202" t="s">
        <v>1383</v>
      </c>
      <c r="AB789" s="202"/>
      <c r="AC789" s="202">
        <v>5595</v>
      </c>
      <c r="AD789" s="202" t="s">
        <v>1152</v>
      </c>
      <c r="AE789" s="202" t="s">
        <v>1153</v>
      </c>
      <c r="AF789" s="203" t="s">
        <v>1154</v>
      </c>
      <c r="AG789" s="208">
        <v>40939</v>
      </c>
      <c r="AH789" s="203" t="s">
        <v>1155</v>
      </c>
      <c r="AI789" s="202">
        <v>0</v>
      </c>
      <c r="AJ789" s="202">
        <v>20196.45</v>
      </c>
    </row>
    <row r="790" spans="2:36">
      <c r="B790" s="203">
        <v>2180</v>
      </c>
      <c r="C790" s="207">
        <v>90558</v>
      </c>
      <c r="D790" s="203" t="s">
        <v>97</v>
      </c>
      <c r="E790" s="202" t="s">
        <v>1857</v>
      </c>
      <c r="F790" s="203">
        <v>0</v>
      </c>
      <c r="G790" s="202"/>
      <c r="H790" s="202" t="s">
        <v>1856</v>
      </c>
      <c r="I790" s="202"/>
      <c r="J790" s="202">
        <v>2012</v>
      </c>
      <c r="K790" s="202" t="s">
        <v>1855</v>
      </c>
      <c r="L790" s="202" t="s">
        <v>1732</v>
      </c>
      <c r="M790" s="202" t="s">
        <v>1404</v>
      </c>
      <c r="N790" s="206">
        <v>40862</v>
      </c>
      <c r="O790" s="206">
        <v>40862</v>
      </c>
      <c r="P790" s="202" t="s">
        <v>1854</v>
      </c>
      <c r="Q790" s="203">
        <v>1000</v>
      </c>
      <c r="R790" s="203">
        <v>14040</v>
      </c>
      <c r="S790" s="204">
        <v>117533.59</v>
      </c>
      <c r="T790" s="203">
        <v>14046</v>
      </c>
      <c r="U790" s="204">
        <v>117533.59</v>
      </c>
      <c r="V790" s="204">
        <f t="shared" si="23"/>
        <v>0</v>
      </c>
      <c r="W790" s="205">
        <v>9794.4599999999991</v>
      </c>
      <c r="X790" s="203">
        <v>51260</v>
      </c>
      <c r="Y790" s="204">
        <v>0</v>
      </c>
      <c r="Z790" s="202" t="s">
        <v>97</v>
      </c>
      <c r="AA790" s="202"/>
      <c r="AB790" s="202" t="s">
        <v>1853</v>
      </c>
      <c r="AC790" s="202">
        <v>3305</v>
      </c>
      <c r="AD790" s="202" t="s">
        <v>1152</v>
      </c>
      <c r="AE790" s="202" t="s">
        <v>1153</v>
      </c>
      <c r="AF790" s="203" t="s">
        <v>1154</v>
      </c>
      <c r="AG790" s="208">
        <v>40939</v>
      </c>
      <c r="AH790" s="203" t="s">
        <v>1155</v>
      </c>
      <c r="AI790" s="202">
        <v>0</v>
      </c>
      <c r="AJ790" s="202">
        <v>2938.34</v>
      </c>
    </row>
    <row r="791" spans="2:36">
      <c r="B791" s="203">
        <v>2180</v>
      </c>
      <c r="C791" s="207">
        <v>90551</v>
      </c>
      <c r="D791" s="203" t="s">
        <v>97</v>
      </c>
      <c r="E791" s="202" t="s">
        <v>1398</v>
      </c>
      <c r="F791" s="203">
        <v>0</v>
      </c>
      <c r="G791" s="202"/>
      <c r="H791" s="202" t="s">
        <v>1852</v>
      </c>
      <c r="I791" s="202"/>
      <c r="J791" s="202">
        <v>2007</v>
      </c>
      <c r="K791" s="202" t="s">
        <v>1396</v>
      </c>
      <c r="L791" s="202" t="s">
        <v>1395</v>
      </c>
      <c r="M791" s="202" t="s">
        <v>1394</v>
      </c>
      <c r="N791" s="206">
        <v>39755</v>
      </c>
      <c r="O791" s="206">
        <v>39755</v>
      </c>
      <c r="P791" s="202"/>
      <c r="Q791" s="203">
        <v>800</v>
      </c>
      <c r="R791" s="203">
        <v>14040</v>
      </c>
      <c r="S791" s="204">
        <v>133500</v>
      </c>
      <c r="T791" s="203">
        <v>14046</v>
      </c>
      <c r="U791" s="204">
        <v>133500</v>
      </c>
      <c r="V791" s="204">
        <f t="shared" si="23"/>
        <v>0</v>
      </c>
      <c r="W791" s="205">
        <v>0</v>
      </c>
      <c r="X791" s="203">
        <v>51260</v>
      </c>
      <c r="Y791" s="204">
        <v>0</v>
      </c>
      <c r="Z791" s="202" t="s">
        <v>1153</v>
      </c>
      <c r="AA791" s="202" t="s">
        <v>1383</v>
      </c>
      <c r="AB791" s="202"/>
      <c r="AC791" s="202">
        <v>1048</v>
      </c>
      <c r="AD791" s="202" t="s">
        <v>1152</v>
      </c>
      <c r="AE791" s="202" t="s">
        <v>1153</v>
      </c>
      <c r="AF791" s="203" t="s">
        <v>1154</v>
      </c>
      <c r="AG791" s="208">
        <v>40939</v>
      </c>
      <c r="AH791" s="203" t="s">
        <v>1155</v>
      </c>
      <c r="AI791" s="202">
        <v>0</v>
      </c>
      <c r="AJ791" s="202">
        <v>54234.38</v>
      </c>
    </row>
    <row r="792" spans="2:36">
      <c r="B792" s="203">
        <v>2180</v>
      </c>
      <c r="C792" s="207">
        <v>90550</v>
      </c>
      <c r="D792" s="203" t="s">
        <v>97</v>
      </c>
      <c r="E792" s="202" t="s">
        <v>1846</v>
      </c>
      <c r="F792" s="203">
        <v>0</v>
      </c>
      <c r="G792" s="202"/>
      <c r="H792" s="202" t="s">
        <v>1851</v>
      </c>
      <c r="I792" s="202"/>
      <c r="J792" s="202">
        <v>2007</v>
      </c>
      <c r="K792" s="202" t="s">
        <v>1826</v>
      </c>
      <c r="L792" s="202" t="s">
        <v>1042</v>
      </c>
      <c r="M792" s="202" t="s">
        <v>1149</v>
      </c>
      <c r="N792" s="206">
        <v>39755</v>
      </c>
      <c r="O792" s="206">
        <v>39755</v>
      </c>
      <c r="P792" s="202"/>
      <c r="Q792" s="203">
        <v>800</v>
      </c>
      <c r="R792" s="203">
        <v>14040</v>
      </c>
      <c r="S792" s="204">
        <v>58500</v>
      </c>
      <c r="T792" s="203">
        <v>14046</v>
      </c>
      <c r="U792" s="204">
        <v>58500</v>
      </c>
      <c r="V792" s="204">
        <f t="shared" si="23"/>
        <v>0</v>
      </c>
      <c r="W792" s="205">
        <v>0</v>
      </c>
      <c r="X792" s="203">
        <v>51260</v>
      </c>
      <c r="Y792" s="204">
        <v>0</v>
      </c>
      <c r="Z792" s="202" t="s">
        <v>1153</v>
      </c>
      <c r="AA792" s="202" t="s">
        <v>1383</v>
      </c>
      <c r="AB792" s="202"/>
      <c r="AC792" s="202">
        <v>5617</v>
      </c>
      <c r="AD792" s="202" t="s">
        <v>1152</v>
      </c>
      <c r="AE792" s="202" t="s">
        <v>1153</v>
      </c>
      <c r="AF792" s="203" t="s">
        <v>1154</v>
      </c>
      <c r="AG792" s="208">
        <v>40939</v>
      </c>
      <c r="AH792" s="203" t="s">
        <v>1155</v>
      </c>
      <c r="AI792" s="202">
        <v>0</v>
      </c>
      <c r="AJ792" s="202">
        <v>23765.63</v>
      </c>
    </row>
    <row r="793" spans="2:36">
      <c r="B793" s="203">
        <v>2180</v>
      </c>
      <c r="C793" s="207">
        <v>90549</v>
      </c>
      <c r="D793" s="203" t="s">
        <v>97</v>
      </c>
      <c r="E793" s="202" t="s">
        <v>1408</v>
      </c>
      <c r="F793" s="203">
        <v>0</v>
      </c>
      <c r="G793" s="202"/>
      <c r="H793" s="202" t="s">
        <v>1850</v>
      </c>
      <c r="I793" s="202"/>
      <c r="J793" s="202">
        <v>2007</v>
      </c>
      <c r="K793" s="202" t="s">
        <v>1406</v>
      </c>
      <c r="L793" s="202" t="s">
        <v>1405</v>
      </c>
      <c r="M793" s="202" t="s">
        <v>1404</v>
      </c>
      <c r="N793" s="206">
        <v>39755</v>
      </c>
      <c r="O793" s="206">
        <v>39755</v>
      </c>
      <c r="P793" s="202"/>
      <c r="Q793" s="203">
        <v>800</v>
      </c>
      <c r="R793" s="203">
        <v>14040</v>
      </c>
      <c r="S793" s="204">
        <v>133500</v>
      </c>
      <c r="T793" s="203">
        <v>14046</v>
      </c>
      <c r="U793" s="204">
        <v>133500</v>
      </c>
      <c r="V793" s="204">
        <f t="shared" si="23"/>
        <v>0</v>
      </c>
      <c r="W793" s="205">
        <v>0</v>
      </c>
      <c r="X793" s="203">
        <v>51260</v>
      </c>
      <c r="Y793" s="204">
        <v>0</v>
      </c>
      <c r="Z793" s="202" t="s">
        <v>1153</v>
      </c>
      <c r="AA793" s="202" t="s">
        <v>1383</v>
      </c>
      <c r="AB793" s="202"/>
      <c r="AC793" s="202">
        <v>3618</v>
      </c>
      <c r="AD793" s="202" t="s">
        <v>1152</v>
      </c>
      <c r="AE793" s="202" t="s">
        <v>1153</v>
      </c>
      <c r="AF793" s="203" t="s">
        <v>1154</v>
      </c>
      <c r="AG793" s="208">
        <v>40939</v>
      </c>
      <c r="AH793" s="203" t="s">
        <v>1155</v>
      </c>
      <c r="AI793" s="202">
        <v>0</v>
      </c>
      <c r="AJ793" s="202">
        <v>54234.38</v>
      </c>
    </row>
    <row r="794" spans="2:36">
      <c r="B794" s="203">
        <v>2180</v>
      </c>
      <c r="C794" s="207">
        <v>90542</v>
      </c>
      <c r="D794" s="203" t="s">
        <v>97</v>
      </c>
      <c r="E794" s="202" t="s">
        <v>1849</v>
      </c>
      <c r="F794" s="203">
        <v>0</v>
      </c>
      <c r="G794" s="202"/>
      <c r="H794" s="202" t="s">
        <v>1848</v>
      </c>
      <c r="I794" s="202"/>
      <c r="J794" s="202">
        <v>2008</v>
      </c>
      <c r="K794" s="202" t="s">
        <v>1826</v>
      </c>
      <c r="L794" s="202" t="s">
        <v>1042</v>
      </c>
      <c r="M794" s="202" t="s">
        <v>1149</v>
      </c>
      <c r="N794" s="206">
        <v>39755</v>
      </c>
      <c r="O794" s="206">
        <v>39755</v>
      </c>
      <c r="P794" s="202"/>
      <c r="Q794" s="203">
        <v>900</v>
      </c>
      <c r="R794" s="203">
        <v>14040</v>
      </c>
      <c r="S794" s="204">
        <v>73500</v>
      </c>
      <c r="T794" s="203">
        <v>14046</v>
      </c>
      <c r="U794" s="204">
        <v>73500</v>
      </c>
      <c r="V794" s="204">
        <f t="shared" si="23"/>
        <v>0</v>
      </c>
      <c r="W794" s="205">
        <v>0</v>
      </c>
      <c r="X794" s="203">
        <v>51260</v>
      </c>
      <c r="Y794" s="204">
        <v>0</v>
      </c>
      <c r="Z794" s="202" t="s">
        <v>1153</v>
      </c>
      <c r="AA794" s="202" t="s">
        <v>1383</v>
      </c>
      <c r="AB794" s="202"/>
      <c r="AC794" s="202">
        <v>5621</v>
      </c>
      <c r="AD794" s="202" t="s">
        <v>1152</v>
      </c>
      <c r="AE794" s="202" t="s">
        <v>1153</v>
      </c>
      <c r="AF794" s="203" t="s">
        <v>1154</v>
      </c>
      <c r="AG794" s="208">
        <v>40939</v>
      </c>
      <c r="AH794" s="203" t="s">
        <v>1155</v>
      </c>
      <c r="AI794" s="202">
        <v>0</v>
      </c>
      <c r="AJ794" s="202">
        <v>26541.68</v>
      </c>
    </row>
    <row r="795" spans="2:36">
      <c r="B795" s="203">
        <v>2180</v>
      </c>
      <c r="C795" s="207">
        <v>90541</v>
      </c>
      <c r="D795" s="203" t="s">
        <v>97</v>
      </c>
      <c r="E795" s="202" t="s">
        <v>182</v>
      </c>
      <c r="F795" s="203">
        <v>0</v>
      </c>
      <c r="G795" s="202"/>
      <c r="H795" s="202" t="s">
        <v>1847</v>
      </c>
      <c r="I795" s="202"/>
      <c r="J795" s="202">
        <v>2009</v>
      </c>
      <c r="K795" s="202" t="s">
        <v>1406</v>
      </c>
      <c r="L795" s="202" t="s">
        <v>1405</v>
      </c>
      <c r="M795" s="202" t="s">
        <v>1404</v>
      </c>
      <c r="N795" s="206">
        <v>39755</v>
      </c>
      <c r="O795" s="206">
        <v>39755</v>
      </c>
      <c r="P795" s="202"/>
      <c r="Q795" s="203">
        <v>1000</v>
      </c>
      <c r="R795" s="203">
        <v>14040</v>
      </c>
      <c r="S795" s="204">
        <v>132128.6</v>
      </c>
      <c r="T795" s="203">
        <v>14046</v>
      </c>
      <c r="U795" s="204">
        <v>132128.6</v>
      </c>
      <c r="V795" s="204">
        <f t="shared" si="23"/>
        <v>0</v>
      </c>
      <c r="W795" s="205">
        <v>0</v>
      </c>
      <c r="X795" s="203">
        <v>51260</v>
      </c>
      <c r="Y795" s="204">
        <v>0</v>
      </c>
      <c r="Z795" s="202" t="s">
        <v>1153</v>
      </c>
      <c r="AA795" s="202" t="s">
        <v>1383</v>
      </c>
      <c r="AB795" s="202"/>
      <c r="AC795" s="202">
        <v>3626</v>
      </c>
      <c r="AD795" s="202" t="s">
        <v>1152</v>
      </c>
      <c r="AE795" s="202" t="s">
        <v>1153</v>
      </c>
      <c r="AF795" s="203" t="s">
        <v>1154</v>
      </c>
      <c r="AG795" s="208">
        <v>40939</v>
      </c>
      <c r="AH795" s="203" t="s">
        <v>1155</v>
      </c>
      <c r="AI795" s="202">
        <v>0</v>
      </c>
      <c r="AJ795" s="202">
        <v>42941.79</v>
      </c>
    </row>
    <row r="796" spans="2:36">
      <c r="B796" s="203">
        <v>2180</v>
      </c>
      <c r="C796" s="207">
        <v>90536</v>
      </c>
      <c r="D796" s="203" t="s">
        <v>97</v>
      </c>
      <c r="E796" s="202" t="s">
        <v>1846</v>
      </c>
      <c r="F796" s="203">
        <v>0</v>
      </c>
      <c r="G796" s="202"/>
      <c r="H796" s="202" t="s">
        <v>1845</v>
      </c>
      <c r="I796" s="202"/>
      <c r="J796" s="202">
        <v>2007</v>
      </c>
      <c r="K796" s="202" t="s">
        <v>1844</v>
      </c>
      <c r="L796" s="202" t="s">
        <v>1042</v>
      </c>
      <c r="M796" s="202" t="s">
        <v>1149</v>
      </c>
      <c r="N796" s="206">
        <v>39755</v>
      </c>
      <c r="O796" s="206">
        <v>39755</v>
      </c>
      <c r="P796" s="202"/>
      <c r="Q796" s="203">
        <v>800</v>
      </c>
      <c r="R796" s="203">
        <v>14040</v>
      </c>
      <c r="S796" s="204">
        <v>58500</v>
      </c>
      <c r="T796" s="203">
        <v>14046</v>
      </c>
      <c r="U796" s="204">
        <v>58500</v>
      </c>
      <c r="V796" s="204">
        <f t="shared" si="23"/>
        <v>0</v>
      </c>
      <c r="W796" s="205">
        <v>0</v>
      </c>
      <c r="X796" s="203">
        <v>51260</v>
      </c>
      <c r="Y796" s="204">
        <v>0</v>
      </c>
      <c r="Z796" s="202" t="s">
        <v>1153</v>
      </c>
      <c r="AA796" s="202" t="s">
        <v>1383</v>
      </c>
      <c r="AB796" s="202"/>
      <c r="AC796" s="202">
        <v>5614</v>
      </c>
      <c r="AD796" s="202" t="s">
        <v>1152</v>
      </c>
      <c r="AE796" s="202" t="s">
        <v>1153</v>
      </c>
      <c r="AF796" s="203" t="s">
        <v>1154</v>
      </c>
      <c r="AG796" s="208">
        <v>40939</v>
      </c>
      <c r="AH796" s="203" t="s">
        <v>1155</v>
      </c>
      <c r="AI796" s="202">
        <v>0</v>
      </c>
      <c r="AJ796" s="202">
        <v>23765.63</v>
      </c>
    </row>
    <row r="797" spans="2:36">
      <c r="B797" s="203">
        <v>2180</v>
      </c>
      <c r="C797" s="207">
        <v>90535</v>
      </c>
      <c r="D797" s="203" t="s">
        <v>97</v>
      </c>
      <c r="E797" s="202" t="s">
        <v>1828</v>
      </c>
      <c r="F797" s="203">
        <v>0</v>
      </c>
      <c r="G797" s="202"/>
      <c r="H797" s="202" t="s">
        <v>1843</v>
      </c>
      <c r="I797" s="202"/>
      <c r="J797" s="202">
        <v>2008</v>
      </c>
      <c r="K797" s="202" t="s">
        <v>1826</v>
      </c>
      <c r="L797" s="202" t="s">
        <v>1825</v>
      </c>
      <c r="M797" s="202" t="s">
        <v>1824</v>
      </c>
      <c r="N797" s="206">
        <v>39755</v>
      </c>
      <c r="O797" s="206">
        <v>39755</v>
      </c>
      <c r="P797" s="202"/>
      <c r="Q797" s="203">
        <v>900</v>
      </c>
      <c r="R797" s="203">
        <v>14040</v>
      </c>
      <c r="S797" s="204">
        <v>106500</v>
      </c>
      <c r="T797" s="203">
        <v>14046</v>
      </c>
      <c r="U797" s="204">
        <v>106500</v>
      </c>
      <c r="V797" s="204">
        <f t="shared" si="23"/>
        <v>0</v>
      </c>
      <c r="W797" s="205">
        <v>0</v>
      </c>
      <c r="X797" s="203">
        <v>51260</v>
      </c>
      <c r="Y797" s="204">
        <v>0</v>
      </c>
      <c r="Z797" s="202" t="s">
        <v>1153</v>
      </c>
      <c r="AA797" s="202" t="s">
        <v>1383</v>
      </c>
      <c r="AB797" s="202"/>
      <c r="AC797" s="202">
        <v>4063</v>
      </c>
      <c r="AD797" s="202" t="s">
        <v>1152</v>
      </c>
      <c r="AE797" s="202" t="s">
        <v>1153</v>
      </c>
      <c r="AF797" s="203" t="s">
        <v>1154</v>
      </c>
      <c r="AG797" s="208">
        <v>40939</v>
      </c>
      <c r="AH797" s="203" t="s">
        <v>1155</v>
      </c>
      <c r="AI797" s="202">
        <v>0</v>
      </c>
      <c r="AJ797" s="202">
        <v>38458.32</v>
      </c>
    </row>
    <row r="798" spans="2:36">
      <c r="B798" s="203">
        <v>2180</v>
      </c>
      <c r="C798" s="207">
        <v>90533</v>
      </c>
      <c r="D798" s="203">
        <v>90532</v>
      </c>
      <c r="E798" s="202" t="s">
        <v>1842</v>
      </c>
      <c r="F798" s="203">
        <v>0</v>
      </c>
      <c r="G798" s="202"/>
      <c r="H798" s="202" t="s">
        <v>1841</v>
      </c>
      <c r="I798" s="202"/>
      <c r="J798" s="202">
        <v>2010</v>
      </c>
      <c r="K798" s="202" t="s">
        <v>1840</v>
      </c>
      <c r="L798" s="202"/>
      <c r="M798" s="202" t="s">
        <v>1404</v>
      </c>
      <c r="N798" s="206">
        <v>40421</v>
      </c>
      <c r="O798" s="206">
        <v>40421</v>
      </c>
      <c r="P798" s="202" t="s">
        <v>1835</v>
      </c>
      <c r="Q798" s="203">
        <v>900</v>
      </c>
      <c r="R798" s="203">
        <v>14040</v>
      </c>
      <c r="S798" s="204">
        <v>463.13</v>
      </c>
      <c r="T798" s="203">
        <v>14046</v>
      </c>
      <c r="U798" s="204">
        <v>463.13</v>
      </c>
      <c r="V798" s="204">
        <f t="shared" si="23"/>
        <v>0</v>
      </c>
      <c r="W798" s="205">
        <v>0</v>
      </c>
      <c r="X798" s="203">
        <v>51260</v>
      </c>
      <c r="Y798" s="204">
        <v>0</v>
      </c>
      <c r="Z798" s="202" t="s">
        <v>97</v>
      </c>
      <c r="AA798" s="202"/>
      <c r="AB798" s="202" t="s">
        <v>1839</v>
      </c>
      <c r="AC798" s="202"/>
      <c r="AD798" s="202" t="s">
        <v>1152</v>
      </c>
      <c r="AE798" s="202" t="s">
        <v>1153</v>
      </c>
      <c r="AF798" s="203" t="s">
        <v>1154</v>
      </c>
      <c r="AG798" s="208">
        <v>40939</v>
      </c>
      <c r="AH798" s="203" t="s">
        <v>1155</v>
      </c>
      <c r="AI798" s="202">
        <v>0</v>
      </c>
      <c r="AJ798" s="202">
        <v>72.900000000000006</v>
      </c>
    </row>
    <row r="799" spans="2:36">
      <c r="B799" s="203">
        <v>2180</v>
      </c>
      <c r="C799" s="207">
        <v>90532</v>
      </c>
      <c r="D799" s="203" t="s">
        <v>97</v>
      </c>
      <c r="E799" s="202" t="s">
        <v>1838</v>
      </c>
      <c r="F799" s="203">
        <v>0</v>
      </c>
      <c r="G799" s="202"/>
      <c r="H799" s="202" t="s">
        <v>1837</v>
      </c>
      <c r="I799" s="202"/>
      <c r="J799" s="202">
        <v>2010</v>
      </c>
      <c r="K799" s="202" t="s">
        <v>1836</v>
      </c>
      <c r="L799" s="202" t="s">
        <v>1732</v>
      </c>
      <c r="M799" s="202" t="s">
        <v>1404</v>
      </c>
      <c r="N799" s="206">
        <v>40421</v>
      </c>
      <c r="O799" s="206">
        <v>40421</v>
      </c>
      <c r="P799" s="202" t="s">
        <v>1835</v>
      </c>
      <c r="Q799" s="203">
        <v>900</v>
      </c>
      <c r="R799" s="203">
        <v>14040</v>
      </c>
      <c r="S799" s="204">
        <v>279344.96999999997</v>
      </c>
      <c r="T799" s="203">
        <v>14046</v>
      </c>
      <c r="U799" s="204">
        <v>279344.96999999997</v>
      </c>
      <c r="V799" s="204">
        <f t="shared" si="23"/>
        <v>0</v>
      </c>
      <c r="W799" s="205">
        <v>0</v>
      </c>
      <c r="X799" s="203">
        <v>51260</v>
      </c>
      <c r="Y799" s="204">
        <v>0</v>
      </c>
      <c r="Z799" s="202" t="s">
        <v>97</v>
      </c>
      <c r="AA799" s="202"/>
      <c r="AB799" s="202" t="s">
        <v>1834</v>
      </c>
      <c r="AC799" s="202">
        <v>3630</v>
      </c>
      <c r="AD799" s="202" t="s">
        <v>1152</v>
      </c>
      <c r="AE799" s="202" t="s">
        <v>1153</v>
      </c>
      <c r="AF799" s="203" t="s">
        <v>1154</v>
      </c>
      <c r="AG799" s="208">
        <v>40939</v>
      </c>
      <c r="AH799" s="203" t="s">
        <v>1155</v>
      </c>
      <c r="AI799" s="202">
        <v>0</v>
      </c>
      <c r="AJ799" s="202">
        <v>43970.97</v>
      </c>
    </row>
    <row r="800" spans="2:36">
      <c r="B800" s="203">
        <v>2180</v>
      </c>
      <c r="C800" s="207">
        <v>90531</v>
      </c>
      <c r="D800" s="203" t="s">
        <v>97</v>
      </c>
      <c r="E800" s="202" t="s">
        <v>1833</v>
      </c>
      <c r="F800" s="203">
        <v>0</v>
      </c>
      <c r="G800" s="202"/>
      <c r="H800" s="202" t="s">
        <v>1832</v>
      </c>
      <c r="I800" s="202"/>
      <c r="J800" s="202">
        <v>2002</v>
      </c>
      <c r="K800" s="202" t="s">
        <v>1831</v>
      </c>
      <c r="L800" s="202" t="s">
        <v>1830</v>
      </c>
      <c r="M800" s="202" t="s">
        <v>1503</v>
      </c>
      <c r="N800" s="206">
        <v>40543</v>
      </c>
      <c r="O800" s="206">
        <v>40543</v>
      </c>
      <c r="P800" s="202" t="s">
        <v>1829</v>
      </c>
      <c r="Q800" s="203">
        <v>300</v>
      </c>
      <c r="R800" s="203">
        <v>14040</v>
      </c>
      <c r="S800" s="204">
        <v>15751.58</v>
      </c>
      <c r="T800" s="203">
        <v>14046</v>
      </c>
      <c r="U800" s="204">
        <v>15751.58</v>
      </c>
      <c r="V800" s="204">
        <f t="shared" si="23"/>
        <v>0</v>
      </c>
      <c r="W800" s="205">
        <v>0</v>
      </c>
      <c r="X800" s="203">
        <v>51260</v>
      </c>
      <c r="Y800" s="204">
        <v>0</v>
      </c>
      <c r="Z800" s="202" t="s">
        <v>97</v>
      </c>
      <c r="AA800" s="202"/>
      <c r="AB800" s="202">
        <v>943496</v>
      </c>
      <c r="AC800" s="202">
        <v>9572</v>
      </c>
      <c r="AD800" s="202" t="s">
        <v>1152</v>
      </c>
      <c r="AE800" s="202" t="s">
        <v>1153</v>
      </c>
      <c r="AF800" s="203" t="s">
        <v>1154</v>
      </c>
      <c r="AG800" s="208">
        <v>40939</v>
      </c>
      <c r="AH800" s="203" t="s">
        <v>1155</v>
      </c>
      <c r="AI800" s="202">
        <v>0</v>
      </c>
      <c r="AJ800" s="202">
        <v>5688.07</v>
      </c>
    </row>
    <row r="801" spans="2:36">
      <c r="B801" s="203">
        <v>2180</v>
      </c>
      <c r="C801" s="207">
        <v>90529</v>
      </c>
      <c r="D801" s="203" t="s">
        <v>97</v>
      </c>
      <c r="E801" s="202" t="s">
        <v>1828</v>
      </c>
      <c r="F801" s="203">
        <v>0</v>
      </c>
      <c r="G801" s="202"/>
      <c r="H801" s="202" t="s">
        <v>1827</v>
      </c>
      <c r="I801" s="202"/>
      <c r="J801" s="202">
        <v>2008</v>
      </c>
      <c r="K801" s="202" t="s">
        <v>1826</v>
      </c>
      <c r="L801" s="202" t="s">
        <v>1825</v>
      </c>
      <c r="M801" s="202" t="s">
        <v>1824</v>
      </c>
      <c r="N801" s="206">
        <v>39755</v>
      </c>
      <c r="O801" s="206">
        <v>39755</v>
      </c>
      <c r="P801" s="202"/>
      <c r="Q801" s="203">
        <v>900</v>
      </c>
      <c r="R801" s="203">
        <v>14040</v>
      </c>
      <c r="S801" s="204">
        <v>106500</v>
      </c>
      <c r="T801" s="203">
        <v>14046</v>
      </c>
      <c r="U801" s="204">
        <v>106500</v>
      </c>
      <c r="V801" s="204">
        <f t="shared" si="23"/>
        <v>0</v>
      </c>
      <c r="W801" s="205">
        <v>0</v>
      </c>
      <c r="X801" s="203">
        <v>51260</v>
      </c>
      <c r="Y801" s="204">
        <v>0</v>
      </c>
      <c r="Z801" s="202" t="s">
        <v>1153</v>
      </c>
      <c r="AA801" s="202" t="s">
        <v>1383</v>
      </c>
      <c r="AB801" s="202"/>
      <c r="AC801" s="202">
        <v>4060</v>
      </c>
      <c r="AD801" s="202" t="s">
        <v>1152</v>
      </c>
      <c r="AE801" s="202" t="s">
        <v>1153</v>
      </c>
      <c r="AF801" s="203" t="s">
        <v>1154</v>
      </c>
      <c r="AG801" s="208">
        <v>40939</v>
      </c>
      <c r="AH801" s="203" t="s">
        <v>1155</v>
      </c>
      <c r="AI801" s="202">
        <v>0</v>
      </c>
      <c r="AJ801" s="202">
        <v>38458.32</v>
      </c>
    </row>
    <row r="802" spans="2:36">
      <c r="B802" s="203">
        <v>2180</v>
      </c>
      <c r="C802" s="207">
        <v>90528</v>
      </c>
      <c r="D802" s="203" t="s">
        <v>97</v>
      </c>
      <c r="E802" s="202" t="s">
        <v>182</v>
      </c>
      <c r="F802" s="203">
        <v>0</v>
      </c>
      <c r="G802" s="202"/>
      <c r="H802" s="202" t="s">
        <v>1823</v>
      </c>
      <c r="I802" s="202"/>
      <c r="J802" s="202">
        <v>2009</v>
      </c>
      <c r="K802" s="202" t="s">
        <v>1822</v>
      </c>
      <c r="L802" s="202" t="s">
        <v>1405</v>
      </c>
      <c r="M802" s="202" t="s">
        <v>1404</v>
      </c>
      <c r="N802" s="206">
        <v>39755</v>
      </c>
      <c r="O802" s="206">
        <v>39755</v>
      </c>
      <c r="P802" s="202"/>
      <c r="Q802" s="203">
        <v>1000</v>
      </c>
      <c r="R802" s="203">
        <v>14040</v>
      </c>
      <c r="S802" s="204">
        <v>132129</v>
      </c>
      <c r="T802" s="203">
        <v>14046</v>
      </c>
      <c r="U802" s="204">
        <v>132129</v>
      </c>
      <c r="V802" s="204">
        <f t="shared" si="23"/>
        <v>0</v>
      </c>
      <c r="W802" s="205">
        <v>0</v>
      </c>
      <c r="X802" s="203">
        <v>51260</v>
      </c>
      <c r="Y802" s="204">
        <v>0</v>
      </c>
      <c r="Z802" s="202" t="s">
        <v>1153</v>
      </c>
      <c r="AA802" s="202" t="s">
        <v>1383</v>
      </c>
      <c r="AB802" s="202"/>
      <c r="AC802" s="202">
        <v>3624</v>
      </c>
      <c r="AD802" s="202" t="s">
        <v>1152</v>
      </c>
      <c r="AE802" s="202" t="s">
        <v>1153</v>
      </c>
      <c r="AF802" s="203" t="s">
        <v>1154</v>
      </c>
      <c r="AG802" s="208">
        <v>40939</v>
      </c>
      <c r="AH802" s="203" t="s">
        <v>1155</v>
      </c>
      <c r="AI802" s="202">
        <v>0</v>
      </c>
      <c r="AJ802" s="202">
        <v>42941.93</v>
      </c>
    </row>
    <row r="803" spans="2:36">
      <c r="B803" s="203">
        <v>2180</v>
      </c>
      <c r="C803" s="207">
        <v>90526</v>
      </c>
      <c r="D803" s="203" t="s">
        <v>97</v>
      </c>
      <c r="E803" s="202" t="s">
        <v>1821</v>
      </c>
      <c r="F803" s="203">
        <v>0</v>
      </c>
      <c r="G803" s="202"/>
      <c r="H803" s="202" t="s">
        <v>1820</v>
      </c>
      <c r="I803" s="202"/>
      <c r="J803" s="202">
        <v>1995</v>
      </c>
      <c r="K803" s="202" t="s">
        <v>1819</v>
      </c>
      <c r="L803" s="202" t="s">
        <v>1503</v>
      </c>
      <c r="M803" s="202" t="s">
        <v>1503</v>
      </c>
      <c r="N803" s="206">
        <v>40179</v>
      </c>
      <c r="O803" s="206">
        <v>40179</v>
      </c>
      <c r="P803" s="202" t="s">
        <v>1818</v>
      </c>
      <c r="Q803" s="203">
        <v>300</v>
      </c>
      <c r="R803" s="203">
        <v>14040</v>
      </c>
      <c r="S803" s="204">
        <v>46051.39</v>
      </c>
      <c r="T803" s="203">
        <v>14046</v>
      </c>
      <c r="U803" s="204">
        <v>46051.39</v>
      </c>
      <c r="V803" s="204">
        <f t="shared" si="23"/>
        <v>0</v>
      </c>
      <c r="W803" s="205">
        <v>0</v>
      </c>
      <c r="X803" s="203">
        <v>51260</v>
      </c>
      <c r="Y803" s="204">
        <v>0</v>
      </c>
      <c r="Z803" s="202" t="s">
        <v>97</v>
      </c>
      <c r="AA803" s="202"/>
      <c r="AB803" s="202" t="s">
        <v>1817</v>
      </c>
      <c r="AC803" s="202">
        <v>9984</v>
      </c>
      <c r="AD803" s="202" t="s">
        <v>1152</v>
      </c>
      <c r="AE803" s="202" t="s">
        <v>1153</v>
      </c>
      <c r="AF803" s="203" t="s">
        <v>1154</v>
      </c>
      <c r="AG803" s="208">
        <v>40939</v>
      </c>
      <c r="AH803" s="203" t="s">
        <v>1155</v>
      </c>
      <c r="AI803" s="202">
        <v>0</v>
      </c>
      <c r="AJ803" s="202">
        <v>31980.11</v>
      </c>
    </row>
    <row r="804" spans="2:36">
      <c r="B804" s="203">
        <v>2180</v>
      </c>
      <c r="C804" s="207">
        <v>90524</v>
      </c>
      <c r="D804" s="203">
        <v>90541</v>
      </c>
      <c r="E804" s="202" t="s">
        <v>184</v>
      </c>
      <c r="F804" s="203">
        <v>0</v>
      </c>
      <c r="G804" s="202"/>
      <c r="H804" s="202">
        <v>719300</v>
      </c>
      <c r="I804" s="202"/>
      <c r="J804" s="202">
        <v>2009</v>
      </c>
      <c r="K804" s="202" t="s">
        <v>1816</v>
      </c>
      <c r="L804" s="202" t="s">
        <v>1255</v>
      </c>
      <c r="M804" s="202" t="s">
        <v>1404</v>
      </c>
      <c r="N804" s="206">
        <v>39787</v>
      </c>
      <c r="O804" s="206">
        <v>39787</v>
      </c>
      <c r="P804" s="202" t="s">
        <v>1815</v>
      </c>
      <c r="Q804" s="203">
        <v>1000</v>
      </c>
      <c r="R804" s="203">
        <v>14040</v>
      </c>
      <c r="S804" s="204">
        <v>100569.69</v>
      </c>
      <c r="T804" s="203">
        <v>14046</v>
      </c>
      <c r="U804" s="204">
        <v>100569.69</v>
      </c>
      <c r="V804" s="204">
        <f t="shared" si="23"/>
        <v>0</v>
      </c>
      <c r="W804" s="205">
        <v>0</v>
      </c>
      <c r="X804" s="203">
        <v>51260</v>
      </c>
      <c r="Y804" s="204">
        <v>0</v>
      </c>
      <c r="Z804" s="202" t="s">
        <v>97</v>
      </c>
      <c r="AA804" s="202"/>
      <c r="AB804" s="202" t="s">
        <v>1814</v>
      </c>
      <c r="AC804" s="202" t="s">
        <v>1813</v>
      </c>
      <c r="AD804" s="202" t="s">
        <v>1152</v>
      </c>
      <c r="AE804" s="202" t="s">
        <v>1153</v>
      </c>
      <c r="AF804" s="203" t="s">
        <v>1154</v>
      </c>
      <c r="AG804" s="208">
        <v>40939</v>
      </c>
      <c r="AH804" s="203" t="s">
        <v>1155</v>
      </c>
      <c r="AI804" s="202">
        <v>0</v>
      </c>
      <c r="AJ804" s="202">
        <v>31847.07</v>
      </c>
    </row>
    <row r="805" spans="2:36">
      <c r="B805" s="203">
        <v>2180</v>
      </c>
      <c r="C805" s="207">
        <v>90521</v>
      </c>
      <c r="D805" s="203" t="s">
        <v>97</v>
      </c>
      <c r="E805" s="202" t="s">
        <v>1398</v>
      </c>
      <c r="F805" s="203">
        <v>0</v>
      </c>
      <c r="G805" s="202"/>
      <c r="H805" s="202" t="s">
        <v>1812</v>
      </c>
      <c r="I805" s="202"/>
      <c r="J805" s="202">
        <v>2007</v>
      </c>
      <c r="K805" s="202" t="s">
        <v>1396</v>
      </c>
      <c r="L805" s="202" t="s">
        <v>1395</v>
      </c>
      <c r="M805" s="202" t="s">
        <v>1394</v>
      </c>
      <c r="N805" s="206">
        <v>39755</v>
      </c>
      <c r="O805" s="206">
        <v>39755</v>
      </c>
      <c r="P805" s="202"/>
      <c r="Q805" s="203">
        <v>800</v>
      </c>
      <c r="R805" s="203">
        <v>14040</v>
      </c>
      <c r="S805" s="204">
        <v>133500</v>
      </c>
      <c r="T805" s="203">
        <v>14046</v>
      </c>
      <c r="U805" s="204">
        <v>133500</v>
      </c>
      <c r="V805" s="204">
        <f t="shared" si="23"/>
        <v>0</v>
      </c>
      <c r="W805" s="205">
        <v>0</v>
      </c>
      <c r="X805" s="203">
        <v>51260</v>
      </c>
      <c r="Y805" s="204">
        <v>0</v>
      </c>
      <c r="Z805" s="202" t="s">
        <v>1153</v>
      </c>
      <c r="AA805" s="202" t="s">
        <v>1383</v>
      </c>
      <c r="AB805" s="202"/>
      <c r="AC805" s="202">
        <v>1053</v>
      </c>
      <c r="AD805" s="202" t="s">
        <v>1152</v>
      </c>
      <c r="AE805" s="202" t="s">
        <v>1153</v>
      </c>
      <c r="AF805" s="203" t="s">
        <v>1154</v>
      </c>
      <c r="AG805" s="208">
        <v>40939</v>
      </c>
      <c r="AH805" s="203" t="s">
        <v>1155</v>
      </c>
      <c r="AI805" s="202">
        <v>0</v>
      </c>
      <c r="AJ805" s="202">
        <v>54234.38</v>
      </c>
    </row>
    <row r="806" spans="2:36">
      <c r="B806" s="203">
        <v>2180</v>
      </c>
      <c r="C806" s="207">
        <v>90520</v>
      </c>
      <c r="D806" s="203" t="s">
        <v>97</v>
      </c>
      <c r="E806" s="202" t="s">
        <v>1398</v>
      </c>
      <c r="F806" s="203">
        <v>0</v>
      </c>
      <c r="G806" s="202"/>
      <c r="H806" s="202" t="s">
        <v>1811</v>
      </c>
      <c r="I806" s="202"/>
      <c r="J806" s="202">
        <v>2007</v>
      </c>
      <c r="K806" s="202" t="s">
        <v>1396</v>
      </c>
      <c r="L806" s="202" t="s">
        <v>1395</v>
      </c>
      <c r="M806" s="202" t="s">
        <v>1394</v>
      </c>
      <c r="N806" s="206">
        <v>39755</v>
      </c>
      <c r="O806" s="206">
        <v>39755</v>
      </c>
      <c r="P806" s="202"/>
      <c r="Q806" s="203">
        <v>800</v>
      </c>
      <c r="R806" s="203">
        <v>14040</v>
      </c>
      <c r="S806" s="204">
        <v>133500</v>
      </c>
      <c r="T806" s="203">
        <v>14046</v>
      </c>
      <c r="U806" s="204">
        <v>133500</v>
      </c>
      <c r="V806" s="204">
        <f t="shared" si="23"/>
        <v>0</v>
      </c>
      <c r="W806" s="205">
        <v>0</v>
      </c>
      <c r="X806" s="203">
        <v>51260</v>
      </c>
      <c r="Y806" s="204">
        <v>0</v>
      </c>
      <c r="Z806" s="202" t="s">
        <v>1153</v>
      </c>
      <c r="AA806" s="202" t="s">
        <v>1383</v>
      </c>
      <c r="AB806" s="202"/>
      <c r="AC806" s="202">
        <v>1058</v>
      </c>
      <c r="AD806" s="202" t="s">
        <v>1152</v>
      </c>
      <c r="AE806" s="202" t="s">
        <v>1153</v>
      </c>
      <c r="AF806" s="203" t="s">
        <v>1154</v>
      </c>
      <c r="AG806" s="208">
        <v>40939</v>
      </c>
      <c r="AH806" s="203" t="s">
        <v>1155</v>
      </c>
      <c r="AI806" s="202">
        <v>0</v>
      </c>
      <c r="AJ806" s="202">
        <v>54234.38</v>
      </c>
    </row>
    <row r="807" spans="2:36">
      <c r="B807" s="203">
        <v>2180</v>
      </c>
      <c r="C807" s="207">
        <v>90518</v>
      </c>
      <c r="D807" s="203" t="s">
        <v>97</v>
      </c>
      <c r="E807" s="202" t="s">
        <v>1810</v>
      </c>
      <c r="F807" s="203">
        <v>0</v>
      </c>
      <c r="G807" s="202"/>
      <c r="H807" s="202" t="s">
        <v>1809</v>
      </c>
      <c r="I807" s="202"/>
      <c r="J807" s="202">
        <v>2000</v>
      </c>
      <c r="K807" s="202" t="s">
        <v>1785</v>
      </c>
      <c r="L807" s="202" t="s">
        <v>1785</v>
      </c>
      <c r="M807" s="202" t="s">
        <v>1412</v>
      </c>
      <c r="N807" s="206">
        <v>39755</v>
      </c>
      <c r="O807" s="206">
        <v>39755</v>
      </c>
      <c r="P807" s="202"/>
      <c r="Q807" s="203">
        <v>300</v>
      </c>
      <c r="R807" s="203">
        <v>14030</v>
      </c>
      <c r="S807" s="204">
        <v>2500</v>
      </c>
      <c r="T807" s="203">
        <v>14036</v>
      </c>
      <c r="U807" s="204">
        <v>2500</v>
      </c>
      <c r="V807" s="204">
        <f t="shared" si="23"/>
        <v>0</v>
      </c>
      <c r="W807" s="205">
        <v>0</v>
      </c>
      <c r="X807" s="203">
        <v>51260</v>
      </c>
      <c r="Y807" s="204">
        <v>0</v>
      </c>
      <c r="Z807" s="202" t="s">
        <v>1153</v>
      </c>
      <c r="AA807" s="202" t="s">
        <v>1383</v>
      </c>
      <c r="AB807" s="202"/>
      <c r="AC807" s="202">
        <v>7030</v>
      </c>
      <c r="AD807" s="202" t="s">
        <v>1152</v>
      </c>
      <c r="AE807" s="202" t="s">
        <v>1153</v>
      </c>
      <c r="AF807" s="203" t="s">
        <v>1154</v>
      </c>
      <c r="AG807" s="208">
        <v>40939</v>
      </c>
      <c r="AH807" s="203" t="s">
        <v>1155</v>
      </c>
      <c r="AI807" s="202">
        <v>0</v>
      </c>
      <c r="AJ807" s="202">
        <v>2500</v>
      </c>
    </row>
    <row r="808" spans="2:36">
      <c r="B808" s="203">
        <v>2180</v>
      </c>
      <c r="C808" s="207">
        <v>90464</v>
      </c>
      <c r="D808" s="203" t="s">
        <v>97</v>
      </c>
      <c r="E808" s="202" t="s">
        <v>1808</v>
      </c>
      <c r="F808" s="203">
        <v>0</v>
      </c>
      <c r="G808" s="202"/>
      <c r="H808" s="202"/>
      <c r="I808" s="202"/>
      <c r="J808" s="202">
        <v>0</v>
      </c>
      <c r="K808" s="202" t="s">
        <v>1807</v>
      </c>
      <c r="L808" s="202"/>
      <c r="M808" s="202"/>
      <c r="N808" s="206">
        <v>40933</v>
      </c>
      <c r="O808" s="206">
        <v>40933</v>
      </c>
      <c r="P808" s="202" t="s">
        <v>1806</v>
      </c>
      <c r="Q808" s="203">
        <v>500</v>
      </c>
      <c r="R808" s="203">
        <v>14110</v>
      </c>
      <c r="S808" s="204">
        <v>564.44000000000005</v>
      </c>
      <c r="T808" s="203">
        <v>14116</v>
      </c>
      <c r="U808" s="204">
        <v>564.44000000000005</v>
      </c>
      <c r="V808" s="204">
        <f t="shared" si="23"/>
        <v>0</v>
      </c>
      <c r="W808" s="205">
        <v>0</v>
      </c>
      <c r="X808" s="203">
        <v>70260</v>
      </c>
      <c r="Y808" s="204">
        <v>0</v>
      </c>
      <c r="Z808" s="202" t="s">
        <v>97</v>
      </c>
      <c r="AA808" s="202"/>
      <c r="AB808" s="202" t="s">
        <v>1805</v>
      </c>
      <c r="AC808" s="202"/>
      <c r="AD808" s="202" t="s">
        <v>1152</v>
      </c>
      <c r="AE808" s="202" t="s">
        <v>1153</v>
      </c>
      <c r="AF808" s="203" t="s">
        <v>1154</v>
      </c>
      <c r="AG808" s="202"/>
      <c r="AH808" s="203" t="s">
        <v>1155</v>
      </c>
      <c r="AI808" s="202">
        <v>0</v>
      </c>
      <c r="AJ808" s="202">
        <v>0</v>
      </c>
    </row>
    <row r="809" spans="2:36">
      <c r="B809" s="203">
        <v>2180</v>
      </c>
      <c r="C809" s="207">
        <v>89282</v>
      </c>
      <c r="D809" s="203" t="s">
        <v>97</v>
      </c>
      <c r="E809" s="202" t="s">
        <v>1804</v>
      </c>
      <c r="F809" s="203">
        <v>648</v>
      </c>
      <c r="G809" s="202"/>
      <c r="H809" s="202"/>
      <c r="I809" s="202"/>
      <c r="J809" s="202">
        <v>0</v>
      </c>
      <c r="K809" s="202" t="s">
        <v>1658</v>
      </c>
      <c r="L809" s="202"/>
      <c r="M809" s="202"/>
      <c r="N809" s="206">
        <v>40909</v>
      </c>
      <c r="O809" s="206">
        <v>40909</v>
      </c>
      <c r="P809" s="202" t="s">
        <v>1803</v>
      </c>
      <c r="Q809" s="203">
        <v>700</v>
      </c>
      <c r="R809" s="203">
        <v>14050</v>
      </c>
      <c r="S809" s="204">
        <v>29237.14</v>
      </c>
      <c r="T809" s="203">
        <v>14056</v>
      </c>
      <c r="U809" s="204">
        <v>29237.14</v>
      </c>
      <c r="V809" s="204">
        <f t="shared" si="23"/>
        <v>0</v>
      </c>
      <c r="W809" s="205">
        <v>0</v>
      </c>
      <c r="X809" s="203">
        <v>54260</v>
      </c>
      <c r="Y809" s="204">
        <v>0</v>
      </c>
      <c r="Z809" s="202" t="s">
        <v>97</v>
      </c>
      <c r="AA809" s="202"/>
      <c r="AB809" s="202" t="s">
        <v>1802</v>
      </c>
      <c r="AC809" s="202"/>
      <c r="AD809" s="202" t="s">
        <v>1152</v>
      </c>
      <c r="AE809" s="202" t="s">
        <v>1153</v>
      </c>
      <c r="AF809" s="203" t="s">
        <v>1154</v>
      </c>
      <c r="AG809" s="202"/>
      <c r="AH809" s="203" t="s">
        <v>1155</v>
      </c>
      <c r="AI809" s="202">
        <v>0</v>
      </c>
      <c r="AJ809" s="202">
        <v>0</v>
      </c>
    </row>
    <row r="810" spans="2:36">
      <c r="B810" s="203">
        <v>2180</v>
      </c>
      <c r="C810" s="207">
        <v>88248</v>
      </c>
      <c r="D810" s="203" t="s">
        <v>97</v>
      </c>
      <c r="E810" s="202" t="s">
        <v>1801</v>
      </c>
      <c r="F810" s="203">
        <v>0</v>
      </c>
      <c r="G810" s="202"/>
      <c r="H810" s="202"/>
      <c r="I810" s="202"/>
      <c r="J810" s="202">
        <v>0</v>
      </c>
      <c r="K810" s="202" t="s">
        <v>1800</v>
      </c>
      <c r="L810" s="202"/>
      <c r="M810" s="202"/>
      <c r="N810" s="206">
        <v>40878</v>
      </c>
      <c r="O810" s="206">
        <v>40878</v>
      </c>
      <c r="P810" s="202" t="s">
        <v>1799</v>
      </c>
      <c r="Q810" s="203">
        <v>300</v>
      </c>
      <c r="R810" s="203">
        <v>14110</v>
      </c>
      <c r="S810" s="204">
        <v>1750</v>
      </c>
      <c r="T810" s="203">
        <v>14116</v>
      </c>
      <c r="U810" s="204">
        <v>1750</v>
      </c>
      <c r="V810" s="204">
        <f t="shared" si="23"/>
        <v>0</v>
      </c>
      <c r="W810" s="205">
        <v>0</v>
      </c>
      <c r="X810" s="203">
        <v>70260</v>
      </c>
      <c r="Y810" s="204">
        <v>0</v>
      </c>
      <c r="Z810" s="202" t="s">
        <v>97</v>
      </c>
      <c r="AA810" s="202"/>
      <c r="AB810" s="202">
        <v>12893</v>
      </c>
      <c r="AC810" s="202"/>
      <c r="AD810" s="202" t="s">
        <v>1152</v>
      </c>
      <c r="AE810" s="202" t="s">
        <v>1153</v>
      </c>
      <c r="AF810" s="203" t="s">
        <v>1154</v>
      </c>
      <c r="AG810" s="202"/>
      <c r="AH810" s="203" t="s">
        <v>1155</v>
      </c>
      <c r="AI810" s="202">
        <v>0</v>
      </c>
      <c r="AJ810" s="202">
        <v>0</v>
      </c>
    </row>
    <row r="811" spans="2:36">
      <c r="B811" s="203">
        <v>2180</v>
      </c>
      <c r="C811" s="207">
        <v>88132</v>
      </c>
      <c r="D811" s="203" t="s">
        <v>97</v>
      </c>
      <c r="E811" s="202" t="s">
        <v>1797</v>
      </c>
      <c r="F811" s="203">
        <v>486</v>
      </c>
      <c r="G811" s="202"/>
      <c r="H811" s="202"/>
      <c r="I811" s="202"/>
      <c r="J811" s="202">
        <v>0</v>
      </c>
      <c r="K811" s="202" t="s">
        <v>1658</v>
      </c>
      <c r="L811" s="202"/>
      <c r="M811" s="202"/>
      <c r="N811" s="206">
        <v>40796</v>
      </c>
      <c r="O811" s="206">
        <v>40796</v>
      </c>
      <c r="P811" s="202" t="s">
        <v>1796</v>
      </c>
      <c r="Q811" s="203">
        <v>700</v>
      </c>
      <c r="R811" s="203">
        <v>14050</v>
      </c>
      <c r="S811" s="204">
        <v>3868.85</v>
      </c>
      <c r="T811" s="203">
        <v>14056</v>
      </c>
      <c r="U811" s="204">
        <v>3868.85</v>
      </c>
      <c r="V811" s="204">
        <f t="shared" si="23"/>
        <v>0</v>
      </c>
      <c r="W811" s="205">
        <v>0</v>
      </c>
      <c r="X811" s="203">
        <v>54260</v>
      </c>
      <c r="Y811" s="204">
        <v>0</v>
      </c>
      <c r="Z811" s="202" t="s">
        <v>97</v>
      </c>
      <c r="AA811" s="202"/>
      <c r="AB811" s="202" t="s">
        <v>1798</v>
      </c>
      <c r="AC811" s="202"/>
      <c r="AD811" s="202" t="s">
        <v>1152</v>
      </c>
      <c r="AE811" s="202" t="s">
        <v>1153</v>
      </c>
      <c r="AF811" s="203" t="s">
        <v>1154</v>
      </c>
      <c r="AG811" s="202"/>
      <c r="AH811" s="203" t="s">
        <v>1155</v>
      </c>
      <c r="AI811" s="202">
        <v>0</v>
      </c>
      <c r="AJ811" s="202">
        <v>0</v>
      </c>
    </row>
    <row r="812" spans="2:36">
      <c r="B812" s="203">
        <v>2180</v>
      </c>
      <c r="C812" s="207">
        <v>88131</v>
      </c>
      <c r="D812" s="203" t="s">
        <v>97</v>
      </c>
      <c r="E812" s="202" t="s">
        <v>1797</v>
      </c>
      <c r="F812" s="203">
        <v>486</v>
      </c>
      <c r="G812" s="202"/>
      <c r="H812" s="202"/>
      <c r="I812" s="202"/>
      <c r="J812" s="202">
        <v>0</v>
      </c>
      <c r="K812" s="202" t="s">
        <v>1658</v>
      </c>
      <c r="L812" s="202"/>
      <c r="M812" s="202"/>
      <c r="N812" s="206">
        <v>40796</v>
      </c>
      <c r="O812" s="206">
        <v>40796</v>
      </c>
      <c r="P812" s="202" t="s">
        <v>1747</v>
      </c>
      <c r="Q812" s="203">
        <v>700</v>
      </c>
      <c r="R812" s="203">
        <v>14050</v>
      </c>
      <c r="S812" s="204">
        <v>23780</v>
      </c>
      <c r="T812" s="203">
        <v>14056</v>
      </c>
      <c r="U812" s="204">
        <v>23780</v>
      </c>
      <c r="V812" s="204">
        <f t="shared" si="23"/>
        <v>0</v>
      </c>
      <c r="W812" s="205">
        <v>0</v>
      </c>
      <c r="X812" s="203">
        <v>54260</v>
      </c>
      <c r="Y812" s="204">
        <v>0</v>
      </c>
      <c r="Z812" s="202" t="s">
        <v>97</v>
      </c>
      <c r="AA812" s="202"/>
      <c r="AB812" s="202" t="s">
        <v>1798</v>
      </c>
      <c r="AC812" s="202"/>
      <c r="AD812" s="202" t="s">
        <v>1152</v>
      </c>
      <c r="AE812" s="202" t="s">
        <v>1153</v>
      </c>
      <c r="AF812" s="203" t="s">
        <v>1154</v>
      </c>
      <c r="AG812" s="202"/>
      <c r="AH812" s="203" t="s">
        <v>1155</v>
      </c>
      <c r="AI812" s="202">
        <v>0</v>
      </c>
      <c r="AJ812" s="202">
        <v>0</v>
      </c>
    </row>
    <row r="813" spans="2:36">
      <c r="B813" s="203">
        <v>2180</v>
      </c>
      <c r="C813" s="207">
        <v>88130</v>
      </c>
      <c r="D813" s="203" t="s">
        <v>97</v>
      </c>
      <c r="E813" s="202" t="s">
        <v>1797</v>
      </c>
      <c r="F813" s="203">
        <v>486</v>
      </c>
      <c r="G813" s="202"/>
      <c r="H813" s="202"/>
      <c r="I813" s="202"/>
      <c r="J813" s="202">
        <v>0</v>
      </c>
      <c r="K813" s="202" t="s">
        <v>1658</v>
      </c>
      <c r="L813" s="202"/>
      <c r="M813" s="202"/>
      <c r="N813" s="206">
        <v>40796</v>
      </c>
      <c r="O813" s="206">
        <v>40796</v>
      </c>
      <c r="P813" s="202" t="s">
        <v>1796</v>
      </c>
      <c r="Q813" s="203">
        <v>700</v>
      </c>
      <c r="R813" s="203">
        <v>14050</v>
      </c>
      <c r="S813" s="204">
        <v>27648.85</v>
      </c>
      <c r="T813" s="203">
        <v>14056</v>
      </c>
      <c r="U813" s="204">
        <v>27648.85</v>
      </c>
      <c r="V813" s="204">
        <f t="shared" si="23"/>
        <v>0</v>
      </c>
      <c r="W813" s="205">
        <v>0</v>
      </c>
      <c r="X813" s="203">
        <v>54260</v>
      </c>
      <c r="Y813" s="204">
        <v>0</v>
      </c>
      <c r="Z813" s="202" t="s">
        <v>97</v>
      </c>
      <c r="AA813" s="202"/>
      <c r="AB813" s="202" t="s">
        <v>1795</v>
      </c>
      <c r="AC813" s="202"/>
      <c r="AD813" s="202" t="s">
        <v>1152</v>
      </c>
      <c r="AE813" s="202" t="s">
        <v>1153</v>
      </c>
      <c r="AF813" s="203" t="s">
        <v>1154</v>
      </c>
      <c r="AG813" s="202"/>
      <c r="AH813" s="203" t="s">
        <v>1155</v>
      </c>
      <c r="AI813" s="202">
        <v>0</v>
      </c>
      <c r="AJ813" s="202">
        <v>0</v>
      </c>
    </row>
    <row r="814" spans="2:36">
      <c r="B814" s="203">
        <v>2180</v>
      </c>
      <c r="C814" s="207">
        <v>87413</v>
      </c>
      <c r="D814" s="203" t="s">
        <v>97</v>
      </c>
      <c r="E814" s="202" t="s">
        <v>1794</v>
      </c>
      <c r="F814" s="203">
        <v>20</v>
      </c>
      <c r="G814" s="202"/>
      <c r="H814" s="202"/>
      <c r="I814" s="202"/>
      <c r="J814" s="202">
        <v>0</v>
      </c>
      <c r="K814" s="202" t="s">
        <v>1574</v>
      </c>
      <c r="L814" s="202"/>
      <c r="M814" s="202" t="s">
        <v>1793</v>
      </c>
      <c r="N814" s="206">
        <v>40842</v>
      </c>
      <c r="O814" s="206">
        <v>40842</v>
      </c>
      <c r="P814" s="202" t="s">
        <v>1792</v>
      </c>
      <c r="Q814" s="203">
        <v>1200</v>
      </c>
      <c r="R814" s="203">
        <v>14050</v>
      </c>
      <c r="S814" s="204">
        <v>8700.2800000000007</v>
      </c>
      <c r="T814" s="203">
        <v>14056</v>
      </c>
      <c r="U814" s="204">
        <v>7371.04</v>
      </c>
      <c r="V814" s="204">
        <f t="shared" si="23"/>
        <v>1329.2400000000007</v>
      </c>
      <c r="W814" s="205">
        <v>725.02</v>
      </c>
      <c r="X814" s="203">
        <v>54260</v>
      </c>
      <c r="Y814" s="204">
        <v>60.42</v>
      </c>
      <c r="Z814" s="202" t="s">
        <v>97</v>
      </c>
      <c r="AA814" s="202"/>
      <c r="AB814" s="202">
        <v>63149</v>
      </c>
      <c r="AC814" s="202"/>
      <c r="AD814" s="202" t="s">
        <v>1152</v>
      </c>
      <c r="AE814" s="202" t="s">
        <v>1153</v>
      </c>
      <c r="AF814" s="203" t="s">
        <v>1154</v>
      </c>
      <c r="AG814" s="202"/>
      <c r="AH814" s="203" t="s">
        <v>1155</v>
      </c>
      <c r="AI814" s="202">
        <v>0</v>
      </c>
      <c r="AJ814" s="202">
        <v>0</v>
      </c>
    </row>
    <row r="815" spans="2:36">
      <c r="B815" s="203">
        <v>2180</v>
      </c>
      <c r="C815" s="207">
        <v>87412</v>
      </c>
      <c r="D815" s="203" t="s">
        <v>97</v>
      </c>
      <c r="E815" s="202" t="s">
        <v>520</v>
      </c>
      <c r="F815" s="203">
        <v>6</v>
      </c>
      <c r="G815" s="202"/>
      <c r="H815" s="202"/>
      <c r="I815" s="202"/>
      <c r="J815" s="202">
        <v>0</v>
      </c>
      <c r="K815" s="202" t="s">
        <v>1574</v>
      </c>
      <c r="L815" s="202"/>
      <c r="M815" s="202" t="s">
        <v>1456</v>
      </c>
      <c r="N815" s="206">
        <v>40837</v>
      </c>
      <c r="O815" s="206">
        <v>40837</v>
      </c>
      <c r="P815" s="202" t="s">
        <v>1791</v>
      </c>
      <c r="Q815" s="203">
        <v>1200</v>
      </c>
      <c r="R815" s="203">
        <v>14050</v>
      </c>
      <c r="S815" s="204">
        <v>4905.38</v>
      </c>
      <c r="T815" s="203">
        <v>14056</v>
      </c>
      <c r="U815" s="204">
        <v>4155.84</v>
      </c>
      <c r="V815" s="204">
        <f t="shared" si="23"/>
        <v>749.54</v>
      </c>
      <c r="W815" s="205">
        <v>408.77</v>
      </c>
      <c r="X815" s="203">
        <v>54260</v>
      </c>
      <c r="Y815" s="204">
        <v>34.06</v>
      </c>
      <c r="Z815" s="202" t="s">
        <v>97</v>
      </c>
      <c r="AA815" s="202"/>
      <c r="AB815" s="202">
        <v>63054</v>
      </c>
      <c r="AC815" s="202"/>
      <c r="AD815" s="202" t="s">
        <v>1152</v>
      </c>
      <c r="AE815" s="202" t="s">
        <v>1153</v>
      </c>
      <c r="AF815" s="203" t="s">
        <v>1154</v>
      </c>
      <c r="AG815" s="202"/>
      <c r="AH815" s="203" t="s">
        <v>1155</v>
      </c>
      <c r="AI815" s="202">
        <v>0</v>
      </c>
      <c r="AJ815" s="202">
        <v>0</v>
      </c>
    </row>
    <row r="816" spans="2:36">
      <c r="B816" s="203">
        <v>2180</v>
      </c>
      <c r="C816" s="207">
        <v>87411</v>
      </c>
      <c r="D816" s="203" t="s">
        <v>97</v>
      </c>
      <c r="E816" s="202" t="s">
        <v>520</v>
      </c>
      <c r="F816" s="203">
        <v>8</v>
      </c>
      <c r="G816" s="202"/>
      <c r="H816" s="202"/>
      <c r="I816" s="202"/>
      <c r="J816" s="202">
        <v>0</v>
      </c>
      <c r="K816" s="202" t="s">
        <v>1574</v>
      </c>
      <c r="L816" s="202"/>
      <c r="M816" s="202" t="s">
        <v>1456</v>
      </c>
      <c r="N816" s="206">
        <v>40837</v>
      </c>
      <c r="O816" s="206">
        <v>40837</v>
      </c>
      <c r="P816" s="202" t="s">
        <v>1791</v>
      </c>
      <c r="Q816" s="203">
        <v>1200</v>
      </c>
      <c r="R816" s="203">
        <v>14050</v>
      </c>
      <c r="S816" s="204">
        <v>6540.51</v>
      </c>
      <c r="T816" s="203">
        <v>14056</v>
      </c>
      <c r="U816" s="204">
        <v>5541.24</v>
      </c>
      <c r="V816" s="204">
        <f t="shared" si="23"/>
        <v>999.27000000000044</v>
      </c>
      <c r="W816" s="205">
        <v>545.04</v>
      </c>
      <c r="X816" s="203">
        <v>54260</v>
      </c>
      <c r="Y816" s="204">
        <v>45.42</v>
      </c>
      <c r="Z816" s="202" t="s">
        <v>97</v>
      </c>
      <c r="AA816" s="202"/>
      <c r="AB816" s="202">
        <v>63010</v>
      </c>
      <c r="AC816" s="202"/>
      <c r="AD816" s="202" t="s">
        <v>1152</v>
      </c>
      <c r="AE816" s="202" t="s">
        <v>1153</v>
      </c>
      <c r="AF816" s="203" t="s">
        <v>1154</v>
      </c>
      <c r="AG816" s="202"/>
      <c r="AH816" s="203" t="s">
        <v>1155</v>
      </c>
      <c r="AI816" s="202">
        <v>0</v>
      </c>
      <c r="AJ816" s="202">
        <v>0</v>
      </c>
    </row>
    <row r="817" spans="2:36">
      <c r="B817" s="203">
        <v>2180</v>
      </c>
      <c r="C817" s="207">
        <v>87203</v>
      </c>
      <c r="D817" s="203" t="s">
        <v>97</v>
      </c>
      <c r="E817" s="202" t="s">
        <v>1790</v>
      </c>
      <c r="F817" s="203">
        <v>0</v>
      </c>
      <c r="G817" s="202"/>
      <c r="H817" s="202"/>
      <c r="I817" s="202"/>
      <c r="J817" s="202">
        <v>0</v>
      </c>
      <c r="K817" s="202" t="s">
        <v>1429</v>
      </c>
      <c r="L817" s="202"/>
      <c r="M817" s="202"/>
      <c r="N817" s="206">
        <v>40826</v>
      </c>
      <c r="O817" s="206">
        <v>40826</v>
      </c>
      <c r="P817" s="202" t="s">
        <v>1789</v>
      </c>
      <c r="Q817" s="203">
        <v>300</v>
      </c>
      <c r="R817" s="203">
        <v>14110</v>
      </c>
      <c r="S817" s="204">
        <v>1549.26</v>
      </c>
      <c r="T817" s="203">
        <v>14116</v>
      </c>
      <c r="U817" s="204">
        <v>1549.26</v>
      </c>
      <c r="V817" s="204">
        <f t="shared" si="23"/>
        <v>0</v>
      </c>
      <c r="W817" s="205">
        <v>0</v>
      </c>
      <c r="X817" s="203">
        <v>70260</v>
      </c>
      <c r="Y817" s="204">
        <v>0</v>
      </c>
      <c r="Z817" s="202" t="s">
        <v>97</v>
      </c>
      <c r="AA817" s="202"/>
      <c r="AB817" s="202" t="s">
        <v>1788</v>
      </c>
      <c r="AC817" s="202"/>
      <c r="AD817" s="202" t="s">
        <v>1152</v>
      </c>
      <c r="AE817" s="202" t="s">
        <v>1153</v>
      </c>
      <c r="AF817" s="203" t="s">
        <v>1154</v>
      </c>
      <c r="AG817" s="202"/>
      <c r="AH817" s="203" t="s">
        <v>1155</v>
      </c>
      <c r="AI817" s="202">
        <v>0</v>
      </c>
      <c r="AJ817" s="202">
        <v>0</v>
      </c>
    </row>
    <row r="818" spans="2:36">
      <c r="B818" s="203">
        <v>2180</v>
      </c>
      <c r="C818" s="207">
        <v>87092</v>
      </c>
      <c r="D818" s="203" t="s">
        <v>97</v>
      </c>
      <c r="E818" s="202" t="s">
        <v>1787</v>
      </c>
      <c r="F818" s="203">
        <v>0</v>
      </c>
      <c r="G818" s="202"/>
      <c r="H818" s="202" t="s">
        <v>1786</v>
      </c>
      <c r="I818" s="202"/>
      <c r="J818" s="202">
        <v>2005</v>
      </c>
      <c r="K818" s="202" t="s">
        <v>1785</v>
      </c>
      <c r="L818" s="202" t="s">
        <v>1785</v>
      </c>
      <c r="M818" s="202" t="s">
        <v>1412</v>
      </c>
      <c r="N818" s="206">
        <v>40810</v>
      </c>
      <c r="O818" s="206">
        <v>40810</v>
      </c>
      <c r="P818" s="202" t="s">
        <v>1784</v>
      </c>
      <c r="Q818" s="203">
        <v>600</v>
      </c>
      <c r="R818" s="203">
        <v>14030</v>
      </c>
      <c r="S818" s="204">
        <v>6230.1</v>
      </c>
      <c r="T818" s="203">
        <v>14036</v>
      </c>
      <c r="U818" s="204">
        <v>6230.1</v>
      </c>
      <c r="V818" s="204">
        <f t="shared" si="23"/>
        <v>0</v>
      </c>
      <c r="W818" s="205">
        <v>0</v>
      </c>
      <c r="X818" s="203">
        <v>51260</v>
      </c>
      <c r="Y818" s="204">
        <v>0</v>
      </c>
      <c r="Z818" s="202" t="s">
        <v>97</v>
      </c>
      <c r="AA818" s="202"/>
      <c r="AB818" s="202" t="s">
        <v>1783</v>
      </c>
      <c r="AC818" s="202">
        <v>7035</v>
      </c>
      <c r="AD818" s="202" t="s">
        <v>1152</v>
      </c>
      <c r="AE818" s="202" t="s">
        <v>1153</v>
      </c>
      <c r="AF818" s="203" t="s">
        <v>1154</v>
      </c>
      <c r="AG818" s="202"/>
      <c r="AH818" s="203" t="s">
        <v>1155</v>
      </c>
      <c r="AI818" s="202">
        <v>0</v>
      </c>
      <c r="AJ818" s="202">
        <v>0</v>
      </c>
    </row>
    <row r="819" spans="2:36">
      <c r="B819" s="203">
        <v>2180</v>
      </c>
      <c r="C819" s="207">
        <v>86876</v>
      </c>
      <c r="D819" s="203" t="s">
        <v>97</v>
      </c>
      <c r="E819" s="202" t="s">
        <v>1780</v>
      </c>
      <c r="F819" s="203">
        <v>63</v>
      </c>
      <c r="G819" s="202"/>
      <c r="H819" s="202" t="s">
        <v>1782</v>
      </c>
      <c r="I819" s="202"/>
      <c r="J819" s="202">
        <v>0</v>
      </c>
      <c r="K819" s="202" t="s">
        <v>1658</v>
      </c>
      <c r="L819" s="202"/>
      <c r="M819" s="202"/>
      <c r="N819" s="206">
        <v>40810</v>
      </c>
      <c r="O819" s="206">
        <v>40810</v>
      </c>
      <c r="P819" s="202" t="s">
        <v>1778</v>
      </c>
      <c r="Q819" s="203">
        <v>700</v>
      </c>
      <c r="R819" s="203">
        <v>14050</v>
      </c>
      <c r="S819" s="204">
        <v>3652.99</v>
      </c>
      <c r="T819" s="203">
        <v>14056</v>
      </c>
      <c r="U819" s="204">
        <v>3652.99</v>
      </c>
      <c r="V819" s="204">
        <f t="shared" si="23"/>
        <v>0</v>
      </c>
      <c r="W819" s="205">
        <v>0</v>
      </c>
      <c r="X819" s="203">
        <v>54260</v>
      </c>
      <c r="Y819" s="204">
        <v>0</v>
      </c>
      <c r="Z819" s="202" t="s">
        <v>97</v>
      </c>
      <c r="AA819" s="202"/>
      <c r="AB819" s="202" t="s">
        <v>1781</v>
      </c>
      <c r="AC819" s="202"/>
      <c r="AD819" s="202" t="s">
        <v>1152</v>
      </c>
      <c r="AE819" s="202" t="s">
        <v>1153</v>
      </c>
      <c r="AF819" s="203" t="s">
        <v>1154</v>
      </c>
      <c r="AG819" s="202"/>
      <c r="AH819" s="203" t="s">
        <v>1155</v>
      </c>
      <c r="AI819" s="202">
        <v>0</v>
      </c>
      <c r="AJ819" s="202">
        <v>0</v>
      </c>
    </row>
    <row r="820" spans="2:36">
      <c r="B820" s="203">
        <v>2180</v>
      </c>
      <c r="C820" s="207">
        <v>86875</v>
      </c>
      <c r="D820" s="203" t="s">
        <v>97</v>
      </c>
      <c r="E820" s="202" t="s">
        <v>1780</v>
      </c>
      <c r="F820" s="203">
        <v>486</v>
      </c>
      <c r="G820" s="202"/>
      <c r="H820" s="202" t="s">
        <v>1779</v>
      </c>
      <c r="I820" s="202"/>
      <c r="J820" s="202">
        <v>0</v>
      </c>
      <c r="K820" s="202" t="s">
        <v>1658</v>
      </c>
      <c r="L820" s="202"/>
      <c r="M820" s="202"/>
      <c r="N820" s="206">
        <v>40810</v>
      </c>
      <c r="O820" s="206">
        <v>40810</v>
      </c>
      <c r="P820" s="202" t="s">
        <v>1778</v>
      </c>
      <c r="Q820" s="203">
        <v>700</v>
      </c>
      <c r="R820" s="203">
        <v>14050</v>
      </c>
      <c r="S820" s="204">
        <v>28180.04</v>
      </c>
      <c r="T820" s="203">
        <v>14056</v>
      </c>
      <c r="U820" s="204">
        <v>28180.04</v>
      </c>
      <c r="V820" s="204">
        <f t="shared" si="23"/>
        <v>0</v>
      </c>
      <c r="W820" s="205">
        <v>0</v>
      </c>
      <c r="X820" s="203">
        <v>54260</v>
      </c>
      <c r="Y820" s="204">
        <v>0</v>
      </c>
      <c r="Z820" s="202" t="s">
        <v>97</v>
      </c>
      <c r="AA820" s="202"/>
      <c r="AB820" s="202" t="s">
        <v>1777</v>
      </c>
      <c r="AC820" s="202"/>
      <c r="AD820" s="202" t="s">
        <v>1152</v>
      </c>
      <c r="AE820" s="202" t="s">
        <v>1153</v>
      </c>
      <c r="AF820" s="203" t="s">
        <v>1154</v>
      </c>
      <c r="AG820" s="202"/>
      <c r="AH820" s="203" t="s">
        <v>1155</v>
      </c>
      <c r="AI820" s="202">
        <v>0</v>
      </c>
      <c r="AJ820" s="202">
        <v>0</v>
      </c>
    </row>
    <row r="821" spans="2:36">
      <c r="B821" s="203">
        <v>2180</v>
      </c>
      <c r="C821" s="207">
        <v>86848</v>
      </c>
      <c r="D821" s="203">
        <v>86844</v>
      </c>
      <c r="E821" s="202" t="s">
        <v>1776</v>
      </c>
      <c r="F821" s="203">
        <v>0</v>
      </c>
      <c r="G821" s="202"/>
      <c r="H821" s="202"/>
      <c r="I821" s="202"/>
      <c r="J821" s="202">
        <v>2010</v>
      </c>
      <c r="K821" s="202" t="s">
        <v>1772</v>
      </c>
      <c r="L821" s="202"/>
      <c r="M821" s="202" t="s">
        <v>1757</v>
      </c>
      <c r="N821" s="206">
        <v>40544</v>
      </c>
      <c r="O821" s="206">
        <v>40544</v>
      </c>
      <c r="P821" s="202" t="s">
        <v>1768</v>
      </c>
      <c r="Q821" s="203">
        <v>300</v>
      </c>
      <c r="R821" s="203">
        <v>14030</v>
      </c>
      <c r="S821" s="204">
        <v>13553.2</v>
      </c>
      <c r="T821" s="203">
        <v>14036</v>
      </c>
      <c r="U821" s="204">
        <v>13553.2</v>
      </c>
      <c r="V821" s="204">
        <f t="shared" si="23"/>
        <v>0</v>
      </c>
      <c r="W821" s="205">
        <v>0</v>
      </c>
      <c r="X821" s="203">
        <v>51260</v>
      </c>
      <c r="Y821" s="204">
        <v>0</v>
      </c>
      <c r="Z821" s="202" t="s">
        <v>97</v>
      </c>
      <c r="AA821" s="202"/>
      <c r="AB821" s="202" t="s">
        <v>1767</v>
      </c>
      <c r="AC821" s="202"/>
      <c r="AD821" s="202" t="s">
        <v>1152</v>
      </c>
      <c r="AE821" s="202" t="s">
        <v>1153</v>
      </c>
      <c r="AF821" s="203" t="s">
        <v>1154</v>
      </c>
      <c r="AG821" s="208">
        <v>40816</v>
      </c>
      <c r="AH821" s="203" t="s">
        <v>1155</v>
      </c>
      <c r="AI821" s="202">
        <v>0</v>
      </c>
      <c r="AJ821" s="202">
        <v>3388.3</v>
      </c>
    </row>
    <row r="822" spans="2:36">
      <c r="B822" s="203">
        <v>2180</v>
      </c>
      <c r="C822" s="207">
        <v>86847</v>
      </c>
      <c r="D822" s="203">
        <v>86844</v>
      </c>
      <c r="E822" s="202" t="s">
        <v>1775</v>
      </c>
      <c r="F822" s="203">
        <v>0</v>
      </c>
      <c r="G822" s="202"/>
      <c r="H822" s="202"/>
      <c r="I822" s="202"/>
      <c r="J822" s="202">
        <v>2010</v>
      </c>
      <c r="K822" s="202" t="s">
        <v>1772</v>
      </c>
      <c r="L822" s="202"/>
      <c r="M822" s="202" t="s">
        <v>1757</v>
      </c>
      <c r="N822" s="206">
        <v>40544</v>
      </c>
      <c r="O822" s="206">
        <v>40544</v>
      </c>
      <c r="P822" s="202" t="s">
        <v>1768</v>
      </c>
      <c r="Q822" s="203">
        <v>300</v>
      </c>
      <c r="R822" s="203">
        <v>14030</v>
      </c>
      <c r="S822" s="204">
        <v>20329.8</v>
      </c>
      <c r="T822" s="203">
        <v>14036</v>
      </c>
      <c r="U822" s="204">
        <v>20329.8</v>
      </c>
      <c r="V822" s="204">
        <f t="shared" si="23"/>
        <v>0</v>
      </c>
      <c r="W822" s="205">
        <v>0</v>
      </c>
      <c r="X822" s="203">
        <v>51260</v>
      </c>
      <c r="Y822" s="204">
        <v>0</v>
      </c>
      <c r="Z822" s="202" t="s">
        <v>97</v>
      </c>
      <c r="AA822" s="202"/>
      <c r="AB822" s="202" t="s">
        <v>1767</v>
      </c>
      <c r="AC822" s="202"/>
      <c r="AD822" s="202" t="s">
        <v>1152</v>
      </c>
      <c r="AE822" s="202" t="s">
        <v>1153</v>
      </c>
      <c r="AF822" s="203" t="s">
        <v>1154</v>
      </c>
      <c r="AG822" s="208">
        <v>40816</v>
      </c>
      <c r="AH822" s="203" t="s">
        <v>1155</v>
      </c>
      <c r="AI822" s="202">
        <v>0</v>
      </c>
      <c r="AJ822" s="202">
        <v>5082.45</v>
      </c>
    </row>
    <row r="823" spans="2:36">
      <c r="B823" s="203">
        <v>2180</v>
      </c>
      <c r="C823" s="207">
        <v>86846</v>
      </c>
      <c r="D823" s="203">
        <v>86844</v>
      </c>
      <c r="E823" s="202" t="s">
        <v>1774</v>
      </c>
      <c r="F823" s="203">
        <v>0</v>
      </c>
      <c r="G823" s="202"/>
      <c r="H823" s="202"/>
      <c r="I823" s="202"/>
      <c r="J823" s="202">
        <v>2010</v>
      </c>
      <c r="K823" s="202" t="s">
        <v>1772</v>
      </c>
      <c r="L823" s="202"/>
      <c r="M823" s="202" t="s">
        <v>1447</v>
      </c>
      <c r="N823" s="206">
        <v>40544</v>
      </c>
      <c r="O823" s="206">
        <v>40544</v>
      </c>
      <c r="P823" s="202" t="s">
        <v>1768</v>
      </c>
      <c r="Q823" s="203">
        <v>300</v>
      </c>
      <c r="R823" s="203">
        <v>14030</v>
      </c>
      <c r="S823" s="204">
        <v>16941.5</v>
      </c>
      <c r="T823" s="203">
        <v>14036</v>
      </c>
      <c r="U823" s="204">
        <v>16941.5</v>
      </c>
      <c r="V823" s="204">
        <f t="shared" si="23"/>
        <v>0</v>
      </c>
      <c r="W823" s="205">
        <v>0</v>
      </c>
      <c r="X823" s="203">
        <v>51260</v>
      </c>
      <c r="Y823" s="204">
        <v>0</v>
      </c>
      <c r="Z823" s="202" t="s">
        <v>97</v>
      </c>
      <c r="AA823" s="202"/>
      <c r="AB823" s="202" t="s">
        <v>1767</v>
      </c>
      <c r="AC823" s="202"/>
      <c r="AD823" s="202" t="s">
        <v>1152</v>
      </c>
      <c r="AE823" s="202" t="s">
        <v>1153</v>
      </c>
      <c r="AF823" s="203" t="s">
        <v>1154</v>
      </c>
      <c r="AG823" s="208">
        <v>40816</v>
      </c>
      <c r="AH823" s="203" t="s">
        <v>1155</v>
      </c>
      <c r="AI823" s="202">
        <v>0</v>
      </c>
      <c r="AJ823" s="202">
        <v>4235.38</v>
      </c>
    </row>
    <row r="824" spans="2:36">
      <c r="B824" s="203">
        <v>2180</v>
      </c>
      <c r="C824" s="207">
        <v>86845</v>
      </c>
      <c r="D824" s="203">
        <v>86844</v>
      </c>
      <c r="E824" s="202" t="s">
        <v>1773</v>
      </c>
      <c r="F824" s="203">
        <v>0</v>
      </c>
      <c r="G824" s="202"/>
      <c r="H824" s="202"/>
      <c r="I824" s="202"/>
      <c r="J824" s="202">
        <v>2010</v>
      </c>
      <c r="K824" s="202" t="s">
        <v>1772</v>
      </c>
      <c r="L824" s="202"/>
      <c r="M824" s="202" t="s">
        <v>1447</v>
      </c>
      <c r="N824" s="206">
        <v>40544</v>
      </c>
      <c r="O824" s="206">
        <v>40544</v>
      </c>
      <c r="P824" s="202" t="s">
        <v>1768</v>
      </c>
      <c r="Q824" s="203">
        <v>300</v>
      </c>
      <c r="R824" s="203">
        <v>14030</v>
      </c>
      <c r="S824" s="204">
        <v>13553.2</v>
      </c>
      <c r="T824" s="203">
        <v>14036</v>
      </c>
      <c r="U824" s="204">
        <v>13553.2</v>
      </c>
      <c r="V824" s="204">
        <f t="shared" si="23"/>
        <v>0</v>
      </c>
      <c r="W824" s="205">
        <v>0</v>
      </c>
      <c r="X824" s="203">
        <v>51260</v>
      </c>
      <c r="Y824" s="204">
        <v>0</v>
      </c>
      <c r="Z824" s="202" t="s">
        <v>97</v>
      </c>
      <c r="AA824" s="202"/>
      <c r="AB824" s="202" t="s">
        <v>1767</v>
      </c>
      <c r="AC824" s="202"/>
      <c r="AD824" s="202" t="s">
        <v>1152</v>
      </c>
      <c r="AE824" s="202" t="s">
        <v>1153</v>
      </c>
      <c r="AF824" s="203" t="s">
        <v>1154</v>
      </c>
      <c r="AG824" s="208">
        <v>40816</v>
      </c>
      <c r="AH824" s="203" t="s">
        <v>1155</v>
      </c>
      <c r="AI824" s="202">
        <v>0</v>
      </c>
      <c r="AJ824" s="202">
        <v>3388.3</v>
      </c>
    </row>
    <row r="825" spans="2:36">
      <c r="B825" s="203">
        <v>2180</v>
      </c>
      <c r="C825" s="207">
        <v>86844</v>
      </c>
      <c r="D825" s="203" t="s">
        <v>97</v>
      </c>
      <c r="E825" s="202" t="s">
        <v>1771</v>
      </c>
      <c r="F825" s="203">
        <v>0</v>
      </c>
      <c r="G825" s="202"/>
      <c r="H825" s="202" t="s">
        <v>1770</v>
      </c>
      <c r="I825" s="202"/>
      <c r="J825" s="202">
        <v>2010</v>
      </c>
      <c r="K825" s="202" t="s">
        <v>1769</v>
      </c>
      <c r="L825" s="202" t="s">
        <v>1769</v>
      </c>
      <c r="M825" s="202" t="s">
        <v>1757</v>
      </c>
      <c r="N825" s="206">
        <v>40544</v>
      </c>
      <c r="O825" s="206">
        <v>40544</v>
      </c>
      <c r="P825" s="202" t="s">
        <v>1768</v>
      </c>
      <c r="Q825" s="203">
        <v>1100</v>
      </c>
      <c r="R825" s="203">
        <v>14030</v>
      </c>
      <c r="S825" s="204">
        <v>105037.3</v>
      </c>
      <c r="T825" s="203">
        <v>14036</v>
      </c>
      <c r="U825" s="204">
        <v>105037.3</v>
      </c>
      <c r="V825" s="204">
        <f t="shared" si="23"/>
        <v>0</v>
      </c>
      <c r="W825" s="205">
        <v>9548.7999999999993</v>
      </c>
      <c r="X825" s="203">
        <v>51260</v>
      </c>
      <c r="Y825" s="204">
        <v>795.68</v>
      </c>
      <c r="Z825" s="202" t="s">
        <v>97</v>
      </c>
      <c r="AA825" s="202"/>
      <c r="AB825" s="202" t="s">
        <v>1767</v>
      </c>
      <c r="AC825" s="202">
        <v>7411</v>
      </c>
      <c r="AD825" s="202" t="s">
        <v>1152</v>
      </c>
      <c r="AE825" s="202" t="s">
        <v>1153</v>
      </c>
      <c r="AF825" s="203" t="s">
        <v>1154</v>
      </c>
      <c r="AG825" s="208">
        <v>40816</v>
      </c>
      <c r="AH825" s="203" t="s">
        <v>1155</v>
      </c>
      <c r="AI825" s="202">
        <v>0</v>
      </c>
      <c r="AJ825" s="202">
        <v>7161.64</v>
      </c>
    </row>
    <row r="826" spans="2:36">
      <c r="B826" s="203">
        <v>2180</v>
      </c>
      <c r="C826" s="207">
        <v>86841</v>
      </c>
      <c r="D826" s="203" t="s">
        <v>97</v>
      </c>
      <c r="E826" s="202" t="s">
        <v>1766</v>
      </c>
      <c r="F826" s="203">
        <v>0</v>
      </c>
      <c r="G826" s="202"/>
      <c r="H826" s="202" t="s">
        <v>1765</v>
      </c>
      <c r="I826" s="202"/>
      <c r="J826" s="202">
        <v>2004</v>
      </c>
      <c r="K826" s="202" t="s">
        <v>1396</v>
      </c>
      <c r="L826" s="202" t="s">
        <v>1764</v>
      </c>
      <c r="M826" s="202" t="s">
        <v>1763</v>
      </c>
      <c r="N826" s="206">
        <v>39755</v>
      </c>
      <c r="O826" s="206">
        <v>39755</v>
      </c>
      <c r="P826" s="202"/>
      <c r="Q826" s="203">
        <v>500</v>
      </c>
      <c r="R826" s="203">
        <v>14040</v>
      </c>
      <c r="S826" s="204">
        <v>46500</v>
      </c>
      <c r="T826" s="203">
        <v>14046</v>
      </c>
      <c r="U826" s="204">
        <v>46500</v>
      </c>
      <c r="V826" s="204">
        <f t="shared" si="23"/>
        <v>0</v>
      </c>
      <c r="W826" s="205">
        <v>0</v>
      </c>
      <c r="X826" s="203">
        <v>51260</v>
      </c>
      <c r="Y826" s="204">
        <v>0</v>
      </c>
      <c r="Z826" s="202" t="s">
        <v>1153</v>
      </c>
      <c r="AA826" s="202" t="s">
        <v>1383</v>
      </c>
      <c r="AB826" s="202"/>
      <c r="AC826" s="202">
        <v>4517</v>
      </c>
      <c r="AD826" s="202" t="s">
        <v>1152</v>
      </c>
      <c r="AE826" s="202" t="s">
        <v>1153</v>
      </c>
      <c r="AF826" s="203" t="s">
        <v>1154</v>
      </c>
      <c r="AG826" s="208">
        <v>40816</v>
      </c>
      <c r="AH826" s="203" t="s">
        <v>1155</v>
      </c>
      <c r="AI826" s="202">
        <v>0</v>
      </c>
      <c r="AJ826" s="202">
        <v>27125</v>
      </c>
    </row>
    <row r="827" spans="2:36">
      <c r="B827" s="203">
        <v>2180</v>
      </c>
      <c r="C827" s="207">
        <v>86840</v>
      </c>
      <c r="D827" s="203" t="s">
        <v>97</v>
      </c>
      <c r="E827" s="202" t="s">
        <v>1762</v>
      </c>
      <c r="F827" s="203">
        <v>0</v>
      </c>
      <c r="G827" s="202"/>
      <c r="H827" s="202"/>
      <c r="I827" s="202"/>
      <c r="J827" s="202">
        <v>0</v>
      </c>
      <c r="K827" s="202"/>
      <c r="L827" s="202"/>
      <c r="M827" s="202"/>
      <c r="N827" s="206">
        <v>39755</v>
      </c>
      <c r="O827" s="206">
        <v>39755</v>
      </c>
      <c r="P827" s="202"/>
      <c r="Q827" s="203">
        <v>300</v>
      </c>
      <c r="R827" s="203">
        <v>14070</v>
      </c>
      <c r="S827" s="204">
        <v>1000</v>
      </c>
      <c r="T827" s="203">
        <v>14076</v>
      </c>
      <c r="U827" s="204">
        <v>1000</v>
      </c>
      <c r="V827" s="204">
        <f t="shared" si="23"/>
        <v>0</v>
      </c>
      <c r="W827" s="205">
        <v>0</v>
      </c>
      <c r="X827" s="203">
        <v>51260</v>
      </c>
      <c r="Y827" s="204">
        <v>0</v>
      </c>
      <c r="Z827" s="202" t="s">
        <v>1153</v>
      </c>
      <c r="AA827" s="202" t="s">
        <v>1383</v>
      </c>
      <c r="AB827" s="202"/>
      <c r="AC827" s="202"/>
      <c r="AD827" s="202" t="s">
        <v>1152</v>
      </c>
      <c r="AE827" s="202" t="s">
        <v>1153</v>
      </c>
      <c r="AF827" s="203" t="s">
        <v>1154</v>
      </c>
      <c r="AG827" s="208">
        <v>40816</v>
      </c>
      <c r="AH827" s="203" t="s">
        <v>1155</v>
      </c>
      <c r="AI827" s="202">
        <v>0</v>
      </c>
      <c r="AJ827" s="202">
        <v>972.22</v>
      </c>
    </row>
    <row r="828" spans="2:36">
      <c r="B828" s="203">
        <v>2180</v>
      </c>
      <c r="C828" s="207">
        <v>86839</v>
      </c>
      <c r="D828" s="203" t="s">
        <v>97</v>
      </c>
      <c r="E828" s="202" t="s">
        <v>1761</v>
      </c>
      <c r="F828" s="203">
        <v>0</v>
      </c>
      <c r="G828" s="202"/>
      <c r="H828" s="202"/>
      <c r="I828" s="202"/>
      <c r="J828" s="202">
        <v>0</v>
      </c>
      <c r="K828" s="202"/>
      <c r="L828" s="202"/>
      <c r="M828" s="202"/>
      <c r="N828" s="206">
        <v>39755</v>
      </c>
      <c r="O828" s="206">
        <v>39755</v>
      </c>
      <c r="P828" s="202"/>
      <c r="Q828" s="203">
        <v>300</v>
      </c>
      <c r="R828" s="203">
        <v>14070</v>
      </c>
      <c r="S828" s="204">
        <v>1000</v>
      </c>
      <c r="T828" s="203">
        <v>14076</v>
      </c>
      <c r="U828" s="204">
        <v>1000</v>
      </c>
      <c r="V828" s="204">
        <f t="shared" si="23"/>
        <v>0</v>
      </c>
      <c r="W828" s="205">
        <v>0</v>
      </c>
      <c r="X828" s="203">
        <v>51260</v>
      </c>
      <c r="Y828" s="204">
        <v>0</v>
      </c>
      <c r="Z828" s="202" t="s">
        <v>1153</v>
      </c>
      <c r="AA828" s="202" t="s">
        <v>1383</v>
      </c>
      <c r="AB828" s="202"/>
      <c r="AC828" s="202"/>
      <c r="AD828" s="202" t="s">
        <v>1152</v>
      </c>
      <c r="AE828" s="202" t="s">
        <v>1153</v>
      </c>
      <c r="AF828" s="203" t="s">
        <v>1154</v>
      </c>
      <c r="AG828" s="208">
        <v>40816</v>
      </c>
      <c r="AH828" s="203" t="s">
        <v>1155</v>
      </c>
      <c r="AI828" s="202">
        <v>0</v>
      </c>
      <c r="AJ828" s="202">
        <v>972.22</v>
      </c>
    </row>
    <row r="829" spans="2:36">
      <c r="B829" s="203">
        <v>2180</v>
      </c>
      <c r="C829" s="207">
        <v>86836</v>
      </c>
      <c r="D829" s="203">
        <v>86835</v>
      </c>
      <c r="E829" s="202" t="s">
        <v>274</v>
      </c>
      <c r="F829" s="203">
        <v>0</v>
      </c>
      <c r="G829" s="202"/>
      <c r="H829" s="202"/>
      <c r="I829" s="202"/>
      <c r="J829" s="202">
        <v>1992</v>
      </c>
      <c r="K829" s="202"/>
      <c r="L829" s="202"/>
      <c r="M829" s="202" t="s">
        <v>1447</v>
      </c>
      <c r="N829" s="206">
        <v>39936</v>
      </c>
      <c r="O829" s="206">
        <v>39936</v>
      </c>
      <c r="P829" s="202" t="s">
        <v>1760</v>
      </c>
      <c r="Q829" s="203">
        <v>300</v>
      </c>
      <c r="R829" s="203">
        <v>14040</v>
      </c>
      <c r="S829" s="204">
        <v>10496.91</v>
      </c>
      <c r="T829" s="203">
        <v>14046</v>
      </c>
      <c r="U829" s="204">
        <v>10496.91</v>
      </c>
      <c r="V829" s="204">
        <f t="shared" si="23"/>
        <v>0</v>
      </c>
      <c r="W829" s="205">
        <v>0</v>
      </c>
      <c r="X829" s="203">
        <v>51260</v>
      </c>
      <c r="Y829" s="204">
        <v>0</v>
      </c>
      <c r="Z829" s="202" t="s">
        <v>97</v>
      </c>
      <c r="AA829" s="202"/>
      <c r="AB829" s="202">
        <v>2123506</v>
      </c>
      <c r="AC829" s="202">
        <v>7407</v>
      </c>
      <c r="AD829" s="202" t="s">
        <v>1152</v>
      </c>
      <c r="AE829" s="202" t="s">
        <v>1153</v>
      </c>
      <c r="AF829" s="203" t="s">
        <v>1154</v>
      </c>
      <c r="AG829" s="208">
        <v>40816</v>
      </c>
      <c r="AH829" s="203" t="s">
        <v>1155</v>
      </c>
      <c r="AI829" s="202">
        <v>0</v>
      </c>
      <c r="AJ829" s="202">
        <v>8455.85</v>
      </c>
    </row>
    <row r="830" spans="2:36">
      <c r="B830" s="203">
        <v>2180</v>
      </c>
      <c r="C830" s="207">
        <v>86835</v>
      </c>
      <c r="D830" s="203" t="s">
        <v>97</v>
      </c>
      <c r="E830" s="202" t="s">
        <v>1759</v>
      </c>
      <c r="F830" s="203">
        <v>0</v>
      </c>
      <c r="G830" s="202"/>
      <c r="H830" s="209" t="s">
        <v>1758</v>
      </c>
      <c r="I830" s="202"/>
      <c r="J830" s="202">
        <v>1992</v>
      </c>
      <c r="K830" s="202" t="s">
        <v>1255</v>
      </c>
      <c r="L830" s="202" t="s">
        <v>1255</v>
      </c>
      <c r="M830" s="202" t="s">
        <v>1757</v>
      </c>
      <c r="N830" s="206">
        <v>39755</v>
      </c>
      <c r="O830" s="206">
        <v>39755</v>
      </c>
      <c r="P830" s="202"/>
      <c r="Q830" s="203">
        <v>300</v>
      </c>
      <c r="R830" s="203">
        <v>14030</v>
      </c>
      <c r="S830" s="204">
        <v>2500</v>
      </c>
      <c r="T830" s="203">
        <v>14036</v>
      </c>
      <c r="U830" s="204">
        <v>2500</v>
      </c>
      <c r="V830" s="204">
        <f t="shared" si="23"/>
        <v>0</v>
      </c>
      <c r="W830" s="205">
        <v>0</v>
      </c>
      <c r="X830" s="203">
        <v>51260</v>
      </c>
      <c r="Y830" s="204">
        <v>0</v>
      </c>
      <c r="Z830" s="202" t="s">
        <v>1153</v>
      </c>
      <c r="AA830" s="202" t="s">
        <v>1383</v>
      </c>
      <c r="AB830" s="202"/>
      <c r="AC830" s="202">
        <v>7407</v>
      </c>
      <c r="AD830" s="202" t="s">
        <v>1152</v>
      </c>
      <c r="AE830" s="202" t="s">
        <v>1153</v>
      </c>
      <c r="AF830" s="203" t="s">
        <v>1154</v>
      </c>
      <c r="AG830" s="208">
        <v>40816</v>
      </c>
      <c r="AH830" s="203" t="s">
        <v>1155</v>
      </c>
      <c r="AI830" s="202">
        <v>0</v>
      </c>
      <c r="AJ830" s="202">
        <v>2430.56</v>
      </c>
    </row>
    <row r="831" spans="2:36">
      <c r="B831" s="203">
        <v>2180</v>
      </c>
      <c r="C831" s="207">
        <v>86829</v>
      </c>
      <c r="D831" s="203" t="s">
        <v>97</v>
      </c>
      <c r="E831" s="202" t="s">
        <v>1753</v>
      </c>
      <c r="F831" s="203">
        <v>0</v>
      </c>
      <c r="G831" s="202"/>
      <c r="H831" s="202" t="s">
        <v>1756</v>
      </c>
      <c r="I831" s="202"/>
      <c r="J831" s="202">
        <v>1993</v>
      </c>
      <c r="K831" s="202" t="s">
        <v>1396</v>
      </c>
      <c r="L831" s="202" t="s">
        <v>1042</v>
      </c>
      <c r="M831" s="202" t="s">
        <v>1149</v>
      </c>
      <c r="N831" s="206">
        <v>39755</v>
      </c>
      <c r="O831" s="206">
        <v>39755</v>
      </c>
      <c r="P831" s="202"/>
      <c r="Q831" s="203">
        <v>300</v>
      </c>
      <c r="R831" s="203">
        <v>14040</v>
      </c>
      <c r="S831" s="204">
        <v>2500</v>
      </c>
      <c r="T831" s="203">
        <v>14046</v>
      </c>
      <c r="U831" s="204">
        <v>2500</v>
      </c>
      <c r="V831" s="204">
        <f t="shared" si="23"/>
        <v>0</v>
      </c>
      <c r="W831" s="205">
        <v>0</v>
      </c>
      <c r="X831" s="203">
        <v>51260</v>
      </c>
      <c r="Y831" s="204">
        <v>0</v>
      </c>
      <c r="Z831" s="202" t="s">
        <v>1153</v>
      </c>
      <c r="AA831" s="202" t="s">
        <v>1383</v>
      </c>
      <c r="AB831" s="202"/>
      <c r="AC831" s="202">
        <v>5555</v>
      </c>
      <c r="AD831" s="202" t="s">
        <v>1152</v>
      </c>
      <c r="AE831" s="202" t="s">
        <v>1153</v>
      </c>
      <c r="AF831" s="203" t="s">
        <v>1154</v>
      </c>
      <c r="AG831" s="208">
        <v>40816</v>
      </c>
      <c r="AH831" s="203" t="s">
        <v>1155</v>
      </c>
      <c r="AI831" s="202">
        <v>0</v>
      </c>
      <c r="AJ831" s="202">
        <v>2430.56</v>
      </c>
    </row>
    <row r="832" spans="2:36">
      <c r="B832" s="203">
        <v>2180</v>
      </c>
      <c r="C832" s="207">
        <v>86828</v>
      </c>
      <c r="D832" s="203">
        <v>86827</v>
      </c>
      <c r="E832" s="202" t="s">
        <v>1103</v>
      </c>
      <c r="F832" s="203">
        <v>0</v>
      </c>
      <c r="G832" s="202"/>
      <c r="H832" s="202">
        <v>66072</v>
      </c>
      <c r="I832" s="202"/>
      <c r="J832" s="202">
        <v>1993</v>
      </c>
      <c r="K832" s="202"/>
      <c r="L832" s="202"/>
      <c r="M832" s="202" t="s">
        <v>1447</v>
      </c>
      <c r="N832" s="206">
        <v>39936</v>
      </c>
      <c r="O832" s="206">
        <v>39936</v>
      </c>
      <c r="P832" s="202" t="s">
        <v>1755</v>
      </c>
      <c r="Q832" s="203">
        <v>300</v>
      </c>
      <c r="R832" s="203">
        <v>14040</v>
      </c>
      <c r="S832" s="204">
        <v>4394.9799999999996</v>
      </c>
      <c r="T832" s="203">
        <v>14046</v>
      </c>
      <c r="U832" s="204">
        <v>4394.9799999999996</v>
      </c>
      <c r="V832" s="204">
        <f t="shared" si="23"/>
        <v>0</v>
      </c>
      <c r="W832" s="205">
        <v>0</v>
      </c>
      <c r="X832" s="203">
        <v>51260</v>
      </c>
      <c r="Y832" s="204">
        <v>0</v>
      </c>
      <c r="Z832" s="202" t="s">
        <v>97</v>
      </c>
      <c r="AA832" s="202"/>
      <c r="AB832" s="202" t="s">
        <v>1754</v>
      </c>
      <c r="AC832" s="202">
        <v>5554</v>
      </c>
      <c r="AD832" s="202" t="s">
        <v>1152</v>
      </c>
      <c r="AE832" s="202" t="s">
        <v>1153</v>
      </c>
      <c r="AF832" s="203" t="s">
        <v>1154</v>
      </c>
      <c r="AG832" s="208">
        <v>40816</v>
      </c>
      <c r="AH832" s="203" t="s">
        <v>1155</v>
      </c>
      <c r="AI832" s="202">
        <v>0</v>
      </c>
      <c r="AJ832" s="202">
        <v>3540.39</v>
      </c>
    </row>
    <row r="833" spans="2:36">
      <c r="B833" s="203">
        <v>2180</v>
      </c>
      <c r="C833" s="207">
        <v>86827</v>
      </c>
      <c r="D833" s="203" t="s">
        <v>97</v>
      </c>
      <c r="E833" s="202" t="s">
        <v>1753</v>
      </c>
      <c r="F833" s="203">
        <v>0</v>
      </c>
      <c r="G833" s="202"/>
      <c r="H833" s="202" t="s">
        <v>1752</v>
      </c>
      <c r="I833" s="202"/>
      <c r="J833" s="202">
        <v>1993</v>
      </c>
      <c r="K833" s="202" t="s">
        <v>1396</v>
      </c>
      <c r="L833" s="202" t="s">
        <v>1042</v>
      </c>
      <c r="M833" s="202" t="s">
        <v>1149</v>
      </c>
      <c r="N833" s="206">
        <v>39755</v>
      </c>
      <c r="O833" s="206">
        <v>39755</v>
      </c>
      <c r="P833" s="202"/>
      <c r="Q833" s="203">
        <v>300</v>
      </c>
      <c r="R833" s="203">
        <v>14040</v>
      </c>
      <c r="S833" s="204">
        <v>2500</v>
      </c>
      <c r="T833" s="203">
        <v>14046</v>
      </c>
      <c r="U833" s="204">
        <v>2500</v>
      </c>
      <c r="V833" s="204">
        <f t="shared" si="23"/>
        <v>0</v>
      </c>
      <c r="W833" s="205">
        <v>0</v>
      </c>
      <c r="X833" s="203">
        <v>51260</v>
      </c>
      <c r="Y833" s="204">
        <v>0</v>
      </c>
      <c r="Z833" s="202" t="s">
        <v>1153</v>
      </c>
      <c r="AA833" s="202" t="s">
        <v>1383</v>
      </c>
      <c r="AB833" s="202"/>
      <c r="AC833" s="202">
        <v>5554</v>
      </c>
      <c r="AD833" s="202" t="s">
        <v>1152</v>
      </c>
      <c r="AE833" s="202" t="s">
        <v>1153</v>
      </c>
      <c r="AF833" s="203" t="s">
        <v>1154</v>
      </c>
      <c r="AG833" s="208">
        <v>40816</v>
      </c>
      <c r="AH833" s="203" t="s">
        <v>1155</v>
      </c>
      <c r="AI833" s="202">
        <v>0</v>
      </c>
      <c r="AJ833" s="202">
        <v>2430.56</v>
      </c>
    </row>
    <row r="834" spans="2:36">
      <c r="B834" s="203">
        <v>2180</v>
      </c>
      <c r="C834" s="207">
        <v>86801</v>
      </c>
      <c r="D834" s="203" t="s">
        <v>97</v>
      </c>
      <c r="E834" s="202" t="s">
        <v>1749</v>
      </c>
      <c r="F834" s="203">
        <v>68</v>
      </c>
      <c r="G834" s="202"/>
      <c r="H834" s="202" t="s">
        <v>1751</v>
      </c>
      <c r="I834" s="202"/>
      <c r="J834" s="202">
        <v>0</v>
      </c>
      <c r="K834" s="202" t="s">
        <v>1658</v>
      </c>
      <c r="L834" s="202"/>
      <c r="M834" s="202"/>
      <c r="N834" s="206">
        <v>40796</v>
      </c>
      <c r="O834" s="206">
        <v>40796</v>
      </c>
      <c r="P834" s="202" t="s">
        <v>1747</v>
      </c>
      <c r="Q834" s="203">
        <v>700</v>
      </c>
      <c r="R834" s="203">
        <v>14050</v>
      </c>
      <c r="S834" s="204">
        <v>3868.57</v>
      </c>
      <c r="T834" s="203">
        <v>14056</v>
      </c>
      <c r="U834" s="204">
        <v>3868.57</v>
      </c>
      <c r="V834" s="204">
        <f t="shared" si="23"/>
        <v>0</v>
      </c>
      <c r="W834" s="205">
        <v>0</v>
      </c>
      <c r="X834" s="203">
        <v>54260</v>
      </c>
      <c r="Y834" s="204">
        <v>0</v>
      </c>
      <c r="Z834" s="202" t="s">
        <v>97</v>
      </c>
      <c r="AA834" s="202"/>
      <c r="AB834" s="202" t="s">
        <v>1750</v>
      </c>
      <c r="AC834" s="202"/>
      <c r="AD834" s="202" t="s">
        <v>1152</v>
      </c>
      <c r="AE834" s="202" t="s">
        <v>1153</v>
      </c>
      <c r="AF834" s="203" t="s">
        <v>1154</v>
      </c>
      <c r="AG834" s="202"/>
      <c r="AH834" s="203" t="s">
        <v>1155</v>
      </c>
      <c r="AI834" s="202">
        <v>0</v>
      </c>
      <c r="AJ834" s="202">
        <v>0</v>
      </c>
    </row>
    <row r="835" spans="2:36">
      <c r="B835" s="203">
        <v>2180</v>
      </c>
      <c r="C835" s="207">
        <v>86800</v>
      </c>
      <c r="D835" s="203" t="s">
        <v>97</v>
      </c>
      <c r="E835" s="202" t="s">
        <v>1749</v>
      </c>
      <c r="F835" s="203">
        <v>68</v>
      </c>
      <c r="G835" s="202"/>
      <c r="H835" s="202" t="s">
        <v>1748</v>
      </c>
      <c r="I835" s="202"/>
      <c r="J835" s="202">
        <v>0</v>
      </c>
      <c r="K835" s="202" t="s">
        <v>1658</v>
      </c>
      <c r="L835" s="202"/>
      <c r="M835" s="202"/>
      <c r="N835" s="206">
        <v>40796</v>
      </c>
      <c r="O835" s="206">
        <v>40796</v>
      </c>
      <c r="P835" s="202" t="s">
        <v>1747</v>
      </c>
      <c r="Q835" s="203">
        <v>700</v>
      </c>
      <c r="R835" s="203">
        <v>14050</v>
      </c>
      <c r="S835" s="204">
        <v>3868.57</v>
      </c>
      <c r="T835" s="203">
        <v>14056</v>
      </c>
      <c r="U835" s="204">
        <v>3868.57</v>
      </c>
      <c r="V835" s="204">
        <f t="shared" si="23"/>
        <v>0</v>
      </c>
      <c r="W835" s="205">
        <v>0</v>
      </c>
      <c r="X835" s="203">
        <v>54260</v>
      </c>
      <c r="Y835" s="204">
        <v>0</v>
      </c>
      <c r="Z835" s="202" t="s">
        <v>97</v>
      </c>
      <c r="AA835" s="202"/>
      <c r="AB835" s="202" t="s">
        <v>1746</v>
      </c>
      <c r="AC835" s="202"/>
      <c r="AD835" s="202" t="s">
        <v>1152</v>
      </c>
      <c r="AE835" s="202" t="s">
        <v>1153</v>
      </c>
      <c r="AF835" s="203" t="s">
        <v>1154</v>
      </c>
      <c r="AG835" s="202"/>
      <c r="AH835" s="203" t="s">
        <v>1155</v>
      </c>
      <c r="AI835" s="202">
        <v>0</v>
      </c>
      <c r="AJ835" s="202">
        <v>0</v>
      </c>
    </row>
    <row r="836" spans="2:36">
      <c r="B836" s="203">
        <v>2180</v>
      </c>
      <c r="C836" s="207">
        <v>86524</v>
      </c>
      <c r="D836" s="203" t="s">
        <v>97</v>
      </c>
      <c r="E836" s="202" t="s">
        <v>1745</v>
      </c>
      <c r="F836" s="203">
        <v>0</v>
      </c>
      <c r="G836" s="202"/>
      <c r="H836" s="202"/>
      <c r="I836" s="202"/>
      <c r="J836" s="202">
        <v>0</v>
      </c>
      <c r="K836" s="202" t="s">
        <v>1429</v>
      </c>
      <c r="L836" s="202"/>
      <c r="M836" s="202"/>
      <c r="N836" s="206">
        <v>40787</v>
      </c>
      <c r="O836" s="206">
        <v>40787</v>
      </c>
      <c r="P836" s="202" t="s">
        <v>1744</v>
      </c>
      <c r="Q836" s="203">
        <v>300</v>
      </c>
      <c r="R836" s="203">
        <v>14110</v>
      </c>
      <c r="S836" s="204">
        <v>1006.03</v>
      </c>
      <c r="T836" s="203">
        <v>14116</v>
      </c>
      <c r="U836" s="204">
        <v>1006.03</v>
      </c>
      <c r="V836" s="204">
        <f t="shared" si="23"/>
        <v>0</v>
      </c>
      <c r="W836" s="205">
        <v>0</v>
      </c>
      <c r="X836" s="203">
        <v>70260</v>
      </c>
      <c r="Y836" s="204">
        <v>0</v>
      </c>
      <c r="Z836" s="202" t="s">
        <v>97</v>
      </c>
      <c r="AA836" s="202"/>
      <c r="AB836" s="202" t="s">
        <v>1743</v>
      </c>
      <c r="AC836" s="202"/>
      <c r="AD836" s="202" t="s">
        <v>1152</v>
      </c>
      <c r="AE836" s="202" t="s">
        <v>1153</v>
      </c>
      <c r="AF836" s="203" t="s">
        <v>1154</v>
      </c>
      <c r="AG836" s="202"/>
      <c r="AH836" s="203" t="s">
        <v>1155</v>
      </c>
      <c r="AI836" s="202">
        <v>0</v>
      </c>
      <c r="AJ836" s="202">
        <v>0</v>
      </c>
    </row>
    <row r="837" spans="2:36">
      <c r="B837" s="203">
        <v>2180</v>
      </c>
      <c r="C837" s="207">
        <v>86470</v>
      </c>
      <c r="D837" s="203" t="s">
        <v>97</v>
      </c>
      <c r="E837" s="202" t="s">
        <v>1742</v>
      </c>
      <c r="F837" s="203">
        <v>1</v>
      </c>
      <c r="G837" s="202"/>
      <c r="H837" s="202"/>
      <c r="I837" s="202"/>
      <c r="J837" s="202">
        <v>0</v>
      </c>
      <c r="K837" s="202" t="s">
        <v>1741</v>
      </c>
      <c r="L837" s="202"/>
      <c r="M837" s="202" t="s">
        <v>1573</v>
      </c>
      <c r="N837" s="206">
        <v>40794</v>
      </c>
      <c r="O837" s="206">
        <v>40794</v>
      </c>
      <c r="P837" s="202" t="s">
        <v>1740</v>
      </c>
      <c r="Q837" s="203">
        <v>1200</v>
      </c>
      <c r="R837" s="203">
        <v>14050</v>
      </c>
      <c r="S837" s="204">
        <v>538.63</v>
      </c>
      <c r="T837" s="203">
        <v>14056</v>
      </c>
      <c r="U837" s="204">
        <v>463.85</v>
      </c>
      <c r="V837" s="204">
        <f t="shared" si="23"/>
        <v>74.779999999999973</v>
      </c>
      <c r="W837" s="205">
        <v>44.89</v>
      </c>
      <c r="X837" s="203">
        <v>54260</v>
      </c>
      <c r="Y837" s="204">
        <v>3.74</v>
      </c>
      <c r="Z837" s="202" t="s">
        <v>97</v>
      </c>
      <c r="AA837" s="202"/>
      <c r="AB837" s="202">
        <v>61221</v>
      </c>
      <c r="AC837" s="202"/>
      <c r="AD837" s="202" t="s">
        <v>1152</v>
      </c>
      <c r="AE837" s="202" t="s">
        <v>1153</v>
      </c>
      <c r="AF837" s="203" t="s">
        <v>1154</v>
      </c>
      <c r="AG837" s="208">
        <v>41698</v>
      </c>
      <c r="AH837" s="203" t="s">
        <v>1155</v>
      </c>
      <c r="AI837" s="202">
        <v>1</v>
      </c>
      <c r="AJ837" s="202">
        <v>112.21</v>
      </c>
    </row>
    <row r="838" spans="2:36">
      <c r="B838" s="203">
        <v>2180</v>
      </c>
      <c r="C838" s="207">
        <v>86469</v>
      </c>
      <c r="D838" s="203" t="s">
        <v>97</v>
      </c>
      <c r="E838" s="202" t="s">
        <v>1742</v>
      </c>
      <c r="F838" s="203">
        <v>4</v>
      </c>
      <c r="G838" s="202"/>
      <c r="H838" s="202"/>
      <c r="I838" s="202"/>
      <c r="J838" s="202">
        <v>0</v>
      </c>
      <c r="K838" s="202" t="s">
        <v>1741</v>
      </c>
      <c r="L838" s="202"/>
      <c r="M838" s="202" t="s">
        <v>1573</v>
      </c>
      <c r="N838" s="206">
        <v>40794</v>
      </c>
      <c r="O838" s="206">
        <v>40794</v>
      </c>
      <c r="P838" s="202" t="s">
        <v>1740</v>
      </c>
      <c r="Q838" s="203">
        <v>1200</v>
      </c>
      <c r="R838" s="203">
        <v>14050</v>
      </c>
      <c r="S838" s="204">
        <v>1923.68</v>
      </c>
      <c r="T838" s="203">
        <v>14056</v>
      </c>
      <c r="U838" s="204">
        <v>1656.54</v>
      </c>
      <c r="V838" s="204">
        <f t="shared" si="23"/>
        <v>267.1400000000001</v>
      </c>
      <c r="W838" s="205">
        <v>160.31</v>
      </c>
      <c r="X838" s="203">
        <v>54260</v>
      </c>
      <c r="Y838" s="204">
        <v>13.36</v>
      </c>
      <c r="Z838" s="202" t="s">
        <v>97</v>
      </c>
      <c r="AA838" s="202"/>
      <c r="AB838" s="202">
        <v>61276</v>
      </c>
      <c r="AC838" s="202"/>
      <c r="AD838" s="202" t="s">
        <v>1152</v>
      </c>
      <c r="AE838" s="202" t="s">
        <v>1153</v>
      </c>
      <c r="AF838" s="203" t="s">
        <v>1154</v>
      </c>
      <c r="AG838" s="202"/>
      <c r="AH838" s="203" t="s">
        <v>1155</v>
      </c>
      <c r="AI838" s="202">
        <v>0</v>
      </c>
      <c r="AJ838" s="202">
        <v>0</v>
      </c>
    </row>
    <row r="839" spans="2:36">
      <c r="B839" s="203">
        <v>2180</v>
      </c>
      <c r="C839" s="207">
        <v>86148</v>
      </c>
      <c r="D839" s="203">
        <v>85917</v>
      </c>
      <c r="E839" s="202" t="s">
        <v>1739</v>
      </c>
      <c r="F839" s="203">
        <v>0</v>
      </c>
      <c r="G839" s="202"/>
      <c r="H839" s="202" t="s">
        <v>1734</v>
      </c>
      <c r="I839" s="202"/>
      <c r="J839" s="202">
        <v>2012</v>
      </c>
      <c r="K839" s="202"/>
      <c r="L839" s="202"/>
      <c r="M839" s="202" t="s">
        <v>1404</v>
      </c>
      <c r="N839" s="206">
        <v>40760</v>
      </c>
      <c r="O839" s="206">
        <v>40760</v>
      </c>
      <c r="P839" s="202" t="s">
        <v>1731</v>
      </c>
      <c r="Q839" s="203">
        <v>1000</v>
      </c>
      <c r="R839" s="203">
        <v>14040</v>
      </c>
      <c r="S839" s="204">
        <v>2451.19</v>
      </c>
      <c r="T839" s="203">
        <v>14046</v>
      </c>
      <c r="U839" s="204">
        <v>2451.19</v>
      </c>
      <c r="V839" s="204">
        <f t="shared" si="23"/>
        <v>0</v>
      </c>
      <c r="W839" s="205">
        <v>142.97999999999999</v>
      </c>
      <c r="X839" s="203">
        <v>51260</v>
      </c>
      <c r="Y839" s="204">
        <v>0</v>
      </c>
      <c r="Z839" s="202" t="s">
        <v>97</v>
      </c>
      <c r="AA839" s="202"/>
      <c r="AB839" s="202" t="s">
        <v>1738</v>
      </c>
      <c r="AC839" s="202"/>
      <c r="AD839" s="202" t="s">
        <v>1152</v>
      </c>
      <c r="AE839" s="202" t="s">
        <v>1153</v>
      </c>
      <c r="AF839" s="203" t="s">
        <v>1154</v>
      </c>
      <c r="AG839" s="202"/>
      <c r="AH839" s="203" t="s">
        <v>1155</v>
      </c>
      <c r="AI839" s="202">
        <v>0</v>
      </c>
      <c r="AJ839" s="202">
        <v>0</v>
      </c>
    </row>
    <row r="840" spans="2:36">
      <c r="B840" s="203">
        <v>2180</v>
      </c>
      <c r="C840" s="207">
        <v>86147</v>
      </c>
      <c r="D840" s="203">
        <v>85917</v>
      </c>
      <c r="E840" s="202" t="s">
        <v>1737</v>
      </c>
      <c r="F840" s="203">
        <v>0</v>
      </c>
      <c r="G840" s="202"/>
      <c r="H840" s="202" t="s">
        <v>1734</v>
      </c>
      <c r="I840" s="202"/>
      <c r="J840" s="202">
        <v>2012</v>
      </c>
      <c r="K840" s="202"/>
      <c r="L840" s="202"/>
      <c r="M840" s="202" t="s">
        <v>1404</v>
      </c>
      <c r="N840" s="206">
        <v>40760</v>
      </c>
      <c r="O840" s="206">
        <v>40760</v>
      </c>
      <c r="P840" s="202" t="s">
        <v>1731</v>
      </c>
      <c r="Q840" s="203">
        <v>1000</v>
      </c>
      <c r="R840" s="203">
        <v>14040</v>
      </c>
      <c r="S840" s="204">
        <v>137814.17000000001</v>
      </c>
      <c r="T840" s="203">
        <v>14046</v>
      </c>
      <c r="U840" s="204">
        <v>137814.17000000001</v>
      </c>
      <c r="V840" s="204">
        <f t="shared" si="23"/>
        <v>0</v>
      </c>
      <c r="W840" s="205">
        <v>8039.13</v>
      </c>
      <c r="X840" s="203">
        <v>51260</v>
      </c>
      <c r="Y840" s="204">
        <v>0</v>
      </c>
      <c r="Z840" s="202" t="s">
        <v>97</v>
      </c>
      <c r="AA840" s="202"/>
      <c r="AB840" s="202" t="s">
        <v>1736</v>
      </c>
      <c r="AC840" s="202"/>
      <c r="AD840" s="202" t="s">
        <v>1152</v>
      </c>
      <c r="AE840" s="202" t="s">
        <v>1153</v>
      </c>
      <c r="AF840" s="203" t="s">
        <v>1154</v>
      </c>
      <c r="AG840" s="202"/>
      <c r="AH840" s="203" t="s">
        <v>1155</v>
      </c>
      <c r="AI840" s="202">
        <v>0</v>
      </c>
      <c r="AJ840" s="202">
        <v>0</v>
      </c>
    </row>
    <row r="841" spans="2:36">
      <c r="B841" s="203">
        <v>2180</v>
      </c>
      <c r="C841" s="207">
        <v>85917</v>
      </c>
      <c r="D841" s="203" t="s">
        <v>97</v>
      </c>
      <c r="E841" s="202" t="s">
        <v>1735</v>
      </c>
      <c r="F841" s="203">
        <v>0</v>
      </c>
      <c r="G841" s="202"/>
      <c r="H841" s="202" t="s">
        <v>1734</v>
      </c>
      <c r="I841" s="202"/>
      <c r="J841" s="202">
        <v>2012</v>
      </c>
      <c r="K841" s="202" t="s">
        <v>1733</v>
      </c>
      <c r="L841" s="202" t="s">
        <v>1732</v>
      </c>
      <c r="M841" s="202" t="s">
        <v>1404</v>
      </c>
      <c r="N841" s="206">
        <v>40760</v>
      </c>
      <c r="O841" s="206">
        <v>40760</v>
      </c>
      <c r="P841" s="202" t="s">
        <v>1731</v>
      </c>
      <c r="Q841" s="203">
        <v>1000</v>
      </c>
      <c r="R841" s="203">
        <v>14040</v>
      </c>
      <c r="S841" s="204">
        <v>156624.20000000001</v>
      </c>
      <c r="T841" s="203">
        <v>14046</v>
      </c>
      <c r="U841" s="204">
        <v>156624.20000000001</v>
      </c>
      <c r="V841" s="204">
        <f t="shared" si="23"/>
        <v>0</v>
      </c>
      <c r="W841" s="205">
        <v>9136.41</v>
      </c>
      <c r="X841" s="203">
        <v>51260</v>
      </c>
      <c r="Y841" s="204">
        <v>0</v>
      </c>
      <c r="Z841" s="202" t="s">
        <v>97</v>
      </c>
      <c r="AA841" s="202"/>
      <c r="AB841" s="202" t="s">
        <v>1730</v>
      </c>
      <c r="AC841" s="202">
        <v>3631</v>
      </c>
      <c r="AD841" s="202" t="s">
        <v>1152</v>
      </c>
      <c r="AE841" s="202" t="s">
        <v>1153</v>
      </c>
      <c r="AF841" s="203" t="s">
        <v>1154</v>
      </c>
      <c r="AG841" s="202"/>
      <c r="AH841" s="203" t="s">
        <v>1155</v>
      </c>
      <c r="AI841" s="202">
        <v>0</v>
      </c>
      <c r="AJ841" s="202">
        <v>0</v>
      </c>
    </row>
    <row r="842" spans="2:36">
      <c r="B842" s="203">
        <v>2180</v>
      </c>
      <c r="C842" s="207">
        <v>85654</v>
      </c>
      <c r="D842" s="203" t="s">
        <v>97</v>
      </c>
      <c r="E842" s="202" t="s">
        <v>1729</v>
      </c>
      <c r="F842" s="203">
        <v>0</v>
      </c>
      <c r="G842" s="202"/>
      <c r="H842" s="202"/>
      <c r="I842" s="202"/>
      <c r="J842" s="202">
        <v>0</v>
      </c>
      <c r="K842" s="202" t="s">
        <v>1576</v>
      </c>
      <c r="L842" s="202"/>
      <c r="M842" s="202"/>
      <c r="N842" s="206">
        <v>40757</v>
      </c>
      <c r="O842" s="206">
        <v>40757</v>
      </c>
      <c r="P842" s="202" t="s">
        <v>1728</v>
      </c>
      <c r="Q842" s="203">
        <v>300</v>
      </c>
      <c r="R842" s="203">
        <v>14110</v>
      </c>
      <c r="S842" s="204">
        <v>7261.89</v>
      </c>
      <c r="T842" s="203">
        <v>14116</v>
      </c>
      <c r="U842" s="204">
        <v>7261.89</v>
      </c>
      <c r="V842" s="204">
        <f t="shared" si="23"/>
        <v>0</v>
      </c>
      <c r="W842" s="205">
        <v>0</v>
      </c>
      <c r="X842" s="203">
        <v>70260</v>
      </c>
      <c r="Y842" s="204">
        <v>0</v>
      </c>
      <c r="Z842" s="202" t="s">
        <v>97</v>
      </c>
      <c r="AA842" s="202"/>
      <c r="AB842" s="202">
        <v>93640</v>
      </c>
      <c r="AC842" s="202"/>
      <c r="AD842" s="202" t="s">
        <v>1152</v>
      </c>
      <c r="AE842" s="202" t="s">
        <v>1153</v>
      </c>
      <c r="AF842" s="203" t="s">
        <v>1154</v>
      </c>
      <c r="AG842" s="202"/>
      <c r="AH842" s="203" t="s">
        <v>1155</v>
      </c>
      <c r="AI842" s="202">
        <v>0</v>
      </c>
      <c r="AJ842" s="202">
        <v>0</v>
      </c>
    </row>
    <row r="843" spans="2:36">
      <c r="B843" s="203">
        <v>2180</v>
      </c>
      <c r="C843" s="207">
        <v>85005</v>
      </c>
      <c r="D843" s="203" t="s">
        <v>97</v>
      </c>
      <c r="E843" s="202" t="s">
        <v>1727</v>
      </c>
      <c r="F843" s="203">
        <v>0</v>
      </c>
      <c r="G843" s="202"/>
      <c r="H843" s="202"/>
      <c r="I843" s="202"/>
      <c r="J843" s="202">
        <v>0</v>
      </c>
      <c r="K843" s="202" t="s">
        <v>1641</v>
      </c>
      <c r="L843" s="202"/>
      <c r="M843" s="202"/>
      <c r="N843" s="206">
        <v>40633</v>
      </c>
      <c r="O843" s="206">
        <v>40633</v>
      </c>
      <c r="P843" s="202" t="s">
        <v>1644</v>
      </c>
      <c r="Q843" s="203">
        <v>2000</v>
      </c>
      <c r="R843" s="203">
        <v>14080</v>
      </c>
      <c r="S843" s="204">
        <v>23372.76</v>
      </c>
      <c r="T843" s="203">
        <v>14086</v>
      </c>
      <c r="U843" s="204">
        <v>12562.88</v>
      </c>
      <c r="V843" s="204">
        <f t="shared" si="23"/>
        <v>10809.88</v>
      </c>
      <c r="W843" s="205">
        <v>1168.6400000000001</v>
      </c>
      <c r="X843" s="203">
        <v>57260</v>
      </c>
      <c r="Y843" s="204">
        <v>97.39</v>
      </c>
      <c r="Z843" s="202" t="s">
        <v>97</v>
      </c>
      <c r="AA843" s="202"/>
      <c r="AB843" s="202">
        <v>123514</v>
      </c>
      <c r="AC843" s="202"/>
      <c r="AD843" s="202" t="s">
        <v>1152</v>
      </c>
      <c r="AE843" s="202" t="s">
        <v>1153</v>
      </c>
      <c r="AF843" s="203" t="s">
        <v>1154</v>
      </c>
      <c r="AG843" s="202"/>
      <c r="AH843" s="203" t="s">
        <v>1155</v>
      </c>
      <c r="AI843" s="202">
        <v>0</v>
      </c>
      <c r="AJ843" s="202">
        <v>0</v>
      </c>
    </row>
    <row r="844" spans="2:36">
      <c r="B844" s="203">
        <v>2180</v>
      </c>
      <c r="C844" s="207">
        <v>85004</v>
      </c>
      <c r="D844" s="203" t="s">
        <v>97</v>
      </c>
      <c r="E844" s="202" t="s">
        <v>1727</v>
      </c>
      <c r="F844" s="203">
        <v>0</v>
      </c>
      <c r="G844" s="202"/>
      <c r="H844" s="202"/>
      <c r="I844" s="202"/>
      <c r="J844" s="202">
        <v>0</v>
      </c>
      <c r="K844" s="202" t="s">
        <v>1641</v>
      </c>
      <c r="L844" s="202"/>
      <c r="M844" s="202"/>
      <c r="N844" s="206">
        <v>40633</v>
      </c>
      <c r="O844" s="206">
        <v>40633</v>
      </c>
      <c r="P844" s="202" t="s">
        <v>1644</v>
      </c>
      <c r="Q844" s="203">
        <v>2000</v>
      </c>
      <c r="R844" s="203">
        <v>14080</v>
      </c>
      <c r="S844" s="204">
        <v>2133.77</v>
      </c>
      <c r="T844" s="203">
        <v>14086</v>
      </c>
      <c r="U844" s="204">
        <v>1146.92</v>
      </c>
      <c r="V844" s="204">
        <f t="shared" si="23"/>
        <v>986.84999999999991</v>
      </c>
      <c r="W844" s="205">
        <v>106.69</v>
      </c>
      <c r="X844" s="203">
        <v>57260</v>
      </c>
      <c r="Y844" s="204">
        <v>8.89</v>
      </c>
      <c r="Z844" s="202" t="s">
        <v>97</v>
      </c>
      <c r="AA844" s="202"/>
      <c r="AB844" s="202">
        <v>123514</v>
      </c>
      <c r="AC844" s="202"/>
      <c r="AD844" s="202" t="s">
        <v>1152</v>
      </c>
      <c r="AE844" s="202" t="s">
        <v>1153</v>
      </c>
      <c r="AF844" s="203" t="s">
        <v>1154</v>
      </c>
      <c r="AG844" s="202"/>
      <c r="AH844" s="203" t="s">
        <v>1155</v>
      </c>
      <c r="AI844" s="202">
        <v>0</v>
      </c>
      <c r="AJ844" s="202">
        <v>0</v>
      </c>
    </row>
    <row r="845" spans="2:36">
      <c r="B845" s="203">
        <v>2180</v>
      </c>
      <c r="C845" s="207">
        <v>84734</v>
      </c>
      <c r="D845" s="203">
        <v>80461</v>
      </c>
      <c r="E845" s="202" t="s">
        <v>1726</v>
      </c>
      <c r="F845" s="203">
        <v>0</v>
      </c>
      <c r="G845" s="202"/>
      <c r="H845" s="202"/>
      <c r="I845" s="202"/>
      <c r="J845" s="202">
        <v>0</v>
      </c>
      <c r="K845" s="202" t="s">
        <v>1633</v>
      </c>
      <c r="L845" s="202"/>
      <c r="M845" s="202"/>
      <c r="N845" s="206">
        <v>40633</v>
      </c>
      <c r="O845" s="206">
        <v>40633</v>
      </c>
      <c r="P845" s="202" t="s">
        <v>1597</v>
      </c>
      <c r="Q845" s="203">
        <v>1000</v>
      </c>
      <c r="R845" s="203">
        <v>14100</v>
      </c>
      <c r="S845" s="204">
        <v>1695.95</v>
      </c>
      <c r="T845" s="203">
        <v>14106</v>
      </c>
      <c r="U845" s="204">
        <v>1695.95</v>
      </c>
      <c r="V845" s="204">
        <f t="shared" si="23"/>
        <v>0</v>
      </c>
      <c r="W845" s="205">
        <v>42.35</v>
      </c>
      <c r="X845" s="203">
        <v>70260</v>
      </c>
      <c r="Y845" s="204">
        <v>0</v>
      </c>
      <c r="Z845" s="202" t="s">
        <v>97</v>
      </c>
      <c r="AA845" s="202"/>
      <c r="AB845" s="202">
        <v>201763</v>
      </c>
      <c r="AC845" s="202"/>
      <c r="AD845" s="202" t="s">
        <v>1152</v>
      </c>
      <c r="AE845" s="202" t="s">
        <v>1153</v>
      </c>
      <c r="AF845" s="203" t="s">
        <v>1154</v>
      </c>
      <c r="AG845" s="202"/>
      <c r="AH845" s="203" t="s">
        <v>1155</v>
      </c>
      <c r="AI845" s="202">
        <v>0</v>
      </c>
      <c r="AJ845" s="202">
        <v>0</v>
      </c>
    </row>
    <row r="846" spans="2:36">
      <c r="B846" s="203">
        <v>2180</v>
      </c>
      <c r="C846" s="207">
        <v>84732</v>
      </c>
      <c r="D846" s="203">
        <v>80461</v>
      </c>
      <c r="E846" s="202" t="s">
        <v>1725</v>
      </c>
      <c r="F846" s="203">
        <v>0</v>
      </c>
      <c r="G846" s="202"/>
      <c r="H846" s="202"/>
      <c r="I846" s="202"/>
      <c r="J846" s="202">
        <v>0</v>
      </c>
      <c r="K846" s="202" t="s">
        <v>1429</v>
      </c>
      <c r="L846" s="202"/>
      <c r="M846" s="202"/>
      <c r="N846" s="206">
        <v>40633</v>
      </c>
      <c r="O846" s="206">
        <v>40633</v>
      </c>
      <c r="P846" s="202" t="s">
        <v>1644</v>
      </c>
      <c r="Q846" s="203">
        <v>500</v>
      </c>
      <c r="R846" s="203">
        <v>14100</v>
      </c>
      <c r="S846" s="204">
        <v>3960.18</v>
      </c>
      <c r="T846" s="203">
        <v>14106</v>
      </c>
      <c r="U846" s="204">
        <v>3960.18</v>
      </c>
      <c r="V846" s="204">
        <f t="shared" ref="V846:V909" si="24">S846-U846</f>
        <v>0</v>
      </c>
      <c r="W846" s="205">
        <v>0</v>
      </c>
      <c r="X846" s="203">
        <v>70260</v>
      </c>
      <c r="Y846" s="204">
        <v>0</v>
      </c>
      <c r="Z846" s="202" t="s">
        <v>97</v>
      </c>
      <c r="AA846" s="202"/>
      <c r="AB846" s="202">
        <v>17783</v>
      </c>
      <c r="AC846" s="202"/>
      <c r="AD846" s="202" t="s">
        <v>1152</v>
      </c>
      <c r="AE846" s="202" t="s">
        <v>1153</v>
      </c>
      <c r="AF846" s="203" t="s">
        <v>1154</v>
      </c>
      <c r="AG846" s="202"/>
      <c r="AH846" s="203" t="s">
        <v>1155</v>
      </c>
      <c r="AI846" s="202">
        <v>0</v>
      </c>
      <c r="AJ846" s="202">
        <v>0</v>
      </c>
    </row>
    <row r="847" spans="2:36">
      <c r="B847" s="203">
        <v>2180</v>
      </c>
      <c r="C847" s="207">
        <v>84730</v>
      </c>
      <c r="D847" s="203">
        <v>80461</v>
      </c>
      <c r="E847" s="202" t="s">
        <v>1724</v>
      </c>
      <c r="F847" s="203">
        <v>0</v>
      </c>
      <c r="G847" s="202"/>
      <c r="H847" s="202"/>
      <c r="I847" s="202"/>
      <c r="J847" s="202">
        <v>0</v>
      </c>
      <c r="K847" s="202" t="s">
        <v>1723</v>
      </c>
      <c r="L847" s="202"/>
      <c r="M847" s="202"/>
      <c r="N847" s="206">
        <v>40633</v>
      </c>
      <c r="O847" s="206">
        <v>40633</v>
      </c>
      <c r="P847" s="202" t="s">
        <v>1644</v>
      </c>
      <c r="Q847" s="203">
        <v>2000</v>
      </c>
      <c r="R847" s="203">
        <v>14080</v>
      </c>
      <c r="S847" s="204">
        <v>2240.65</v>
      </c>
      <c r="T847" s="203">
        <v>14086</v>
      </c>
      <c r="U847" s="204">
        <v>1204.33</v>
      </c>
      <c r="V847" s="204">
        <f t="shared" si="24"/>
        <v>1036.3200000000002</v>
      </c>
      <c r="W847" s="205">
        <v>112.03</v>
      </c>
      <c r="X847" s="203">
        <v>57260</v>
      </c>
      <c r="Y847" s="204">
        <v>9.34</v>
      </c>
      <c r="Z847" s="202" t="s">
        <v>97</v>
      </c>
      <c r="AA847" s="202"/>
      <c r="AB847" s="202">
        <v>42811</v>
      </c>
      <c r="AC847" s="202"/>
      <c r="AD847" s="202" t="s">
        <v>1152</v>
      </c>
      <c r="AE847" s="202" t="s">
        <v>1153</v>
      </c>
      <c r="AF847" s="203" t="s">
        <v>1154</v>
      </c>
      <c r="AG847" s="202"/>
      <c r="AH847" s="203" t="s">
        <v>1155</v>
      </c>
      <c r="AI847" s="202">
        <v>0</v>
      </c>
      <c r="AJ847" s="202">
        <v>0</v>
      </c>
    </row>
    <row r="848" spans="2:36">
      <c r="B848" s="203">
        <v>2180</v>
      </c>
      <c r="C848" s="207">
        <v>84654</v>
      </c>
      <c r="D848" s="203" t="s">
        <v>97</v>
      </c>
      <c r="E848" s="202" t="s">
        <v>1722</v>
      </c>
      <c r="F848" s="203">
        <v>0</v>
      </c>
      <c r="G848" s="202"/>
      <c r="H848" s="202" t="s">
        <v>1721</v>
      </c>
      <c r="I848" s="202"/>
      <c r="J848" s="202">
        <v>2006</v>
      </c>
      <c r="K848" s="202" t="s">
        <v>1720</v>
      </c>
      <c r="L848" s="202" t="s">
        <v>1719</v>
      </c>
      <c r="M848" s="202" t="s">
        <v>1412</v>
      </c>
      <c r="N848" s="206">
        <v>40688</v>
      </c>
      <c r="O848" s="206">
        <v>40688</v>
      </c>
      <c r="P848" s="202" t="s">
        <v>1718</v>
      </c>
      <c r="Q848" s="203">
        <v>500</v>
      </c>
      <c r="R848" s="203">
        <v>14030</v>
      </c>
      <c r="S848" s="204">
        <v>21323.33</v>
      </c>
      <c r="T848" s="203">
        <v>14036</v>
      </c>
      <c r="U848" s="204">
        <v>21323.33</v>
      </c>
      <c r="V848" s="204">
        <f t="shared" si="24"/>
        <v>0</v>
      </c>
      <c r="W848" s="205">
        <v>0</v>
      </c>
      <c r="X848" s="203">
        <v>51260</v>
      </c>
      <c r="Y848" s="204">
        <v>0</v>
      </c>
      <c r="Z848" s="202" t="s">
        <v>97</v>
      </c>
      <c r="AA848" s="202"/>
      <c r="AB848" s="202" t="s">
        <v>1717</v>
      </c>
      <c r="AC848" s="202">
        <v>7036</v>
      </c>
      <c r="AD848" s="202" t="s">
        <v>1152</v>
      </c>
      <c r="AE848" s="202" t="s">
        <v>1153</v>
      </c>
      <c r="AF848" s="203" t="s">
        <v>1154</v>
      </c>
      <c r="AG848" s="202"/>
      <c r="AH848" s="203" t="s">
        <v>1155</v>
      </c>
      <c r="AI848" s="202">
        <v>0</v>
      </c>
      <c r="AJ848" s="202">
        <v>0</v>
      </c>
    </row>
    <row r="849" spans="2:36">
      <c r="B849" s="203">
        <v>2180</v>
      </c>
      <c r="C849" s="207">
        <v>84597</v>
      </c>
      <c r="D849" s="203">
        <v>80461</v>
      </c>
      <c r="E849" s="202" t="s">
        <v>1716</v>
      </c>
      <c r="F849" s="203">
        <v>0</v>
      </c>
      <c r="G849" s="202"/>
      <c r="H849" s="202"/>
      <c r="I849" s="202"/>
      <c r="J849" s="202">
        <v>0</v>
      </c>
      <c r="K849" s="202" t="s">
        <v>1639</v>
      </c>
      <c r="L849" s="202"/>
      <c r="M849" s="202"/>
      <c r="N849" s="206">
        <v>40633</v>
      </c>
      <c r="O849" s="206">
        <v>40633</v>
      </c>
      <c r="P849" s="202" t="s">
        <v>1644</v>
      </c>
      <c r="Q849" s="203">
        <v>2000</v>
      </c>
      <c r="R849" s="203">
        <v>14080</v>
      </c>
      <c r="S849" s="204">
        <v>3166.67</v>
      </c>
      <c r="T849" s="203">
        <v>14086</v>
      </c>
      <c r="U849" s="204">
        <v>1702.05</v>
      </c>
      <c r="V849" s="204">
        <f t="shared" si="24"/>
        <v>1464.6200000000001</v>
      </c>
      <c r="W849" s="205">
        <v>158.33000000000001</v>
      </c>
      <c r="X849" s="203">
        <v>57260</v>
      </c>
      <c r="Y849" s="204">
        <v>13.19</v>
      </c>
      <c r="Z849" s="202" t="s">
        <v>97</v>
      </c>
      <c r="AA849" s="202"/>
      <c r="AB849" s="202" t="s">
        <v>1715</v>
      </c>
      <c r="AC849" s="202"/>
      <c r="AD849" s="202" t="s">
        <v>1152</v>
      </c>
      <c r="AE849" s="202" t="s">
        <v>1153</v>
      </c>
      <c r="AF849" s="203" t="s">
        <v>1154</v>
      </c>
      <c r="AG849" s="202"/>
      <c r="AH849" s="203" t="s">
        <v>1155</v>
      </c>
      <c r="AI849" s="202">
        <v>0</v>
      </c>
      <c r="AJ849" s="202">
        <v>0</v>
      </c>
    </row>
    <row r="850" spans="2:36">
      <c r="B850" s="203">
        <v>2180</v>
      </c>
      <c r="C850" s="207">
        <v>84596</v>
      </c>
      <c r="D850" s="203">
        <v>80461</v>
      </c>
      <c r="E850" s="202" t="s">
        <v>1646</v>
      </c>
      <c r="F850" s="203">
        <v>0</v>
      </c>
      <c r="G850" s="202"/>
      <c r="H850" s="202"/>
      <c r="I850" s="202"/>
      <c r="J850" s="202">
        <v>0</v>
      </c>
      <c r="K850" s="202" t="s">
        <v>1698</v>
      </c>
      <c r="L850" s="202"/>
      <c r="M850" s="202"/>
      <c r="N850" s="206">
        <v>40633</v>
      </c>
      <c r="O850" s="206">
        <v>40633</v>
      </c>
      <c r="P850" s="202" t="s">
        <v>1644</v>
      </c>
      <c r="Q850" s="203">
        <v>2000</v>
      </c>
      <c r="R850" s="203">
        <v>14080</v>
      </c>
      <c r="S850" s="204">
        <v>555</v>
      </c>
      <c r="T850" s="203">
        <v>14086</v>
      </c>
      <c r="U850" s="204">
        <v>298.31</v>
      </c>
      <c r="V850" s="204">
        <f t="shared" si="24"/>
        <v>256.69</v>
      </c>
      <c r="W850" s="205">
        <v>27.75</v>
      </c>
      <c r="X850" s="203">
        <v>57260</v>
      </c>
      <c r="Y850" s="204">
        <v>2.31</v>
      </c>
      <c r="Z850" s="202" t="s">
        <v>97</v>
      </c>
      <c r="AA850" s="202"/>
      <c r="AB850" s="202">
        <v>25361</v>
      </c>
      <c r="AC850" s="202"/>
      <c r="AD850" s="202" t="s">
        <v>1152</v>
      </c>
      <c r="AE850" s="202" t="s">
        <v>1153</v>
      </c>
      <c r="AF850" s="203" t="s">
        <v>1154</v>
      </c>
      <c r="AG850" s="202"/>
      <c r="AH850" s="203" t="s">
        <v>1155</v>
      </c>
      <c r="AI850" s="202">
        <v>0</v>
      </c>
      <c r="AJ850" s="202">
        <v>0</v>
      </c>
    </row>
    <row r="851" spans="2:36">
      <c r="B851" s="203">
        <v>2180</v>
      </c>
      <c r="C851" s="207">
        <v>84595</v>
      </c>
      <c r="D851" s="203">
        <v>80461</v>
      </c>
      <c r="E851" s="202" t="s">
        <v>1646</v>
      </c>
      <c r="F851" s="203">
        <v>0</v>
      </c>
      <c r="G851" s="202"/>
      <c r="H851" s="202"/>
      <c r="I851" s="202"/>
      <c r="J851" s="202">
        <v>0</v>
      </c>
      <c r="K851" s="202" t="s">
        <v>1698</v>
      </c>
      <c r="L851" s="202"/>
      <c r="M851" s="202"/>
      <c r="N851" s="206">
        <v>40633</v>
      </c>
      <c r="O851" s="206">
        <v>40633</v>
      </c>
      <c r="P851" s="202" t="s">
        <v>1644</v>
      </c>
      <c r="Q851" s="203">
        <v>2000</v>
      </c>
      <c r="R851" s="203">
        <v>14080</v>
      </c>
      <c r="S851" s="204">
        <v>8571.02</v>
      </c>
      <c r="T851" s="203">
        <v>14086</v>
      </c>
      <c r="U851" s="204">
        <v>4606.91</v>
      </c>
      <c r="V851" s="204">
        <f t="shared" si="24"/>
        <v>3964.1100000000006</v>
      </c>
      <c r="W851" s="205">
        <v>428.55</v>
      </c>
      <c r="X851" s="203">
        <v>57260</v>
      </c>
      <c r="Y851" s="204">
        <v>35.71</v>
      </c>
      <c r="Z851" s="202" t="s">
        <v>97</v>
      </c>
      <c r="AA851" s="202"/>
      <c r="AB851" s="202">
        <v>24657</v>
      </c>
      <c r="AC851" s="202"/>
      <c r="AD851" s="202" t="s">
        <v>1152</v>
      </c>
      <c r="AE851" s="202" t="s">
        <v>1153</v>
      </c>
      <c r="AF851" s="203" t="s">
        <v>1154</v>
      </c>
      <c r="AG851" s="202"/>
      <c r="AH851" s="203" t="s">
        <v>1155</v>
      </c>
      <c r="AI851" s="202">
        <v>0</v>
      </c>
      <c r="AJ851" s="202">
        <v>0</v>
      </c>
    </row>
    <row r="852" spans="2:36">
      <c r="B852" s="203">
        <v>2180</v>
      </c>
      <c r="C852" s="207">
        <v>84594</v>
      </c>
      <c r="D852" s="203">
        <v>80461</v>
      </c>
      <c r="E852" s="202" t="s">
        <v>1646</v>
      </c>
      <c r="F852" s="203">
        <v>0</v>
      </c>
      <c r="G852" s="202"/>
      <c r="H852" s="202"/>
      <c r="I852" s="202"/>
      <c r="J852" s="202">
        <v>0</v>
      </c>
      <c r="K852" s="202" t="s">
        <v>1698</v>
      </c>
      <c r="L852" s="202"/>
      <c r="M852" s="202"/>
      <c r="N852" s="206">
        <v>40633</v>
      </c>
      <c r="O852" s="206">
        <v>40633</v>
      </c>
      <c r="P852" s="202" t="s">
        <v>1644</v>
      </c>
      <c r="Q852" s="203">
        <v>2000</v>
      </c>
      <c r="R852" s="203">
        <v>14080</v>
      </c>
      <c r="S852" s="204">
        <v>2739.6</v>
      </c>
      <c r="T852" s="203">
        <v>14086</v>
      </c>
      <c r="U852" s="204">
        <v>1472.45</v>
      </c>
      <c r="V852" s="204">
        <f t="shared" si="24"/>
        <v>1267.1499999999999</v>
      </c>
      <c r="W852" s="205">
        <v>136.97</v>
      </c>
      <c r="X852" s="203">
        <v>57260</v>
      </c>
      <c r="Y852" s="204">
        <v>11.41</v>
      </c>
      <c r="Z852" s="202" t="s">
        <v>97</v>
      </c>
      <c r="AA852" s="202"/>
      <c r="AB852" s="202">
        <v>24443</v>
      </c>
      <c r="AC852" s="202"/>
      <c r="AD852" s="202" t="s">
        <v>1152</v>
      </c>
      <c r="AE852" s="202" t="s">
        <v>1153</v>
      </c>
      <c r="AF852" s="203" t="s">
        <v>1154</v>
      </c>
      <c r="AG852" s="202"/>
      <c r="AH852" s="203" t="s">
        <v>1155</v>
      </c>
      <c r="AI852" s="202">
        <v>0</v>
      </c>
      <c r="AJ852" s="202">
        <v>0</v>
      </c>
    </row>
    <row r="853" spans="2:36">
      <c r="B853" s="203">
        <v>2180</v>
      </c>
      <c r="C853" s="207">
        <v>84593</v>
      </c>
      <c r="D853" s="203">
        <v>80461</v>
      </c>
      <c r="E853" s="202" t="s">
        <v>1646</v>
      </c>
      <c r="F853" s="203">
        <v>0</v>
      </c>
      <c r="G853" s="202"/>
      <c r="H853" s="202"/>
      <c r="I853" s="202"/>
      <c r="J853" s="202">
        <v>0</v>
      </c>
      <c r="K853" s="202" t="s">
        <v>1698</v>
      </c>
      <c r="L853" s="202"/>
      <c r="M853" s="202"/>
      <c r="N853" s="206">
        <v>40633</v>
      </c>
      <c r="O853" s="206">
        <v>40633</v>
      </c>
      <c r="P853" s="202" t="s">
        <v>1644</v>
      </c>
      <c r="Q853" s="203">
        <v>2000</v>
      </c>
      <c r="R853" s="203">
        <v>14080</v>
      </c>
      <c r="S853" s="204">
        <v>1676.81</v>
      </c>
      <c r="T853" s="203">
        <v>14086</v>
      </c>
      <c r="U853" s="204">
        <v>901.28</v>
      </c>
      <c r="V853" s="204">
        <f t="shared" si="24"/>
        <v>775.53</v>
      </c>
      <c r="W853" s="205">
        <v>83.84</v>
      </c>
      <c r="X853" s="203">
        <v>57260</v>
      </c>
      <c r="Y853" s="204">
        <v>6.99</v>
      </c>
      <c r="Z853" s="202" t="s">
        <v>97</v>
      </c>
      <c r="AA853" s="202"/>
      <c r="AB853" s="202">
        <v>24896</v>
      </c>
      <c r="AC853" s="202"/>
      <c r="AD853" s="202" t="s">
        <v>1152</v>
      </c>
      <c r="AE853" s="202" t="s">
        <v>1153</v>
      </c>
      <c r="AF853" s="203" t="s">
        <v>1154</v>
      </c>
      <c r="AG853" s="202"/>
      <c r="AH853" s="203" t="s">
        <v>1155</v>
      </c>
      <c r="AI853" s="202">
        <v>0</v>
      </c>
      <c r="AJ853" s="202">
        <v>0</v>
      </c>
    </row>
    <row r="854" spans="2:36">
      <c r="B854" s="203">
        <v>2180</v>
      </c>
      <c r="C854" s="207">
        <v>84592</v>
      </c>
      <c r="D854" s="203">
        <v>80461</v>
      </c>
      <c r="E854" s="202" t="s">
        <v>1646</v>
      </c>
      <c r="F854" s="203">
        <v>0</v>
      </c>
      <c r="G854" s="202"/>
      <c r="H854" s="202"/>
      <c r="I854" s="202"/>
      <c r="J854" s="202">
        <v>0</v>
      </c>
      <c r="K854" s="202" t="s">
        <v>1645</v>
      </c>
      <c r="L854" s="202"/>
      <c r="M854" s="202"/>
      <c r="N854" s="206">
        <v>40633</v>
      </c>
      <c r="O854" s="206">
        <v>40633</v>
      </c>
      <c r="P854" s="202" t="s">
        <v>1644</v>
      </c>
      <c r="Q854" s="203">
        <v>2000</v>
      </c>
      <c r="R854" s="203">
        <v>14080</v>
      </c>
      <c r="S854" s="204">
        <v>673</v>
      </c>
      <c r="T854" s="203">
        <v>14086</v>
      </c>
      <c r="U854" s="204">
        <v>361.74</v>
      </c>
      <c r="V854" s="204">
        <f t="shared" si="24"/>
        <v>311.26</v>
      </c>
      <c r="W854" s="205">
        <v>33.65</v>
      </c>
      <c r="X854" s="203">
        <v>57260</v>
      </c>
      <c r="Y854" s="204">
        <v>2.8</v>
      </c>
      <c r="Z854" s="202" t="s">
        <v>97</v>
      </c>
      <c r="AA854" s="202"/>
      <c r="AB854" s="202">
        <v>1000371</v>
      </c>
      <c r="AC854" s="202"/>
      <c r="AD854" s="202" t="s">
        <v>1152</v>
      </c>
      <c r="AE854" s="202" t="s">
        <v>1153</v>
      </c>
      <c r="AF854" s="203" t="s">
        <v>1154</v>
      </c>
      <c r="AG854" s="202"/>
      <c r="AH854" s="203" t="s">
        <v>1155</v>
      </c>
      <c r="AI854" s="202">
        <v>0</v>
      </c>
      <c r="AJ854" s="202">
        <v>0</v>
      </c>
    </row>
    <row r="855" spans="2:36">
      <c r="B855" s="203">
        <v>2180</v>
      </c>
      <c r="C855" s="207">
        <v>84591</v>
      </c>
      <c r="D855" s="203">
        <v>80461</v>
      </c>
      <c r="E855" s="202" t="s">
        <v>1714</v>
      </c>
      <c r="F855" s="203">
        <v>0</v>
      </c>
      <c r="G855" s="202"/>
      <c r="H855" s="202"/>
      <c r="I855" s="202"/>
      <c r="J855" s="202">
        <v>0</v>
      </c>
      <c r="K855" s="202" t="s">
        <v>1713</v>
      </c>
      <c r="L855" s="202"/>
      <c r="M855" s="202"/>
      <c r="N855" s="206">
        <v>40633</v>
      </c>
      <c r="O855" s="206">
        <v>40633</v>
      </c>
      <c r="P855" s="202" t="s">
        <v>1644</v>
      </c>
      <c r="Q855" s="203">
        <v>2000</v>
      </c>
      <c r="R855" s="203">
        <v>14080</v>
      </c>
      <c r="S855" s="204">
        <v>2011.12</v>
      </c>
      <c r="T855" s="203">
        <v>14086</v>
      </c>
      <c r="U855" s="204">
        <v>1081.02</v>
      </c>
      <c r="V855" s="204">
        <f t="shared" si="24"/>
        <v>930.09999999999991</v>
      </c>
      <c r="W855" s="205">
        <v>100.56</v>
      </c>
      <c r="X855" s="203">
        <v>57260</v>
      </c>
      <c r="Y855" s="204">
        <v>8.3800000000000008</v>
      </c>
      <c r="Z855" s="202" t="s">
        <v>97</v>
      </c>
      <c r="AA855" s="202"/>
      <c r="AB855" s="202">
        <v>1996.7</v>
      </c>
      <c r="AC855" s="202"/>
      <c r="AD855" s="202" t="s">
        <v>1152</v>
      </c>
      <c r="AE855" s="202" t="s">
        <v>1153</v>
      </c>
      <c r="AF855" s="203" t="s">
        <v>1154</v>
      </c>
      <c r="AG855" s="202"/>
      <c r="AH855" s="203" t="s">
        <v>1155</v>
      </c>
      <c r="AI855" s="202">
        <v>0</v>
      </c>
      <c r="AJ855" s="202">
        <v>0</v>
      </c>
    </row>
    <row r="856" spans="2:36">
      <c r="B856" s="203">
        <v>2180</v>
      </c>
      <c r="C856" s="207">
        <v>84590</v>
      </c>
      <c r="D856" s="203">
        <v>80461</v>
      </c>
      <c r="E856" s="202" t="s">
        <v>1712</v>
      </c>
      <c r="F856" s="203">
        <v>0</v>
      </c>
      <c r="G856" s="202"/>
      <c r="H856" s="202"/>
      <c r="I856" s="202"/>
      <c r="J856" s="202">
        <v>0</v>
      </c>
      <c r="K856" s="202" t="s">
        <v>1634</v>
      </c>
      <c r="L856" s="202"/>
      <c r="M856" s="202"/>
      <c r="N856" s="206">
        <v>40633</v>
      </c>
      <c r="O856" s="206">
        <v>40633</v>
      </c>
      <c r="P856" s="202" t="s">
        <v>1644</v>
      </c>
      <c r="Q856" s="203">
        <v>2000</v>
      </c>
      <c r="R856" s="203">
        <v>14080</v>
      </c>
      <c r="S856" s="204">
        <v>7370.54</v>
      </c>
      <c r="T856" s="203">
        <v>14086</v>
      </c>
      <c r="U856" s="204">
        <v>3961.51</v>
      </c>
      <c r="V856" s="204">
        <f t="shared" si="24"/>
        <v>3409.0299999999997</v>
      </c>
      <c r="W856" s="205">
        <v>368.51</v>
      </c>
      <c r="X856" s="203">
        <v>57260</v>
      </c>
      <c r="Y856" s="204">
        <v>30.71</v>
      </c>
      <c r="Z856" s="202" t="s">
        <v>97</v>
      </c>
      <c r="AA856" s="202"/>
      <c r="AB856" s="202">
        <v>125933</v>
      </c>
      <c r="AC856" s="202"/>
      <c r="AD856" s="202" t="s">
        <v>1152</v>
      </c>
      <c r="AE856" s="202" t="s">
        <v>1153</v>
      </c>
      <c r="AF856" s="203" t="s">
        <v>1154</v>
      </c>
      <c r="AG856" s="202"/>
      <c r="AH856" s="203" t="s">
        <v>1155</v>
      </c>
      <c r="AI856" s="202">
        <v>0</v>
      </c>
      <c r="AJ856" s="202">
        <v>0</v>
      </c>
    </row>
    <row r="857" spans="2:36">
      <c r="B857" s="203">
        <v>2180</v>
      </c>
      <c r="C857" s="207">
        <v>84570</v>
      </c>
      <c r="D857" s="203" t="s">
        <v>97</v>
      </c>
      <c r="E857" s="202" t="s">
        <v>1543</v>
      </c>
      <c r="F857" s="203">
        <v>91</v>
      </c>
      <c r="G857" s="202"/>
      <c r="H857" s="202" t="s">
        <v>1711</v>
      </c>
      <c r="I857" s="202"/>
      <c r="J857" s="202">
        <v>0</v>
      </c>
      <c r="K857" s="202" t="s">
        <v>1658</v>
      </c>
      <c r="L857" s="202"/>
      <c r="M857" s="202"/>
      <c r="N857" s="206">
        <v>40692</v>
      </c>
      <c r="O857" s="206">
        <v>40692</v>
      </c>
      <c r="P857" s="202" t="s">
        <v>1707</v>
      </c>
      <c r="Q857" s="203">
        <v>700</v>
      </c>
      <c r="R857" s="203">
        <v>14050</v>
      </c>
      <c r="S857" s="204">
        <v>4451.96</v>
      </c>
      <c r="T857" s="203">
        <v>14056</v>
      </c>
      <c r="U857" s="204">
        <v>4451.96</v>
      </c>
      <c r="V857" s="204">
        <f t="shared" si="24"/>
        <v>0</v>
      </c>
      <c r="W857" s="205">
        <v>0</v>
      </c>
      <c r="X857" s="203">
        <v>54260</v>
      </c>
      <c r="Y857" s="204">
        <v>0</v>
      </c>
      <c r="Z857" s="202" t="s">
        <v>97</v>
      </c>
      <c r="AA857" s="202"/>
      <c r="AB857" s="202" t="s">
        <v>1710</v>
      </c>
      <c r="AC857" s="202"/>
      <c r="AD857" s="202" t="s">
        <v>1152</v>
      </c>
      <c r="AE857" s="202" t="s">
        <v>1153</v>
      </c>
      <c r="AF857" s="203" t="s">
        <v>1154</v>
      </c>
      <c r="AG857" s="202"/>
      <c r="AH857" s="203" t="s">
        <v>1155</v>
      </c>
      <c r="AI857" s="202">
        <v>0</v>
      </c>
      <c r="AJ857" s="202">
        <v>0</v>
      </c>
    </row>
    <row r="858" spans="2:36">
      <c r="B858" s="203">
        <v>2180</v>
      </c>
      <c r="C858" s="207">
        <v>84569</v>
      </c>
      <c r="D858" s="203" t="s">
        <v>97</v>
      </c>
      <c r="E858" s="202" t="s">
        <v>1465</v>
      </c>
      <c r="F858" s="203">
        <v>20</v>
      </c>
      <c r="G858" s="202"/>
      <c r="H858" s="202"/>
      <c r="I858" s="202"/>
      <c r="J858" s="202">
        <v>0</v>
      </c>
      <c r="K858" s="202" t="s">
        <v>1658</v>
      </c>
      <c r="L858" s="202"/>
      <c r="M858" s="202" t="s">
        <v>1464</v>
      </c>
      <c r="N858" s="206">
        <v>40702</v>
      </c>
      <c r="O858" s="206">
        <v>40702</v>
      </c>
      <c r="P858" s="202" t="s">
        <v>1700</v>
      </c>
      <c r="Q858" s="203">
        <v>700</v>
      </c>
      <c r="R858" s="203">
        <v>14050</v>
      </c>
      <c r="S858" s="204">
        <v>14181.68</v>
      </c>
      <c r="T858" s="203">
        <v>14056</v>
      </c>
      <c r="U858" s="204">
        <v>14181.68</v>
      </c>
      <c r="V858" s="204">
        <f t="shared" si="24"/>
        <v>0</v>
      </c>
      <c r="W858" s="205">
        <v>0</v>
      </c>
      <c r="X858" s="203">
        <v>54260</v>
      </c>
      <c r="Y858" s="204">
        <v>0</v>
      </c>
      <c r="Z858" s="202" t="s">
        <v>97</v>
      </c>
      <c r="AA858" s="202"/>
      <c r="AB858" s="202" t="s">
        <v>1709</v>
      </c>
      <c r="AC858" s="202"/>
      <c r="AD858" s="202" t="s">
        <v>1152</v>
      </c>
      <c r="AE858" s="202" t="s">
        <v>1153</v>
      </c>
      <c r="AF858" s="203" t="s">
        <v>1154</v>
      </c>
      <c r="AG858" s="202"/>
      <c r="AH858" s="203" t="s">
        <v>1155</v>
      </c>
      <c r="AI858" s="202">
        <v>0</v>
      </c>
      <c r="AJ858" s="202">
        <v>0</v>
      </c>
    </row>
    <row r="859" spans="2:36">
      <c r="B859" s="203">
        <v>2180</v>
      </c>
      <c r="C859" s="207">
        <v>84568</v>
      </c>
      <c r="D859" s="203" t="s">
        <v>97</v>
      </c>
      <c r="E859" s="202" t="s">
        <v>1543</v>
      </c>
      <c r="F859" s="203">
        <v>648</v>
      </c>
      <c r="G859" s="202"/>
      <c r="H859" s="202" t="s">
        <v>1708</v>
      </c>
      <c r="I859" s="202"/>
      <c r="J859" s="202">
        <v>0</v>
      </c>
      <c r="K859" s="202" t="s">
        <v>1658</v>
      </c>
      <c r="L859" s="202"/>
      <c r="M859" s="202"/>
      <c r="N859" s="206">
        <v>40692</v>
      </c>
      <c r="O859" s="206">
        <v>40692</v>
      </c>
      <c r="P859" s="202" t="s">
        <v>1707</v>
      </c>
      <c r="Q859" s="203">
        <v>700</v>
      </c>
      <c r="R859" s="203">
        <v>14050</v>
      </c>
      <c r="S859" s="204">
        <v>31701.91</v>
      </c>
      <c r="T859" s="203">
        <v>14056</v>
      </c>
      <c r="U859" s="204">
        <v>31701.91</v>
      </c>
      <c r="V859" s="204">
        <f t="shared" si="24"/>
        <v>0</v>
      </c>
      <c r="W859" s="205">
        <v>0</v>
      </c>
      <c r="X859" s="203">
        <v>54260</v>
      </c>
      <c r="Y859" s="204">
        <v>0</v>
      </c>
      <c r="Z859" s="202" t="s">
        <v>97</v>
      </c>
      <c r="AA859" s="202"/>
      <c r="AB859" s="202" t="s">
        <v>1706</v>
      </c>
      <c r="AC859" s="202"/>
      <c r="AD859" s="202" t="s">
        <v>1152</v>
      </c>
      <c r="AE859" s="202" t="s">
        <v>1153</v>
      </c>
      <c r="AF859" s="203" t="s">
        <v>1154</v>
      </c>
      <c r="AG859" s="202"/>
      <c r="AH859" s="203" t="s">
        <v>1155</v>
      </c>
      <c r="AI859" s="202">
        <v>0</v>
      </c>
      <c r="AJ859" s="202">
        <v>0</v>
      </c>
    </row>
    <row r="860" spans="2:36">
      <c r="B860" s="203">
        <v>2180</v>
      </c>
      <c r="C860" s="207">
        <v>84567</v>
      </c>
      <c r="D860" s="203" t="s">
        <v>97</v>
      </c>
      <c r="E860" s="202" t="s">
        <v>1465</v>
      </c>
      <c r="F860" s="203">
        <v>3</v>
      </c>
      <c r="G860" s="202"/>
      <c r="H860" s="202"/>
      <c r="I860" s="202"/>
      <c r="J860" s="202">
        <v>0</v>
      </c>
      <c r="K860" s="202" t="s">
        <v>1658</v>
      </c>
      <c r="L860" s="202"/>
      <c r="M860" s="202" t="s">
        <v>1464</v>
      </c>
      <c r="N860" s="206">
        <v>40702</v>
      </c>
      <c r="O860" s="206">
        <v>40702</v>
      </c>
      <c r="P860" s="202" t="s">
        <v>1700</v>
      </c>
      <c r="Q860" s="203">
        <v>700</v>
      </c>
      <c r="R860" s="203">
        <v>14050</v>
      </c>
      <c r="S860" s="204">
        <v>2127.27</v>
      </c>
      <c r="T860" s="203">
        <v>14056</v>
      </c>
      <c r="U860" s="204">
        <v>2127.27</v>
      </c>
      <c r="V860" s="204">
        <f t="shared" si="24"/>
        <v>0</v>
      </c>
      <c r="W860" s="205">
        <v>0</v>
      </c>
      <c r="X860" s="203">
        <v>54260</v>
      </c>
      <c r="Y860" s="204">
        <v>0</v>
      </c>
      <c r="Z860" s="202" t="s">
        <v>97</v>
      </c>
      <c r="AA860" s="202"/>
      <c r="AB860" s="202" t="s">
        <v>1705</v>
      </c>
      <c r="AC860" s="202"/>
      <c r="AD860" s="202" t="s">
        <v>1152</v>
      </c>
      <c r="AE860" s="202" t="s">
        <v>1153</v>
      </c>
      <c r="AF860" s="203" t="s">
        <v>1154</v>
      </c>
      <c r="AG860" s="202"/>
      <c r="AH860" s="203" t="s">
        <v>1155</v>
      </c>
      <c r="AI860" s="202">
        <v>0</v>
      </c>
      <c r="AJ860" s="202">
        <v>0</v>
      </c>
    </row>
    <row r="861" spans="2:36">
      <c r="B861" s="203">
        <v>2180</v>
      </c>
      <c r="C861" s="207">
        <v>84566</v>
      </c>
      <c r="D861" s="203" t="s">
        <v>97</v>
      </c>
      <c r="E861" s="202" t="s">
        <v>1702</v>
      </c>
      <c r="F861" s="203">
        <v>10</v>
      </c>
      <c r="G861" s="202"/>
      <c r="H861" s="202"/>
      <c r="I861" s="202"/>
      <c r="J861" s="202">
        <v>0</v>
      </c>
      <c r="K861" s="202" t="s">
        <v>1658</v>
      </c>
      <c r="L861" s="202"/>
      <c r="M861" s="202" t="s">
        <v>1701</v>
      </c>
      <c r="N861" s="206">
        <v>40702</v>
      </c>
      <c r="O861" s="206">
        <v>40702</v>
      </c>
      <c r="P861" s="202" t="s">
        <v>1700</v>
      </c>
      <c r="Q861" s="203">
        <v>700</v>
      </c>
      <c r="R861" s="203">
        <v>14050</v>
      </c>
      <c r="S861" s="204">
        <v>6440.5</v>
      </c>
      <c r="T861" s="203">
        <v>14056</v>
      </c>
      <c r="U861" s="204">
        <v>6440.5</v>
      </c>
      <c r="V861" s="204">
        <f t="shared" si="24"/>
        <v>0</v>
      </c>
      <c r="W861" s="205">
        <v>0</v>
      </c>
      <c r="X861" s="203">
        <v>54260</v>
      </c>
      <c r="Y861" s="204">
        <v>0</v>
      </c>
      <c r="Z861" s="202" t="s">
        <v>97</v>
      </c>
      <c r="AA861" s="202"/>
      <c r="AB861" s="202" t="s">
        <v>1704</v>
      </c>
      <c r="AC861" s="202"/>
      <c r="AD861" s="202" t="s">
        <v>1152</v>
      </c>
      <c r="AE861" s="202" t="s">
        <v>1153</v>
      </c>
      <c r="AF861" s="203" t="s">
        <v>1154</v>
      </c>
      <c r="AG861" s="202"/>
      <c r="AH861" s="203" t="s">
        <v>1155</v>
      </c>
      <c r="AI861" s="202">
        <v>0</v>
      </c>
      <c r="AJ861" s="202">
        <v>0</v>
      </c>
    </row>
    <row r="862" spans="2:36">
      <c r="B862" s="203">
        <v>2180</v>
      </c>
      <c r="C862" s="207">
        <v>84565</v>
      </c>
      <c r="D862" s="203" t="s">
        <v>97</v>
      </c>
      <c r="E862" s="202" t="s">
        <v>1702</v>
      </c>
      <c r="F862" s="203">
        <v>10</v>
      </c>
      <c r="G862" s="202"/>
      <c r="H862" s="202"/>
      <c r="I862" s="202"/>
      <c r="J862" s="202">
        <v>0</v>
      </c>
      <c r="K862" s="202" t="s">
        <v>1658</v>
      </c>
      <c r="L862" s="202"/>
      <c r="M862" s="202" t="s">
        <v>1701</v>
      </c>
      <c r="N862" s="206">
        <v>40702</v>
      </c>
      <c r="O862" s="206">
        <v>40702</v>
      </c>
      <c r="P862" s="202" t="s">
        <v>1700</v>
      </c>
      <c r="Q862" s="203">
        <v>700</v>
      </c>
      <c r="R862" s="203">
        <v>14050</v>
      </c>
      <c r="S862" s="204">
        <v>6440.5</v>
      </c>
      <c r="T862" s="203">
        <v>14056</v>
      </c>
      <c r="U862" s="204">
        <v>6440.5</v>
      </c>
      <c r="V862" s="204">
        <f t="shared" si="24"/>
        <v>0</v>
      </c>
      <c r="W862" s="205">
        <v>0</v>
      </c>
      <c r="X862" s="203">
        <v>54260</v>
      </c>
      <c r="Y862" s="204">
        <v>0</v>
      </c>
      <c r="Z862" s="202" t="s">
        <v>97</v>
      </c>
      <c r="AA862" s="202"/>
      <c r="AB862" s="202" t="s">
        <v>1703</v>
      </c>
      <c r="AC862" s="202"/>
      <c r="AD862" s="202" t="s">
        <v>1152</v>
      </c>
      <c r="AE862" s="202" t="s">
        <v>1153</v>
      </c>
      <c r="AF862" s="203" t="s">
        <v>1154</v>
      </c>
      <c r="AG862" s="202"/>
      <c r="AH862" s="203" t="s">
        <v>1155</v>
      </c>
      <c r="AI862" s="202">
        <v>0</v>
      </c>
      <c r="AJ862" s="202">
        <v>0</v>
      </c>
    </row>
    <row r="863" spans="2:36">
      <c r="B863" s="203">
        <v>2180</v>
      </c>
      <c r="C863" s="207">
        <v>84564</v>
      </c>
      <c r="D863" s="203" t="s">
        <v>97</v>
      </c>
      <c r="E863" s="202" t="s">
        <v>1702</v>
      </c>
      <c r="F863" s="203">
        <v>3</v>
      </c>
      <c r="G863" s="202"/>
      <c r="H863" s="202"/>
      <c r="I863" s="202"/>
      <c r="J863" s="202">
        <v>0</v>
      </c>
      <c r="K863" s="202" t="s">
        <v>1658</v>
      </c>
      <c r="L863" s="202"/>
      <c r="M863" s="202" t="s">
        <v>1701</v>
      </c>
      <c r="N863" s="206">
        <v>40702</v>
      </c>
      <c r="O863" s="206">
        <v>40702</v>
      </c>
      <c r="P863" s="202" t="s">
        <v>1700</v>
      </c>
      <c r="Q863" s="203">
        <v>700</v>
      </c>
      <c r="R863" s="203">
        <v>14050</v>
      </c>
      <c r="S863" s="204">
        <v>1932.17</v>
      </c>
      <c r="T863" s="203">
        <v>14056</v>
      </c>
      <c r="U863" s="204">
        <v>1932.17</v>
      </c>
      <c r="V863" s="204">
        <f t="shared" si="24"/>
        <v>0</v>
      </c>
      <c r="W863" s="205">
        <v>0</v>
      </c>
      <c r="X863" s="203">
        <v>54260</v>
      </c>
      <c r="Y863" s="204">
        <v>0</v>
      </c>
      <c r="Z863" s="202" t="s">
        <v>97</v>
      </c>
      <c r="AA863" s="202"/>
      <c r="AB863" s="202" t="s">
        <v>1699</v>
      </c>
      <c r="AC863" s="202"/>
      <c r="AD863" s="202" t="s">
        <v>1152</v>
      </c>
      <c r="AE863" s="202" t="s">
        <v>1153</v>
      </c>
      <c r="AF863" s="203" t="s">
        <v>1154</v>
      </c>
      <c r="AG863" s="202"/>
      <c r="AH863" s="203" t="s">
        <v>1155</v>
      </c>
      <c r="AI863" s="202">
        <v>0</v>
      </c>
      <c r="AJ863" s="202">
        <v>0</v>
      </c>
    </row>
    <row r="864" spans="2:36">
      <c r="B864" s="203">
        <v>2180</v>
      </c>
      <c r="C864" s="207">
        <v>84039</v>
      </c>
      <c r="D864" s="203">
        <v>80461</v>
      </c>
      <c r="E864" s="202" t="s">
        <v>1646</v>
      </c>
      <c r="F864" s="203">
        <v>0</v>
      </c>
      <c r="G864" s="202"/>
      <c r="H864" s="202"/>
      <c r="I864" s="202"/>
      <c r="J864" s="202">
        <v>0</v>
      </c>
      <c r="K864" s="202" t="s">
        <v>1698</v>
      </c>
      <c r="L864" s="202"/>
      <c r="M864" s="202"/>
      <c r="N864" s="206">
        <v>40633</v>
      </c>
      <c r="O864" s="206">
        <v>40633</v>
      </c>
      <c r="P864" s="202" t="s">
        <v>1644</v>
      </c>
      <c r="Q864" s="203">
        <v>2000</v>
      </c>
      <c r="R864" s="203">
        <v>14080</v>
      </c>
      <c r="S864" s="204">
        <v>216.12</v>
      </c>
      <c r="T864" s="203">
        <v>14086</v>
      </c>
      <c r="U864" s="204">
        <v>116.21</v>
      </c>
      <c r="V864" s="204">
        <f t="shared" si="24"/>
        <v>99.910000000000011</v>
      </c>
      <c r="W864" s="205">
        <v>10.81</v>
      </c>
      <c r="X864" s="203">
        <v>57260</v>
      </c>
      <c r="Y864" s="204">
        <v>0.9</v>
      </c>
      <c r="Z864" s="202" t="s">
        <v>97</v>
      </c>
      <c r="AA864" s="202"/>
      <c r="AB864" s="202">
        <v>25168</v>
      </c>
      <c r="AC864" s="202"/>
      <c r="AD864" s="202" t="s">
        <v>1152</v>
      </c>
      <c r="AE864" s="202" t="s">
        <v>1153</v>
      </c>
      <c r="AF864" s="203" t="s">
        <v>1154</v>
      </c>
      <c r="AG864" s="202"/>
      <c r="AH864" s="203" t="s">
        <v>1155</v>
      </c>
      <c r="AI864" s="202">
        <v>0</v>
      </c>
      <c r="AJ864" s="202">
        <v>0</v>
      </c>
    </row>
    <row r="865" spans="2:36">
      <c r="B865" s="203">
        <v>2180</v>
      </c>
      <c r="C865" s="207">
        <v>84038</v>
      </c>
      <c r="D865" s="203">
        <v>80461</v>
      </c>
      <c r="E865" s="202" t="s">
        <v>1697</v>
      </c>
      <c r="F865" s="203">
        <v>0</v>
      </c>
      <c r="G865" s="202"/>
      <c r="H865" s="202"/>
      <c r="I865" s="202"/>
      <c r="J865" s="202">
        <v>0</v>
      </c>
      <c r="K865" s="202" t="s">
        <v>1695</v>
      </c>
      <c r="L865" s="202"/>
      <c r="M865" s="202"/>
      <c r="N865" s="206">
        <v>40633</v>
      </c>
      <c r="O865" s="206">
        <v>40633</v>
      </c>
      <c r="P865" s="202" t="s">
        <v>1644</v>
      </c>
      <c r="Q865" s="203">
        <v>2000</v>
      </c>
      <c r="R865" s="203">
        <v>14080</v>
      </c>
      <c r="S865" s="204">
        <v>3673.77</v>
      </c>
      <c r="T865" s="203">
        <v>14086</v>
      </c>
      <c r="U865" s="204">
        <v>1974.67</v>
      </c>
      <c r="V865" s="204">
        <f t="shared" si="24"/>
        <v>1699.1</v>
      </c>
      <c r="W865" s="205">
        <v>183.69</v>
      </c>
      <c r="X865" s="203">
        <v>57260</v>
      </c>
      <c r="Y865" s="204">
        <v>15.31</v>
      </c>
      <c r="Z865" s="202" t="s">
        <v>97</v>
      </c>
      <c r="AA865" s="202"/>
      <c r="AB865" s="202">
        <v>1741</v>
      </c>
      <c r="AC865" s="202"/>
      <c r="AD865" s="202" t="s">
        <v>1152</v>
      </c>
      <c r="AE865" s="202" t="s">
        <v>1153</v>
      </c>
      <c r="AF865" s="203" t="s">
        <v>1154</v>
      </c>
      <c r="AG865" s="202"/>
      <c r="AH865" s="203" t="s">
        <v>1155</v>
      </c>
      <c r="AI865" s="202">
        <v>0</v>
      </c>
      <c r="AJ865" s="202">
        <v>0</v>
      </c>
    </row>
    <row r="866" spans="2:36">
      <c r="B866" s="203">
        <v>2180</v>
      </c>
      <c r="C866" s="207">
        <v>84037</v>
      </c>
      <c r="D866" s="203">
        <v>80461</v>
      </c>
      <c r="E866" s="202" t="s">
        <v>1696</v>
      </c>
      <c r="F866" s="203">
        <v>0</v>
      </c>
      <c r="G866" s="202"/>
      <c r="H866" s="202"/>
      <c r="I866" s="202"/>
      <c r="J866" s="202">
        <v>0</v>
      </c>
      <c r="K866" s="202" t="s">
        <v>1695</v>
      </c>
      <c r="L866" s="202"/>
      <c r="M866" s="202"/>
      <c r="N866" s="206">
        <v>40633</v>
      </c>
      <c r="O866" s="206">
        <v>40633</v>
      </c>
      <c r="P866" s="202" t="s">
        <v>1644</v>
      </c>
      <c r="Q866" s="203">
        <v>2000</v>
      </c>
      <c r="R866" s="203">
        <v>14080</v>
      </c>
      <c r="S866" s="204">
        <v>636.66999999999996</v>
      </c>
      <c r="T866" s="203">
        <v>14086</v>
      </c>
      <c r="U866" s="204">
        <v>342.18</v>
      </c>
      <c r="V866" s="204">
        <f t="shared" si="24"/>
        <v>294.48999999999995</v>
      </c>
      <c r="W866" s="205">
        <v>31.83</v>
      </c>
      <c r="X866" s="203">
        <v>57260</v>
      </c>
      <c r="Y866" s="204">
        <v>2.65</v>
      </c>
      <c r="Z866" s="202" t="s">
        <v>97</v>
      </c>
      <c r="AA866" s="202"/>
      <c r="AB866" s="202">
        <v>1740</v>
      </c>
      <c r="AC866" s="202"/>
      <c r="AD866" s="202" t="s">
        <v>1152</v>
      </c>
      <c r="AE866" s="202" t="s">
        <v>1153</v>
      </c>
      <c r="AF866" s="203" t="s">
        <v>1154</v>
      </c>
      <c r="AG866" s="202"/>
      <c r="AH866" s="203" t="s">
        <v>1155</v>
      </c>
      <c r="AI866" s="202">
        <v>0</v>
      </c>
      <c r="AJ866" s="202">
        <v>0</v>
      </c>
    </row>
    <row r="867" spans="2:36">
      <c r="B867" s="203">
        <v>2180</v>
      </c>
      <c r="C867" s="207">
        <v>84036</v>
      </c>
      <c r="D867" s="203">
        <v>80461</v>
      </c>
      <c r="E867" s="202" t="s">
        <v>1694</v>
      </c>
      <c r="F867" s="203">
        <v>0</v>
      </c>
      <c r="G867" s="202"/>
      <c r="H867" s="202"/>
      <c r="I867" s="202"/>
      <c r="J867" s="202">
        <v>0</v>
      </c>
      <c r="K867" s="202" t="s">
        <v>1689</v>
      </c>
      <c r="L867" s="202"/>
      <c r="M867" s="202"/>
      <c r="N867" s="206">
        <v>40633</v>
      </c>
      <c r="O867" s="206">
        <v>40633</v>
      </c>
      <c r="P867" s="202" t="s">
        <v>1644</v>
      </c>
      <c r="Q867" s="203">
        <v>2000</v>
      </c>
      <c r="R867" s="203">
        <v>14080</v>
      </c>
      <c r="S867" s="204">
        <v>59592</v>
      </c>
      <c r="T867" s="203">
        <v>14086</v>
      </c>
      <c r="U867" s="204">
        <v>32030.7</v>
      </c>
      <c r="V867" s="204">
        <f t="shared" si="24"/>
        <v>27561.3</v>
      </c>
      <c r="W867" s="205">
        <v>2979.6</v>
      </c>
      <c r="X867" s="203">
        <v>57260</v>
      </c>
      <c r="Y867" s="204">
        <v>248.3</v>
      </c>
      <c r="Z867" s="202" t="s">
        <v>97</v>
      </c>
      <c r="AA867" s="202"/>
      <c r="AB867" s="202">
        <v>18071</v>
      </c>
      <c r="AC867" s="202"/>
      <c r="AD867" s="202" t="s">
        <v>1152</v>
      </c>
      <c r="AE867" s="202" t="s">
        <v>1153</v>
      </c>
      <c r="AF867" s="203" t="s">
        <v>1154</v>
      </c>
      <c r="AG867" s="202"/>
      <c r="AH867" s="203" t="s">
        <v>1155</v>
      </c>
      <c r="AI867" s="202">
        <v>0</v>
      </c>
      <c r="AJ867" s="202">
        <v>0</v>
      </c>
    </row>
    <row r="868" spans="2:36">
      <c r="B868" s="203">
        <v>2180</v>
      </c>
      <c r="C868" s="207">
        <v>84035</v>
      </c>
      <c r="D868" s="203">
        <v>80461</v>
      </c>
      <c r="E868" s="202" t="s">
        <v>1693</v>
      </c>
      <c r="F868" s="203">
        <v>0</v>
      </c>
      <c r="G868" s="202"/>
      <c r="H868" s="202"/>
      <c r="I868" s="202"/>
      <c r="J868" s="202">
        <v>0</v>
      </c>
      <c r="K868" s="202" t="s">
        <v>1689</v>
      </c>
      <c r="L868" s="202"/>
      <c r="M868" s="202"/>
      <c r="N868" s="206">
        <v>40633</v>
      </c>
      <c r="O868" s="206">
        <v>40633</v>
      </c>
      <c r="P868" s="202" t="s">
        <v>1592</v>
      </c>
      <c r="Q868" s="203">
        <v>2000</v>
      </c>
      <c r="R868" s="203">
        <v>14080</v>
      </c>
      <c r="S868" s="204">
        <v>20568.07</v>
      </c>
      <c r="T868" s="203">
        <v>14086</v>
      </c>
      <c r="U868" s="204">
        <v>11055.3</v>
      </c>
      <c r="V868" s="204">
        <f t="shared" si="24"/>
        <v>9512.77</v>
      </c>
      <c r="W868" s="205">
        <v>1028.4000000000001</v>
      </c>
      <c r="X868" s="203">
        <v>57260</v>
      </c>
      <c r="Y868" s="204">
        <v>85.7</v>
      </c>
      <c r="Z868" s="202" t="s">
        <v>97</v>
      </c>
      <c r="AA868" s="202"/>
      <c r="AB868" s="202">
        <v>18049</v>
      </c>
      <c r="AC868" s="202"/>
      <c r="AD868" s="202" t="s">
        <v>1152</v>
      </c>
      <c r="AE868" s="202" t="s">
        <v>1153</v>
      </c>
      <c r="AF868" s="203" t="s">
        <v>1154</v>
      </c>
      <c r="AG868" s="202"/>
      <c r="AH868" s="203" t="s">
        <v>1155</v>
      </c>
      <c r="AI868" s="202">
        <v>0</v>
      </c>
      <c r="AJ868" s="202">
        <v>0</v>
      </c>
    </row>
    <row r="869" spans="2:36">
      <c r="B869" s="203">
        <v>2180</v>
      </c>
      <c r="C869" s="207">
        <v>84034</v>
      </c>
      <c r="D869" s="203">
        <v>80461</v>
      </c>
      <c r="E869" s="202" t="s">
        <v>1692</v>
      </c>
      <c r="F869" s="203">
        <v>0</v>
      </c>
      <c r="G869" s="202"/>
      <c r="H869" s="202"/>
      <c r="I869" s="202"/>
      <c r="J869" s="202">
        <v>0</v>
      </c>
      <c r="K869" s="202" t="s">
        <v>1689</v>
      </c>
      <c r="L869" s="202"/>
      <c r="M869" s="202"/>
      <c r="N869" s="206">
        <v>40633</v>
      </c>
      <c r="O869" s="206">
        <v>40633</v>
      </c>
      <c r="P869" s="202" t="s">
        <v>1592</v>
      </c>
      <c r="Q869" s="203">
        <v>2000</v>
      </c>
      <c r="R869" s="203">
        <v>14080</v>
      </c>
      <c r="S869" s="204">
        <v>6062.87</v>
      </c>
      <c r="T869" s="203">
        <v>14086</v>
      </c>
      <c r="U869" s="204">
        <v>3258.76</v>
      </c>
      <c r="V869" s="204">
        <f t="shared" si="24"/>
        <v>2804.1099999999997</v>
      </c>
      <c r="W869" s="205">
        <v>303.14</v>
      </c>
      <c r="X869" s="203">
        <v>57260</v>
      </c>
      <c r="Y869" s="204">
        <v>25.26</v>
      </c>
      <c r="Z869" s="202" t="s">
        <v>97</v>
      </c>
      <c r="AA869" s="202"/>
      <c r="AB869" s="202">
        <v>18044</v>
      </c>
      <c r="AC869" s="202"/>
      <c r="AD869" s="202" t="s">
        <v>1152</v>
      </c>
      <c r="AE869" s="202" t="s">
        <v>1153</v>
      </c>
      <c r="AF869" s="203" t="s">
        <v>1154</v>
      </c>
      <c r="AG869" s="202"/>
      <c r="AH869" s="203" t="s">
        <v>1155</v>
      </c>
      <c r="AI869" s="202">
        <v>0</v>
      </c>
      <c r="AJ869" s="202">
        <v>0</v>
      </c>
    </row>
    <row r="870" spans="2:36">
      <c r="B870" s="203">
        <v>2180</v>
      </c>
      <c r="C870" s="207">
        <v>84033</v>
      </c>
      <c r="D870" s="203">
        <v>80461</v>
      </c>
      <c r="E870" s="202" t="s">
        <v>1691</v>
      </c>
      <c r="F870" s="203">
        <v>0</v>
      </c>
      <c r="G870" s="202"/>
      <c r="H870" s="202"/>
      <c r="I870" s="202"/>
      <c r="J870" s="202">
        <v>0</v>
      </c>
      <c r="K870" s="202" t="s">
        <v>1689</v>
      </c>
      <c r="L870" s="202"/>
      <c r="M870" s="202"/>
      <c r="N870" s="206">
        <v>40633</v>
      </c>
      <c r="O870" s="206">
        <v>40633</v>
      </c>
      <c r="P870" s="202" t="s">
        <v>1592</v>
      </c>
      <c r="Q870" s="203">
        <v>2000</v>
      </c>
      <c r="R870" s="203">
        <v>14080</v>
      </c>
      <c r="S870" s="204">
        <v>4618.55</v>
      </c>
      <c r="T870" s="203">
        <v>14086</v>
      </c>
      <c r="U870" s="204">
        <v>2482.5</v>
      </c>
      <c r="V870" s="204">
        <f t="shared" si="24"/>
        <v>2136.0500000000002</v>
      </c>
      <c r="W870" s="205">
        <v>230.93</v>
      </c>
      <c r="X870" s="203">
        <v>57260</v>
      </c>
      <c r="Y870" s="204">
        <v>19.239999999999998</v>
      </c>
      <c r="Z870" s="202" t="s">
        <v>97</v>
      </c>
      <c r="AA870" s="202"/>
      <c r="AB870" s="202">
        <v>18042</v>
      </c>
      <c r="AC870" s="202"/>
      <c r="AD870" s="202" t="s">
        <v>1152</v>
      </c>
      <c r="AE870" s="202" t="s">
        <v>1153</v>
      </c>
      <c r="AF870" s="203" t="s">
        <v>1154</v>
      </c>
      <c r="AG870" s="202"/>
      <c r="AH870" s="203" t="s">
        <v>1155</v>
      </c>
      <c r="AI870" s="202">
        <v>0</v>
      </c>
      <c r="AJ870" s="202">
        <v>0</v>
      </c>
    </row>
    <row r="871" spans="2:36">
      <c r="B871" s="203">
        <v>2180</v>
      </c>
      <c r="C871" s="207">
        <v>84032</v>
      </c>
      <c r="D871" s="203">
        <v>80461</v>
      </c>
      <c r="E871" s="202" t="s">
        <v>1690</v>
      </c>
      <c r="F871" s="203">
        <v>0</v>
      </c>
      <c r="G871" s="202"/>
      <c r="H871" s="202"/>
      <c r="I871" s="202"/>
      <c r="J871" s="202">
        <v>0</v>
      </c>
      <c r="K871" s="202" t="s">
        <v>1689</v>
      </c>
      <c r="L871" s="202"/>
      <c r="M871" s="202"/>
      <c r="N871" s="206">
        <v>40633</v>
      </c>
      <c r="O871" s="206">
        <v>40633</v>
      </c>
      <c r="P871" s="202" t="s">
        <v>1592</v>
      </c>
      <c r="Q871" s="203">
        <v>2000</v>
      </c>
      <c r="R871" s="203">
        <v>14080</v>
      </c>
      <c r="S871" s="204">
        <v>6693.53</v>
      </c>
      <c r="T871" s="203">
        <v>14086</v>
      </c>
      <c r="U871" s="204">
        <v>3597.81</v>
      </c>
      <c r="V871" s="204">
        <f t="shared" si="24"/>
        <v>3095.72</v>
      </c>
      <c r="W871" s="205">
        <v>334.68</v>
      </c>
      <c r="X871" s="203">
        <v>57260</v>
      </c>
      <c r="Y871" s="204">
        <v>27.89</v>
      </c>
      <c r="Z871" s="202" t="s">
        <v>97</v>
      </c>
      <c r="AA871" s="202"/>
      <c r="AB871" s="202">
        <v>18043</v>
      </c>
      <c r="AC871" s="202"/>
      <c r="AD871" s="202" t="s">
        <v>1152</v>
      </c>
      <c r="AE871" s="202" t="s">
        <v>1153</v>
      </c>
      <c r="AF871" s="203" t="s">
        <v>1154</v>
      </c>
      <c r="AG871" s="202"/>
      <c r="AH871" s="203" t="s">
        <v>1155</v>
      </c>
      <c r="AI871" s="202">
        <v>0</v>
      </c>
      <c r="AJ871" s="202">
        <v>0</v>
      </c>
    </row>
    <row r="872" spans="2:36">
      <c r="B872" s="203">
        <v>2180</v>
      </c>
      <c r="C872" s="207">
        <v>84031</v>
      </c>
      <c r="D872" s="203">
        <v>80461</v>
      </c>
      <c r="E872" s="202" t="s">
        <v>1688</v>
      </c>
      <c r="F872" s="203">
        <v>0</v>
      </c>
      <c r="G872" s="202"/>
      <c r="H872" s="202"/>
      <c r="I872" s="202"/>
      <c r="J872" s="202">
        <v>0</v>
      </c>
      <c r="K872" s="202" t="s">
        <v>1684</v>
      </c>
      <c r="L872" s="202"/>
      <c r="M872" s="202"/>
      <c r="N872" s="206">
        <v>40633</v>
      </c>
      <c r="O872" s="206">
        <v>40633</v>
      </c>
      <c r="P872" s="202" t="s">
        <v>1644</v>
      </c>
      <c r="Q872" s="203">
        <v>2000</v>
      </c>
      <c r="R872" s="203">
        <v>14080</v>
      </c>
      <c r="S872" s="204">
        <v>31000.84</v>
      </c>
      <c r="T872" s="203">
        <v>14086</v>
      </c>
      <c r="U872" s="204">
        <v>16662.93</v>
      </c>
      <c r="V872" s="204">
        <f t="shared" si="24"/>
        <v>14337.91</v>
      </c>
      <c r="W872" s="205">
        <v>1550.04</v>
      </c>
      <c r="X872" s="203">
        <v>57260</v>
      </c>
      <c r="Y872" s="204">
        <v>129.16999999999999</v>
      </c>
      <c r="Z872" s="202" t="s">
        <v>97</v>
      </c>
      <c r="AA872" s="202"/>
      <c r="AB872" s="202">
        <v>165</v>
      </c>
      <c r="AC872" s="202"/>
      <c r="AD872" s="202" t="s">
        <v>1152</v>
      </c>
      <c r="AE872" s="202" t="s">
        <v>1153</v>
      </c>
      <c r="AF872" s="203" t="s">
        <v>1154</v>
      </c>
      <c r="AG872" s="202"/>
      <c r="AH872" s="203" t="s">
        <v>1155</v>
      </c>
      <c r="AI872" s="202">
        <v>0</v>
      </c>
      <c r="AJ872" s="202">
        <v>0</v>
      </c>
    </row>
    <row r="873" spans="2:36">
      <c r="B873" s="203">
        <v>2180</v>
      </c>
      <c r="C873" s="207">
        <v>84030</v>
      </c>
      <c r="D873" s="203">
        <v>80461</v>
      </c>
      <c r="E873" s="202" t="s">
        <v>1687</v>
      </c>
      <c r="F873" s="203">
        <v>0</v>
      </c>
      <c r="G873" s="202"/>
      <c r="H873" s="202"/>
      <c r="I873" s="202"/>
      <c r="J873" s="202">
        <v>0</v>
      </c>
      <c r="K873" s="202" t="s">
        <v>1684</v>
      </c>
      <c r="L873" s="202"/>
      <c r="M873" s="202"/>
      <c r="N873" s="206">
        <v>40633</v>
      </c>
      <c r="O873" s="206">
        <v>40633</v>
      </c>
      <c r="P873" s="202" t="s">
        <v>1592</v>
      </c>
      <c r="Q873" s="203">
        <v>2000</v>
      </c>
      <c r="R873" s="203">
        <v>14080</v>
      </c>
      <c r="S873" s="204">
        <v>245.11</v>
      </c>
      <c r="T873" s="203">
        <v>14086</v>
      </c>
      <c r="U873" s="204">
        <v>131.79</v>
      </c>
      <c r="V873" s="204">
        <f t="shared" si="24"/>
        <v>113.32000000000002</v>
      </c>
      <c r="W873" s="205">
        <v>12.26</v>
      </c>
      <c r="X873" s="203">
        <v>57260</v>
      </c>
      <c r="Y873" s="204">
        <v>1.02</v>
      </c>
      <c r="Z873" s="202" t="s">
        <v>97</v>
      </c>
      <c r="AA873" s="202"/>
      <c r="AB873" s="202">
        <v>165</v>
      </c>
      <c r="AC873" s="202"/>
      <c r="AD873" s="202" t="s">
        <v>1152</v>
      </c>
      <c r="AE873" s="202" t="s">
        <v>1153</v>
      </c>
      <c r="AF873" s="203" t="s">
        <v>1154</v>
      </c>
      <c r="AG873" s="202"/>
      <c r="AH873" s="203" t="s">
        <v>1155</v>
      </c>
      <c r="AI873" s="202">
        <v>0</v>
      </c>
      <c r="AJ873" s="202">
        <v>0</v>
      </c>
    </row>
    <row r="874" spans="2:36">
      <c r="B874" s="203">
        <v>2180</v>
      </c>
      <c r="C874" s="207">
        <v>84029</v>
      </c>
      <c r="D874" s="203">
        <v>80461</v>
      </c>
      <c r="E874" s="202" t="s">
        <v>1686</v>
      </c>
      <c r="F874" s="203">
        <v>0</v>
      </c>
      <c r="G874" s="202"/>
      <c r="H874" s="202"/>
      <c r="I874" s="202"/>
      <c r="J874" s="202">
        <v>0</v>
      </c>
      <c r="K874" s="202" t="s">
        <v>1684</v>
      </c>
      <c r="L874" s="202"/>
      <c r="M874" s="202"/>
      <c r="N874" s="206">
        <v>40633</v>
      </c>
      <c r="O874" s="206">
        <v>40633</v>
      </c>
      <c r="P874" s="202" t="s">
        <v>1592</v>
      </c>
      <c r="Q874" s="203">
        <v>2000</v>
      </c>
      <c r="R874" s="203">
        <v>14080</v>
      </c>
      <c r="S874" s="204">
        <v>80823.8</v>
      </c>
      <c r="T874" s="203">
        <v>14086</v>
      </c>
      <c r="U874" s="204">
        <v>43442.79</v>
      </c>
      <c r="V874" s="204">
        <f t="shared" si="24"/>
        <v>37381.01</v>
      </c>
      <c r="W874" s="205">
        <v>4041.19</v>
      </c>
      <c r="X874" s="203">
        <v>57260</v>
      </c>
      <c r="Y874" s="204">
        <v>336.77</v>
      </c>
      <c r="Z874" s="202" t="s">
        <v>97</v>
      </c>
      <c r="AA874" s="202"/>
      <c r="AB874" s="202">
        <v>165</v>
      </c>
      <c r="AC874" s="202"/>
      <c r="AD874" s="202" t="s">
        <v>1152</v>
      </c>
      <c r="AE874" s="202" t="s">
        <v>1153</v>
      </c>
      <c r="AF874" s="203" t="s">
        <v>1154</v>
      </c>
      <c r="AG874" s="202"/>
      <c r="AH874" s="203" t="s">
        <v>1155</v>
      </c>
      <c r="AI874" s="202">
        <v>0</v>
      </c>
      <c r="AJ874" s="202">
        <v>0</v>
      </c>
    </row>
    <row r="875" spans="2:36">
      <c r="B875" s="203">
        <v>2180</v>
      </c>
      <c r="C875" s="207">
        <v>84028</v>
      </c>
      <c r="D875" s="203">
        <v>80461</v>
      </c>
      <c r="E875" s="202" t="s">
        <v>1685</v>
      </c>
      <c r="F875" s="203">
        <v>0</v>
      </c>
      <c r="G875" s="202"/>
      <c r="H875" s="202"/>
      <c r="I875" s="202"/>
      <c r="J875" s="202">
        <v>0</v>
      </c>
      <c r="K875" s="202" t="s">
        <v>1684</v>
      </c>
      <c r="L875" s="202"/>
      <c r="M875" s="202"/>
      <c r="N875" s="206">
        <v>40633</v>
      </c>
      <c r="O875" s="206">
        <v>40633</v>
      </c>
      <c r="P875" s="202" t="s">
        <v>1592</v>
      </c>
      <c r="Q875" s="203">
        <v>2000</v>
      </c>
      <c r="R875" s="203">
        <v>14080</v>
      </c>
      <c r="S875" s="204">
        <v>68923.28</v>
      </c>
      <c r="T875" s="203">
        <v>14086</v>
      </c>
      <c r="U875" s="204">
        <v>37046.22</v>
      </c>
      <c r="V875" s="204">
        <f t="shared" si="24"/>
        <v>31877.059999999998</v>
      </c>
      <c r="W875" s="205">
        <v>3446.16</v>
      </c>
      <c r="X875" s="203">
        <v>57260</v>
      </c>
      <c r="Y875" s="204">
        <v>287.18</v>
      </c>
      <c r="Z875" s="202" t="s">
        <v>97</v>
      </c>
      <c r="AA875" s="202"/>
      <c r="AB875" s="202">
        <v>164</v>
      </c>
      <c r="AC875" s="202"/>
      <c r="AD875" s="202" t="s">
        <v>1152</v>
      </c>
      <c r="AE875" s="202" t="s">
        <v>1153</v>
      </c>
      <c r="AF875" s="203" t="s">
        <v>1154</v>
      </c>
      <c r="AG875" s="202"/>
      <c r="AH875" s="203" t="s">
        <v>1155</v>
      </c>
      <c r="AI875" s="202">
        <v>0</v>
      </c>
      <c r="AJ875" s="202">
        <v>0</v>
      </c>
    </row>
    <row r="876" spans="2:36">
      <c r="B876" s="203">
        <v>2180</v>
      </c>
      <c r="C876" s="207">
        <v>84014</v>
      </c>
      <c r="D876" s="203" t="s">
        <v>97</v>
      </c>
      <c r="E876" s="202" t="s">
        <v>1670</v>
      </c>
      <c r="F876" s="203">
        <v>437</v>
      </c>
      <c r="G876" s="202"/>
      <c r="H876" s="202" t="s">
        <v>1683</v>
      </c>
      <c r="I876" s="202"/>
      <c r="J876" s="202">
        <v>0</v>
      </c>
      <c r="K876" s="202" t="s">
        <v>1658</v>
      </c>
      <c r="L876" s="202"/>
      <c r="M876" s="202"/>
      <c r="N876" s="206">
        <v>40667</v>
      </c>
      <c r="O876" s="206">
        <v>40667</v>
      </c>
      <c r="P876" s="202" t="s">
        <v>1668</v>
      </c>
      <c r="Q876" s="203">
        <v>700</v>
      </c>
      <c r="R876" s="203">
        <v>14050</v>
      </c>
      <c r="S876" s="204">
        <v>22668.84</v>
      </c>
      <c r="T876" s="203">
        <v>14056</v>
      </c>
      <c r="U876" s="204">
        <v>22668.84</v>
      </c>
      <c r="V876" s="204">
        <f t="shared" si="24"/>
        <v>0</v>
      </c>
      <c r="W876" s="205">
        <v>0</v>
      </c>
      <c r="X876" s="203">
        <v>54260</v>
      </c>
      <c r="Y876" s="204">
        <v>0</v>
      </c>
      <c r="Z876" s="202" t="s">
        <v>97</v>
      </c>
      <c r="AA876" s="202"/>
      <c r="AB876" s="202" t="s">
        <v>1682</v>
      </c>
      <c r="AC876" s="202"/>
      <c r="AD876" s="202" t="s">
        <v>1152</v>
      </c>
      <c r="AE876" s="202" t="s">
        <v>1153</v>
      </c>
      <c r="AF876" s="203" t="s">
        <v>1154</v>
      </c>
      <c r="AG876" s="202"/>
      <c r="AH876" s="203" t="s">
        <v>1155</v>
      </c>
      <c r="AI876" s="202">
        <v>0</v>
      </c>
      <c r="AJ876" s="202">
        <v>0</v>
      </c>
    </row>
    <row r="877" spans="2:36">
      <c r="B877" s="203">
        <v>2180</v>
      </c>
      <c r="C877" s="207">
        <v>82748</v>
      </c>
      <c r="D877" s="203">
        <v>80461</v>
      </c>
      <c r="E877" s="202" t="s">
        <v>1681</v>
      </c>
      <c r="F877" s="203">
        <v>0</v>
      </c>
      <c r="G877" s="202"/>
      <c r="H877" s="202"/>
      <c r="I877" s="202"/>
      <c r="J877" s="202">
        <v>0</v>
      </c>
      <c r="K877" s="202" t="s">
        <v>1680</v>
      </c>
      <c r="L877" s="202"/>
      <c r="M877" s="202"/>
      <c r="N877" s="206">
        <v>40633</v>
      </c>
      <c r="O877" s="206">
        <v>40633</v>
      </c>
      <c r="P877" s="202" t="s">
        <v>1644</v>
      </c>
      <c r="Q877" s="203">
        <v>2000</v>
      </c>
      <c r="R877" s="203">
        <v>14080</v>
      </c>
      <c r="S877" s="204">
        <v>-114.39</v>
      </c>
      <c r="T877" s="203">
        <v>14086</v>
      </c>
      <c r="U877" s="204">
        <v>-61.49</v>
      </c>
      <c r="V877" s="204">
        <f t="shared" si="24"/>
        <v>-52.9</v>
      </c>
      <c r="W877" s="205">
        <v>-5.72</v>
      </c>
      <c r="X877" s="203">
        <v>57260</v>
      </c>
      <c r="Y877" s="204">
        <v>-0.48</v>
      </c>
      <c r="Z877" s="202" t="s">
        <v>97</v>
      </c>
      <c r="AA877" s="202"/>
      <c r="AB877" s="202">
        <v>689407</v>
      </c>
      <c r="AC877" s="202"/>
      <c r="AD877" s="202" t="s">
        <v>1152</v>
      </c>
      <c r="AE877" s="202" t="s">
        <v>1153</v>
      </c>
      <c r="AF877" s="203" t="s">
        <v>1154</v>
      </c>
      <c r="AG877" s="202"/>
      <c r="AH877" s="203" t="s">
        <v>1155</v>
      </c>
      <c r="AI877" s="202">
        <v>0</v>
      </c>
      <c r="AJ877" s="202">
        <v>0</v>
      </c>
    </row>
    <row r="878" spans="2:36">
      <c r="B878" s="203">
        <v>2180</v>
      </c>
      <c r="C878" s="207">
        <v>82336</v>
      </c>
      <c r="D878" s="203">
        <v>80461</v>
      </c>
      <c r="E878" s="202" t="s">
        <v>1679</v>
      </c>
      <c r="F878" s="203">
        <v>0</v>
      </c>
      <c r="G878" s="202"/>
      <c r="H878" s="202"/>
      <c r="I878" s="202"/>
      <c r="J878" s="202">
        <v>0</v>
      </c>
      <c r="K878" s="202" t="s">
        <v>1678</v>
      </c>
      <c r="L878" s="202"/>
      <c r="M878" s="202"/>
      <c r="N878" s="206">
        <v>40633</v>
      </c>
      <c r="O878" s="206">
        <v>40633</v>
      </c>
      <c r="P878" s="202" t="s">
        <v>1644</v>
      </c>
      <c r="Q878" s="203">
        <v>2000</v>
      </c>
      <c r="R878" s="203">
        <v>14080</v>
      </c>
      <c r="S878" s="204">
        <v>8580.16</v>
      </c>
      <c r="T878" s="203">
        <v>14086</v>
      </c>
      <c r="U878" s="204">
        <v>4611.8599999999997</v>
      </c>
      <c r="V878" s="204">
        <f t="shared" si="24"/>
        <v>3968.3</v>
      </c>
      <c r="W878" s="205">
        <v>429.01</v>
      </c>
      <c r="X878" s="203">
        <v>57260</v>
      </c>
      <c r="Y878" s="204">
        <v>35.75</v>
      </c>
      <c r="Z878" s="202" t="s">
        <v>97</v>
      </c>
      <c r="AA878" s="202"/>
      <c r="AB878" s="202" t="s">
        <v>1677</v>
      </c>
      <c r="AC878" s="202"/>
      <c r="AD878" s="202" t="s">
        <v>1152</v>
      </c>
      <c r="AE878" s="202" t="s">
        <v>1153</v>
      </c>
      <c r="AF878" s="203" t="s">
        <v>1154</v>
      </c>
      <c r="AG878" s="202"/>
      <c r="AH878" s="203" t="s">
        <v>1155</v>
      </c>
      <c r="AI878" s="202">
        <v>0</v>
      </c>
      <c r="AJ878" s="202">
        <v>0</v>
      </c>
    </row>
    <row r="879" spans="2:36">
      <c r="B879" s="203">
        <v>2180</v>
      </c>
      <c r="C879" s="207">
        <v>82335</v>
      </c>
      <c r="D879" s="203">
        <v>80461</v>
      </c>
      <c r="E879" s="202" t="s">
        <v>1676</v>
      </c>
      <c r="F879" s="203">
        <v>0</v>
      </c>
      <c r="G879" s="202"/>
      <c r="H879" s="202"/>
      <c r="I879" s="202"/>
      <c r="J879" s="202">
        <v>0</v>
      </c>
      <c r="K879" s="202" t="s">
        <v>1673</v>
      </c>
      <c r="L879" s="202"/>
      <c r="M879" s="202"/>
      <c r="N879" s="206">
        <v>40633</v>
      </c>
      <c r="O879" s="206">
        <v>40633</v>
      </c>
      <c r="P879" s="202" t="s">
        <v>1644</v>
      </c>
      <c r="Q879" s="203">
        <v>2000</v>
      </c>
      <c r="R879" s="203">
        <v>14080</v>
      </c>
      <c r="S879" s="204">
        <v>5668.3</v>
      </c>
      <c r="T879" s="203">
        <v>14086</v>
      </c>
      <c r="U879" s="204">
        <v>3046.76</v>
      </c>
      <c r="V879" s="204">
        <f t="shared" si="24"/>
        <v>2621.54</v>
      </c>
      <c r="W879" s="205">
        <v>283.42</v>
      </c>
      <c r="X879" s="203">
        <v>57260</v>
      </c>
      <c r="Y879" s="204">
        <v>23.62</v>
      </c>
      <c r="Z879" s="202" t="s">
        <v>97</v>
      </c>
      <c r="AA879" s="202"/>
      <c r="AB879" s="209" t="s">
        <v>1675</v>
      </c>
      <c r="AC879" s="202"/>
      <c r="AD879" s="202" t="s">
        <v>1152</v>
      </c>
      <c r="AE879" s="202" t="s">
        <v>1153</v>
      </c>
      <c r="AF879" s="203" t="s">
        <v>1154</v>
      </c>
      <c r="AG879" s="202"/>
      <c r="AH879" s="203" t="s">
        <v>1155</v>
      </c>
      <c r="AI879" s="202">
        <v>0</v>
      </c>
      <c r="AJ879" s="202">
        <v>0</v>
      </c>
    </row>
    <row r="880" spans="2:36">
      <c r="B880" s="203">
        <v>2180</v>
      </c>
      <c r="C880" s="207">
        <v>82334</v>
      </c>
      <c r="D880" s="203">
        <v>80461</v>
      </c>
      <c r="E880" s="202" t="s">
        <v>1674</v>
      </c>
      <c r="F880" s="203">
        <v>0</v>
      </c>
      <c r="G880" s="202"/>
      <c r="H880" s="202"/>
      <c r="I880" s="202"/>
      <c r="J880" s="202">
        <v>0</v>
      </c>
      <c r="K880" s="202" t="s">
        <v>1673</v>
      </c>
      <c r="L880" s="202"/>
      <c r="M880" s="202"/>
      <c r="N880" s="206">
        <v>40633</v>
      </c>
      <c r="O880" s="206">
        <v>40633</v>
      </c>
      <c r="P880" s="202" t="s">
        <v>1592</v>
      </c>
      <c r="Q880" s="203">
        <v>2000</v>
      </c>
      <c r="R880" s="203">
        <v>14080</v>
      </c>
      <c r="S880" s="204">
        <v>2278.91</v>
      </c>
      <c r="T880" s="203">
        <v>14086</v>
      </c>
      <c r="U880" s="204">
        <v>1224.96</v>
      </c>
      <c r="V880" s="204">
        <f t="shared" si="24"/>
        <v>1053.9499999999998</v>
      </c>
      <c r="W880" s="205">
        <v>113.95</v>
      </c>
      <c r="X880" s="203">
        <v>57260</v>
      </c>
      <c r="Y880" s="204">
        <v>9.5</v>
      </c>
      <c r="Z880" s="202" t="s">
        <v>97</v>
      </c>
      <c r="AA880" s="202"/>
      <c r="AB880" s="209" t="s">
        <v>1672</v>
      </c>
      <c r="AC880" s="202"/>
      <c r="AD880" s="202" t="s">
        <v>1152</v>
      </c>
      <c r="AE880" s="202" t="s">
        <v>1153</v>
      </c>
      <c r="AF880" s="203" t="s">
        <v>1154</v>
      </c>
      <c r="AG880" s="202"/>
      <c r="AH880" s="203" t="s">
        <v>1155</v>
      </c>
      <c r="AI880" s="202">
        <v>0</v>
      </c>
      <c r="AJ880" s="202">
        <v>0</v>
      </c>
    </row>
    <row r="881" spans="2:36">
      <c r="B881" s="203">
        <v>2180</v>
      </c>
      <c r="C881" s="207">
        <v>82331</v>
      </c>
      <c r="D881" s="203" t="s">
        <v>97</v>
      </c>
      <c r="E881" s="202" t="s">
        <v>1671</v>
      </c>
      <c r="F881" s="203">
        <v>0</v>
      </c>
      <c r="G881" s="202"/>
      <c r="H881" s="202"/>
      <c r="I881" s="202"/>
      <c r="J881" s="202">
        <v>0</v>
      </c>
      <c r="K881" s="202" t="s">
        <v>1607</v>
      </c>
      <c r="L881" s="202"/>
      <c r="M881" s="202"/>
      <c r="N881" s="206">
        <v>40633</v>
      </c>
      <c r="O881" s="206">
        <v>40633</v>
      </c>
      <c r="P881" s="202" t="s">
        <v>1584</v>
      </c>
      <c r="Q881" s="203">
        <v>500</v>
      </c>
      <c r="R881" s="203">
        <v>14070</v>
      </c>
      <c r="S881" s="204">
        <v>7305.94</v>
      </c>
      <c r="T881" s="203">
        <v>14076</v>
      </c>
      <c r="U881" s="204">
        <v>7305.94</v>
      </c>
      <c r="V881" s="204">
        <f t="shared" si="24"/>
        <v>0</v>
      </c>
      <c r="W881" s="205">
        <v>0</v>
      </c>
      <c r="X881" s="203">
        <v>51260</v>
      </c>
      <c r="Y881" s="204">
        <v>0</v>
      </c>
      <c r="Z881" s="202" t="s">
        <v>97</v>
      </c>
      <c r="AA881" s="202"/>
      <c r="AB881" s="202">
        <v>16004</v>
      </c>
      <c r="AC881" s="202"/>
      <c r="AD881" s="202" t="s">
        <v>1152</v>
      </c>
      <c r="AE881" s="202" t="s">
        <v>1153</v>
      </c>
      <c r="AF881" s="203" t="s">
        <v>1154</v>
      </c>
      <c r="AG881" s="202"/>
      <c r="AH881" s="203" t="s">
        <v>1155</v>
      </c>
      <c r="AI881" s="202">
        <v>0</v>
      </c>
      <c r="AJ881" s="202">
        <v>0</v>
      </c>
    </row>
    <row r="882" spans="2:36">
      <c r="B882" s="203">
        <v>2180</v>
      </c>
      <c r="C882" s="207">
        <v>82069</v>
      </c>
      <c r="D882" s="203" t="s">
        <v>97</v>
      </c>
      <c r="E882" s="202" t="s">
        <v>1670</v>
      </c>
      <c r="F882" s="203">
        <v>437</v>
      </c>
      <c r="G882" s="202"/>
      <c r="H882" s="202" t="s">
        <v>1669</v>
      </c>
      <c r="I882" s="202"/>
      <c r="J882" s="202">
        <v>0</v>
      </c>
      <c r="K882" s="202" t="s">
        <v>1658</v>
      </c>
      <c r="L882" s="202"/>
      <c r="M882" s="202"/>
      <c r="N882" s="206">
        <v>40667</v>
      </c>
      <c r="O882" s="206">
        <v>40667</v>
      </c>
      <c r="P882" s="202" t="s">
        <v>1668</v>
      </c>
      <c r="Q882" s="203">
        <v>700</v>
      </c>
      <c r="R882" s="203">
        <v>14050</v>
      </c>
      <c r="S882" s="204">
        <v>22668.84</v>
      </c>
      <c r="T882" s="203">
        <v>14056</v>
      </c>
      <c r="U882" s="204">
        <v>22668.84</v>
      </c>
      <c r="V882" s="204">
        <f t="shared" si="24"/>
        <v>0</v>
      </c>
      <c r="W882" s="205">
        <v>0</v>
      </c>
      <c r="X882" s="203">
        <v>54260</v>
      </c>
      <c r="Y882" s="204">
        <v>0</v>
      </c>
      <c r="Z882" s="202" t="s">
        <v>97</v>
      </c>
      <c r="AA882" s="202"/>
      <c r="AB882" s="202" t="s">
        <v>1667</v>
      </c>
      <c r="AC882" s="202"/>
      <c r="AD882" s="202" t="s">
        <v>1152</v>
      </c>
      <c r="AE882" s="202" t="s">
        <v>1153</v>
      </c>
      <c r="AF882" s="203" t="s">
        <v>1154</v>
      </c>
      <c r="AG882" s="202"/>
      <c r="AH882" s="203" t="s">
        <v>1155</v>
      </c>
      <c r="AI882" s="202">
        <v>0</v>
      </c>
      <c r="AJ882" s="202">
        <v>0</v>
      </c>
    </row>
    <row r="883" spans="2:36">
      <c r="B883" s="203">
        <v>2180</v>
      </c>
      <c r="C883" s="207">
        <v>82068</v>
      </c>
      <c r="D883" s="203" t="s">
        <v>97</v>
      </c>
      <c r="E883" s="202" t="s">
        <v>1666</v>
      </c>
      <c r="F883" s="203">
        <v>360</v>
      </c>
      <c r="G883" s="202"/>
      <c r="H883" s="202" t="s">
        <v>1665</v>
      </c>
      <c r="I883" s="202"/>
      <c r="J883" s="202">
        <v>0</v>
      </c>
      <c r="K883" s="202" t="s">
        <v>1658</v>
      </c>
      <c r="L883" s="202"/>
      <c r="M883" s="202"/>
      <c r="N883" s="206">
        <v>40651</v>
      </c>
      <c r="O883" s="206">
        <v>40651</v>
      </c>
      <c r="P883" s="202" t="s">
        <v>1657</v>
      </c>
      <c r="Q883" s="203">
        <v>700</v>
      </c>
      <c r="R883" s="203">
        <v>14050</v>
      </c>
      <c r="S883" s="204">
        <v>12721.21</v>
      </c>
      <c r="T883" s="203">
        <v>14056</v>
      </c>
      <c r="U883" s="204">
        <v>12721.21</v>
      </c>
      <c r="V883" s="204">
        <f t="shared" si="24"/>
        <v>0</v>
      </c>
      <c r="W883" s="205">
        <v>0</v>
      </c>
      <c r="X883" s="203">
        <v>54260</v>
      </c>
      <c r="Y883" s="204">
        <v>0</v>
      </c>
      <c r="Z883" s="202" t="s">
        <v>97</v>
      </c>
      <c r="AA883" s="202"/>
      <c r="AB883" s="202" t="s">
        <v>1664</v>
      </c>
      <c r="AC883" s="202"/>
      <c r="AD883" s="202" t="s">
        <v>1152</v>
      </c>
      <c r="AE883" s="202" t="s">
        <v>1153</v>
      </c>
      <c r="AF883" s="203" t="s">
        <v>1154</v>
      </c>
      <c r="AG883" s="202"/>
      <c r="AH883" s="203" t="s">
        <v>1155</v>
      </c>
      <c r="AI883" s="202">
        <v>0</v>
      </c>
      <c r="AJ883" s="202">
        <v>0</v>
      </c>
    </row>
    <row r="884" spans="2:36">
      <c r="B884" s="203">
        <v>2180</v>
      </c>
      <c r="C884" s="207">
        <v>81531</v>
      </c>
      <c r="D884" s="203">
        <v>80461</v>
      </c>
      <c r="E884" s="202" t="s">
        <v>1643</v>
      </c>
      <c r="F884" s="203">
        <v>0</v>
      </c>
      <c r="G884" s="202"/>
      <c r="H884" s="202"/>
      <c r="I884" s="202"/>
      <c r="J884" s="202">
        <v>0</v>
      </c>
      <c r="K884" s="202" t="s">
        <v>1641</v>
      </c>
      <c r="L884" s="202"/>
      <c r="M884" s="202"/>
      <c r="N884" s="206">
        <v>40633</v>
      </c>
      <c r="O884" s="206">
        <v>40633</v>
      </c>
      <c r="P884" s="202" t="s">
        <v>1592</v>
      </c>
      <c r="Q884" s="203">
        <v>2000</v>
      </c>
      <c r="R884" s="203">
        <v>14080</v>
      </c>
      <c r="S884" s="204">
        <v>20661.47</v>
      </c>
      <c r="T884" s="203">
        <v>14086</v>
      </c>
      <c r="U884" s="204">
        <v>11105.51</v>
      </c>
      <c r="V884" s="204">
        <f t="shared" si="24"/>
        <v>9555.9600000000009</v>
      </c>
      <c r="W884" s="205">
        <v>1033.07</v>
      </c>
      <c r="X884" s="203">
        <v>57260</v>
      </c>
      <c r="Y884" s="204">
        <v>86.09</v>
      </c>
      <c r="Z884" s="202" t="s">
        <v>97</v>
      </c>
      <c r="AA884" s="202"/>
      <c r="AB884" s="202">
        <v>123487</v>
      </c>
      <c r="AC884" s="202"/>
      <c r="AD884" s="202" t="s">
        <v>1152</v>
      </c>
      <c r="AE884" s="202" t="s">
        <v>1153</v>
      </c>
      <c r="AF884" s="203" t="s">
        <v>1154</v>
      </c>
      <c r="AG884" s="202"/>
      <c r="AH884" s="203" t="s">
        <v>1155</v>
      </c>
      <c r="AI884" s="202">
        <v>0</v>
      </c>
      <c r="AJ884" s="202">
        <v>0</v>
      </c>
    </row>
    <row r="885" spans="2:36">
      <c r="B885" s="203">
        <v>2180</v>
      </c>
      <c r="C885" s="207">
        <v>81530</v>
      </c>
      <c r="D885" s="203">
        <v>80461</v>
      </c>
      <c r="E885" s="202" t="s">
        <v>1663</v>
      </c>
      <c r="F885" s="203">
        <v>0</v>
      </c>
      <c r="G885" s="202"/>
      <c r="H885" s="202"/>
      <c r="I885" s="202"/>
      <c r="J885" s="202">
        <v>0</v>
      </c>
      <c r="K885" s="202" t="s">
        <v>1600</v>
      </c>
      <c r="L885" s="202"/>
      <c r="M885" s="202"/>
      <c r="N885" s="206">
        <v>40633</v>
      </c>
      <c r="O885" s="206">
        <v>40633</v>
      </c>
      <c r="P885" s="202" t="s">
        <v>1644</v>
      </c>
      <c r="Q885" s="203">
        <v>2000</v>
      </c>
      <c r="R885" s="203">
        <v>14080</v>
      </c>
      <c r="S885" s="204">
        <v>301</v>
      </c>
      <c r="T885" s="203">
        <v>14086</v>
      </c>
      <c r="U885" s="204">
        <v>161.78</v>
      </c>
      <c r="V885" s="204">
        <f t="shared" si="24"/>
        <v>139.22</v>
      </c>
      <c r="W885" s="205">
        <v>15.05</v>
      </c>
      <c r="X885" s="203">
        <v>57260</v>
      </c>
      <c r="Y885" s="204">
        <v>1.25</v>
      </c>
      <c r="Z885" s="202" t="s">
        <v>97</v>
      </c>
      <c r="AA885" s="202"/>
      <c r="AB885" s="202" t="s">
        <v>1662</v>
      </c>
      <c r="AC885" s="202"/>
      <c r="AD885" s="202" t="s">
        <v>1152</v>
      </c>
      <c r="AE885" s="202" t="s">
        <v>1153</v>
      </c>
      <c r="AF885" s="203" t="s">
        <v>1154</v>
      </c>
      <c r="AG885" s="202"/>
      <c r="AH885" s="203" t="s">
        <v>1155</v>
      </c>
      <c r="AI885" s="202">
        <v>0</v>
      </c>
      <c r="AJ885" s="202">
        <v>0</v>
      </c>
    </row>
    <row r="886" spans="2:36">
      <c r="B886" s="203">
        <v>2180</v>
      </c>
      <c r="C886" s="207">
        <v>81529</v>
      </c>
      <c r="D886" s="203">
        <v>80461</v>
      </c>
      <c r="E886" s="202" t="s">
        <v>1661</v>
      </c>
      <c r="F886" s="203">
        <v>0</v>
      </c>
      <c r="G886" s="202"/>
      <c r="H886" s="202"/>
      <c r="I886" s="202"/>
      <c r="J886" s="202">
        <v>0</v>
      </c>
      <c r="K886" s="202" t="s">
        <v>1634</v>
      </c>
      <c r="L886" s="202"/>
      <c r="M886" s="202"/>
      <c r="N886" s="206">
        <v>40633</v>
      </c>
      <c r="O886" s="206">
        <v>40633</v>
      </c>
      <c r="P886" s="202" t="s">
        <v>1644</v>
      </c>
      <c r="Q886" s="203">
        <v>2000</v>
      </c>
      <c r="R886" s="203">
        <v>14080</v>
      </c>
      <c r="S886" s="204">
        <v>8812.86</v>
      </c>
      <c r="T886" s="203">
        <v>14086</v>
      </c>
      <c r="U886" s="204">
        <v>4736.88</v>
      </c>
      <c r="V886" s="204">
        <f t="shared" si="24"/>
        <v>4075.9800000000005</v>
      </c>
      <c r="W886" s="205">
        <v>440.64</v>
      </c>
      <c r="X886" s="203">
        <v>57260</v>
      </c>
      <c r="Y886" s="204">
        <v>36.72</v>
      </c>
      <c r="Z886" s="202" t="s">
        <v>97</v>
      </c>
      <c r="AA886" s="202"/>
      <c r="AB886" s="202">
        <v>126821</v>
      </c>
      <c r="AC886" s="202"/>
      <c r="AD886" s="202" t="s">
        <v>1152</v>
      </c>
      <c r="AE886" s="202" t="s">
        <v>1153</v>
      </c>
      <c r="AF886" s="203" t="s">
        <v>1154</v>
      </c>
      <c r="AG886" s="202"/>
      <c r="AH886" s="203" t="s">
        <v>1155</v>
      </c>
      <c r="AI886" s="202">
        <v>0</v>
      </c>
      <c r="AJ886" s="202">
        <v>0</v>
      </c>
    </row>
    <row r="887" spans="2:36">
      <c r="B887" s="203">
        <v>2180</v>
      </c>
      <c r="C887" s="207">
        <v>81513</v>
      </c>
      <c r="D887" s="203" t="s">
        <v>97</v>
      </c>
      <c r="E887" s="202" t="s">
        <v>1660</v>
      </c>
      <c r="F887" s="203">
        <v>437</v>
      </c>
      <c r="G887" s="202"/>
      <c r="H887" s="202" t="s">
        <v>1659</v>
      </c>
      <c r="I887" s="202"/>
      <c r="J887" s="202">
        <v>0</v>
      </c>
      <c r="K887" s="202" t="s">
        <v>1658</v>
      </c>
      <c r="L887" s="202"/>
      <c r="M887" s="202"/>
      <c r="N887" s="206">
        <v>40651</v>
      </c>
      <c r="O887" s="206">
        <v>40651</v>
      </c>
      <c r="P887" s="202" t="s">
        <v>1657</v>
      </c>
      <c r="Q887" s="203">
        <v>700</v>
      </c>
      <c r="R887" s="203">
        <v>14050</v>
      </c>
      <c r="S887" s="204">
        <v>23146.47</v>
      </c>
      <c r="T887" s="203">
        <v>14056</v>
      </c>
      <c r="U887" s="204">
        <v>23146.47</v>
      </c>
      <c r="V887" s="204">
        <f t="shared" si="24"/>
        <v>0</v>
      </c>
      <c r="W887" s="205">
        <v>0</v>
      </c>
      <c r="X887" s="203">
        <v>54260</v>
      </c>
      <c r="Y887" s="204">
        <v>0</v>
      </c>
      <c r="Z887" s="202" t="s">
        <v>97</v>
      </c>
      <c r="AA887" s="202"/>
      <c r="AB887" s="202" t="s">
        <v>1656</v>
      </c>
      <c r="AC887" s="202"/>
      <c r="AD887" s="202" t="s">
        <v>1152</v>
      </c>
      <c r="AE887" s="202" t="s">
        <v>1153</v>
      </c>
      <c r="AF887" s="203" t="s">
        <v>1154</v>
      </c>
      <c r="AG887" s="202"/>
      <c r="AH887" s="203" t="s">
        <v>1155</v>
      </c>
      <c r="AI887" s="202">
        <v>0</v>
      </c>
      <c r="AJ887" s="202">
        <v>0</v>
      </c>
    </row>
    <row r="888" spans="2:36">
      <c r="B888" s="203">
        <v>2180</v>
      </c>
      <c r="C888" s="207">
        <v>81108</v>
      </c>
      <c r="D888" s="203">
        <v>80461</v>
      </c>
      <c r="E888" s="202" t="s">
        <v>1655</v>
      </c>
      <c r="F888" s="203">
        <v>0</v>
      </c>
      <c r="G888" s="202"/>
      <c r="H888" s="202"/>
      <c r="I888" s="202"/>
      <c r="J888" s="202">
        <v>0</v>
      </c>
      <c r="K888" s="202" t="s">
        <v>1654</v>
      </c>
      <c r="L888" s="202"/>
      <c r="M888" s="202"/>
      <c r="N888" s="206">
        <v>40633</v>
      </c>
      <c r="O888" s="206">
        <v>40633</v>
      </c>
      <c r="P888" s="202" t="s">
        <v>1644</v>
      </c>
      <c r="Q888" s="203">
        <v>2000</v>
      </c>
      <c r="R888" s="203">
        <v>14080</v>
      </c>
      <c r="S888" s="204">
        <v>8580.17</v>
      </c>
      <c r="T888" s="203">
        <v>14086</v>
      </c>
      <c r="U888" s="204">
        <v>4611.8599999999997</v>
      </c>
      <c r="V888" s="204">
        <f t="shared" si="24"/>
        <v>3968.3100000000004</v>
      </c>
      <c r="W888" s="205">
        <v>429.01</v>
      </c>
      <c r="X888" s="203">
        <v>57260</v>
      </c>
      <c r="Y888" s="204">
        <v>35.75</v>
      </c>
      <c r="Z888" s="202" t="s">
        <v>97</v>
      </c>
      <c r="AA888" s="202"/>
      <c r="AB888" s="202" t="s">
        <v>1653</v>
      </c>
      <c r="AC888" s="202"/>
      <c r="AD888" s="202" t="s">
        <v>1152</v>
      </c>
      <c r="AE888" s="202" t="s">
        <v>1153</v>
      </c>
      <c r="AF888" s="203" t="s">
        <v>1154</v>
      </c>
      <c r="AG888" s="202"/>
      <c r="AH888" s="203" t="s">
        <v>1155</v>
      </c>
      <c r="AI888" s="202">
        <v>0</v>
      </c>
      <c r="AJ888" s="202">
        <v>0</v>
      </c>
    </row>
    <row r="889" spans="2:36">
      <c r="B889" s="203">
        <v>2180</v>
      </c>
      <c r="C889" s="207">
        <v>81107</v>
      </c>
      <c r="D889" s="203">
        <v>80461</v>
      </c>
      <c r="E889" s="202" t="s">
        <v>1652</v>
      </c>
      <c r="F889" s="203">
        <v>0</v>
      </c>
      <c r="G889" s="202"/>
      <c r="H889" s="202"/>
      <c r="I889" s="202"/>
      <c r="J889" s="202">
        <v>0</v>
      </c>
      <c r="K889" s="202" t="s">
        <v>1651</v>
      </c>
      <c r="L889" s="202"/>
      <c r="M889" s="202"/>
      <c r="N889" s="206">
        <v>40633</v>
      </c>
      <c r="O889" s="206">
        <v>40633</v>
      </c>
      <c r="P889" s="202" t="s">
        <v>1644</v>
      </c>
      <c r="Q889" s="203">
        <v>2000</v>
      </c>
      <c r="R889" s="203">
        <v>14080</v>
      </c>
      <c r="S889" s="204">
        <v>835.05</v>
      </c>
      <c r="T889" s="203">
        <v>14086</v>
      </c>
      <c r="U889" s="204">
        <v>448.82</v>
      </c>
      <c r="V889" s="204">
        <f t="shared" si="24"/>
        <v>386.22999999999996</v>
      </c>
      <c r="W889" s="205">
        <v>41.75</v>
      </c>
      <c r="X889" s="203">
        <v>57260</v>
      </c>
      <c r="Y889" s="204">
        <v>3.48</v>
      </c>
      <c r="Z889" s="202" t="s">
        <v>97</v>
      </c>
      <c r="AA889" s="202"/>
      <c r="AB889" s="202">
        <v>110044</v>
      </c>
      <c r="AC889" s="202"/>
      <c r="AD889" s="202" t="s">
        <v>1152</v>
      </c>
      <c r="AE889" s="202" t="s">
        <v>1153</v>
      </c>
      <c r="AF889" s="203" t="s">
        <v>1154</v>
      </c>
      <c r="AG889" s="202"/>
      <c r="AH889" s="203" t="s">
        <v>1155</v>
      </c>
      <c r="AI889" s="202">
        <v>0</v>
      </c>
      <c r="AJ889" s="202">
        <v>0</v>
      </c>
    </row>
    <row r="890" spans="2:36">
      <c r="B890" s="203">
        <v>2180</v>
      </c>
      <c r="C890" s="207">
        <v>81106</v>
      </c>
      <c r="D890" s="203">
        <v>80461</v>
      </c>
      <c r="E890" s="202" t="s">
        <v>1650</v>
      </c>
      <c r="F890" s="203">
        <v>0</v>
      </c>
      <c r="G890" s="202"/>
      <c r="H890" s="202"/>
      <c r="I890" s="202"/>
      <c r="J890" s="202">
        <v>0</v>
      </c>
      <c r="K890" s="202" t="s">
        <v>1613</v>
      </c>
      <c r="L890" s="202"/>
      <c r="M890" s="202"/>
      <c r="N890" s="206">
        <v>40633</v>
      </c>
      <c r="O890" s="206">
        <v>40633</v>
      </c>
      <c r="P890" s="202" t="s">
        <v>1592</v>
      </c>
      <c r="Q890" s="203">
        <v>1000</v>
      </c>
      <c r="R890" s="203">
        <v>14080</v>
      </c>
      <c r="S890" s="204">
        <v>1955.1</v>
      </c>
      <c r="T890" s="203">
        <v>14086</v>
      </c>
      <c r="U890" s="204">
        <v>1955.1</v>
      </c>
      <c r="V890" s="204">
        <f t="shared" si="24"/>
        <v>0</v>
      </c>
      <c r="W890" s="205">
        <v>48.88</v>
      </c>
      <c r="X890" s="203">
        <v>57260</v>
      </c>
      <c r="Y890" s="204">
        <v>0</v>
      </c>
      <c r="Z890" s="202" t="s">
        <v>97</v>
      </c>
      <c r="AA890" s="202"/>
      <c r="AB890" s="202">
        <v>14835</v>
      </c>
      <c r="AC890" s="202"/>
      <c r="AD890" s="202" t="s">
        <v>1152</v>
      </c>
      <c r="AE890" s="202" t="s">
        <v>1153</v>
      </c>
      <c r="AF890" s="203" t="s">
        <v>1154</v>
      </c>
      <c r="AG890" s="202"/>
      <c r="AH890" s="203" t="s">
        <v>1155</v>
      </c>
      <c r="AI890" s="202">
        <v>0</v>
      </c>
      <c r="AJ890" s="202">
        <v>0</v>
      </c>
    </row>
    <row r="891" spans="2:36">
      <c r="B891" s="203">
        <v>2180</v>
      </c>
      <c r="C891" s="207">
        <v>80943</v>
      </c>
      <c r="D891" s="203">
        <v>80461</v>
      </c>
      <c r="E891" s="202" t="s">
        <v>1646</v>
      </c>
      <c r="F891" s="203">
        <v>0</v>
      </c>
      <c r="G891" s="202"/>
      <c r="H891" s="202"/>
      <c r="I891" s="202"/>
      <c r="J891" s="202">
        <v>0</v>
      </c>
      <c r="K891" s="202" t="s">
        <v>1645</v>
      </c>
      <c r="L891" s="202"/>
      <c r="M891" s="202"/>
      <c r="N891" s="206">
        <v>40633</v>
      </c>
      <c r="O891" s="206">
        <v>40633</v>
      </c>
      <c r="P891" s="202" t="s">
        <v>1592</v>
      </c>
      <c r="Q891" s="203">
        <v>2000</v>
      </c>
      <c r="R891" s="203">
        <v>14080</v>
      </c>
      <c r="S891" s="204">
        <v>5427.5</v>
      </c>
      <c r="T891" s="203">
        <v>14086</v>
      </c>
      <c r="U891" s="204">
        <v>2917.33</v>
      </c>
      <c r="V891" s="204">
        <f t="shared" si="24"/>
        <v>2510.17</v>
      </c>
      <c r="W891" s="205">
        <v>271.38</v>
      </c>
      <c r="X891" s="203">
        <v>57260</v>
      </c>
      <c r="Y891" s="204">
        <v>22.61</v>
      </c>
      <c r="Z891" s="202" t="s">
        <v>97</v>
      </c>
      <c r="AA891" s="202"/>
      <c r="AB891" s="202">
        <v>999580</v>
      </c>
      <c r="AC891" s="202"/>
      <c r="AD891" s="202" t="s">
        <v>1152</v>
      </c>
      <c r="AE891" s="202" t="s">
        <v>1153</v>
      </c>
      <c r="AF891" s="203" t="s">
        <v>1154</v>
      </c>
      <c r="AG891" s="202"/>
      <c r="AH891" s="203" t="s">
        <v>1155</v>
      </c>
      <c r="AI891" s="202">
        <v>0</v>
      </c>
      <c r="AJ891" s="202">
        <v>0</v>
      </c>
    </row>
    <row r="892" spans="2:36">
      <c r="B892" s="203">
        <v>2180</v>
      </c>
      <c r="C892" s="207">
        <v>80942</v>
      </c>
      <c r="D892" s="203">
        <v>80461</v>
      </c>
      <c r="E892" s="202" t="s">
        <v>1646</v>
      </c>
      <c r="F892" s="203">
        <v>0</v>
      </c>
      <c r="G892" s="202"/>
      <c r="H892" s="202"/>
      <c r="I892" s="202"/>
      <c r="J892" s="202">
        <v>0</v>
      </c>
      <c r="K892" s="202" t="s">
        <v>1645</v>
      </c>
      <c r="L892" s="202"/>
      <c r="M892" s="202"/>
      <c r="N892" s="206">
        <v>40633</v>
      </c>
      <c r="O892" s="206">
        <v>40633</v>
      </c>
      <c r="P892" s="202" t="s">
        <v>1592</v>
      </c>
      <c r="Q892" s="203">
        <v>2000</v>
      </c>
      <c r="R892" s="203">
        <v>14080</v>
      </c>
      <c r="S892" s="204">
        <v>5255</v>
      </c>
      <c r="T892" s="203">
        <v>14086</v>
      </c>
      <c r="U892" s="204">
        <v>2824.56</v>
      </c>
      <c r="V892" s="204">
        <f t="shared" si="24"/>
        <v>2430.44</v>
      </c>
      <c r="W892" s="205">
        <v>262.75</v>
      </c>
      <c r="X892" s="203">
        <v>57260</v>
      </c>
      <c r="Y892" s="204">
        <v>21.9</v>
      </c>
      <c r="Z892" s="202" t="s">
        <v>97</v>
      </c>
      <c r="AA892" s="202"/>
      <c r="AB892" s="202">
        <v>999781</v>
      </c>
      <c r="AC892" s="202"/>
      <c r="AD892" s="202" t="s">
        <v>1152</v>
      </c>
      <c r="AE892" s="202" t="s">
        <v>1153</v>
      </c>
      <c r="AF892" s="203" t="s">
        <v>1154</v>
      </c>
      <c r="AG892" s="202"/>
      <c r="AH892" s="203" t="s">
        <v>1155</v>
      </c>
      <c r="AI892" s="202">
        <v>0</v>
      </c>
      <c r="AJ892" s="202">
        <v>0</v>
      </c>
    </row>
    <row r="893" spans="2:36">
      <c r="B893" s="203">
        <v>2180</v>
      </c>
      <c r="C893" s="207">
        <v>80941</v>
      </c>
      <c r="D893" s="203">
        <v>80461</v>
      </c>
      <c r="E893" s="202" t="s">
        <v>1649</v>
      </c>
      <c r="F893" s="203">
        <v>0</v>
      </c>
      <c r="G893" s="202"/>
      <c r="H893" s="202"/>
      <c r="I893" s="202"/>
      <c r="J893" s="202">
        <v>0</v>
      </c>
      <c r="K893" s="202" t="s">
        <v>1648</v>
      </c>
      <c r="L893" s="202"/>
      <c r="M893" s="202"/>
      <c r="N893" s="206">
        <v>40633</v>
      </c>
      <c r="O893" s="206">
        <v>40633</v>
      </c>
      <c r="P893" s="202" t="s">
        <v>1644</v>
      </c>
      <c r="Q893" s="203">
        <v>2000</v>
      </c>
      <c r="R893" s="203">
        <v>14080</v>
      </c>
      <c r="S893" s="204">
        <v>23823.03</v>
      </c>
      <c r="T893" s="203">
        <v>14086</v>
      </c>
      <c r="U893" s="204">
        <v>12804.86</v>
      </c>
      <c r="V893" s="204">
        <f t="shared" si="24"/>
        <v>11018.169999999998</v>
      </c>
      <c r="W893" s="205">
        <v>1191.1500000000001</v>
      </c>
      <c r="X893" s="203">
        <v>57260</v>
      </c>
      <c r="Y893" s="204">
        <v>99.26</v>
      </c>
      <c r="Z893" s="202" t="s">
        <v>97</v>
      </c>
      <c r="AA893" s="202"/>
      <c r="AB893" s="202" t="s">
        <v>1647</v>
      </c>
      <c r="AC893" s="202"/>
      <c r="AD893" s="202" t="s">
        <v>1152</v>
      </c>
      <c r="AE893" s="202" t="s">
        <v>1153</v>
      </c>
      <c r="AF893" s="203" t="s">
        <v>1154</v>
      </c>
      <c r="AG893" s="202"/>
      <c r="AH893" s="203" t="s">
        <v>1155</v>
      </c>
      <c r="AI893" s="202">
        <v>0</v>
      </c>
      <c r="AJ893" s="202">
        <v>0</v>
      </c>
    </row>
    <row r="894" spans="2:36">
      <c r="B894" s="203">
        <v>2180</v>
      </c>
      <c r="C894" s="207">
        <v>80940</v>
      </c>
      <c r="D894" s="203">
        <v>80461</v>
      </c>
      <c r="E894" s="202" t="s">
        <v>1646</v>
      </c>
      <c r="F894" s="203">
        <v>0</v>
      </c>
      <c r="G894" s="202"/>
      <c r="H894" s="202"/>
      <c r="I894" s="202"/>
      <c r="J894" s="202">
        <v>0</v>
      </c>
      <c r="K894" s="202" t="s">
        <v>1645</v>
      </c>
      <c r="L894" s="202"/>
      <c r="M894" s="202"/>
      <c r="N894" s="206">
        <v>40633</v>
      </c>
      <c r="O894" s="206">
        <v>40633</v>
      </c>
      <c r="P894" s="202" t="s">
        <v>1592</v>
      </c>
      <c r="Q894" s="203">
        <v>2000</v>
      </c>
      <c r="R894" s="203">
        <v>14080</v>
      </c>
      <c r="S894" s="204">
        <v>4566.5</v>
      </c>
      <c r="T894" s="203">
        <v>14086</v>
      </c>
      <c r="U894" s="204">
        <v>2454.54</v>
      </c>
      <c r="V894" s="204">
        <f t="shared" si="24"/>
        <v>2111.96</v>
      </c>
      <c r="W894" s="205">
        <v>228.33</v>
      </c>
      <c r="X894" s="203">
        <v>57260</v>
      </c>
      <c r="Y894" s="204">
        <v>19.03</v>
      </c>
      <c r="Z894" s="202" t="s">
        <v>97</v>
      </c>
      <c r="AA894" s="202"/>
      <c r="AB894" s="202">
        <v>1000059</v>
      </c>
      <c r="AC894" s="202"/>
      <c r="AD894" s="202" t="s">
        <v>1152</v>
      </c>
      <c r="AE894" s="202" t="s">
        <v>1153</v>
      </c>
      <c r="AF894" s="203" t="s">
        <v>1154</v>
      </c>
      <c r="AG894" s="202"/>
      <c r="AH894" s="203" t="s">
        <v>1155</v>
      </c>
      <c r="AI894" s="202">
        <v>0</v>
      </c>
      <c r="AJ894" s="202">
        <v>0</v>
      </c>
    </row>
    <row r="895" spans="2:36">
      <c r="B895" s="203">
        <v>2180</v>
      </c>
      <c r="C895" s="207">
        <v>80886</v>
      </c>
      <c r="D895" s="203">
        <v>80461</v>
      </c>
      <c r="E895" s="202" t="s">
        <v>1643</v>
      </c>
      <c r="F895" s="203">
        <v>0</v>
      </c>
      <c r="G895" s="202"/>
      <c r="H895" s="202"/>
      <c r="I895" s="202"/>
      <c r="J895" s="202">
        <v>0</v>
      </c>
      <c r="K895" s="202" t="s">
        <v>1641</v>
      </c>
      <c r="L895" s="202"/>
      <c r="M895" s="202"/>
      <c r="N895" s="206">
        <v>40633</v>
      </c>
      <c r="O895" s="206">
        <v>40633</v>
      </c>
      <c r="P895" s="202" t="s">
        <v>1644</v>
      </c>
      <c r="Q895" s="203">
        <v>2000</v>
      </c>
      <c r="R895" s="203">
        <v>14080</v>
      </c>
      <c r="S895" s="204">
        <v>118437</v>
      </c>
      <c r="T895" s="203">
        <v>14086</v>
      </c>
      <c r="U895" s="204">
        <v>63659.89</v>
      </c>
      <c r="V895" s="204">
        <f t="shared" si="24"/>
        <v>54777.11</v>
      </c>
      <c r="W895" s="205">
        <v>5921.85</v>
      </c>
      <c r="X895" s="203">
        <v>57260</v>
      </c>
      <c r="Y895" s="204">
        <v>493.49</v>
      </c>
      <c r="Z895" s="202" t="s">
        <v>97</v>
      </c>
      <c r="AA895" s="202"/>
      <c r="AB895" s="202">
        <v>123457</v>
      </c>
      <c r="AC895" s="202"/>
      <c r="AD895" s="202" t="s">
        <v>1152</v>
      </c>
      <c r="AE895" s="202" t="s">
        <v>1153</v>
      </c>
      <c r="AF895" s="203" t="s">
        <v>1154</v>
      </c>
      <c r="AG895" s="202"/>
      <c r="AH895" s="203" t="s">
        <v>1155</v>
      </c>
      <c r="AI895" s="202">
        <v>0</v>
      </c>
      <c r="AJ895" s="202">
        <v>0</v>
      </c>
    </row>
    <row r="896" spans="2:36">
      <c r="B896" s="203">
        <v>2180</v>
      </c>
      <c r="C896" s="207">
        <v>80885</v>
      </c>
      <c r="D896" s="203">
        <v>80461</v>
      </c>
      <c r="E896" s="202" t="s">
        <v>1643</v>
      </c>
      <c r="F896" s="203">
        <v>0</v>
      </c>
      <c r="G896" s="202"/>
      <c r="H896" s="202"/>
      <c r="I896" s="202"/>
      <c r="J896" s="202">
        <v>0</v>
      </c>
      <c r="K896" s="202" t="s">
        <v>1641</v>
      </c>
      <c r="L896" s="202"/>
      <c r="M896" s="202"/>
      <c r="N896" s="206">
        <v>40633</v>
      </c>
      <c r="O896" s="206">
        <v>40633</v>
      </c>
      <c r="P896" s="202" t="s">
        <v>1592</v>
      </c>
      <c r="Q896" s="203">
        <v>2000</v>
      </c>
      <c r="R896" s="203">
        <v>14080</v>
      </c>
      <c r="S896" s="204">
        <v>138250.85</v>
      </c>
      <c r="T896" s="203">
        <v>14086</v>
      </c>
      <c r="U896" s="204">
        <v>74309.8</v>
      </c>
      <c r="V896" s="204">
        <f t="shared" si="24"/>
        <v>63941.05</v>
      </c>
      <c r="W896" s="205">
        <v>6912.54</v>
      </c>
      <c r="X896" s="203">
        <v>57260</v>
      </c>
      <c r="Y896" s="204">
        <v>576.04</v>
      </c>
      <c r="Z896" s="202" t="s">
        <v>97</v>
      </c>
      <c r="AA896" s="202"/>
      <c r="AB896" s="202">
        <v>123457</v>
      </c>
      <c r="AC896" s="202"/>
      <c r="AD896" s="202" t="s">
        <v>1152</v>
      </c>
      <c r="AE896" s="202" t="s">
        <v>1153</v>
      </c>
      <c r="AF896" s="203" t="s">
        <v>1154</v>
      </c>
      <c r="AG896" s="202"/>
      <c r="AH896" s="203" t="s">
        <v>1155</v>
      </c>
      <c r="AI896" s="202">
        <v>0</v>
      </c>
      <c r="AJ896" s="202">
        <v>0</v>
      </c>
    </row>
    <row r="897" spans="2:36">
      <c r="B897" s="203">
        <v>2180</v>
      </c>
      <c r="C897" s="207">
        <v>80884</v>
      </c>
      <c r="D897" s="203">
        <v>80461</v>
      </c>
      <c r="E897" s="202" t="s">
        <v>1642</v>
      </c>
      <c r="F897" s="203">
        <v>0</v>
      </c>
      <c r="G897" s="202"/>
      <c r="H897" s="202"/>
      <c r="I897" s="202"/>
      <c r="J897" s="202">
        <v>0</v>
      </c>
      <c r="K897" s="202" t="s">
        <v>1641</v>
      </c>
      <c r="L897" s="202"/>
      <c r="M897" s="202"/>
      <c r="N897" s="206">
        <v>40633</v>
      </c>
      <c r="O897" s="206">
        <v>40633</v>
      </c>
      <c r="P897" s="202" t="s">
        <v>1592</v>
      </c>
      <c r="Q897" s="203">
        <v>2000</v>
      </c>
      <c r="R897" s="203">
        <v>14080</v>
      </c>
      <c r="S897" s="204">
        <v>71579.83</v>
      </c>
      <c r="T897" s="203">
        <v>14086</v>
      </c>
      <c r="U897" s="204">
        <v>38474.14</v>
      </c>
      <c r="V897" s="204">
        <f t="shared" si="24"/>
        <v>33105.69</v>
      </c>
      <c r="W897" s="205">
        <v>3578.99</v>
      </c>
      <c r="X897" s="203">
        <v>57260</v>
      </c>
      <c r="Y897" s="204">
        <v>298.25</v>
      </c>
      <c r="Z897" s="202" t="s">
        <v>97</v>
      </c>
      <c r="AA897" s="202"/>
      <c r="AB897" s="202">
        <v>123448</v>
      </c>
      <c r="AC897" s="202"/>
      <c r="AD897" s="202" t="s">
        <v>1152</v>
      </c>
      <c r="AE897" s="202" t="s">
        <v>1153</v>
      </c>
      <c r="AF897" s="203" t="s">
        <v>1154</v>
      </c>
      <c r="AG897" s="202"/>
      <c r="AH897" s="203" t="s">
        <v>1155</v>
      </c>
      <c r="AI897" s="202">
        <v>0</v>
      </c>
      <c r="AJ897" s="202">
        <v>0</v>
      </c>
    </row>
    <row r="898" spans="2:36">
      <c r="B898" s="203">
        <v>2180</v>
      </c>
      <c r="C898" s="207">
        <v>80883</v>
      </c>
      <c r="D898" s="203">
        <v>80461</v>
      </c>
      <c r="E898" s="202" t="s">
        <v>1640</v>
      </c>
      <c r="F898" s="203">
        <v>0</v>
      </c>
      <c r="G898" s="202"/>
      <c r="H898" s="202"/>
      <c r="I898" s="202"/>
      <c r="J898" s="202">
        <v>0</v>
      </c>
      <c r="K898" s="202" t="s">
        <v>1639</v>
      </c>
      <c r="L898" s="202"/>
      <c r="M898" s="202"/>
      <c r="N898" s="206">
        <v>40633</v>
      </c>
      <c r="O898" s="206">
        <v>40633</v>
      </c>
      <c r="P898" s="202" t="s">
        <v>1592</v>
      </c>
      <c r="Q898" s="203">
        <v>2000</v>
      </c>
      <c r="R898" s="203">
        <v>14080</v>
      </c>
      <c r="S898" s="204">
        <v>553.12</v>
      </c>
      <c r="T898" s="203">
        <v>14086</v>
      </c>
      <c r="U898" s="204">
        <v>297.33999999999997</v>
      </c>
      <c r="V898" s="204">
        <f t="shared" si="24"/>
        <v>255.78000000000003</v>
      </c>
      <c r="W898" s="205">
        <v>27.66</v>
      </c>
      <c r="X898" s="203">
        <v>57260</v>
      </c>
      <c r="Y898" s="204">
        <v>2.2999999999999998</v>
      </c>
      <c r="Z898" s="202" t="s">
        <v>97</v>
      </c>
      <c r="AA898" s="202"/>
      <c r="AB898" s="202" t="s">
        <v>1638</v>
      </c>
      <c r="AC898" s="202"/>
      <c r="AD898" s="202" t="s">
        <v>1152</v>
      </c>
      <c r="AE898" s="202" t="s">
        <v>1153</v>
      </c>
      <c r="AF898" s="203" t="s">
        <v>1154</v>
      </c>
      <c r="AG898" s="202"/>
      <c r="AH898" s="203" t="s">
        <v>1155</v>
      </c>
      <c r="AI898" s="202">
        <v>0</v>
      </c>
      <c r="AJ898" s="202">
        <v>0</v>
      </c>
    </row>
    <row r="899" spans="2:36">
      <c r="B899" s="203">
        <v>2180</v>
      </c>
      <c r="C899" s="207">
        <v>80882</v>
      </c>
      <c r="D899" s="203">
        <v>80461</v>
      </c>
      <c r="E899" s="202" t="s">
        <v>1637</v>
      </c>
      <c r="F899" s="203">
        <v>0</v>
      </c>
      <c r="G899" s="202"/>
      <c r="H899" s="202"/>
      <c r="I899" s="202"/>
      <c r="J899" s="202">
        <v>0</v>
      </c>
      <c r="K899" s="202" t="s">
        <v>1636</v>
      </c>
      <c r="L899" s="202"/>
      <c r="M899" s="202"/>
      <c r="N899" s="206">
        <v>40633</v>
      </c>
      <c r="O899" s="206">
        <v>40633</v>
      </c>
      <c r="P899" s="202" t="s">
        <v>1592</v>
      </c>
      <c r="Q899" s="203">
        <v>2000</v>
      </c>
      <c r="R899" s="203">
        <v>14080</v>
      </c>
      <c r="S899" s="204">
        <v>8499.35</v>
      </c>
      <c r="T899" s="203">
        <v>14086</v>
      </c>
      <c r="U899" s="204">
        <v>4568.33</v>
      </c>
      <c r="V899" s="204">
        <f t="shared" si="24"/>
        <v>3931.0200000000004</v>
      </c>
      <c r="W899" s="205">
        <v>424.96</v>
      </c>
      <c r="X899" s="203">
        <v>57260</v>
      </c>
      <c r="Y899" s="204">
        <v>35.409999999999997</v>
      </c>
      <c r="Z899" s="202" t="s">
        <v>97</v>
      </c>
      <c r="AA899" s="202"/>
      <c r="AB899" s="202">
        <v>19</v>
      </c>
      <c r="AC899" s="202"/>
      <c r="AD899" s="202" t="s">
        <v>1152</v>
      </c>
      <c r="AE899" s="202" t="s">
        <v>1153</v>
      </c>
      <c r="AF899" s="203" t="s">
        <v>1154</v>
      </c>
      <c r="AG899" s="202"/>
      <c r="AH899" s="203" t="s">
        <v>1155</v>
      </c>
      <c r="AI899" s="202">
        <v>0</v>
      </c>
      <c r="AJ899" s="202">
        <v>0</v>
      </c>
    </row>
    <row r="900" spans="2:36">
      <c r="B900" s="203">
        <v>2180</v>
      </c>
      <c r="C900" s="207">
        <v>80808</v>
      </c>
      <c r="D900" s="203">
        <v>80461</v>
      </c>
      <c r="E900" s="202" t="s">
        <v>1635</v>
      </c>
      <c r="F900" s="203">
        <v>0</v>
      </c>
      <c r="G900" s="202"/>
      <c r="H900" s="202"/>
      <c r="I900" s="202"/>
      <c r="J900" s="202">
        <v>0</v>
      </c>
      <c r="K900" s="202" t="s">
        <v>1634</v>
      </c>
      <c r="L900" s="202"/>
      <c r="M900" s="202"/>
      <c r="N900" s="206">
        <v>40633</v>
      </c>
      <c r="O900" s="206">
        <v>40633</v>
      </c>
      <c r="P900" s="202" t="s">
        <v>1592</v>
      </c>
      <c r="Q900" s="203">
        <v>2000</v>
      </c>
      <c r="R900" s="203">
        <v>14080</v>
      </c>
      <c r="S900" s="204">
        <v>42012.06</v>
      </c>
      <c r="T900" s="203">
        <v>14086</v>
      </c>
      <c r="U900" s="204">
        <v>22581.45</v>
      </c>
      <c r="V900" s="204">
        <f t="shared" si="24"/>
        <v>19430.609999999997</v>
      </c>
      <c r="W900" s="205">
        <v>2100.6</v>
      </c>
      <c r="X900" s="203">
        <v>57260</v>
      </c>
      <c r="Y900" s="204">
        <v>175.05</v>
      </c>
      <c r="Z900" s="202" t="s">
        <v>97</v>
      </c>
      <c r="AA900" s="202"/>
      <c r="AB900" s="202">
        <v>125561</v>
      </c>
      <c r="AC900" s="202"/>
      <c r="AD900" s="202" t="s">
        <v>1152</v>
      </c>
      <c r="AE900" s="202" t="s">
        <v>1153</v>
      </c>
      <c r="AF900" s="203" t="s">
        <v>1154</v>
      </c>
      <c r="AG900" s="202"/>
      <c r="AH900" s="203" t="s">
        <v>1155</v>
      </c>
      <c r="AI900" s="202">
        <v>0</v>
      </c>
      <c r="AJ900" s="202">
        <v>0</v>
      </c>
    </row>
    <row r="901" spans="2:36">
      <c r="B901" s="203">
        <v>2180</v>
      </c>
      <c r="C901" s="207">
        <v>80755</v>
      </c>
      <c r="D901" s="203">
        <v>80468</v>
      </c>
      <c r="E901" s="202" t="s">
        <v>1632</v>
      </c>
      <c r="F901" s="203">
        <v>0</v>
      </c>
      <c r="G901" s="202"/>
      <c r="H901" s="202"/>
      <c r="I901" s="202"/>
      <c r="J901" s="202">
        <v>0</v>
      </c>
      <c r="K901" s="202" t="s">
        <v>1633</v>
      </c>
      <c r="L901" s="202"/>
      <c r="M901" s="202"/>
      <c r="N901" s="206">
        <v>40633</v>
      </c>
      <c r="O901" s="206">
        <v>40633</v>
      </c>
      <c r="P901" s="202" t="s">
        <v>1597</v>
      </c>
      <c r="Q901" s="203">
        <v>1000</v>
      </c>
      <c r="R901" s="203">
        <v>14100</v>
      </c>
      <c r="S901" s="204">
        <v>1039.45</v>
      </c>
      <c r="T901" s="203">
        <v>14106</v>
      </c>
      <c r="U901" s="204">
        <v>1039.45</v>
      </c>
      <c r="V901" s="204">
        <f t="shared" si="24"/>
        <v>0</v>
      </c>
      <c r="W901" s="205">
        <v>26.02</v>
      </c>
      <c r="X901" s="203">
        <v>70260</v>
      </c>
      <c r="Y901" s="204">
        <v>0</v>
      </c>
      <c r="Z901" s="202" t="s">
        <v>97</v>
      </c>
      <c r="AA901" s="202"/>
      <c r="AB901" s="202">
        <v>2930</v>
      </c>
      <c r="AC901" s="202"/>
      <c r="AD901" s="202" t="s">
        <v>1152</v>
      </c>
      <c r="AE901" s="202" t="s">
        <v>1153</v>
      </c>
      <c r="AF901" s="203" t="s">
        <v>1154</v>
      </c>
      <c r="AG901" s="202"/>
      <c r="AH901" s="203" t="s">
        <v>1155</v>
      </c>
      <c r="AI901" s="202">
        <v>0</v>
      </c>
      <c r="AJ901" s="202">
        <v>0</v>
      </c>
    </row>
    <row r="902" spans="2:36">
      <c r="B902" s="203">
        <v>2180</v>
      </c>
      <c r="C902" s="207">
        <v>80754</v>
      </c>
      <c r="D902" s="203">
        <v>80468</v>
      </c>
      <c r="E902" s="202" t="s">
        <v>1632</v>
      </c>
      <c r="F902" s="203">
        <v>0</v>
      </c>
      <c r="G902" s="202"/>
      <c r="H902" s="202"/>
      <c r="I902" s="202"/>
      <c r="J902" s="202">
        <v>0</v>
      </c>
      <c r="K902" s="202" t="s">
        <v>1631</v>
      </c>
      <c r="L902" s="202"/>
      <c r="M902" s="202"/>
      <c r="N902" s="206">
        <v>40633</v>
      </c>
      <c r="O902" s="206">
        <v>40633</v>
      </c>
      <c r="P902" s="202" t="s">
        <v>1597</v>
      </c>
      <c r="Q902" s="203">
        <v>1000</v>
      </c>
      <c r="R902" s="203">
        <v>14100</v>
      </c>
      <c r="S902" s="204">
        <v>1695.95</v>
      </c>
      <c r="T902" s="203">
        <v>14106</v>
      </c>
      <c r="U902" s="204">
        <v>1695.95</v>
      </c>
      <c r="V902" s="204">
        <f t="shared" si="24"/>
        <v>0</v>
      </c>
      <c r="W902" s="205">
        <v>42.35</v>
      </c>
      <c r="X902" s="203">
        <v>70260</v>
      </c>
      <c r="Y902" s="204">
        <v>0</v>
      </c>
      <c r="Z902" s="202" t="s">
        <v>97</v>
      </c>
      <c r="AA902" s="202"/>
      <c r="AB902" s="202">
        <v>3000</v>
      </c>
      <c r="AC902" s="202"/>
      <c r="AD902" s="202" t="s">
        <v>1152</v>
      </c>
      <c r="AE902" s="202" t="s">
        <v>1153</v>
      </c>
      <c r="AF902" s="203" t="s">
        <v>1154</v>
      </c>
      <c r="AG902" s="202"/>
      <c r="AH902" s="203" t="s">
        <v>1155</v>
      </c>
      <c r="AI902" s="202">
        <v>0</v>
      </c>
      <c r="AJ902" s="202">
        <v>0</v>
      </c>
    </row>
    <row r="903" spans="2:36">
      <c r="B903" s="203">
        <v>2180</v>
      </c>
      <c r="C903" s="207">
        <v>80747</v>
      </c>
      <c r="D903" s="203">
        <v>80461</v>
      </c>
      <c r="E903" s="202" t="s">
        <v>1630</v>
      </c>
      <c r="F903" s="203">
        <v>0</v>
      </c>
      <c r="G903" s="202"/>
      <c r="H903" s="202"/>
      <c r="I903" s="202"/>
      <c r="J903" s="202">
        <v>0</v>
      </c>
      <c r="K903" s="202" t="s">
        <v>1629</v>
      </c>
      <c r="L903" s="202"/>
      <c r="M903" s="202"/>
      <c r="N903" s="206">
        <v>40633</v>
      </c>
      <c r="O903" s="206">
        <v>40633</v>
      </c>
      <c r="P903" s="202" t="s">
        <v>1592</v>
      </c>
      <c r="Q903" s="203">
        <v>2000</v>
      </c>
      <c r="R903" s="203">
        <v>14080</v>
      </c>
      <c r="S903" s="204">
        <v>841.06</v>
      </c>
      <c r="T903" s="203">
        <v>14086</v>
      </c>
      <c r="U903" s="204">
        <v>452.04</v>
      </c>
      <c r="V903" s="204">
        <f t="shared" si="24"/>
        <v>389.01999999999992</v>
      </c>
      <c r="W903" s="205">
        <v>42.05</v>
      </c>
      <c r="X903" s="203">
        <v>57260</v>
      </c>
      <c r="Y903" s="204">
        <v>3.5</v>
      </c>
      <c r="Z903" s="202" t="s">
        <v>97</v>
      </c>
      <c r="AA903" s="202"/>
      <c r="AB903" s="202">
        <v>12974</v>
      </c>
      <c r="AC903" s="202"/>
      <c r="AD903" s="202" t="s">
        <v>1152</v>
      </c>
      <c r="AE903" s="202" t="s">
        <v>1153</v>
      </c>
      <c r="AF903" s="203" t="s">
        <v>1154</v>
      </c>
      <c r="AG903" s="202"/>
      <c r="AH903" s="203" t="s">
        <v>1155</v>
      </c>
      <c r="AI903" s="202">
        <v>0</v>
      </c>
      <c r="AJ903" s="202">
        <v>0</v>
      </c>
    </row>
    <row r="904" spans="2:36">
      <c r="B904" s="203">
        <v>2180</v>
      </c>
      <c r="C904" s="207">
        <v>80746</v>
      </c>
      <c r="D904" s="203">
        <v>80461</v>
      </c>
      <c r="E904" s="202" t="s">
        <v>1630</v>
      </c>
      <c r="F904" s="203">
        <v>0</v>
      </c>
      <c r="G904" s="202"/>
      <c r="H904" s="202"/>
      <c r="I904" s="202"/>
      <c r="J904" s="202">
        <v>0</v>
      </c>
      <c r="K904" s="202" t="s">
        <v>1629</v>
      </c>
      <c r="L904" s="202"/>
      <c r="M904" s="202"/>
      <c r="N904" s="206">
        <v>40633</v>
      </c>
      <c r="O904" s="206">
        <v>40633</v>
      </c>
      <c r="P904" s="202" t="s">
        <v>1592</v>
      </c>
      <c r="Q904" s="203">
        <v>2000</v>
      </c>
      <c r="R904" s="203">
        <v>14080</v>
      </c>
      <c r="S904" s="204">
        <v>841.06</v>
      </c>
      <c r="T904" s="203">
        <v>14086</v>
      </c>
      <c r="U904" s="204">
        <v>452.04</v>
      </c>
      <c r="V904" s="204">
        <f t="shared" si="24"/>
        <v>389.01999999999992</v>
      </c>
      <c r="W904" s="205">
        <v>42.05</v>
      </c>
      <c r="X904" s="203">
        <v>57260</v>
      </c>
      <c r="Y904" s="204">
        <v>3.5</v>
      </c>
      <c r="Z904" s="202" t="s">
        <v>97</v>
      </c>
      <c r="AA904" s="202"/>
      <c r="AB904" s="202">
        <v>12973</v>
      </c>
      <c r="AC904" s="202"/>
      <c r="AD904" s="202" t="s">
        <v>1152</v>
      </c>
      <c r="AE904" s="202" t="s">
        <v>1153</v>
      </c>
      <c r="AF904" s="203" t="s">
        <v>1154</v>
      </c>
      <c r="AG904" s="202"/>
      <c r="AH904" s="203" t="s">
        <v>1155</v>
      </c>
      <c r="AI904" s="202">
        <v>0</v>
      </c>
      <c r="AJ904" s="202">
        <v>0</v>
      </c>
    </row>
    <row r="905" spans="2:36">
      <c r="B905" s="203">
        <v>2180</v>
      </c>
      <c r="C905" s="207">
        <v>80745</v>
      </c>
      <c r="D905" s="203">
        <v>80461</v>
      </c>
      <c r="E905" s="202" t="s">
        <v>1628</v>
      </c>
      <c r="F905" s="203">
        <v>0</v>
      </c>
      <c r="G905" s="202"/>
      <c r="H905" s="202"/>
      <c r="I905" s="202"/>
      <c r="J905" s="202">
        <v>0</v>
      </c>
      <c r="K905" s="202" t="s">
        <v>1627</v>
      </c>
      <c r="L905" s="202"/>
      <c r="M905" s="202"/>
      <c r="N905" s="206">
        <v>40633</v>
      </c>
      <c r="O905" s="206">
        <v>40633</v>
      </c>
      <c r="P905" s="202" t="s">
        <v>1592</v>
      </c>
      <c r="Q905" s="203">
        <v>2000</v>
      </c>
      <c r="R905" s="203">
        <v>14080</v>
      </c>
      <c r="S905" s="204">
        <v>9964.8799999999992</v>
      </c>
      <c r="T905" s="203">
        <v>14086</v>
      </c>
      <c r="U905" s="204">
        <v>5356.08</v>
      </c>
      <c r="V905" s="204">
        <f t="shared" si="24"/>
        <v>4608.7999999999993</v>
      </c>
      <c r="W905" s="205">
        <v>498.24</v>
      </c>
      <c r="X905" s="203">
        <v>57260</v>
      </c>
      <c r="Y905" s="204">
        <v>41.52</v>
      </c>
      <c r="Z905" s="202" t="s">
        <v>97</v>
      </c>
      <c r="AA905" s="202"/>
      <c r="AB905" s="202">
        <v>3</v>
      </c>
      <c r="AC905" s="202"/>
      <c r="AD905" s="202" t="s">
        <v>1152</v>
      </c>
      <c r="AE905" s="202" t="s">
        <v>1153</v>
      </c>
      <c r="AF905" s="203" t="s">
        <v>1154</v>
      </c>
      <c r="AG905" s="202"/>
      <c r="AH905" s="203" t="s">
        <v>1155</v>
      </c>
      <c r="AI905" s="202">
        <v>0</v>
      </c>
      <c r="AJ905" s="202">
        <v>0</v>
      </c>
    </row>
    <row r="906" spans="2:36">
      <c r="B906" s="203">
        <v>2180</v>
      </c>
      <c r="C906" s="207">
        <v>80706</v>
      </c>
      <c r="D906" s="203">
        <v>80461</v>
      </c>
      <c r="E906" s="202" t="s">
        <v>1625</v>
      </c>
      <c r="F906" s="203">
        <v>0</v>
      </c>
      <c r="G906" s="202"/>
      <c r="H906" s="202"/>
      <c r="I906" s="202"/>
      <c r="J906" s="202">
        <v>0</v>
      </c>
      <c r="K906" s="202" t="s">
        <v>1624</v>
      </c>
      <c r="L906" s="202"/>
      <c r="M906" s="202"/>
      <c r="N906" s="206">
        <v>40633</v>
      </c>
      <c r="O906" s="206">
        <v>40633</v>
      </c>
      <c r="P906" s="202" t="s">
        <v>1592</v>
      </c>
      <c r="Q906" s="203">
        <v>2000</v>
      </c>
      <c r="R906" s="203">
        <v>14080</v>
      </c>
      <c r="S906" s="204">
        <v>2711.89</v>
      </c>
      <c r="T906" s="203">
        <v>14086</v>
      </c>
      <c r="U906" s="204">
        <v>1457.7</v>
      </c>
      <c r="V906" s="204">
        <f t="shared" si="24"/>
        <v>1254.1899999999998</v>
      </c>
      <c r="W906" s="205">
        <v>135.6</v>
      </c>
      <c r="X906" s="203">
        <v>57260</v>
      </c>
      <c r="Y906" s="204">
        <v>11.3</v>
      </c>
      <c r="Z906" s="202" t="s">
        <v>97</v>
      </c>
      <c r="AA906" s="202"/>
      <c r="AB906" s="202" t="s">
        <v>1626</v>
      </c>
      <c r="AC906" s="202"/>
      <c r="AD906" s="202" t="s">
        <v>1152</v>
      </c>
      <c r="AE906" s="202" t="s">
        <v>1153</v>
      </c>
      <c r="AF906" s="203" t="s">
        <v>1154</v>
      </c>
      <c r="AG906" s="202"/>
      <c r="AH906" s="203" t="s">
        <v>1155</v>
      </c>
      <c r="AI906" s="202">
        <v>0</v>
      </c>
      <c r="AJ906" s="202">
        <v>0</v>
      </c>
    </row>
    <row r="907" spans="2:36">
      <c r="B907" s="203">
        <v>2180</v>
      </c>
      <c r="C907" s="207">
        <v>80705</v>
      </c>
      <c r="D907" s="203">
        <v>80461</v>
      </c>
      <c r="E907" s="202" t="s">
        <v>1625</v>
      </c>
      <c r="F907" s="203">
        <v>0</v>
      </c>
      <c r="G907" s="202"/>
      <c r="H907" s="202"/>
      <c r="I907" s="202"/>
      <c r="J907" s="202">
        <v>0</v>
      </c>
      <c r="K907" s="202" t="s">
        <v>1624</v>
      </c>
      <c r="L907" s="202"/>
      <c r="M907" s="202"/>
      <c r="N907" s="206">
        <v>40633</v>
      </c>
      <c r="O907" s="206">
        <v>40633</v>
      </c>
      <c r="P907" s="202" t="s">
        <v>1592</v>
      </c>
      <c r="Q907" s="203">
        <v>2000</v>
      </c>
      <c r="R907" s="203">
        <v>14080</v>
      </c>
      <c r="S907" s="204">
        <v>5574.14</v>
      </c>
      <c r="T907" s="203">
        <v>14086</v>
      </c>
      <c r="U907" s="204">
        <v>2996.13</v>
      </c>
      <c r="V907" s="204">
        <f t="shared" si="24"/>
        <v>2578.0100000000002</v>
      </c>
      <c r="W907" s="205">
        <v>278.70999999999998</v>
      </c>
      <c r="X907" s="203">
        <v>57260</v>
      </c>
      <c r="Y907" s="204">
        <v>23.23</v>
      </c>
      <c r="Z907" s="202" t="s">
        <v>97</v>
      </c>
      <c r="AA907" s="202"/>
      <c r="AB907" s="202" t="s">
        <v>1623</v>
      </c>
      <c r="AC907" s="202"/>
      <c r="AD907" s="202" t="s">
        <v>1152</v>
      </c>
      <c r="AE907" s="202" t="s">
        <v>1153</v>
      </c>
      <c r="AF907" s="203" t="s">
        <v>1154</v>
      </c>
      <c r="AG907" s="202"/>
      <c r="AH907" s="203" t="s">
        <v>1155</v>
      </c>
      <c r="AI907" s="202">
        <v>0</v>
      </c>
      <c r="AJ907" s="202">
        <v>0</v>
      </c>
    </row>
    <row r="908" spans="2:36">
      <c r="B908" s="203">
        <v>2180</v>
      </c>
      <c r="C908" s="207">
        <v>80704</v>
      </c>
      <c r="D908" s="203">
        <v>80461</v>
      </c>
      <c r="E908" s="202" t="s">
        <v>1619</v>
      </c>
      <c r="F908" s="203">
        <v>0</v>
      </c>
      <c r="G908" s="202"/>
      <c r="H908" s="202"/>
      <c r="I908" s="202"/>
      <c r="J908" s="202">
        <v>0</v>
      </c>
      <c r="K908" s="202" t="s">
        <v>1622</v>
      </c>
      <c r="L908" s="202"/>
      <c r="M908" s="202"/>
      <c r="N908" s="206">
        <v>40633</v>
      </c>
      <c r="O908" s="206">
        <v>40633</v>
      </c>
      <c r="P908" s="202" t="s">
        <v>1592</v>
      </c>
      <c r="Q908" s="203">
        <v>1000</v>
      </c>
      <c r="R908" s="203">
        <v>14080</v>
      </c>
      <c r="S908" s="204">
        <v>1867.48</v>
      </c>
      <c r="T908" s="203">
        <v>14086</v>
      </c>
      <c r="U908" s="204">
        <v>1867.48</v>
      </c>
      <c r="V908" s="204">
        <f t="shared" si="24"/>
        <v>0</v>
      </c>
      <c r="W908" s="205">
        <v>46.68</v>
      </c>
      <c r="X908" s="203">
        <v>57260</v>
      </c>
      <c r="Y908" s="204">
        <v>0</v>
      </c>
      <c r="Z908" s="202" t="s">
        <v>97</v>
      </c>
      <c r="AA908" s="202"/>
      <c r="AB908" s="202" t="s">
        <v>1621</v>
      </c>
      <c r="AC908" s="202"/>
      <c r="AD908" s="202" t="s">
        <v>1152</v>
      </c>
      <c r="AE908" s="202" t="s">
        <v>1153</v>
      </c>
      <c r="AF908" s="203" t="s">
        <v>1154</v>
      </c>
      <c r="AG908" s="202"/>
      <c r="AH908" s="203" t="s">
        <v>1155</v>
      </c>
      <c r="AI908" s="202">
        <v>0</v>
      </c>
      <c r="AJ908" s="202">
        <v>0</v>
      </c>
    </row>
    <row r="909" spans="2:36">
      <c r="B909" s="203">
        <v>2180</v>
      </c>
      <c r="C909" s="207">
        <v>80703</v>
      </c>
      <c r="D909" s="203">
        <v>80461</v>
      </c>
      <c r="E909" s="202" t="s">
        <v>1620</v>
      </c>
      <c r="F909" s="203">
        <v>0</v>
      </c>
      <c r="G909" s="202"/>
      <c r="H909" s="202"/>
      <c r="I909" s="202"/>
      <c r="J909" s="202">
        <v>0</v>
      </c>
      <c r="K909" s="202" t="s">
        <v>1613</v>
      </c>
      <c r="L909" s="202"/>
      <c r="M909" s="202"/>
      <c r="N909" s="206">
        <v>40633</v>
      </c>
      <c r="O909" s="206">
        <v>40633</v>
      </c>
      <c r="P909" s="202" t="s">
        <v>1592</v>
      </c>
      <c r="Q909" s="203">
        <v>1000</v>
      </c>
      <c r="R909" s="203">
        <v>14080</v>
      </c>
      <c r="S909" s="204">
        <v>4357.5200000000004</v>
      </c>
      <c r="T909" s="203">
        <v>14086</v>
      </c>
      <c r="U909" s="204">
        <v>4357.5200000000004</v>
      </c>
      <c r="V909" s="204">
        <f t="shared" si="24"/>
        <v>0</v>
      </c>
      <c r="W909" s="205">
        <v>109.04</v>
      </c>
      <c r="X909" s="203">
        <v>57260</v>
      </c>
      <c r="Y909" s="204">
        <v>0</v>
      </c>
      <c r="Z909" s="202" t="s">
        <v>97</v>
      </c>
      <c r="AA909" s="202"/>
      <c r="AB909" s="202">
        <v>14602</v>
      </c>
      <c r="AC909" s="202"/>
      <c r="AD909" s="202" t="s">
        <v>1152</v>
      </c>
      <c r="AE909" s="202" t="s">
        <v>1153</v>
      </c>
      <c r="AF909" s="203" t="s">
        <v>1154</v>
      </c>
      <c r="AG909" s="202"/>
      <c r="AH909" s="203" t="s">
        <v>1155</v>
      </c>
      <c r="AI909" s="202">
        <v>0</v>
      </c>
      <c r="AJ909" s="202">
        <v>0</v>
      </c>
    </row>
    <row r="910" spans="2:36">
      <c r="B910" s="203">
        <v>2180</v>
      </c>
      <c r="C910" s="207">
        <v>80702</v>
      </c>
      <c r="D910" s="203">
        <v>80461</v>
      </c>
      <c r="E910" s="202" t="s">
        <v>1619</v>
      </c>
      <c r="F910" s="203">
        <v>0</v>
      </c>
      <c r="G910" s="202"/>
      <c r="H910" s="202"/>
      <c r="I910" s="202"/>
      <c r="J910" s="202">
        <v>0</v>
      </c>
      <c r="K910" s="202" t="s">
        <v>1613</v>
      </c>
      <c r="L910" s="202"/>
      <c r="M910" s="202"/>
      <c r="N910" s="206">
        <v>40633</v>
      </c>
      <c r="O910" s="206">
        <v>40633</v>
      </c>
      <c r="P910" s="202" t="s">
        <v>1592</v>
      </c>
      <c r="Q910" s="203">
        <v>1000</v>
      </c>
      <c r="R910" s="203">
        <v>14080</v>
      </c>
      <c r="S910" s="204">
        <v>394.57</v>
      </c>
      <c r="T910" s="203">
        <v>14086</v>
      </c>
      <c r="U910" s="204">
        <v>394.57</v>
      </c>
      <c r="V910" s="204">
        <f t="shared" ref="V910:V973" si="25">S910-U910</f>
        <v>0</v>
      </c>
      <c r="W910" s="205">
        <v>9.84</v>
      </c>
      <c r="X910" s="203">
        <v>57260</v>
      </c>
      <c r="Y910" s="204">
        <v>0</v>
      </c>
      <c r="Z910" s="202" t="s">
        <v>97</v>
      </c>
      <c r="AA910" s="202"/>
      <c r="AB910" s="202">
        <v>14594</v>
      </c>
      <c r="AC910" s="202"/>
      <c r="AD910" s="202" t="s">
        <v>1152</v>
      </c>
      <c r="AE910" s="202" t="s">
        <v>1153</v>
      </c>
      <c r="AF910" s="203" t="s">
        <v>1154</v>
      </c>
      <c r="AG910" s="202"/>
      <c r="AH910" s="203" t="s">
        <v>1155</v>
      </c>
      <c r="AI910" s="202">
        <v>0</v>
      </c>
      <c r="AJ910" s="202">
        <v>0</v>
      </c>
    </row>
    <row r="911" spans="2:36">
      <c r="B911" s="203">
        <v>2180</v>
      </c>
      <c r="C911" s="207">
        <v>80701</v>
      </c>
      <c r="D911" s="203">
        <v>80461</v>
      </c>
      <c r="E911" s="202" t="s">
        <v>1618</v>
      </c>
      <c r="F911" s="203">
        <v>0</v>
      </c>
      <c r="G911" s="202"/>
      <c r="H911" s="202"/>
      <c r="I911" s="202"/>
      <c r="J911" s="202">
        <v>0</v>
      </c>
      <c r="K911" s="202" t="s">
        <v>1613</v>
      </c>
      <c r="L911" s="202"/>
      <c r="M911" s="202"/>
      <c r="N911" s="206">
        <v>40633</v>
      </c>
      <c r="O911" s="206">
        <v>40633</v>
      </c>
      <c r="P911" s="202" t="s">
        <v>1592</v>
      </c>
      <c r="Q911" s="203">
        <v>1000</v>
      </c>
      <c r="R911" s="203">
        <v>14080</v>
      </c>
      <c r="S911" s="204">
        <v>25.62</v>
      </c>
      <c r="T911" s="203">
        <v>14086</v>
      </c>
      <c r="U911" s="204">
        <v>25.62</v>
      </c>
      <c r="V911" s="204">
        <f t="shared" si="25"/>
        <v>0</v>
      </c>
      <c r="W911" s="205">
        <v>0.66</v>
      </c>
      <c r="X911" s="203">
        <v>57260</v>
      </c>
      <c r="Y911" s="204">
        <v>0</v>
      </c>
      <c r="Z911" s="202" t="s">
        <v>97</v>
      </c>
      <c r="AA911" s="202"/>
      <c r="AB911" s="202">
        <v>14343</v>
      </c>
      <c r="AC911" s="202"/>
      <c r="AD911" s="202" t="s">
        <v>1152</v>
      </c>
      <c r="AE911" s="202" t="s">
        <v>1153</v>
      </c>
      <c r="AF911" s="203" t="s">
        <v>1154</v>
      </c>
      <c r="AG911" s="202"/>
      <c r="AH911" s="203" t="s">
        <v>1155</v>
      </c>
      <c r="AI911" s="202">
        <v>0</v>
      </c>
      <c r="AJ911" s="202">
        <v>0</v>
      </c>
    </row>
    <row r="912" spans="2:36">
      <c r="B912" s="203">
        <v>2180</v>
      </c>
      <c r="C912" s="207">
        <v>80700</v>
      </c>
      <c r="D912" s="203">
        <v>80461</v>
      </c>
      <c r="E912" s="202" t="s">
        <v>1617</v>
      </c>
      <c r="F912" s="203">
        <v>0</v>
      </c>
      <c r="G912" s="202"/>
      <c r="H912" s="202"/>
      <c r="I912" s="202"/>
      <c r="J912" s="202">
        <v>0</v>
      </c>
      <c r="K912" s="202" t="s">
        <v>1613</v>
      </c>
      <c r="L912" s="202"/>
      <c r="M912" s="202"/>
      <c r="N912" s="206">
        <v>40633</v>
      </c>
      <c r="O912" s="206">
        <v>40633</v>
      </c>
      <c r="P912" s="202" t="s">
        <v>1592</v>
      </c>
      <c r="Q912" s="203">
        <v>1000</v>
      </c>
      <c r="R912" s="203">
        <v>14080</v>
      </c>
      <c r="S912" s="204">
        <v>247.56</v>
      </c>
      <c r="T912" s="203">
        <v>14086</v>
      </c>
      <c r="U912" s="204">
        <v>247.56</v>
      </c>
      <c r="V912" s="204">
        <f t="shared" si="25"/>
        <v>0</v>
      </c>
      <c r="W912" s="205">
        <v>6.15</v>
      </c>
      <c r="X912" s="203">
        <v>57260</v>
      </c>
      <c r="Y912" s="204">
        <v>0</v>
      </c>
      <c r="Z912" s="202" t="s">
        <v>97</v>
      </c>
      <c r="AA912" s="202"/>
      <c r="AB912" s="202">
        <v>14676</v>
      </c>
      <c r="AC912" s="202"/>
      <c r="AD912" s="202" t="s">
        <v>1152</v>
      </c>
      <c r="AE912" s="202" t="s">
        <v>1153</v>
      </c>
      <c r="AF912" s="203" t="s">
        <v>1154</v>
      </c>
      <c r="AG912" s="202"/>
      <c r="AH912" s="203" t="s">
        <v>1155</v>
      </c>
      <c r="AI912" s="202">
        <v>0</v>
      </c>
      <c r="AJ912" s="202">
        <v>0</v>
      </c>
    </row>
    <row r="913" spans="2:36">
      <c r="B913" s="203">
        <v>2180</v>
      </c>
      <c r="C913" s="207">
        <v>80699</v>
      </c>
      <c r="D913" s="203">
        <v>80461</v>
      </c>
      <c r="E913" s="202" t="s">
        <v>1616</v>
      </c>
      <c r="F913" s="203">
        <v>0</v>
      </c>
      <c r="G913" s="202"/>
      <c r="H913" s="202"/>
      <c r="I913" s="202"/>
      <c r="J913" s="202">
        <v>0</v>
      </c>
      <c r="K913" s="202" t="s">
        <v>1613</v>
      </c>
      <c r="L913" s="202"/>
      <c r="M913" s="202"/>
      <c r="N913" s="206">
        <v>40633</v>
      </c>
      <c r="O913" s="206">
        <v>40633</v>
      </c>
      <c r="P913" s="202" t="s">
        <v>1592</v>
      </c>
      <c r="Q913" s="203">
        <v>1000</v>
      </c>
      <c r="R913" s="203">
        <v>14080</v>
      </c>
      <c r="S913" s="204">
        <v>1108.8499999999999</v>
      </c>
      <c r="T913" s="203">
        <v>14086</v>
      </c>
      <c r="U913" s="204">
        <v>1108.8499999999999</v>
      </c>
      <c r="V913" s="204">
        <f t="shared" si="25"/>
        <v>0</v>
      </c>
      <c r="W913" s="205">
        <v>27.76</v>
      </c>
      <c r="X913" s="203">
        <v>57260</v>
      </c>
      <c r="Y913" s="204">
        <v>0</v>
      </c>
      <c r="Z913" s="202" t="s">
        <v>97</v>
      </c>
      <c r="AA913" s="202"/>
      <c r="AB913" s="202">
        <v>14691</v>
      </c>
      <c r="AC913" s="202"/>
      <c r="AD913" s="202" t="s">
        <v>1152</v>
      </c>
      <c r="AE913" s="202" t="s">
        <v>1153</v>
      </c>
      <c r="AF913" s="203" t="s">
        <v>1154</v>
      </c>
      <c r="AG913" s="202"/>
      <c r="AH913" s="203" t="s">
        <v>1155</v>
      </c>
      <c r="AI913" s="202">
        <v>0</v>
      </c>
      <c r="AJ913" s="202">
        <v>0</v>
      </c>
    </row>
    <row r="914" spans="2:36">
      <c r="B914" s="203">
        <v>2180</v>
      </c>
      <c r="C914" s="207">
        <v>80698</v>
      </c>
      <c r="D914" s="203">
        <v>80461</v>
      </c>
      <c r="E914" s="202" t="s">
        <v>1615</v>
      </c>
      <c r="F914" s="203">
        <v>0</v>
      </c>
      <c r="G914" s="202"/>
      <c r="H914" s="202"/>
      <c r="I914" s="202"/>
      <c r="J914" s="202">
        <v>0</v>
      </c>
      <c r="K914" s="202" t="s">
        <v>1613</v>
      </c>
      <c r="L914" s="202"/>
      <c r="M914" s="202"/>
      <c r="N914" s="206">
        <v>40633</v>
      </c>
      <c r="O914" s="206">
        <v>40633</v>
      </c>
      <c r="P914" s="202" t="s">
        <v>1592</v>
      </c>
      <c r="Q914" s="203">
        <v>1000</v>
      </c>
      <c r="R914" s="203">
        <v>14080</v>
      </c>
      <c r="S914" s="204">
        <v>938.88</v>
      </c>
      <c r="T914" s="203">
        <v>14086</v>
      </c>
      <c r="U914" s="204">
        <v>938.88</v>
      </c>
      <c r="V914" s="204">
        <f t="shared" si="25"/>
        <v>0</v>
      </c>
      <c r="W914" s="205">
        <v>23.45</v>
      </c>
      <c r="X914" s="203">
        <v>57260</v>
      </c>
      <c r="Y914" s="204">
        <v>0</v>
      </c>
      <c r="Z914" s="202" t="s">
        <v>97</v>
      </c>
      <c r="AA914" s="202"/>
      <c r="AB914" s="202">
        <v>14665</v>
      </c>
      <c r="AC914" s="202"/>
      <c r="AD914" s="202" t="s">
        <v>1152</v>
      </c>
      <c r="AE914" s="202" t="s">
        <v>1153</v>
      </c>
      <c r="AF914" s="203" t="s">
        <v>1154</v>
      </c>
      <c r="AG914" s="202"/>
      <c r="AH914" s="203" t="s">
        <v>1155</v>
      </c>
      <c r="AI914" s="202">
        <v>0</v>
      </c>
      <c r="AJ914" s="202">
        <v>0</v>
      </c>
    </row>
    <row r="915" spans="2:36">
      <c r="B915" s="203">
        <v>2180</v>
      </c>
      <c r="C915" s="207">
        <v>80697</v>
      </c>
      <c r="D915" s="203">
        <v>80461</v>
      </c>
      <c r="E915" s="202" t="s">
        <v>1614</v>
      </c>
      <c r="F915" s="203">
        <v>0</v>
      </c>
      <c r="G915" s="202"/>
      <c r="H915" s="202"/>
      <c r="I915" s="202"/>
      <c r="J915" s="202">
        <v>0</v>
      </c>
      <c r="K915" s="202" t="s">
        <v>1613</v>
      </c>
      <c r="L915" s="202"/>
      <c r="M915" s="202"/>
      <c r="N915" s="206">
        <v>40633</v>
      </c>
      <c r="O915" s="206">
        <v>40633</v>
      </c>
      <c r="P915" s="202" t="s">
        <v>1592</v>
      </c>
      <c r="Q915" s="203">
        <v>1000</v>
      </c>
      <c r="R915" s="203">
        <v>14080</v>
      </c>
      <c r="S915" s="204">
        <v>196.74</v>
      </c>
      <c r="T915" s="203">
        <v>14086</v>
      </c>
      <c r="U915" s="204">
        <v>196.74</v>
      </c>
      <c r="V915" s="204">
        <f t="shared" si="25"/>
        <v>0</v>
      </c>
      <c r="W915" s="205">
        <v>4.95</v>
      </c>
      <c r="X915" s="203">
        <v>57260</v>
      </c>
      <c r="Y915" s="204">
        <v>0</v>
      </c>
      <c r="Z915" s="202" t="s">
        <v>97</v>
      </c>
      <c r="AA915" s="202"/>
      <c r="AB915" s="202">
        <v>14721</v>
      </c>
      <c r="AC915" s="202"/>
      <c r="AD915" s="202" t="s">
        <v>1152</v>
      </c>
      <c r="AE915" s="202" t="s">
        <v>1153</v>
      </c>
      <c r="AF915" s="203" t="s">
        <v>1154</v>
      </c>
      <c r="AG915" s="202"/>
      <c r="AH915" s="203" t="s">
        <v>1155</v>
      </c>
      <c r="AI915" s="202">
        <v>0</v>
      </c>
      <c r="AJ915" s="202">
        <v>0</v>
      </c>
    </row>
    <row r="916" spans="2:36">
      <c r="B916" s="203">
        <v>2180</v>
      </c>
      <c r="C916" s="207">
        <v>80696</v>
      </c>
      <c r="D916" s="203">
        <v>80461</v>
      </c>
      <c r="E916" s="202" t="s">
        <v>1612</v>
      </c>
      <c r="F916" s="203">
        <v>0</v>
      </c>
      <c r="G916" s="202"/>
      <c r="H916" s="202"/>
      <c r="I916" s="202"/>
      <c r="J916" s="202">
        <v>0</v>
      </c>
      <c r="K916" s="202" t="s">
        <v>1611</v>
      </c>
      <c r="L916" s="202"/>
      <c r="M916" s="202"/>
      <c r="N916" s="206">
        <v>40633</v>
      </c>
      <c r="O916" s="206">
        <v>40633</v>
      </c>
      <c r="P916" s="202" t="s">
        <v>1592</v>
      </c>
      <c r="Q916" s="203">
        <v>2000</v>
      </c>
      <c r="R916" s="203">
        <v>14080</v>
      </c>
      <c r="S916" s="204">
        <v>-11853.59</v>
      </c>
      <c r="T916" s="203">
        <v>14086</v>
      </c>
      <c r="U916" s="204">
        <v>-6371.31</v>
      </c>
      <c r="V916" s="204">
        <f t="shared" si="25"/>
        <v>-5482.28</v>
      </c>
      <c r="W916" s="205">
        <v>-592.67999999999995</v>
      </c>
      <c r="X916" s="203">
        <v>57260</v>
      </c>
      <c r="Y916" s="204">
        <v>-49.39</v>
      </c>
      <c r="Z916" s="202" t="s">
        <v>97</v>
      </c>
      <c r="AA916" s="202"/>
      <c r="AB916" s="202">
        <v>7076716</v>
      </c>
      <c r="AC916" s="202"/>
      <c r="AD916" s="202" t="s">
        <v>1152</v>
      </c>
      <c r="AE916" s="202" t="s">
        <v>1153</v>
      </c>
      <c r="AF916" s="203" t="s">
        <v>1154</v>
      </c>
      <c r="AG916" s="202"/>
      <c r="AH916" s="203" t="s">
        <v>1155</v>
      </c>
      <c r="AI916" s="202">
        <v>0</v>
      </c>
      <c r="AJ916" s="202">
        <v>0</v>
      </c>
    </row>
    <row r="917" spans="2:36">
      <c r="B917" s="203">
        <v>2180</v>
      </c>
      <c r="C917" s="207">
        <v>80695</v>
      </c>
      <c r="D917" s="203">
        <v>80461</v>
      </c>
      <c r="E917" s="202" t="s">
        <v>1610</v>
      </c>
      <c r="F917" s="203">
        <v>0</v>
      </c>
      <c r="G917" s="202"/>
      <c r="H917" s="202"/>
      <c r="I917" s="202"/>
      <c r="J917" s="202">
        <v>0</v>
      </c>
      <c r="K917" s="202" t="s">
        <v>1609</v>
      </c>
      <c r="L917" s="202"/>
      <c r="M917" s="202"/>
      <c r="N917" s="206">
        <v>40633</v>
      </c>
      <c r="O917" s="206">
        <v>40633</v>
      </c>
      <c r="P917" s="202" t="s">
        <v>1592</v>
      </c>
      <c r="Q917" s="203">
        <v>2000</v>
      </c>
      <c r="R917" s="203">
        <v>14080</v>
      </c>
      <c r="S917" s="204">
        <v>3836.43</v>
      </c>
      <c r="T917" s="203">
        <v>14086</v>
      </c>
      <c r="U917" s="204">
        <v>2061.98</v>
      </c>
      <c r="V917" s="204">
        <f t="shared" si="25"/>
        <v>1774.4499999999998</v>
      </c>
      <c r="W917" s="205">
        <v>191.81</v>
      </c>
      <c r="X917" s="203">
        <v>57260</v>
      </c>
      <c r="Y917" s="204">
        <v>15.98</v>
      </c>
      <c r="Z917" s="202" t="s">
        <v>97</v>
      </c>
      <c r="AA917" s="202"/>
      <c r="AB917" s="202">
        <v>110020</v>
      </c>
      <c r="AC917" s="202"/>
      <c r="AD917" s="202" t="s">
        <v>1152</v>
      </c>
      <c r="AE917" s="202" t="s">
        <v>1153</v>
      </c>
      <c r="AF917" s="203" t="s">
        <v>1154</v>
      </c>
      <c r="AG917" s="202"/>
      <c r="AH917" s="203" t="s">
        <v>1155</v>
      </c>
      <c r="AI917" s="202">
        <v>0</v>
      </c>
      <c r="AJ917" s="202">
        <v>0</v>
      </c>
    </row>
    <row r="918" spans="2:36">
      <c r="B918" s="203">
        <v>2180</v>
      </c>
      <c r="C918" s="207">
        <v>80692</v>
      </c>
      <c r="D918" s="203">
        <v>80460</v>
      </c>
      <c r="E918" s="202" t="s">
        <v>1608</v>
      </c>
      <c r="F918" s="203">
        <v>0</v>
      </c>
      <c r="G918" s="202"/>
      <c r="H918" s="202"/>
      <c r="I918" s="202"/>
      <c r="J918" s="202">
        <v>0</v>
      </c>
      <c r="K918" s="202" t="s">
        <v>1607</v>
      </c>
      <c r="L918" s="202"/>
      <c r="M918" s="202"/>
      <c r="N918" s="206">
        <v>40633</v>
      </c>
      <c r="O918" s="206">
        <v>40633</v>
      </c>
      <c r="P918" s="202" t="s">
        <v>1584</v>
      </c>
      <c r="Q918" s="203">
        <v>500</v>
      </c>
      <c r="R918" s="203">
        <v>14070</v>
      </c>
      <c r="S918" s="204">
        <v>1737.87</v>
      </c>
      <c r="T918" s="203">
        <v>14076</v>
      </c>
      <c r="U918" s="204">
        <v>1737.87</v>
      </c>
      <c r="V918" s="204">
        <f t="shared" si="25"/>
        <v>0</v>
      </c>
      <c r="W918" s="205">
        <v>0</v>
      </c>
      <c r="X918" s="203">
        <v>51260</v>
      </c>
      <c r="Y918" s="204">
        <v>0</v>
      </c>
      <c r="Z918" s="202" t="s">
        <v>97</v>
      </c>
      <c r="AA918" s="202"/>
      <c r="AB918" s="202">
        <v>15724</v>
      </c>
      <c r="AC918" s="202"/>
      <c r="AD918" s="202" t="s">
        <v>1152</v>
      </c>
      <c r="AE918" s="202" t="s">
        <v>1153</v>
      </c>
      <c r="AF918" s="203" t="s">
        <v>1154</v>
      </c>
      <c r="AG918" s="202"/>
      <c r="AH918" s="203" t="s">
        <v>1155</v>
      </c>
      <c r="AI918" s="202">
        <v>0</v>
      </c>
      <c r="AJ918" s="202">
        <v>0</v>
      </c>
    </row>
    <row r="919" spans="2:36">
      <c r="B919" s="203">
        <v>2180</v>
      </c>
      <c r="C919" s="207">
        <v>80669</v>
      </c>
      <c r="D919" s="203" t="s">
        <v>97</v>
      </c>
      <c r="E919" s="202" t="s">
        <v>1606</v>
      </c>
      <c r="F919" s="203">
        <v>0</v>
      </c>
      <c r="G919" s="202"/>
      <c r="H919" s="202" t="s">
        <v>1605</v>
      </c>
      <c r="I919" s="202"/>
      <c r="J919" s="202">
        <v>2007</v>
      </c>
      <c r="K919" s="202" t="s">
        <v>1535</v>
      </c>
      <c r="L919" s="202" t="s">
        <v>1534</v>
      </c>
      <c r="M919" s="202" t="s">
        <v>1385</v>
      </c>
      <c r="N919" s="206">
        <v>40616</v>
      </c>
      <c r="O919" s="206">
        <v>40616</v>
      </c>
      <c r="P919" s="202" t="s">
        <v>1604</v>
      </c>
      <c r="Q919" s="203">
        <v>300</v>
      </c>
      <c r="R919" s="203">
        <v>14040</v>
      </c>
      <c r="S919" s="204">
        <v>20000</v>
      </c>
      <c r="T919" s="203">
        <v>14046</v>
      </c>
      <c r="U919" s="204">
        <v>20000</v>
      </c>
      <c r="V919" s="204">
        <f t="shared" si="25"/>
        <v>0</v>
      </c>
      <c r="W919" s="205">
        <v>0</v>
      </c>
      <c r="X919" s="203">
        <v>51260</v>
      </c>
      <c r="Y919" s="204">
        <v>0</v>
      </c>
      <c r="Z919" s="202" t="s">
        <v>97</v>
      </c>
      <c r="AA919" s="202"/>
      <c r="AB919" s="202">
        <v>275040</v>
      </c>
      <c r="AC919" s="202">
        <v>6046</v>
      </c>
      <c r="AD919" s="202" t="s">
        <v>1152</v>
      </c>
      <c r="AE919" s="202" t="s">
        <v>1153</v>
      </c>
      <c r="AF919" s="203" t="s">
        <v>1154</v>
      </c>
      <c r="AG919" s="202"/>
      <c r="AH919" s="203" t="s">
        <v>1155</v>
      </c>
      <c r="AI919" s="202">
        <v>0</v>
      </c>
      <c r="AJ919" s="202">
        <v>0</v>
      </c>
    </row>
    <row r="920" spans="2:36">
      <c r="B920" s="203">
        <v>2180</v>
      </c>
      <c r="C920" s="207">
        <v>80599</v>
      </c>
      <c r="D920" s="203">
        <v>80461</v>
      </c>
      <c r="E920" s="202" t="s">
        <v>1603</v>
      </c>
      <c r="F920" s="203">
        <v>0</v>
      </c>
      <c r="G920" s="202"/>
      <c r="H920" s="202"/>
      <c r="I920" s="202"/>
      <c r="J920" s="202">
        <v>0</v>
      </c>
      <c r="K920" s="202" t="s">
        <v>1600</v>
      </c>
      <c r="L920" s="202"/>
      <c r="M920" s="202"/>
      <c r="N920" s="206">
        <v>40633</v>
      </c>
      <c r="O920" s="206">
        <v>40633</v>
      </c>
      <c r="P920" s="202" t="s">
        <v>1592</v>
      </c>
      <c r="Q920" s="203">
        <v>2000</v>
      </c>
      <c r="R920" s="203">
        <v>14080</v>
      </c>
      <c r="S920" s="204">
        <v>345</v>
      </c>
      <c r="T920" s="203">
        <v>14086</v>
      </c>
      <c r="U920" s="204">
        <v>185.44</v>
      </c>
      <c r="V920" s="204">
        <f t="shared" si="25"/>
        <v>159.56</v>
      </c>
      <c r="W920" s="205">
        <v>17.25</v>
      </c>
      <c r="X920" s="203">
        <v>57260</v>
      </c>
      <c r="Y920" s="204">
        <v>1.44</v>
      </c>
      <c r="Z920" s="202" t="s">
        <v>97</v>
      </c>
      <c r="AA920" s="202"/>
      <c r="AB920" s="202" t="s">
        <v>1602</v>
      </c>
      <c r="AC920" s="202"/>
      <c r="AD920" s="202" t="s">
        <v>1152</v>
      </c>
      <c r="AE920" s="202" t="s">
        <v>1153</v>
      </c>
      <c r="AF920" s="203" t="s">
        <v>1154</v>
      </c>
      <c r="AG920" s="202"/>
      <c r="AH920" s="203" t="s">
        <v>1155</v>
      </c>
      <c r="AI920" s="202">
        <v>0</v>
      </c>
      <c r="AJ920" s="202">
        <v>0</v>
      </c>
    </row>
    <row r="921" spans="2:36">
      <c r="B921" s="203">
        <v>2180</v>
      </c>
      <c r="C921" s="207">
        <v>80598</v>
      </c>
      <c r="D921" s="203">
        <v>80461</v>
      </c>
      <c r="E921" s="202" t="s">
        <v>1601</v>
      </c>
      <c r="F921" s="203">
        <v>0</v>
      </c>
      <c r="G921" s="202"/>
      <c r="H921" s="202"/>
      <c r="I921" s="202"/>
      <c r="J921" s="202">
        <v>0</v>
      </c>
      <c r="K921" s="202" t="s">
        <v>1600</v>
      </c>
      <c r="L921" s="202"/>
      <c r="M921" s="202"/>
      <c r="N921" s="206">
        <v>40633</v>
      </c>
      <c r="O921" s="206">
        <v>40633</v>
      </c>
      <c r="P921" s="202" t="s">
        <v>1592</v>
      </c>
      <c r="Q921" s="203">
        <v>2000</v>
      </c>
      <c r="R921" s="203">
        <v>14080</v>
      </c>
      <c r="S921" s="204">
        <v>45</v>
      </c>
      <c r="T921" s="203">
        <v>14086</v>
      </c>
      <c r="U921" s="204">
        <v>24.19</v>
      </c>
      <c r="V921" s="204">
        <f t="shared" si="25"/>
        <v>20.81</v>
      </c>
      <c r="W921" s="205">
        <v>2.25</v>
      </c>
      <c r="X921" s="203">
        <v>57260</v>
      </c>
      <c r="Y921" s="204">
        <v>0.19</v>
      </c>
      <c r="Z921" s="202" t="s">
        <v>97</v>
      </c>
      <c r="AA921" s="202"/>
      <c r="AB921" s="202" t="s">
        <v>1599</v>
      </c>
      <c r="AC921" s="202"/>
      <c r="AD921" s="202" t="s">
        <v>1152</v>
      </c>
      <c r="AE921" s="202" t="s">
        <v>1153</v>
      </c>
      <c r="AF921" s="203" t="s">
        <v>1154</v>
      </c>
      <c r="AG921" s="202"/>
      <c r="AH921" s="203" t="s">
        <v>1155</v>
      </c>
      <c r="AI921" s="202">
        <v>0</v>
      </c>
      <c r="AJ921" s="202">
        <v>0</v>
      </c>
    </row>
    <row r="922" spans="2:36">
      <c r="B922" s="203">
        <v>2180</v>
      </c>
      <c r="C922" s="207">
        <v>80468</v>
      </c>
      <c r="D922" s="203" t="s">
        <v>97</v>
      </c>
      <c r="E922" s="202" t="s">
        <v>1598</v>
      </c>
      <c r="F922" s="203">
        <v>0</v>
      </c>
      <c r="G922" s="202"/>
      <c r="H922" s="202"/>
      <c r="I922" s="202"/>
      <c r="J922" s="202">
        <v>0</v>
      </c>
      <c r="K922" s="202"/>
      <c r="L922" s="202"/>
      <c r="M922" s="202"/>
      <c r="N922" s="206">
        <v>40633</v>
      </c>
      <c r="O922" s="206">
        <v>40633</v>
      </c>
      <c r="P922" s="202" t="s">
        <v>1597</v>
      </c>
      <c r="Q922" s="203">
        <v>1000</v>
      </c>
      <c r="R922" s="203">
        <v>14100</v>
      </c>
      <c r="S922" s="204">
        <v>188184.69</v>
      </c>
      <c r="T922" s="203">
        <v>14106</v>
      </c>
      <c r="U922" s="204">
        <v>188184.69</v>
      </c>
      <c r="V922" s="204">
        <f t="shared" si="25"/>
        <v>0</v>
      </c>
      <c r="W922" s="205">
        <v>4704.6099999999997</v>
      </c>
      <c r="X922" s="203">
        <v>70260</v>
      </c>
      <c r="Y922" s="204">
        <v>0</v>
      </c>
      <c r="Z922" s="202" t="s">
        <v>97</v>
      </c>
      <c r="AA922" s="202"/>
      <c r="AB922" s="202">
        <v>159534</v>
      </c>
      <c r="AC922" s="202"/>
      <c r="AD922" s="202" t="s">
        <v>1152</v>
      </c>
      <c r="AE922" s="202" t="s">
        <v>1153</v>
      </c>
      <c r="AF922" s="203" t="s">
        <v>1154</v>
      </c>
      <c r="AG922" s="202"/>
      <c r="AH922" s="203" t="s">
        <v>1155</v>
      </c>
      <c r="AI922" s="202">
        <v>0</v>
      </c>
      <c r="AJ922" s="202">
        <v>0</v>
      </c>
    </row>
    <row r="923" spans="2:36">
      <c r="B923" s="203">
        <v>2180</v>
      </c>
      <c r="C923" s="207">
        <v>80467</v>
      </c>
      <c r="D923" s="203" t="s">
        <v>97</v>
      </c>
      <c r="E923" s="202" t="s">
        <v>1596</v>
      </c>
      <c r="F923" s="203">
        <v>0</v>
      </c>
      <c r="G923" s="202"/>
      <c r="H923" s="202"/>
      <c r="I923" s="202"/>
      <c r="J923" s="202">
        <v>0</v>
      </c>
      <c r="K923" s="202" t="s">
        <v>1595</v>
      </c>
      <c r="L923" s="202"/>
      <c r="M923" s="202"/>
      <c r="N923" s="206">
        <v>40633</v>
      </c>
      <c r="O923" s="206">
        <v>40633</v>
      </c>
      <c r="P923" s="202" t="s">
        <v>1594</v>
      </c>
      <c r="Q923" s="203">
        <v>500</v>
      </c>
      <c r="R923" s="203">
        <v>14100</v>
      </c>
      <c r="S923" s="204">
        <v>97999.12</v>
      </c>
      <c r="T923" s="203">
        <v>14106</v>
      </c>
      <c r="U923" s="204">
        <v>97999.12</v>
      </c>
      <c r="V923" s="204">
        <f t="shared" si="25"/>
        <v>0</v>
      </c>
      <c r="W923" s="205">
        <v>0</v>
      </c>
      <c r="X923" s="203">
        <v>70260</v>
      </c>
      <c r="Y923" s="204">
        <v>0</v>
      </c>
      <c r="Z923" s="202" t="s">
        <v>97</v>
      </c>
      <c r="AA923" s="202"/>
      <c r="AB923" s="202">
        <v>15588</v>
      </c>
      <c r="AC923" s="202"/>
      <c r="AD923" s="202" t="s">
        <v>1152</v>
      </c>
      <c r="AE923" s="202" t="s">
        <v>1153</v>
      </c>
      <c r="AF923" s="203" t="s">
        <v>1154</v>
      </c>
      <c r="AG923" s="202"/>
      <c r="AH923" s="203" t="s">
        <v>1155</v>
      </c>
      <c r="AI923" s="202">
        <v>0</v>
      </c>
      <c r="AJ923" s="202">
        <v>0</v>
      </c>
    </row>
    <row r="924" spans="2:36">
      <c r="B924" s="203">
        <v>2180</v>
      </c>
      <c r="C924" s="207">
        <v>80463</v>
      </c>
      <c r="D924" s="203">
        <v>80461</v>
      </c>
      <c r="E924" s="202" t="s">
        <v>1593</v>
      </c>
      <c r="F924" s="203">
        <v>0</v>
      </c>
      <c r="G924" s="202"/>
      <c r="H924" s="202"/>
      <c r="I924" s="202"/>
      <c r="J924" s="202">
        <v>0</v>
      </c>
      <c r="K924" s="202"/>
      <c r="L924" s="202"/>
      <c r="M924" s="202"/>
      <c r="N924" s="206">
        <v>40633</v>
      </c>
      <c r="O924" s="206">
        <v>40633</v>
      </c>
      <c r="P924" s="202" t="s">
        <v>1592</v>
      </c>
      <c r="Q924" s="203">
        <v>2000</v>
      </c>
      <c r="R924" s="203">
        <v>14080</v>
      </c>
      <c r="S924" s="204">
        <v>6424143.0099999998</v>
      </c>
      <c r="T924" s="203">
        <v>14086</v>
      </c>
      <c r="U924" s="204">
        <v>3452976.86</v>
      </c>
      <c r="V924" s="204">
        <f t="shared" si="25"/>
        <v>2971166.15</v>
      </c>
      <c r="W924" s="205">
        <v>321207.15000000002</v>
      </c>
      <c r="X924" s="203">
        <v>57260</v>
      </c>
      <c r="Y924" s="204">
        <v>26767.26</v>
      </c>
      <c r="Z924" s="202" t="s">
        <v>97</v>
      </c>
      <c r="AA924" s="202"/>
      <c r="AB924" s="202">
        <v>123432</v>
      </c>
      <c r="AC924" s="202"/>
      <c r="AD924" s="202" t="s">
        <v>1152</v>
      </c>
      <c r="AE924" s="202" t="s">
        <v>1153</v>
      </c>
      <c r="AF924" s="203" t="s">
        <v>1154</v>
      </c>
      <c r="AG924" s="202"/>
      <c r="AH924" s="203" t="s">
        <v>1155</v>
      </c>
      <c r="AI924" s="202">
        <v>0</v>
      </c>
      <c r="AJ924" s="202">
        <v>0</v>
      </c>
    </row>
    <row r="925" spans="2:36">
      <c r="B925" s="203">
        <v>2180</v>
      </c>
      <c r="C925" s="207">
        <v>80462</v>
      </c>
      <c r="D925" s="203">
        <v>80461</v>
      </c>
      <c r="E925" s="202" t="s">
        <v>1591</v>
      </c>
      <c r="F925" s="203">
        <v>0</v>
      </c>
      <c r="G925" s="202"/>
      <c r="H925" s="202"/>
      <c r="I925" s="202"/>
      <c r="J925" s="202">
        <v>0</v>
      </c>
      <c r="K925" s="202"/>
      <c r="L925" s="202"/>
      <c r="M925" s="202"/>
      <c r="N925" s="206">
        <v>40633</v>
      </c>
      <c r="O925" s="206">
        <v>40633</v>
      </c>
      <c r="P925" s="202" t="s">
        <v>1590</v>
      </c>
      <c r="Q925" s="203">
        <v>2000</v>
      </c>
      <c r="R925" s="203">
        <v>14080</v>
      </c>
      <c r="S925" s="204">
        <v>210612.12</v>
      </c>
      <c r="T925" s="203">
        <v>14086</v>
      </c>
      <c r="U925" s="204">
        <v>113204.06</v>
      </c>
      <c r="V925" s="204">
        <f t="shared" si="25"/>
        <v>97408.06</v>
      </c>
      <c r="W925" s="205">
        <v>10530.61</v>
      </c>
      <c r="X925" s="203">
        <v>57260</v>
      </c>
      <c r="Y925" s="204">
        <v>877.55</v>
      </c>
      <c r="Z925" s="202" t="s">
        <v>97</v>
      </c>
      <c r="AA925" s="202"/>
      <c r="AB925" s="202">
        <v>663291</v>
      </c>
      <c r="AC925" s="202"/>
      <c r="AD925" s="202" t="s">
        <v>1152</v>
      </c>
      <c r="AE925" s="202" t="s">
        <v>1153</v>
      </c>
      <c r="AF925" s="203" t="s">
        <v>1154</v>
      </c>
      <c r="AG925" s="202"/>
      <c r="AH925" s="203" t="s">
        <v>1155</v>
      </c>
      <c r="AI925" s="202">
        <v>0</v>
      </c>
      <c r="AJ925" s="202">
        <v>0</v>
      </c>
    </row>
    <row r="926" spans="2:36">
      <c r="B926" s="203">
        <v>2180</v>
      </c>
      <c r="C926" s="207">
        <v>80461</v>
      </c>
      <c r="D926" s="203" t="s">
        <v>97</v>
      </c>
      <c r="E926" s="202" t="s">
        <v>1589</v>
      </c>
      <c r="F926" s="203">
        <v>0</v>
      </c>
      <c r="G926" s="202"/>
      <c r="H926" s="202"/>
      <c r="I926" s="202"/>
      <c r="J926" s="202">
        <v>0</v>
      </c>
      <c r="K926" s="202"/>
      <c r="L926" s="202"/>
      <c r="M926" s="202"/>
      <c r="N926" s="206">
        <v>40633</v>
      </c>
      <c r="O926" s="206">
        <v>40633</v>
      </c>
      <c r="P926" s="202" t="s">
        <v>1588</v>
      </c>
      <c r="Q926" s="203">
        <v>2000</v>
      </c>
      <c r="R926" s="203">
        <v>14080</v>
      </c>
      <c r="S926" s="204">
        <v>269528.37</v>
      </c>
      <c r="T926" s="203">
        <v>14086</v>
      </c>
      <c r="U926" s="204">
        <v>144871.51</v>
      </c>
      <c r="V926" s="204">
        <f t="shared" si="25"/>
        <v>124656.85999999999</v>
      </c>
      <c r="W926" s="205">
        <v>13476.42</v>
      </c>
      <c r="X926" s="203">
        <v>57260</v>
      </c>
      <c r="Y926" s="204">
        <v>1123.03</v>
      </c>
      <c r="Z926" s="202" t="s">
        <v>97</v>
      </c>
      <c r="AA926" s="202"/>
      <c r="AB926" s="202" t="s">
        <v>1587</v>
      </c>
      <c r="AC926" s="202"/>
      <c r="AD926" s="202" t="s">
        <v>1152</v>
      </c>
      <c r="AE926" s="202" t="s">
        <v>1153</v>
      </c>
      <c r="AF926" s="203" t="s">
        <v>1154</v>
      </c>
      <c r="AG926" s="202"/>
      <c r="AH926" s="203" t="s">
        <v>1155</v>
      </c>
      <c r="AI926" s="202">
        <v>0</v>
      </c>
      <c r="AJ926" s="202">
        <v>0</v>
      </c>
    </row>
    <row r="927" spans="2:36">
      <c r="B927" s="203">
        <v>2180</v>
      </c>
      <c r="C927" s="207">
        <v>80460</v>
      </c>
      <c r="D927" s="203" t="s">
        <v>97</v>
      </c>
      <c r="E927" s="202" t="s">
        <v>1586</v>
      </c>
      <c r="F927" s="203">
        <v>0</v>
      </c>
      <c r="G927" s="202"/>
      <c r="H927" s="202"/>
      <c r="I927" s="202"/>
      <c r="J927" s="202">
        <v>0</v>
      </c>
      <c r="K927" s="202" t="s">
        <v>1585</v>
      </c>
      <c r="L927" s="202"/>
      <c r="M927" s="202"/>
      <c r="N927" s="206">
        <v>40633</v>
      </c>
      <c r="O927" s="206">
        <v>40633</v>
      </c>
      <c r="P927" s="202" t="s">
        <v>1584</v>
      </c>
      <c r="Q927" s="203">
        <v>500</v>
      </c>
      <c r="R927" s="203">
        <v>14070</v>
      </c>
      <c r="S927" s="204">
        <v>121878.12</v>
      </c>
      <c r="T927" s="203">
        <v>14076</v>
      </c>
      <c r="U927" s="204">
        <v>121878.12</v>
      </c>
      <c r="V927" s="204">
        <f t="shared" si="25"/>
        <v>0</v>
      </c>
      <c r="W927" s="205">
        <v>0</v>
      </c>
      <c r="X927" s="203">
        <v>51260</v>
      </c>
      <c r="Y927" s="204">
        <v>0</v>
      </c>
      <c r="Z927" s="202" t="s">
        <v>97</v>
      </c>
      <c r="AA927" s="202"/>
      <c r="AB927" s="202">
        <v>910178579</v>
      </c>
      <c r="AC927" s="202"/>
      <c r="AD927" s="202" t="s">
        <v>1152</v>
      </c>
      <c r="AE927" s="202" t="s">
        <v>1153</v>
      </c>
      <c r="AF927" s="203" t="s">
        <v>1154</v>
      </c>
      <c r="AG927" s="202"/>
      <c r="AH927" s="203" t="s">
        <v>1155</v>
      </c>
      <c r="AI927" s="202">
        <v>0</v>
      </c>
      <c r="AJ927" s="202">
        <v>0</v>
      </c>
    </row>
    <row r="928" spans="2:36">
      <c r="B928" s="203">
        <v>2180</v>
      </c>
      <c r="C928" s="207">
        <v>78221</v>
      </c>
      <c r="D928" s="203" t="s">
        <v>97</v>
      </c>
      <c r="E928" s="202" t="s">
        <v>1583</v>
      </c>
      <c r="F928" s="203">
        <v>20</v>
      </c>
      <c r="G928" s="202"/>
      <c r="H928" s="202"/>
      <c r="I928" s="202"/>
      <c r="J928" s="202">
        <v>0</v>
      </c>
      <c r="K928" s="202" t="s">
        <v>1540</v>
      </c>
      <c r="L928" s="202"/>
      <c r="M928" s="202" t="s">
        <v>1582</v>
      </c>
      <c r="N928" s="206">
        <v>40469</v>
      </c>
      <c r="O928" s="206">
        <v>40469</v>
      </c>
      <c r="P928" s="202" t="s">
        <v>1581</v>
      </c>
      <c r="Q928" s="203">
        <v>700</v>
      </c>
      <c r="R928" s="203">
        <v>14050</v>
      </c>
      <c r="S928" s="204">
        <v>14298.63</v>
      </c>
      <c r="T928" s="203">
        <v>14056</v>
      </c>
      <c r="U928" s="204">
        <v>14298.63</v>
      </c>
      <c r="V928" s="204">
        <f t="shared" si="25"/>
        <v>0</v>
      </c>
      <c r="W928" s="205">
        <v>0</v>
      </c>
      <c r="X928" s="203">
        <v>54260</v>
      </c>
      <c r="Y928" s="204">
        <v>0</v>
      </c>
      <c r="Z928" s="202" t="s">
        <v>97</v>
      </c>
      <c r="AA928" s="202"/>
      <c r="AB928" s="202" t="s">
        <v>1580</v>
      </c>
      <c r="AC928" s="202"/>
      <c r="AD928" s="202" t="s">
        <v>1152</v>
      </c>
      <c r="AE928" s="202" t="s">
        <v>1153</v>
      </c>
      <c r="AF928" s="203" t="s">
        <v>1154</v>
      </c>
      <c r="AG928" s="202"/>
      <c r="AH928" s="203" t="s">
        <v>1155</v>
      </c>
      <c r="AI928" s="202">
        <v>0</v>
      </c>
      <c r="AJ928" s="202">
        <v>0</v>
      </c>
    </row>
    <row r="929" spans="2:36">
      <c r="B929" s="203">
        <v>2180</v>
      </c>
      <c r="C929" s="207">
        <v>77833</v>
      </c>
      <c r="D929" s="203">
        <v>75160</v>
      </c>
      <c r="E929" s="202" t="s">
        <v>1579</v>
      </c>
      <c r="F929" s="203">
        <v>0</v>
      </c>
      <c r="G929" s="202"/>
      <c r="H929" s="202"/>
      <c r="I929" s="202"/>
      <c r="J929" s="202">
        <v>0</v>
      </c>
      <c r="K929" s="202" t="s">
        <v>1576</v>
      </c>
      <c r="L929" s="202"/>
      <c r="M929" s="202"/>
      <c r="N929" s="206">
        <v>40344</v>
      </c>
      <c r="O929" s="206">
        <v>40344</v>
      </c>
      <c r="P929" s="202" t="s">
        <v>1551</v>
      </c>
      <c r="Q929" s="203">
        <v>500</v>
      </c>
      <c r="R929" s="203">
        <v>14070</v>
      </c>
      <c r="S929" s="204">
        <v>1836.24</v>
      </c>
      <c r="T929" s="203">
        <v>14076</v>
      </c>
      <c r="U929" s="204">
        <v>1836.24</v>
      </c>
      <c r="V929" s="204">
        <f t="shared" si="25"/>
        <v>0</v>
      </c>
      <c r="W929" s="205">
        <v>0</v>
      </c>
      <c r="X929" s="203">
        <v>51260</v>
      </c>
      <c r="Y929" s="204">
        <v>0</v>
      </c>
      <c r="Z929" s="202" t="s">
        <v>97</v>
      </c>
      <c r="AA929" s="202"/>
      <c r="AB929" s="202">
        <v>92733</v>
      </c>
      <c r="AC929" s="202"/>
      <c r="AD929" s="202" t="s">
        <v>1152</v>
      </c>
      <c r="AE929" s="202" t="s">
        <v>1153</v>
      </c>
      <c r="AF929" s="203" t="s">
        <v>1154</v>
      </c>
      <c r="AG929" s="202"/>
      <c r="AH929" s="203" t="s">
        <v>1155</v>
      </c>
      <c r="AI929" s="202">
        <v>0</v>
      </c>
      <c r="AJ929" s="202">
        <v>0</v>
      </c>
    </row>
    <row r="930" spans="2:36">
      <c r="B930" s="203">
        <v>2180</v>
      </c>
      <c r="C930" s="207">
        <v>77832</v>
      </c>
      <c r="D930" s="203">
        <v>75160</v>
      </c>
      <c r="E930" s="202" t="s">
        <v>1578</v>
      </c>
      <c r="F930" s="203">
        <v>0</v>
      </c>
      <c r="G930" s="202"/>
      <c r="H930" s="202"/>
      <c r="I930" s="202"/>
      <c r="J930" s="202">
        <v>0</v>
      </c>
      <c r="K930" s="202" t="s">
        <v>1576</v>
      </c>
      <c r="L930" s="202"/>
      <c r="M930" s="202"/>
      <c r="N930" s="206">
        <v>40344</v>
      </c>
      <c r="O930" s="206">
        <v>40344</v>
      </c>
      <c r="P930" s="202" t="s">
        <v>1551</v>
      </c>
      <c r="Q930" s="203">
        <v>500</v>
      </c>
      <c r="R930" s="203">
        <v>14070</v>
      </c>
      <c r="S930" s="204">
        <v>18.2</v>
      </c>
      <c r="T930" s="203">
        <v>14076</v>
      </c>
      <c r="U930" s="204">
        <v>18.2</v>
      </c>
      <c r="V930" s="204">
        <f t="shared" si="25"/>
        <v>0</v>
      </c>
      <c r="W930" s="205">
        <v>0</v>
      </c>
      <c r="X930" s="203">
        <v>51260</v>
      </c>
      <c r="Y930" s="204">
        <v>0</v>
      </c>
      <c r="Z930" s="202" t="s">
        <v>97</v>
      </c>
      <c r="AA930" s="202"/>
      <c r="AB930" s="202">
        <v>92580</v>
      </c>
      <c r="AC930" s="202"/>
      <c r="AD930" s="202" t="s">
        <v>1152</v>
      </c>
      <c r="AE930" s="202" t="s">
        <v>1153</v>
      </c>
      <c r="AF930" s="203" t="s">
        <v>1154</v>
      </c>
      <c r="AG930" s="202"/>
      <c r="AH930" s="203" t="s">
        <v>1155</v>
      </c>
      <c r="AI930" s="202">
        <v>0</v>
      </c>
      <c r="AJ930" s="202">
        <v>0</v>
      </c>
    </row>
    <row r="931" spans="2:36">
      <c r="B931" s="203">
        <v>2180</v>
      </c>
      <c r="C931" s="207">
        <v>77831</v>
      </c>
      <c r="D931" s="203">
        <v>75160</v>
      </c>
      <c r="E931" s="202" t="s">
        <v>1577</v>
      </c>
      <c r="F931" s="203">
        <v>0</v>
      </c>
      <c r="G931" s="202"/>
      <c r="H931" s="202"/>
      <c r="I931" s="202"/>
      <c r="J931" s="202">
        <v>0</v>
      </c>
      <c r="K931" s="202" t="s">
        <v>1576</v>
      </c>
      <c r="L931" s="202"/>
      <c r="M931" s="202"/>
      <c r="N931" s="206">
        <v>40344</v>
      </c>
      <c r="O931" s="206">
        <v>40344</v>
      </c>
      <c r="P931" s="202" t="s">
        <v>1551</v>
      </c>
      <c r="Q931" s="203">
        <v>500</v>
      </c>
      <c r="R931" s="203">
        <v>14070</v>
      </c>
      <c r="S931" s="204">
        <v>628</v>
      </c>
      <c r="T931" s="203">
        <v>14076</v>
      </c>
      <c r="U931" s="204">
        <v>628</v>
      </c>
      <c r="V931" s="204">
        <f t="shared" si="25"/>
        <v>0</v>
      </c>
      <c r="W931" s="205">
        <v>0</v>
      </c>
      <c r="X931" s="203">
        <v>51260</v>
      </c>
      <c r="Y931" s="204">
        <v>0</v>
      </c>
      <c r="Z931" s="202" t="s">
        <v>97</v>
      </c>
      <c r="AA931" s="202"/>
      <c r="AB931" s="202">
        <v>92737</v>
      </c>
      <c r="AC931" s="202"/>
      <c r="AD931" s="202" t="s">
        <v>1152</v>
      </c>
      <c r="AE931" s="202" t="s">
        <v>1153</v>
      </c>
      <c r="AF931" s="203" t="s">
        <v>1154</v>
      </c>
      <c r="AG931" s="202"/>
      <c r="AH931" s="203" t="s">
        <v>1155</v>
      </c>
      <c r="AI931" s="202">
        <v>0</v>
      </c>
      <c r="AJ931" s="202">
        <v>0</v>
      </c>
    </row>
    <row r="932" spans="2:36">
      <c r="B932" s="203">
        <v>2180</v>
      </c>
      <c r="C932" s="207">
        <v>77554</v>
      </c>
      <c r="D932" s="203" t="s">
        <v>97</v>
      </c>
      <c r="E932" s="202" t="s">
        <v>1575</v>
      </c>
      <c r="F932" s="203">
        <v>20</v>
      </c>
      <c r="G932" s="202"/>
      <c r="H932" s="202"/>
      <c r="I932" s="202"/>
      <c r="J932" s="202">
        <v>0</v>
      </c>
      <c r="K932" s="202" t="s">
        <v>1574</v>
      </c>
      <c r="L932" s="202"/>
      <c r="M932" s="202" t="s">
        <v>1573</v>
      </c>
      <c r="N932" s="206">
        <v>40451</v>
      </c>
      <c r="O932" s="206">
        <v>40451</v>
      </c>
      <c r="P932" s="202" t="s">
        <v>1572</v>
      </c>
      <c r="Q932" s="203">
        <v>1200</v>
      </c>
      <c r="R932" s="203">
        <v>14050</v>
      </c>
      <c r="S932" s="204">
        <v>7541.7</v>
      </c>
      <c r="T932" s="203">
        <v>14056</v>
      </c>
      <c r="U932" s="204">
        <v>7070.36</v>
      </c>
      <c r="V932" s="204">
        <f t="shared" si="25"/>
        <v>471.34000000000015</v>
      </c>
      <c r="W932" s="205">
        <v>628.48</v>
      </c>
      <c r="X932" s="203">
        <v>54260</v>
      </c>
      <c r="Y932" s="204">
        <v>52.37</v>
      </c>
      <c r="Z932" s="202" t="s">
        <v>97</v>
      </c>
      <c r="AA932" s="202"/>
      <c r="AB932" s="202">
        <v>50467</v>
      </c>
      <c r="AC932" s="202"/>
      <c r="AD932" s="202" t="s">
        <v>1152</v>
      </c>
      <c r="AE932" s="202" t="s">
        <v>1153</v>
      </c>
      <c r="AF932" s="203" t="s">
        <v>1154</v>
      </c>
      <c r="AG932" s="202"/>
      <c r="AH932" s="203" t="s">
        <v>1155</v>
      </c>
      <c r="AI932" s="202">
        <v>2</v>
      </c>
      <c r="AJ932" s="202">
        <v>0</v>
      </c>
    </row>
    <row r="933" spans="2:36">
      <c r="B933" s="203">
        <v>2180</v>
      </c>
      <c r="C933" s="207">
        <v>77551</v>
      </c>
      <c r="D933" s="203" t="s">
        <v>97</v>
      </c>
      <c r="E933" s="202" t="s">
        <v>1571</v>
      </c>
      <c r="F933" s="203">
        <v>486</v>
      </c>
      <c r="G933" s="202"/>
      <c r="H933" s="202" t="s">
        <v>1570</v>
      </c>
      <c r="I933" s="202"/>
      <c r="J933" s="202">
        <v>0</v>
      </c>
      <c r="K933" s="202" t="s">
        <v>1540</v>
      </c>
      <c r="L933" s="202"/>
      <c r="M933" s="202"/>
      <c r="N933" s="206">
        <v>40442</v>
      </c>
      <c r="O933" s="206">
        <v>40442</v>
      </c>
      <c r="P933" s="202" t="s">
        <v>1569</v>
      </c>
      <c r="Q933" s="203">
        <v>700</v>
      </c>
      <c r="R933" s="203">
        <v>14050</v>
      </c>
      <c r="S933" s="204">
        <v>23638.32</v>
      </c>
      <c r="T933" s="203">
        <v>14056</v>
      </c>
      <c r="U933" s="204">
        <v>23638.32</v>
      </c>
      <c r="V933" s="204">
        <f t="shared" si="25"/>
        <v>0</v>
      </c>
      <c r="W933" s="205">
        <v>0</v>
      </c>
      <c r="X933" s="203">
        <v>54260</v>
      </c>
      <c r="Y933" s="204">
        <v>0</v>
      </c>
      <c r="Z933" s="202" t="s">
        <v>97</v>
      </c>
      <c r="AA933" s="202"/>
      <c r="AB933" s="202" t="s">
        <v>1568</v>
      </c>
      <c r="AC933" s="202"/>
      <c r="AD933" s="202" t="s">
        <v>1152</v>
      </c>
      <c r="AE933" s="202" t="s">
        <v>1153</v>
      </c>
      <c r="AF933" s="203" t="s">
        <v>1154</v>
      </c>
      <c r="AG933" s="202"/>
      <c r="AH933" s="203" t="s">
        <v>1155</v>
      </c>
      <c r="AI933" s="202">
        <v>0</v>
      </c>
      <c r="AJ933" s="202">
        <v>0</v>
      </c>
    </row>
    <row r="934" spans="2:36">
      <c r="B934" s="203">
        <v>2180</v>
      </c>
      <c r="C934" s="207">
        <v>76637</v>
      </c>
      <c r="D934" s="203" t="s">
        <v>97</v>
      </c>
      <c r="E934" s="202" t="s">
        <v>1567</v>
      </c>
      <c r="F934" s="203">
        <v>0</v>
      </c>
      <c r="G934" s="202"/>
      <c r="H934" s="202"/>
      <c r="I934" s="202"/>
      <c r="J934" s="202">
        <v>0</v>
      </c>
      <c r="K934" s="202" t="s">
        <v>1566</v>
      </c>
      <c r="L934" s="202"/>
      <c r="M934" s="202"/>
      <c r="N934" s="206">
        <v>40405</v>
      </c>
      <c r="O934" s="206">
        <v>40405</v>
      </c>
      <c r="P934" s="202" t="s">
        <v>1565</v>
      </c>
      <c r="Q934" s="203">
        <v>1000</v>
      </c>
      <c r="R934" s="203">
        <v>14100</v>
      </c>
      <c r="S934" s="204">
        <v>2684.4</v>
      </c>
      <c r="T934" s="203">
        <v>14106</v>
      </c>
      <c r="U934" s="204">
        <v>2684.4</v>
      </c>
      <c r="V934" s="204">
        <f t="shared" si="25"/>
        <v>0</v>
      </c>
      <c r="W934" s="205">
        <v>0</v>
      </c>
      <c r="X934" s="203">
        <v>70260</v>
      </c>
      <c r="Y934" s="204">
        <v>0</v>
      </c>
      <c r="Z934" s="202" t="s">
        <v>97</v>
      </c>
      <c r="AA934" s="202"/>
      <c r="AB934" s="202" t="s">
        <v>1564</v>
      </c>
      <c r="AC934" s="202"/>
      <c r="AD934" s="202" t="s">
        <v>1152</v>
      </c>
      <c r="AE934" s="202" t="s">
        <v>1153</v>
      </c>
      <c r="AF934" s="203" t="s">
        <v>1154</v>
      </c>
      <c r="AG934" s="202"/>
      <c r="AH934" s="203" t="s">
        <v>1155</v>
      </c>
      <c r="AI934" s="202">
        <v>0</v>
      </c>
      <c r="AJ934" s="202">
        <v>0</v>
      </c>
    </row>
    <row r="935" spans="2:36">
      <c r="B935" s="203">
        <v>2180</v>
      </c>
      <c r="C935" s="207">
        <v>76468</v>
      </c>
      <c r="D935" s="203" t="s">
        <v>97</v>
      </c>
      <c r="E935" s="202" t="s">
        <v>1563</v>
      </c>
      <c r="F935" s="203">
        <v>437</v>
      </c>
      <c r="G935" s="202"/>
      <c r="H935" s="202" t="s">
        <v>1562</v>
      </c>
      <c r="I935" s="202"/>
      <c r="J935" s="202">
        <v>0</v>
      </c>
      <c r="K935" s="202" t="s">
        <v>1540</v>
      </c>
      <c r="L935" s="202"/>
      <c r="M935" s="202"/>
      <c r="N935" s="206">
        <v>40354</v>
      </c>
      <c r="O935" s="206">
        <v>40354</v>
      </c>
      <c r="P935" s="202" t="s">
        <v>1561</v>
      </c>
      <c r="Q935" s="203">
        <v>700</v>
      </c>
      <c r="R935" s="203">
        <v>14050</v>
      </c>
      <c r="S935" s="204">
        <v>23084.39</v>
      </c>
      <c r="T935" s="203">
        <v>14056</v>
      </c>
      <c r="U935" s="204">
        <v>23084.39</v>
      </c>
      <c r="V935" s="204">
        <f t="shared" si="25"/>
        <v>0</v>
      </c>
      <c r="W935" s="205">
        <v>0</v>
      </c>
      <c r="X935" s="203">
        <v>54260</v>
      </c>
      <c r="Y935" s="204">
        <v>0</v>
      </c>
      <c r="Z935" s="202" t="s">
        <v>97</v>
      </c>
      <c r="AA935" s="202"/>
      <c r="AB935" s="202" t="s">
        <v>1560</v>
      </c>
      <c r="AC935" s="202"/>
      <c r="AD935" s="202" t="s">
        <v>1152</v>
      </c>
      <c r="AE935" s="202" t="s">
        <v>1153</v>
      </c>
      <c r="AF935" s="203" t="s">
        <v>1154</v>
      </c>
      <c r="AG935" s="202"/>
      <c r="AH935" s="203" t="s">
        <v>1155</v>
      </c>
      <c r="AI935" s="202">
        <v>0</v>
      </c>
      <c r="AJ935" s="202">
        <v>0</v>
      </c>
    </row>
    <row r="936" spans="2:36">
      <c r="B936" s="203">
        <v>2180</v>
      </c>
      <c r="C936" s="207">
        <v>75722</v>
      </c>
      <c r="D936" s="203" t="s">
        <v>97</v>
      </c>
      <c r="E936" s="202" t="s">
        <v>1559</v>
      </c>
      <c r="F936" s="203">
        <v>15</v>
      </c>
      <c r="G936" s="202"/>
      <c r="H936" s="202"/>
      <c r="I936" s="202"/>
      <c r="J936" s="202">
        <v>0</v>
      </c>
      <c r="K936" s="202" t="s">
        <v>1540</v>
      </c>
      <c r="L936" s="202"/>
      <c r="M936" s="202" t="s">
        <v>1558</v>
      </c>
      <c r="N936" s="206">
        <v>40346</v>
      </c>
      <c r="O936" s="206">
        <v>40346</v>
      </c>
      <c r="P936" s="202" t="s">
        <v>1554</v>
      </c>
      <c r="Q936" s="203">
        <v>700</v>
      </c>
      <c r="R936" s="203">
        <v>14050</v>
      </c>
      <c r="S936" s="204">
        <v>10520</v>
      </c>
      <c r="T936" s="203">
        <v>14056</v>
      </c>
      <c r="U936" s="204">
        <v>10520</v>
      </c>
      <c r="V936" s="204">
        <f t="shared" si="25"/>
        <v>0</v>
      </c>
      <c r="W936" s="205">
        <v>0</v>
      </c>
      <c r="X936" s="203">
        <v>54260</v>
      </c>
      <c r="Y936" s="204">
        <v>0</v>
      </c>
      <c r="Z936" s="202" t="s">
        <v>97</v>
      </c>
      <c r="AA936" s="202"/>
      <c r="AB936" s="202" t="s">
        <v>1557</v>
      </c>
      <c r="AC936" s="202"/>
      <c r="AD936" s="202" t="s">
        <v>1152</v>
      </c>
      <c r="AE936" s="202" t="s">
        <v>1153</v>
      </c>
      <c r="AF936" s="203" t="s">
        <v>1154</v>
      </c>
      <c r="AG936" s="202"/>
      <c r="AH936" s="203" t="s">
        <v>1155</v>
      </c>
      <c r="AI936" s="202">
        <v>0</v>
      </c>
      <c r="AJ936" s="202">
        <v>0</v>
      </c>
    </row>
    <row r="937" spans="2:36">
      <c r="B937" s="203">
        <v>2180</v>
      </c>
      <c r="C937" s="207">
        <v>75721</v>
      </c>
      <c r="D937" s="203" t="s">
        <v>97</v>
      </c>
      <c r="E937" s="202" t="s">
        <v>1556</v>
      </c>
      <c r="F937" s="203">
        <v>25</v>
      </c>
      <c r="G937" s="202"/>
      <c r="H937" s="202"/>
      <c r="I937" s="202"/>
      <c r="J937" s="202">
        <v>0</v>
      </c>
      <c r="K937" s="202" t="s">
        <v>1540</v>
      </c>
      <c r="L937" s="202"/>
      <c r="M937" s="202" t="s">
        <v>1555</v>
      </c>
      <c r="N937" s="206">
        <v>40346</v>
      </c>
      <c r="O937" s="206">
        <v>40346</v>
      </c>
      <c r="P937" s="202" t="s">
        <v>1554</v>
      </c>
      <c r="Q937" s="203">
        <v>700</v>
      </c>
      <c r="R937" s="203">
        <v>14050</v>
      </c>
      <c r="S937" s="204">
        <v>6853.97</v>
      </c>
      <c r="T937" s="203">
        <v>14056</v>
      </c>
      <c r="U937" s="204">
        <v>6853.97</v>
      </c>
      <c r="V937" s="204">
        <f t="shared" si="25"/>
        <v>0</v>
      </c>
      <c r="W937" s="205">
        <v>0</v>
      </c>
      <c r="X937" s="203">
        <v>54260</v>
      </c>
      <c r="Y937" s="204">
        <v>0</v>
      </c>
      <c r="Z937" s="202" t="s">
        <v>97</v>
      </c>
      <c r="AA937" s="202"/>
      <c r="AB937" s="202" t="s">
        <v>1553</v>
      </c>
      <c r="AC937" s="202"/>
      <c r="AD937" s="202" t="s">
        <v>1152</v>
      </c>
      <c r="AE937" s="202" t="s">
        <v>1153</v>
      </c>
      <c r="AF937" s="203" t="s">
        <v>1154</v>
      </c>
      <c r="AG937" s="202"/>
      <c r="AH937" s="203" t="s">
        <v>1155</v>
      </c>
      <c r="AI937" s="202">
        <v>2</v>
      </c>
      <c r="AJ937" s="202">
        <v>0</v>
      </c>
    </row>
    <row r="938" spans="2:36">
      <c r="B938" s="203">
        <v>2180</v>
      </c>
      <c r="C938" s="207">
        <v>75160</v>
      </c>
      <c r="D938" s="203" t="s">
        <v>97</v>
      </c>
      <c r="E938" s="202" t="s">
        <v>1552</v>
      </c>
      <c r="F938" s="203">
        <v>0</v>
      </c>
      <c r="G938" s="202"/>
      <c r="H938" s="202"/>
      <c r="I938" s="202"/>
      <c r="J938" s="202">
        <v>0</v>
      </c>
      <c r="K938" s="202"/>
      <c r="L938" s="202"/>
      <c r="M938" s="202"/>
      <c r="N938" s="206">
        <v>40344</v>
      </c>
      <c r="O938" s="206">
        <v>40344</v>
      </c>
      <c r="P938" s="202" t="s">
        <v>1551</v>
      </c>
      <c r="Q938" s="203">
        <v>500</v>
      </c>
      <c r="R938" s="203">
        <v>14070</v>
      </c>
      <c r="S938" s="204">
        <v>14289.88</v>
      </c>
      <c r="T938" s="203">
        <v>14076</v>
      </c>
      <c r="U938" s="204">
        <v>14289.88</v>
      </c>
      <c r="V938" s="204">
        <f t="shared" si="25"/>
        <v>0</v>
      </c>
      <c r="W938" s="205">
        <v>0</v>
      </c>
      <c r="X938" s="203">
        <v>51260</v>
      </c>
      <c r="Y938" s="204">
        <v>0</v>
      </c>
      <c r="Z938" s="202" t="s">
        <v>97</v>
      </c>
      <c r="AA938" s="202"/>
      <c r="AB938" s="202">
        <v>92441</v>
      </c>
      <c r="AC938" s="202"/>
      <c r="AD938" s="202" t="s">
        <v>1152</v>
      </c>
      <c r="AE938" s="202" t="s">
        <v>1153</v>
      </c>
      <c r="AF938" s="203" t="s">
        <v>1154</v>
      </c>
      <c r="AG938" s="202"/>
      <c r="AH938" s="203" t="s">
        <v>1155</v>
      </c>
      <c r="AI938" s="202">
        <v>0</v>
      </c>
      <c r="AJ938" s="202">
        <v>0</v>
      </c>
    </row>
    <row r="939" spans="2:36">
      <c r="B939" s="203">
        <v>2180</v>
      </c>
      <c r="C939" s="207">
        <v>75009</v>
      </c>
      <c r="D939" s="203" t="s">
        <v>97</v>
      </c>
      <c r="E939" s="202" t="s">
        <v>1550</v>
      </c>
      <c r="F939" s="203">
        <v>13</v>
      </c>
      <c r="G939" s="202"/>
      <c r="H939" s="202"/>
      <c r="I939" s="202"/>
      <c r="J939" s="202">
        <v>0</v>
      </c>
      <c r="K939" s="202" t="s">
        <v>1549</v>
      </c>
      <c r="L939" s="202"/>
      <c r="M939" s="202" t="s">
        <v>1421</v>
      </c>
      <c r="N939" s="206">
        <v>40332</v>
      </c>
      <c r="O939" s="206">
        <v>40332</v>
      </c>
      <c r="P939" s="202" t="s">
        <v>1548</v>
      </c>
      <c r="Q939" s="203">
        <v>1200</v>
      </c>
      <c r="R939" s="203">
        <v>14050</v>
      </c>
      <c r="S939" s="204">
        <v>6771.14</v>
      </c>
      <c r="T939" s="203">
        <v>14056</v>
      </c>
      <c r="U939" s="204">
        <v>6536.01</v>
      </c>
      <c r="V939" s="204">
        <f t="shared" si="25"/>
        <v>235.13000000000011</v>
      </c>
      <c r="W939" s="205">
        <v>564.26</v>
      </c>
      <c r="X939" s="203">
        <v>54260</v>
      </c>
      <c r="Y939" s="204">
        <v>47.02</v>
      </c>
      <c r="Z939" s="202" t="s">
        <v>97</v>
      </c>
      <c r="AA939" s="202"/>
      <c r="AB939" s="202" t="s">
        <v>1547</v>
      </c>
      <c r="AC939" s="202"/>
      <c r="AD939" s="202" t="s">
        <v>1152</v>
      </c>
      <c r="AE939" s="202" t="s">
        <v>1153</v>
      </c>
      <c r="AF939" s="203" t="s">
        <v>1154</v>
      </c>
      <c r="AG939" s="202"/>
      <c r="AH939" s="203" t="s">
        <v>1155</v>
      </c>
      <c r="AI939" s="202">
        <v>0</v>
      </c>
      <c r="AJ939" s="202">
        <v>0</v>
      </c>
    </row>
    <row r="940" spans="2:36">
      <c r="B940" s="203">
        <v>2180</v>
      </c>
      <c r="C940" s="207">
        <v>74451</v>
      </c>
      <c r="D940" s="203" t="s">
        <v>97</v>
      </c>
      <c r="E940" s="202" t="s">
        <v>1546</v>
      </c>
      <c r="F940" s="203">
        <v>0</v>
      </c>
      <c r="G940" s="202"/>
      <c r="H940" s="202"/>
      <c r="I940" s="202"/>
      <c r="J940" s="202">
        <v>0</v>
      </c>
      <c r="K940" s="202" t="s">
        <v>1429</v>
      </c>
      <c r="L940" s="202"/>
      <c r="M940" s="202"/>
      <c r="N940" s="206">
        <v>40308</v>
      </c>
      <c r="O940" s="206">
        <v>40308</v>
      </c>
      <c r="P940" s="202" t="s">
        <v>1545</v>
      </c>
      <c r="Q940" s="203">
        <v>300</v>
      </c>
      <c r="R940" s="203">
        <v>14110</v>
      </c>
      <c r="S940" s="204">
        <v>1574.93</v>
      </c>
      <c r="T940" s="203">
        <v>14116</v>
      </c>
      <c r="U940" s="204">
        <v>1574.93</v>
      </c>
      <c r="V940" s="204">
        <f t="shared" si="25"/>
        <v>0</v>
      </c>
      <c r="W940" s="205">
        <v>0</v>
      </c>
      <c r="X940" s="203">
        <v>70260</v>
      </c>
      <c r="Y940" s="204">
        <v>0</v>
      </c>
      <c r="Z940" s="202" t="s">
        <v>97</v>
      </c>
      <c r="AA940" s="202"/>
      <c r="AB940" s="202" t="s">
        <v>1544</v>
      </c>
      <c r="AC940" s="202"/>
      <c r="AD940" s="202" t="s">
        <v>1152</v>
      </c>
      <c r="AE940" s="202" t="s">
        <v>1153</v>
      </c>
      <c r="AF940" s="203" t="s">
        <v>1154</v>
      </c>
      <c r="AG940" s="202"/>
      <c r="AH940" s="203" t="s">
        <v>1155</v>
      </c>
      <c r="AI940" s="202">
        <v>0</v>
      </c>
      <c r="AJ940" s="202">
        <v>0</v>
      </c>
    </row>
    <row r="941" spans="2:36">
      <c r="B941" s="203">
        <v>2180</v>
      </c>
      <c r="C941" s="207">
        <v>74350</v>
      </c>
      <c r="D941" s="203" t="s">
        <v>97</v>
      </c>
      <c r="E941" s="202" t="s">
        <v>1543</v>
      </c>
      <c r="F941" s="203">
        <v>291</v>
      </c>
      <c r="G941" s="202"/>
      <c r="H941" s="202"/>
      <c r="I941" s="202"/>
      <c r="J941" s="202">
        <v>0</v>
      </c>
      <c r="K941" s="202" t="s">
        <v>1540</v>
      </c>
      <c r="L941" s="202"/>
      <c r="M941" s="202"/>
      <c r="N941" s="206">
        <v>40313</v>
      </c>
      <c r="O941" s="206">
        <v>40313</v>
      </c>
      <c r="P941" s="202" t="s">
        <v>1539</v>
      </c>
      <c r="Q941" s="203">
        <v>700</v>
      </c>
      <c r="R941" s="203">
        <v>14050</v>
      </c>
      <c r="S941" s="204">
        <v>9645.31</v>
      </c>
      <c r="T941" s="203">
        <v>14056</v>
      </c>
      <c r="U941" s="204">
        <v>9645.31</v>
      </c>
      <c r="V941" s="204">
        <f t="shared" si="25"/>
        <v>0</v>
      </c>
      <c r="W941" s="205">
        <v>0</v>
      </c>
      <c r="X941" s="203">
        <v>54260</v>
      </c>
      <c r="Y941" s="204">
        <v>0</v>
      </c>
      <c r="Z941" s="202" t="s">
        <v>97</v>
      </c>
      <c r="AA941" s="202"/>
      <c r="AB941" s="202" t="s">
        <v>1542</v>
      </c>
      <c r="AC941" s="202"/>
      <c r="AD941" s="202" t="s">
        <v>1152</v>
      </c>
      <c r="AE941" s="202" t="s">
        <v>1153</v>
      </c>
      <c r="AF941" s="203" t="s">
        <v>1154</v>
      </c>
      <c r="AG941" s="202"/>
      <c r="AH941" s="203" t="s">
        <v>1155</v>
      </c>
      <c r="AI941" s="202">
        <v>0</v>
      </c>
      <c r="AJ941" s="202">
        <v>0</v>
      </c>
    </row>
    <row r="942" spans="2:36">
      <c r="B942" s="203">
        <v>2180</v>
      </c>
      <c r="C942" s="207">
        <v>74347</v>
      </c>
      <c r="D942" s="203" t="s">
        <v>97</v>
      </c>
      <c r="E942" s="202" t="s">
        <v>1541</v>
      </c>
      <c r="F942" s="203">
        <v>291</v>
      </c>
      <c r="G942" s="202"/>
      <c r="H942" s="202"/>
      <c r="I942" s="202"/>
      <c r="J942" s="202">
        <v>0</v>
      </c>
      <c r="K942" s="202" t="s">
        <v>1540</v>
      </c>
      <c r="L942" s="202"/>
      <c r="M942" s="202"/>
      <c r="N942" s="206">
        <v>40313</v>
      </c>
      <c r="O942" s="206">
        <v>40313</v>
      </c>
      <c r="P942" s="202" t="s">
        <v>1539</v>
      </c>
      <c r="Q942" s="203">
        <v>700</v>
      </c>
      <c r="R942" s="203">
        <v>14050</v>
      </c>
      <c r="S942" s="204">
        <v>16673.25</v>
      </c>
      <c r="T942" s="203">
        <v>14056</v>
      </c>
      <c r="U942" s="204">
        <v>16673.25</v>
      </c>
      <c r="V942" s="204">
        <f t="shared" si="25"/>
        <v>0</v>
      </c>
      <c r="W942" s="205">
        <v>0</v>
      </c>
      <c r="X942" s="203">
        <v>54260</v>
      </c>
      <c r="Y942" s="204">
        <v>0</v>
      </c>
      <c r="Z942" s="202" t="s">
        <v>97</v>
      </c>
      <c r="AA942" s="202"/>
      <c r="AB942" s="202" t="s">
        <v>1538</v>
      </c>
      <c r="AC942" s="202"/>
      <c r="AD942" s="202" t="s">
        <v>1152</v>
      </c>
      <c r="AE942" s="202" t="s">
        <v>1153</v>
      </c>
      <c r="AF942" s="203" t="s">
        <v>1154</v>
      </c>
      <c r="AG942" s="202"/>
      <c r="AH942" s="203" t="s">
        <v>1155</v>
      </c>
      <c r="AI942" s="202">
        <v>0</v>
      </c>
      <c r="AJ942" s="202">
        <v>0</v>
      </c>
    </row>
    <row r="943" spans="2:36">
      <c r="B943" s="203">
        <v>2180</v>
      </c>
      <c r="C943" s="207">
        <v>73834</v>
      </c>
      <c r="D943" s="203" t="s">
        <v>97</v>
      </c>
      <c r="E943" s="202" t="s">
        <v>1537</v>
      </c>
      <c r="F943" s="203">
        <v>0</v>
      </c>
      <c r="G943" s="202"/>
      <c r="H943" s="202" t="s">
        <v>1536</v>
      </c>
      <c r="I943" s="202"/>
      <c r="J943" s="202">
        <v>2007</v>
      </c>
      <c r="K943" s="202" t="s">
        <v>1535</v>
      </c>
      <c r="L943" s="202" t="s">
        <v>1534</v>
      </c>
      <c r="M943" s="202" t="s">
        <v>1385</v>
      </c>
      <c r="N943" s="206">
        <v>40284</v>
      </c>
      <c r="O943" s="206">
        <v>40284</v>
      </c>
      <c r="P943" s="202" t="s">
        <v>1533</v>
      </c>
      <c r="Q943" s="203">
        <v>300</v>
      </c>
      <c r="R943" s="203">
        <v>14040</v>
      </c>
      <c r="S943" s="204">
        <v>14999.99</v>
      </c>
      <c r="T943" s="203">
        <v>14046</v>
      </c>
      <c r="U943" s="204">
        <v>14999.99</v>
      </c>
      <c r="V943" s="204">
        <f t="shared" si="25"/>
        <v>0</v>
      </c>
      <c r="W943" s="205">
        <v>0</v>
      </c>
      <c r="X943" s="203">
        <v>51260</v>
      </c>
      <c r="Y943" s="204">
        <v>0</v>
      </c>
      <c r="Z943" s="202" t="s">
        <v>97</v>
      </c>
      <c r="AA943" s="202"/>
      <c r="AB943" s="202">
        <v>271807</v>
      </c>
      <c r="AC943" s="202">
        <v>6043</v>
      </c>
      <c r="AD943" s="202" t="s">
        <v>1152</v>
      </c>
      <c r="AE943" s="202" t="s">
        <v>1153</v>
      </c>
      <c r="AF943" s="203" t="s">
        <v>1154</v>
      </c>
      <c r="AG943" s="202"/>
      <c r="AH943" s="203" t="s">
        <v>1155</v>
      </c>
      <c r="AI943" s="202">
        <v>0</v>
      </c>
      <c r="AJ943" s="202">
        <v>0</v>
      </c>
    </row>
    <row r="944" spans="2:36">
      <c r="B944" s="203">
        <v>2180</v>
      </c>
      <c r="C944" s="207">
        <v>73815</v>
      </c>
      <c r="D944" s="203" t="s">
        <v>97</v>
      </c>
      <c r="E944" s="202" t="s">
        <v>1532</v>
      </c>
      <c r="F944" s="203">
        <v>0</v>
      </c>
      <c r="G944" s="202"/>
      <c r="H944" s="202"/>
      <c r="I944" s="202"/>
      <c r="J944" s="202">
        <v>0</v>
      </c>
      <c r="K944" s="202" t="s">
        <v>1525</v>
      </c>
      <c r="L944" s="202"/>
      <c r="M944" s="202"/>
      <c r="N944" s="206">
        <v>40269</v>
      </c>
      <c r="O944" s="206">
        <v>40269</v>
      </c>
      <c r="P944" s="202" t="s">
        <v>1524</v>
      </c>
      <c r="Q944" s="203">
        <v>300</v>
      </c>
      <c r="R944" s="203">
        <v>14110</v>
      </c>
      <c r="S944" s="204">
        <v>2625</v>
      </c>
      <c r="T944" s="203">
        <v>14116</v>
      </c>
      <c r="U944" s="204">
        <v>2625</v>
      </c>
      <c r="V944" s="204">
        <f t="shared" si="25"/>
        <v>0</v>
      </c>
      <c r="W944" s="205">
        <v>0</v>
      </c>
      <c r="X944" s="203">
        <v>70260</v>
      </c>
      <c r="Y944" s="204">
        <v>0</v>
      </c>
      <c r="Z944" s="202" t="s">
        <v>97</v>
      </c>
      <c r="AA944" s="202"/>
      <c r="AB944" s="202">
        <v>11036</v>
      </c>
      <c r="AC944" s="202"/>
      <c r="AD944" s="202" t="s">
        <v>1152</v>
      </c>
      <c r="AE944" s="202" t="s">
        <v>1153</v>
      </c>
      <c r="AF944" s="203" t="s">
        <v>1154</v>
      </c>
      <c r="AG944" s="202"/>
      <c r="AH944" s="203" t="s">
        <v>1155</v>
      </c>
      <c r="AI944" s="202">
        <v>0</v>
      </c>
      <c r="AJ944" s="202">
        <v>0</v>
      </c>
    </row>
    <row r="945" spans="2:36">
      <c r="B945" s="203">
        <v>2180</v>
      </c>
      <c r="C945" s="207">
        <v>73806</v>
      </c>
      <c r="D945" s="203">
        <v>60738</v>
      </c>
      <c r="E945" s="202" t="s">
        <v>1531</v>
      </c>
      <c r="F945" s="203">
        <v>0</v>
      </c>
      <c r="G945" s="202"/>
      <c r="H945" s="202"/>
      <c r="I945" s="202"/>
      <c r="J945" s="202">
        <v>0</v>
      </c>
      <c r="K945" s="202"/>
      <c r="L945" s="202"/>
      <c r="M945" s="202" t="s">
        <v>1447</v>
      </c>
      <c r="N945" s="206">
        <v>40301</v>
      </c>
      <c r="O945" s="206">
        <v>40301</v>
      </c>
      <c r="P945" s="202" t="s">
        <v>1530</v>
      </c>
      <c r="Q945" s="203">
        <v>300</v>
      </c>
      <c r="R945" s="203">
        <v>14040</v>
      </c>
      <c r="S945" s="204">
        <v>12083.88</v>
      </c>
      <c r="T945" s="203">
        <v>14046</v>
      </c>
      <c r="U945" s="204">
        <v>12083.88</v>
      </c>
      <c r="V945" s="204">
        <f t="shared" si="25"/>
        <v>0</v>
      </c>
      <c r="W945" s="205">
        <v>0</v>
      </c>
      <c r="X945" s="203">
        <v>51260</v>
      </c>
      <c r="Y945" s="204">
        <v>0</v>
      </c>
      <c r="Z945" s="202" t="s">
        <v>97</v>
      </c>
      <c r="AA945" s="202"/>
      <c r="AB945" s="202">
        <v>81956</v>
      </c>
      <c r="AC945" s="202"/>
      <c r="AD945" s="202" t="s">
        <v>1152</v>
      </c>
      <c r="AE945" s="202" t="s">
        <v>1153</v>
      </c>
      <c r="AF945" s="203" t="s">
        <v>1154</v>
      </c>
      <c r="AG945" s="202"/>
      <c r="AH945" s="203" t="s">
        <v>1155</v>
      </c>
      <c r="AI945" s="202">
        <v>0</v>
      </c>
      <c r="AJ945" s="202">
        <v>0</v>
      </c>
    </row>
    <row r="946" spans="2:36">
      <c r="B946" s="203">
        <v>2180</v>
      </c>
      <c r="C946" s="207">
        <v>73374</v>
      </c>
      <c r="D946" s="203" t="s">
        <v>97</v>
      </c>
      <c r="E946" s="202" t="s">
        <v>1529</v>
      </c>
      <c r="F946" s="203">
        <v>0</v>
      </c>
      <c r="G946" s="202"/>
      <c r="H946" s="202"/>
      <c r="I946" s="202"/>
      <c r="J946" s="202">
        <v>0</v>
      </c>
      <c r="K946" s="202" t="s">
        <v>1429</v>
      </c>
      <c r="L946" s="202"/>
      <c r="M946" s="202"/>
      <c r="N946" s="206">
        <v>40247</v>
      </c>
      <c r="O946" s="206">
        <v>40247</v>
      </c>
      <c r="P946" s="202" t="s">
        <v>1528</v>
      </c>
      <c r="Q946" s="203">
        <v>300</v>
      </c>
      <c r="R946" s="203">
        <v>14110</v>
      </c>
      <c r="S946" s="204">
        <v>1558.9</v>
      </c>
      <c r="T946" s="203">
        <v>14116</v>
      </c>
      <c r="U946" s="204">
        <v>1558.9</v>
      </c>
      <c r="V946" s="204">
        <f t="shared" si="25"/>
        <v>0</v>
      </c>
      <c r="W946" s="205">
        <v>0</v>
      </c>
      <c r="X946" s="203">
        <v>70260</v>
      </c>
      <c r="Y946" s="204">
        <v>0</v>
      </c>
      <c r="Z946" s="202" t="s">
        <v>97</v>
      </c>
      <c r="AA946" s="202"/>
      <c r="AB946" s="202" t="s">
        <v>1527</v>
      </c>
      <c r="AC946" s="202"/>
      <c r="AD946" s="202" t="s">
        <v>1152</v>
      </c>
      <c r="AE946" s="202" t="s">
        <v>1153</v>
      </c>
      <c r="AF946" s="203" t="s">
        <v>1154</v>
      </c>
      <c r="AG946" s="202"/>
      <c r="AH946" s="203" t="s">
        <v>1155</v>
      </c>
      <c r="AI946" s="202">
        <v>0</v>
      </c>
      <c r="AJ946" s="202">
        <v>0</v>
      </c>
    </row>
    <row r="947" spans="2:36">
      <c r="B947" s="203">
        <v>2180</v>
      </c>
      <c r="C947" s="207">
        <v>72871</v>
      </c>
      <c r="D947" s="203" t="s">
        <v>97</v>
      </c>
      <c r="E947" s="202" t="s">
        <v>1526</v>
      </c>
      <c r="F947" s="203">
        <v>0</v>
      </c>
      <c r="G947" s="202"/>
      <c r="H947" s="202"/>
      <c r="I947" s="202"/>
      <c r="J947" s="202">
        <v>0</v>
      </c>
      <c r="K947" s="202" t="s">
        <v>1525</v>
      </c>
      <c r="L947" s="202"/>
      <c r="M947" s="202"/>
      <c r="N947" s="206">
        <v>40238</v>
      </c>
      <c r="O947" s="206">
        <v>40238</v>
      </c>
      <c r="P947" s="202" t="s">
        <v>1524</v>
      </c>
      <c r="Q947" s="203">
        <v>300</v>
      </c>
      <c r="R947" s="203">
        <v>14110</v>
      </c>
      <c r="S947" s="204">
        <v>20775</v>
      </c>
      <c r="T947" s="203">
        <v>14116</v>
      </c>
      <c r="U947" s="204">
        <v>20775</v>
      </c>
      <c r="V947" s="204">
        <f t="shared" si="25"/>
        <v>0</v>
      </c>
      <c r="W947" s="205">
        <v>0</v>
      </c>
      <c r="X947" s="203">
        <v>70260</v>
      </c>
      <c r="Y947" s="204">
        <v>0</v>
      </c>
      <c r="Z947" s="202" t="s">
        <v>97</v>
      </c>
      <c r="AA947" s="202"/>
      <c r="AB947" s="202">
        <v>10915</v>
      </c>
      <c r="AC947" s="202"/>
      <c r="AD947" s="202" t="s">
        <v>1152</v>
      </c>
      <c r="AE947" s="202" t="s">
        <v>1153</v>
      </c>
      <c r="AF947" s="203" t="s">
        <v>1154</v>
      </c>
      <c r="AG947" s="202"/>
      <c r="AH947" s="203" t="s">
        <v>1155</v>
      </c>
      <c r="AI947" s="202">
        <v>0</v>
      </c>
      <c r="AJ947" s="202">
        <v>0</v>
      </c>
    </row>
    <row r="948" spans="2:36">
      <c r="B948" s="203">
        <v>2180</v>
      </c>
      <c r="C948" s="207">
        <v>71789</v>
      </c>
      <c r="D948" s="203" t="s">
        <v>97</v>
      </c>
      <c r="E948" s="202" t="s">
        <v>1523</v>
      </c>
      <c r="F948" s="203">
        <v>0</v>
      </c>
      <c r="G948" s="202"/>
      <c r="H948" s="202"/>
      <c r="I948" s="202"/>
      <c r="J948" s="202">
        <v>0</v>
      </c>
      <c r="K948" s="202"/>
      <c r="L948" s="202"/>
      <c r="M948" s="202"/>
      <c r="N948" s="206">
        <v>40148</v>
      </c>
      <c r="O948" s="206">
        <v>40148</v>
      </c>
      <c r="P948" s="202"/>
      <c r="Q948" s="203">
        <v>100</v>
      </c>
      <c r="R948" s="203">
        <v>15110</v>
      </c>
      <c r="S948" s="204">
        <v>-123224.73</v>
      </c>
      <c r="T948" s="203">
        <v>15120</v>
      </c>
      <c r="U948" s="204">
        <v>0</v>
      </c>
      <c r="V948" s="204">
        <f t="shared" si="25"/>
        <v>-123224.73</v>
      </c>
      <c r="W948" s="205">
        <v>0</v>
      </c>
      <c r="X948" s="203">
        <v>0</v>
      </c>
      <c r="Y948" s="204">
        <v>0</v>
      </c>
      <c r="Z948" s="202" t="s">
        <v>1153</v>
      </c>
      <c r="AA948" s="202" t="s">
        <v>1521</v>
      </c>
      <c r="AB948" s="202"/>
      <c r="AC948" s="202"/>
      <c r="AD948" s="202" t="s">
        <v>1152</v>
      </c>
      <c r="AE948" s="202" t="s">
        <v>1153</v>
      </c>
      <c r="AF948" s="203" t="s">
        <v>1382</v>
      </c>
      <c r="AG948" s="202"/>
      <c r="AH948" s="203" t="s">
        <v>1155</v>
      </c>
      <c r="AI948" s="202">
        <v>0</v>
      </c>
      <c r="AJ948" s="202">
        <v>0</v>
      </c>
    </row>
    <row r="949" spans="2:36">
      <c r="B949" s="203">
        <v>2180</v>
      </c>
      <c r="C949" s="207">
        <v>71788</v>
      </c>
      <c r="D949" s="203" t="s">
        <v>97</v>
      </c>
      <c r="E949" s="202" t="s">
        <v>1522</v>
      </c>
      <c r="F949" s="203">
        <v>0</v>
      </c>
      <c r="G949" s="202"/>
      <c r="H949" s="202"/>
      <c r="I949" s="202"/>
      <c r="J949" s="202">
        <v>0</v>
      </c>
      <c r="K949" s="202"/>
      <c r="L949" s="202"/>
      <c r="M949" s="202"/>
      <c r="N949" s="206">
        <v>40148</v>
      </c>
      <c r="O949" s="206">
        <v>40148</v>
      </c>
      <c r="P949" s="202"/>
      <c r="Q949" s="203">
        <v>100</v>
      </c>
      <c r="R949" s="203">
        <v>15110</v>
      </c>
      <c r="S949" s="204">
        <v>401256.6</v>
      </c>
      <c r="T949" s="203">
        <v>15120</v>
      </c>
      <c r="U949" s="204">
        <v>0</v>
      </c>
      <c r="V949" s="204">
        <f t="shared" si="25"/>
        <v>401256.6</v>
      </c>
      <c r="W949" s="205">
        <v>0</v>
      </c>
      <c r="X949" s="203">
        <v>0</v>
      </c>
      <c r="Y949" s="204">
        <v>0</v>
      </c>
      <c r="Z949" s="202" t="s">
        <v>1153</v>
      </c>
      <c r="AA949" s="202" t="s">
        <v>1521</v>
      </c>
      <c r="AB949" s="202"/>
      <c r="AC949" s="202"/>
      <c r="AD949" s="202" t="s">
        <v>1152</v>
      </c>
      <c r="AE949" s="202" t="s">
        <v>1153</v>
      </c>
      <c r="AF949" s="203" t="s">
        <v>1382</v>
      </c>
      <c r="AG949" s="202"/>
      <c r="AH949" s="203" t="s">
        <v>1155</v>
      </c>
      <c r="AI949" s="202">
        <v>0</v>
      </c>
      <c r="AJ949" s="202">
        <v>0</v>
      </c>
    </row>
    <row r="950" spans="2:36">
      <c r="B950" s="203">
        <v>2180</v>
      </c>
      <c r="C950" s="207">
        <v>70549</v>
      </c>
      <c r="D950" s="203" t="s">
        <v>97</v>
      </c>
      <c r="E950" s="202" t="s">
        <v>1520</v>
      </c>
      <c r="F950" s="203">
        <v>0</v>
      </c>
      <c r="G950" s="202"/>
      <c r="H950" s="202"/>
      <c r="I950" s="202"/>
      <c r="J950" s="202">
        <v>0</v>
      </c>
      <c r="K950" s="202" t="s">
        <v>1429</v>
      </c>
      <c r="L950" s="202"/>
      <c r="M950" s="202"/>
      <c r="N950" s="206">
        <v>40118</v>
      </c>
      <c r="O950" s="206">
        <v>40118</v>
      </c>
      <c r="P950" s="202" t="s">
        <v>1519</v>
      </c>
      <c r="Q950" s="203">
        <v>300</v>
      </c>
      <c r="R950" s="203">
        <v>14110</v>
      </c>
      <c r="S950" s="204">
        <v>7580.56</v>
      </c>
      <c r="T950" s="203">
        <v>14116</v>
      </c>
      <c r="U950" s="204">
        <v>7580.56</v>
      </c>
      <c r="V950" s="204">
        <f t="shared" si="25"/>
        <v>0</v>
      </c>
      <c r="W950" s="205">
        <v>0</v>
      </c>
      <c r="X950" s="203">
        <v>70260</v>
      </c>
      <c r="Y950" s="204">
        <v>0</v>
      </c>
      <c r="Z950" s="202" t="s">
        <v>97</v>
      </c>
      <c r="AA950" s="202"/>
      <c r="AB950" s="202" t="s">
        <v>1518</v>
      </c>
      <c r="AC950" s="202"/>
      <c r="AD950" s="202" t="s">
        <v>1152</v>
      </c>
      <c r="AE950" s="202" t="s">
        <v>1153</v>
      </c>
      <c r="AF950" s="203" t="s">
        <v>1154</v>
      </c>
      <c r="AG950" s="202"/>
      <c r="AH950" s="203" t="s">
        <v>1155</v>
      </c>
      <c r="AI950" s="202">
        <v>0</v>
      </c>
      <c r="AJ950" s="202">
        <v>0</v>
      </c>
    </row>
    <row r="951" spans="2:36">
      <c r="B951" s="203">
        <v>2180</v>
      </c>
      <c r="C951" s="207">
        <v>69179</v>
      </c>
      <c r="D951" s="203" t="s">
        <v>97</v>
      </c>
      <c r="E951" s="202" t="s">
        <v>1517</v>
      </c>
      <c r="F951" s="203">
        <v>0</v>
      </c>
      <c r="G951" s="202"/>
      <c r="H951" s="202"/>
      <c r="I951" s="202"/>
      <c r="J951" s="202">
        <v>0</v>
      </c>
      <c r="K951" s="202" t="s">
        <v>1514</v>
      </c>
      <c r="L951" s="202"/>
      <c r="M951" s="202"/>
      <c r="N951" s="206">
        <v>40099</v>
      </c>
      <c r="O951" s="206">
        <v>40099</v>
      </c>
      <c r="P951" s="202" t="s">
        <v>1516</v>
      </c>
      <c r="Q951" s="203">
        <v>500</v>
      </c>
      <c r="R951" s="203">
        <v>14070</v>
      </c>
      <c r="S951" s="204">
        <v>2951.1</v>
      </c>
      <c r="T951" s="203">
        <v>14076</v>
      </c>
      <c r="U951" s="204">
        <v>2951.1</v>
      </c>
      <c r="V951" s="204">
        <f t="shared" si="25"/>
        <v>0</v>
      </c>
      <c r="W951" s="205">
        <v>0</v>
      </c>
      <c r="X951" s="203">
        <v>51260</v>
      </c>
      <c r="Y951" s="204">
        <v>0</v>
      </c>
      <c r="Z951" s="202" t="s">
        <v>97</v>
      </c>
      <c r="AA951" s="202"/>
      <c r="AB951" s="202">
        <v>281544</v>
      </c>
      <c r="AC951" s="202"/>
      <c r="AD951" s="202" t="s">
        <v>1152</v>
      </c>
      <c r="AE951" s="202" t="s">
        <v>1153</v>
      </c>
      <c r="AF951" s="203" t="s">
        <v>1154</v>
      </c>
      <c r="AG951" s="202"/>
      <c r="AH951" s="203" t="s">
        <v>1155</v>
      </c>
      <c r="AI951" s="202">
        <v>0</v>
      </c>
      <c r="AJ951" s="202">
        <v>0</v>
      </c>
    </row>
    <row r="952" spans="2:36">
      <c r="B952" s="203">
        <v>2180</v>
      </c>
      <c r="C952" s="207">
        <v>69178</v>
      </c>
      <c r="D952" s="203" t="s">
        <v>97</v>
      </c>
      <c r="E952" s="202" t="s">
        <v>1515</v>
      </c>
      <c r="F952" s="203">
        <v>0</v>
      </c>
      <c r="G952" s="202"/>
      <c r="H952" s="202"/>
      <c r="I952" s="202"/>
      <c r="J952" s="202">
        <v>0</v>
      </c>
      <c r="K952" s="202" t="s">
        <v>1514</v>
      </c>
      <c r="L952" s="202"/>
      <c r="M952" s="202"/>
      <c r="N952" s="206">
        <v>40099</v>
      </c>
      <c r="O952" s="206">
        <v>40099</v>
      </c>
      <c r="P952" s="202" t="s">
        <v>1513</v>
      </c>
      <c r="Q952" s="203">
        <v>500</v>
      </c>
      <c r="R952" s="203">
        <v>14070</v>
      </c>
      <c r="S952" s="204">
        <v>3036.35</v>
      </c>
      <c r="T952" s="203">
        <v>14076</v>
      </c>
      <c r="U952" s="204">
        <v>3036.35</v>
      </c>
      <c r="V952" s="204">
        <f t="shared" si="25"/>
        <v>0</v>
      </c>
      <c r="W952" s="205">
        <v>0</v>
      </c>
      <c r="X952" s="203">
        <v>51260</v>
      </c>
      <c r="Y952" s="204">
        <v>0</v>
      </c>
      <c r="Z952" s="202" t="s">
        <v>97</v>
      </c>
      <c r="AA952" s="202"/>
      <c r="AB952" s="202">
        <v>281545</v>
      </c>
      <c r="AC952" s="202"/>
      <c r="AD952" s="202" t="s">
        <v>1152</v>
      </c>
      <c r="AE952" s="202" t="s">
        <v>1153</v>
      </c>
      <c r="AF952" s="203" t="s">
        <v>1154</v>
      </c>
      <c r="AG952" s="202"/>
      <c r="AH952" s="203" t="s">
        <v>1155</v>
      </c>
      <c r="AI952" s="202">
        <v>0</v>
      </c>
      <c r="AJ952" s="202">
        <v>0</v>
      </c>
    </row>
    <row r="953" spans="2:36">
      <c r="B953" s="203">
        <v>2180</v>
      </c>
      <c r="C953" s="207">
        <v>68609</v>
      </c>
      <c r="D953" s="203" t="s">
        <v>97</v>
      </c>
      <c r="E953" s="202" t="s">
        <v>1512</v>
      </c>
      <c r="F953" s="203">
        <v>0</v>
      </c>
      <c r="G953" s="202"/>
      <c r="H953" s="202"/>
      <c r="I953" s="202"/>
      <c r="J953" s="202">
        <v>0</v>
      </c>
      <c r="K953" s="202" t="s">
        <v>109</v>
      </c>
      <c r="L953" s="202"/>
      <c r="M953" s="202"/>
      <c r="N953" s="206">
        <v>40016</v>
      </c>
      <c r="O953" s="206">
        <v>40016</v>
      </c>
      <c r="P953" s="202" t="s">
        <v>1491</v>
      </c>
      <c r="Q953" s="203">
        <v>500</v>
      </c>
      <c r="R953" s="203">
        <v>14070</v>
      </c>
      <c r="S953" s="204">
        <v>14225.95</v>
      </c>
      <c r="T953" s="203">
        <v>14076</v>
      </c>
      <c r="U953" s="204">
        <v>14225.95</v>
      </c>
      <c r="V953" s="204">
        <f t="shared" si="25"/>
        <v>0</v>
      </c>
      <c r="W953" s="205">
        <v>0</v>
      </c>
      <c r="X953" s="203">
        <v>51260</v>
      </c>
      <c r="Y953" s="204">
        <v>0</v>
      </c>
      <c r="Z953" s="202" t="s">
        <v>97</v>
      </c>
      <c r="AA953" s="202"/>
      <c r="AB953" s="202" t="s">
        <v>1511</v>
      </c>
      <c r="AC953" s="202"/>
      <c r="AD953" s="202" t="s">
        <v>1152</v>
      </c>
      <c r="AE953" s="202" t="s">
        <v>1153</v>
      </c>
      <c r="AF953" s="203" t="s">
        <v>1154</v>
      </c>
      <c r="AG953" s="202"/>
      <c r="AH953" s="203" t="s">
        <v>1155</v>
      </c>
      <c r="AI953" s="202">
        <v>0</v>
      </c>
      <c r="AJ953" s="202">
        <v>0</v>
      </c>
    </row>
    <row r="954" spans="2:36">
      <c r="B954" s="203">
        <v>2180</v>
      </c>
      <c r="C954" s="207">
        <v>67780</v>
      </c>
      <c r="D954" s="203" t="s">
        <v>97</v>
      </c>
      <c r="E954" s="202" t="s">
        <v>1489</v>
      </c>
      <c r="F954" s="203">
        <v>0</v>
      </c>
      <c r="G954" s="202"/>
      <c r="H954" s="202" t="s">
        <v>1510</v>
      </c>
      <c r="I954" s="202"/>
      <c r="J954" s="202">
        <v>2004</v>
      </c>
      <c r="K954" s="202" t="s">
        <v>1255</v>
      </c>
      <c r="L954" s="202" t="s">
        <v>1255</v>
      </c>
      <c r="M954" s="202" t="s">
        <v>280</v>
      </c>
      <c r="N954" s="206">
        <v>39755</v>
      </c>
      <c r="O954" s="206">
        <v>39755</v>
      </c>
      <c r="P954" s="202"/>
      <c r="Q954" s="203">
        <v>300</v>
      </c>
      <c r="R954" s="203">
        <v>14040</v>
      </c>
      <c r="S954" s="204">
        <v>13000</v>
      </c>
      <c r="T954" s="203">
        <v>14046</v>
      </c>
      <c r="U954" s="204">
        <v>13000</v>
      </c>
      <c r="V954" s="204">
        <f t="shared" si="25"/>
        <v>0</v>
      </c>
      <c r="W954" s="205">
        <v>0</v>
      </c>
      <c r="X954" s="203">
        <v>51260</v>
      </c>
      <c r="Y954" s="204">
        <v>0</v>
      </c>
      <c r="Z954" s="202" t="s">
        <v>1153</v>
      </c>
      <c r="AA954" s="202" t="s">
        <v>1383</v>
      </c>
      <c r="AB954" s="202"/>
      <c r="AC954" s="202">
        <v>8880</v>
      </c>
      <c r="AD954" s="202" t="s">
        <v>1152</v>
      </c>
      <c r="AE954" s="202" t="s">
        <v>1153</v>
      </c>
      <c r="AF954" s="203" t="s">
        <v>1154</v>
      </c>
      <c r="AG954" s="208">
        <v>40056</v>
      </c>
      <c r="AH954" s="203" t="s">
        <v>1155</v>
      </c>
      <c r="AI954" s="202">
        <v>0</v>
      </c>
      <c r="AJ954" s="202">
        <v>3611.11</v>
      </c>
    </row>
    <row r="955" spans="2:36">
      <c r="B955" s="203">
        <v>2180</v>
      </c>
      <c r="C955" s="207">
        <v>67762</v>
      </c>
      <c r="D955" s="203" t="s">
        <v>97</v>
      </c>
      <c r="E955" s="202" t="s">
        <v>1509</v>
      </c>
      <c r="F955" s="203">
        <v>0</v>
      </c>
      <c r="G955" s="202"/>
      <c r="H955" s="202" t="s">
        <v>1508</v>
      </c>
      <c r="I955" s="202"/>
      <c r="J955" s="202">
        <v>2006</v>
      </c>
      <c r="K955" s="202" t="s">
        <v>1255</v>
      </c>
      <c r="L955" s="202" t="s">
        <v>1255</v>
      </c>
      <c r="M955" s="202" t="s">
        <v>1503</v>
      </c>
      <c r="N955" s="206">
        <v>39755</v>
      </c>
      <c r="O955" s="206">
        <v>39755</v>
      </c>
      <c r="P955" s="202"/>
      <c r="Q955" s="203">
        <v>300</v>
      </c>
      <c r="R955" s="203">
        <v>14040</v>
      </c>
      <c r="S955" s="204">
        <v>2500</v>
      </c>
      <c r="T955" s="203">
        <v>14046</v>
      </c>
      <c r="U955" s="204">
        <v>2500</v>
      </c>
      <c r="V955" s="204">
        <f t="shared" si="25"/>
        <v>0</v>
      </c>
      <c r="W955" s="205">
        <v>0</v>
      </c>
      <c r="X955" s="203">
        <v>51260</v>
      </c>
      <c r="Y955" s="204">
        <v>0</v>
      </c>
      <c r="Z955" s="202" t="s">
        <v>1153</v>
      </c>
      <c r="AA955" s="202" t="s">
        <v>1383</v>
      </c>
      <c r="AB955" s="202"/>
      <c r="AC955" s="202">
        <v>9575</v>
      </c>
      <c r="AD955" s="202" t="s">
        <v>1152</v>
      </c>
      <c r="AE955" s="202" t="s">
        <v>1153</v>
      </c>
      <c r="AF955" s="203" t="s">
        <v>1154</v>
      </c>
      <c r="AG955" s="208">
        <v>40056</v>
      </c>
      <c r="AH955" s="203" t="s">
        <v>1155</v>
      </c>
      <c r="AI955" s="202">
        <v>0</v>
      </c>
      <c r="AJ955" s="202">
        <v>694.44</v>
      </c>
    </row>
    <row r="956" spans="2:36">
      <c r="B956" s="203">
        <v>2180</v>
      </c>
      <c r="C956" s="207">
        <v>67761</v>
      </c>
      <c r="D956" s="203" t="s">
        <v>97</v>
      </c>
      <c r="E956" s="202" t="s">
        <v>1507</v>
      </c>
      <c r="F956" s="203">
        <v>0</v>
      </c>
      <c r="G956" s="202"/>
      <c r="H956" s="202" t="s">
        <v>1506</v>
      </c>
      <c r="I956" s="202"/>
      <c r="J956" s="202">
        <v>2002</v>
      </c>
      <c r="K956" s="202" t="s">
        <v>1255</v>
      </c>
      <c r="L956" s="202" t="s">
        <v>1255</v>
      </c>
      <c r="M956" s="202" t="s">
        <v>1503</v>
      </c>
      <c r="N956" s="206">
        <v>39755</v>
      </c>
      <c r="O956" s="206">
        <v>39755</v>
      </c>
      <c r="P956" s="202"/>
      <c r="Q956" s="203">
        <v>300</v>
      </c>
      <c r="R956" s="203">
        <v>14040</v>
      </c>
      <c r="S956" s="204">
        <v>13000</v>
      </c>
      <c r="T956" s="203">
        <v>14046</v>
      </c>
      <c r="U956" s="204">
        <v>13000</v>
      </c>
      <c r="V956" s="204">
        <f t="shared" si="25"/>
        <v>0</v>
      </c>
      <c r="W956" s="205">
        <v>0</v>
      </c>
      <c r="X956" s="203">
        <v>51260</v>
      </c>
      <c r="Y956" s="204">
        <v>0</v>
      </c>
      <c r="Z956" s="202" t="s">
        <v>1153</v>
      </c>
      <c r="AA956" s="202" t="s">
        <v>1383</v>
      </c>
      <c r="AB956" s="202"/>
      <c r="AC956" s="202">
        <v>9580</v>
      </c>
      <c r="AD956" s="202" t="s">
        <v>1152</v>
      </c>
      <c r="AE956" s="202" t="s">
        <v>1153</v>
      </c>
      <c r="AF956" s="203" t="s">
        <v>1154</v>
      </c>
      <c r="AG956" s="208">
        <v>40056</v>
      </c>
      <c r="AH956" s="203" t="s">
        <v>1155</v>
      </c>
      <c r="AI956" s="202">
        <v>0</v>
      </c>
      <c r="AJ956" s="202">
        <v>3611.11</v>
      </c>
    </row>
    <row r="957" spans="2:36">
      <c r="B957" s="203">
        <v>2180</v>
      </c>
      <c r="C957" s="207">
        <v>67759</v>
      </c>
      <c r="D957" s="203" t="s">
        <v>97</v>
      </c>
      <c r="E957" s="202" t="s">
        <v>1505</v>
      </c>
      <c r="F957" s="203">
        <v>0</v>
      </c>
      <c r="G957" s="202"/>
      <c r="H957" s="202" t="s">
        <v>1504</v>
      </c>
      <c r="I957" s="202"/>
      <c r="J957" s="202">
        <v>2001</v>
      </c>
      <c r="K957" s="202" t="s">
        <v>1255</v>
      </c>
      <c r="L957" s="202" t="s">
        <v>1255</v>
      </c>
      <c r="M957" s="202" t="s">
        <v>1503</v>
      </c>
      <c r="N957" s="206">
        <v>39755</v>
      </c>
      <c r="O957" s="206">
        <v>39755</v>
      </c>
      <c r="P957" s="202"/>
      <c r="Q957" s="203">
        <v>300</v>
      </c>
      <c r="R957" s="203">
        <v>14040</v>
      </c>
      <c r="S957" s="204">
        <v>10000</v>
      </c>
      <c r="T957" s="203">
        <v>14046</v>
      </c>
      <c r="U957" s="204">
        <v>10000</v>
      </c>
      <c r="V957" s="204">
        <f t="shared" si="25"/>
        <v>0</v>
      </c>
      <c r="W957" s="205">
        <v>0</v>
      </c>
      <c r="X957" s="203">
        <v>51260</v>
      </c>
      <c r="Y957" s="204">
        <v>0</v>
      </c>
      <c r="Z957" s="202" t="s">
        <v>1153</v>
      </c>
      <c r="AA957" s="202" t="s">
        <v>1383</v>
      </c>
      <c r="AB957" s="202"/>
      <c r="AC957" s="202">
        <v>9578</v>
      </c>
      <c r="AD957" s="202" t="s">
        <v>1152</v>
      </c>
      <c r="AE957" s="202" t="s">
        <v>1153</v>
      </c>
      <c r="AF957" s="203" t="s">
        <v>1154</v>
      </c>
      <c r="AG957" s="208">
        <v>40056</v>
      </c>
      <c r="AH957" s="203" t="s">
        <v>1155</v>
      </c>
      <c r="AI957" s="202">
        <v>0</v>
      </c>
      <c r="AJ957" s="202">
        <v>2777.78</v>
      </c>
    </row>
    <row r="958" spans="2:36">
      <c r="B958" s="203">
        <v>2180</v>
      </c>
      <c r="C958" s="207">
        <v>67428</v>
      </c>
      <c r="D958" s="203" t="s">
        <v>97</v>
      </c>
      <c r="E958" s="202" t="s">
        <v>1502</v>
      </c>
      <c r="F958" s="203">
        <v>0</v>
      </c>
      <c r="G958" s="202"/>
      <c r="H958" s="202"/>
      <c r="I958" s="202"/>
      <c r="J958" s="202">
        <v>0</v>
      </c>
      <c r="K958" s="202"/>
      <c r="L958" s="202"/>
      <c r="M958" s="202"/>
      <c r="N958" s="206">
        <v>40026</v>
      </c>
      <c r="O958" s="206">
        <v>40026</v>
      </c>
      <c r="P958" s="202"/>
      <c r="Q958" s="203">
        <v>0</v>
      </c>
      <c r="R958" s="203">
        <v>15110</v>
      </c>
      <c r="S958" s="204">
        <v>-5910</v>
      </c>
      <c r="T958" s="203">
        <v>0</v>
      </c>
      <c r="U958" s="204">
        <v>0</v>
      </c>
      <c r="V958" s="204">
        <f t="shared" si="25"/>
        <v>-5910</v>
      </c>
      <c r="W958" s="205">
        <v>0</v>
      </c>
      <c r="X958" s="203">
        <v>0</v>
      </c>
      <c r="Y958" s="204">
        <v>0</v>
      </c>
      <c r="Z958" s="202" t="s">
        <v>97</v>
      </c>
      <c r="AA958" s="202"/>
      <c r="AB958" s="202"/>
      <c r="AC958" s="202"/>
      <c r="AD958" s="202" t="s">
        <v>1152</v>
      </c>
      <c r="AE958" s="202" t="s">
        <v>1153</v>
      </c>
      <c r="AF958" s="203" t="s">
        <v>1382</v>
      </c>
      <c r="AG958" s="202"/>
      <c r="AH958" s="203" t="s">
        <v>1155</v>
      </c>
      <c r="AI958" s="202">
        <v>0</v>
      </c>
      <c r="AJ958" s="202">
        <v>0</v>
      </c>
    </row>
    <row r="959" spans="2:36">
      <c r="B959" s="203">
        <v>2180</v>
      </c>
      <c r="C959" s="207">
        <v>67427</v>
      </c>
      <c r="D959" s="203" t="s">
        <v>97</v>
      </c>
      <c r="E959" s="202" t="s">
        <v>1501</v>
      </c>
      <c r="F959" s="203">
        <v>0</v>
      </c>
      <c r="G959" s="202"/>
      <c r="H959" s="202"/>
      <c r="I959" s="202"/>
      <c r="J959" s="202">
        <v>0</v>
      </c>
      <c r="K959" s="202"/>
      <c r="L959" s="202"/>
      <c r="M959" s="202"/>
      <c r="N959" s="206">
        <v>40026</v>
      </c>
      <c r="O959" s="206">
        <v>40026</v>
      </c>
      <c r="P959" s="202"/>
      <c r="Q959" s="203">
        <v>0</v>
      </c>
      <c r="R959" s="203">
        <v>15110</v>
      </c>
      <c r="S959" s="204">
        <v>-6356</v>
      </c>
      <c r="T959" s="203">
        <v>0</v>
      </c>
      <c r="U959" s="204">
        <v>0</v>
      </c>
      <c r="V959" s="204">
        <f t="shared" si="25"/>
        <v>-6356</v>
      </c>
      <c r="W959" s="205">
        <v>0</v>
      </c>
      <c r="X959" s="203">
        <v>0</v>
      </c>
      <c r="Y959" s="204">
        <v>0</v>
      </c>
      <c r="Z959" s="202" t="s">
        <v>97</v>
      </c>
      <c r="AA959" s="202"/>
      <c r="AB959" s="202"/>
      <c r="AC959" s="202"/>
      <c r="AD959" s="202" t="s">
        <v>1152</v>
      </c>
      <c r="AE959" s="202" t="s">
        <v>1153</v>
      </c>
      <c r="AF959" s="203" t="s">
        <v>1382</v>
      </c>
      <c r="AG959" s="202"/>
      <c r="AH959" s="203" t="s">
        <v>1155</v>
      </c>
      <c r="AI959" s="202">
        <v>0</v>
      </c>
      <c r="AJ959" s="202">
        <v>0</v>
      </c>
    </row>
    <row r="960" spans="2:36">
      <c r="B960" s="203">
        <v>2180</v>
      </c>
      <c r="C960" s="207">
        <v>67426</v>
      </c>
      <c r="D960" s="203" t="s">
        <v>97</v>
      </c>
      <c r="E960" s="202" t="s">
        <v>1500</v>
      </c>
      <c r="F960" s="203">
        <v>0</v>
      </c>
      <c r="G960" s="202"/>
      <c r="H960" s="202"/>
      <c r="I960" s="202"/>
      <c r="J960" s="202">
        <v>0</v>
      </c>
      <c r="K960" s="202"/>
      <c r="L960" s="202"/>
      <c r="M960" s="202"/>
      <c r="N960" s="206">
        <v>40026</v>
      </c>
      <c r="O960" s="206">
        <v>40026</v>
      </c>
      <c r="P960" s="202"/>
      <c r="Q960" s="203">
        <v>0</v>
      </c>
      <c r="R960" s="203">
        <v>15110</v>
      </c>
      <c r="S960" s="204">
        <v>-7164.02</v>
      </c>
      <c r="T960" s="203">
        <v>0</v>
      </c>
      <c r="U960" s="204">
        <v>0</v>
      </c>
      <c r="V960" s="204">
        <f t="shared" si="25"/>
        <v>-7164.02</v>
      </c>
      <c r="W960" s="205">
        <v>0</v>
      </c>
      <c r="X960" s="203">
        <v>0</v>
      </c>
      <c r="Y960" s="204">
        <v>0</v>
      </c>
      <c r="Z960" s="202" t="s">
        <v>97</v>
      </c>
      <c r="AA960" s="202"/>
      <c r="AB960" s="202"/>
      <c r="AC960" s="202"/>
      <c r="AD960" s="202" t="s">
        <v>1152</v>
      </c>
      <c r="AE960" s="202" t="s">
        <v>1153</v>
      </c>
      <c r="AF960" s="203" t="s">
        <v>1382</v>
      </c>
      <c r="AG960" s="202"/>
      <c r="AH960" s="203" t="s">
        <v>1155</v>
      </c>
      <c r="AI960" s="202">
        <v>0</v>
      </c>
      <c r="AJ960" s="202">
        <v>0</v>
      </c>
    </row>
    <row r="961" spans="2:36">
      <c r="B961" s="203">
        <v>2180</v>
      </c>
      <c r="C961" s="207">
        <v>67425</v>
      </c>
      <c r="D961" s="203" t="s">
        <v>97</v>
      </c>
      <c r="E961" s="202" t="s">
        <v>1499</v>
      </c>
      <c r="F961" s="203">
        <v>0</v>
      </c>
      <c r="G961" s="202"/>
      <c r="H961" s="202"/>
      <c r="I961" s="202"/>
      <c r="J961" s="202">
        <v>0</v>
      </c>
      <c r="K961" s="202"/>
      <c r="L961" s="202"/>
      <c r="M961" s="202"/>
      <c r="N961" s="206">
        <v>40026</v>
      </c>
      <c r="O961" s="206">
        <v>40026</v>
      </c>
      <c r="P961" s="202"/>
      <c r="Q961" s="203">
        <v>0</v>
      </c>
      <c r="R961" s="203">
        <v>15110</v>
      </c>
      <c r="S961" s="204">
        <v>-34701</v>
      </c>
      <c r="T961" s="203">
        <v>0</v>
      </c>
      <c r="U961" s="204">
        <v>0</v>
      </c>
      <c r="V961" s="204">
        <f t="shared" si="25"/>
        <v>-34701</v>
      </c>
      <c r="W961" s="205">
        <v>0</v>
      </c>
      <c r="X961" s="203">
        <v>0</v>
      </c>
      <c r="Y961" s="204">
        <v>0</v>
      </c>
      <c r="Z961" s="202" t="s">
        <v>97</v>
      </c>
      <c r="AA961" s="202"/>
      <c r="AB961" s="202"/>
      <c r="AC961" s="202"/>
      <c r="AD961" s="202" t="s">
        <v>1152</v>
      </c>
      <c r="AE961" s="202" t="s">
        <v>1153</v>
      </c>
      <c r="AF961" s="203" t="s">
        <v>1382</v>
      </c>
      <c r="AG961" s="202"/>
      <c r="AH961" s="203" t="s">
        <v>1155</v>
      </c>
      <c r="AI961" s="202">
        <v>0</v>
      </c>
      <c r="AJ961" s="202">
        <v>0</v>
      </c>
    </row>
    <row r="962" spans="2:36">
      <c r="B962" s="203">
        <v>2180</v>
      </c>
      <c r="C962" s="207">
        <v>67203</v>
      </c>
      <c r="D962" s="203" t="s">
        <v>97</v>
      </c>
      <c r="E962" s="202" t="s">
        <v>1498</v>
      </c>
      <c r="F962" s="203">
        <v>0</v>
      </c>
      <c r="G962" s="202"/>
      <c r="H962" s="202"/>
      <c r="I962" s="202"/>
      <c r="J962" s="202">
        <v>0</v>
      </c>
      <c r="K962" s="202" t="s">
        <v>109</v>
      </c>
      <c r="L962" s="202"/>
      <c r="M962" s="202"/>
      <c r="N962" s="206">
        <v>40002</v>
      </c>
      <c r="O962" s="206">
        <v>40002</v>
      </c>
      <c r="P962" s="202" t="s">
        <v>1491</v>
      </c>
      <c r="Q962" s="203">
        <v>500</v>
      </c>
      <c r="R962" s="203">
        <v>14070</v>
      </c>
      <c r="S962" s="204">
        <v>1194.22</v>
      </c>
      <c r="T962" s="203">
        <v>14076</v>
      </c>
      <c r="U962" s="204">
        <v>1194.22</v>
      </c>
      <c r="V962" s="204">
        <f t="shared" si="25"/>
        <v>0</v>
      </c>
      <c r="W962" s="205">
        <v>0</v>
      </c>
      <c r="X962" s="203">
        <v>51260</v>
      </c>
      <c r="Y962" s="204">
        <v>0</v>
      </c>
      <c r="Z962" s="202" t="s">
        <v>97</v>
      </c>
      <c r="AA962" s="202"/>
      <c r="AB962" s="202" t="s">
        <v>1497</v>
      </c>
      <c r="AC962" s="202"/>
      <c r="AD962" s="202" t="s">
        <v>1152</v>
      </c>
      <c r="AE962" s="202" t="s">
        <v>1153</v>
      </c>
      <c r="AF962" s="203" t="s">
        <v>1154</v>
      </c>
      <c r="AG962" s="202"/>
      <c r="AH962" s="203" t="s">
        <v>1155</v>
      </c>
      <c r="AI962" s="202">
        <v>0</v>
      </c>
      <c r="AJ962" s="202">
        <v>0</v>
      </c>
    </row>
    <row r="963" spans="2:36">
      <c r="B963" s="203">
        <v>2180</v>
      </c>
      <c r="C963" s="207">
        <v>67202</v>
      </c>
      <c r="D963" s="203" t="s">
        <v>97</v>
      </c>
      <c r="E963" s="202" t="s">
        <v>1496</v>
      </c>
      <c r="F963" s="203">
        <v>0</v>
      </c>
      <c r="G963" s="202"/>
      <c r="H963" s="202"/>
      <c r="I963" s="202"/>
      <c r="J963" s="202">
        <v>0</v>
      </c>
      <c r="K963" s="202" t="s">
        <v>109</v>
      </c>
      <c r="L963" s="202"/>
      <c r="M963" s="202"/>
      <c r="N963" s="206">
        <v>40002</v>
      </c>
      <c r="O963" s="206">
        <v>40002</v>
      </c>
      <c r="P963" s="202" t="s">
        <v>1491</v>
      </c>
      <c r="Q963" s="203">
        <v>500</v>
      </c>
      <c r="R963" s="203">
        <v>14070</v>
      </c>
      <c r="S963" s="204">
        <v>641.30999999999995</v>
      </c>
      <c r="T963" s="203">
        <v>14076</v>
      </c>
      <c r="U963" s="204">
        <v>641.30999999999995</v>
      </c>
      <c r="V963" s="204">
        <f t="shared" si="25"/>
        <v>0</v>
      </c>
      <c r="W963" s="205">
        <v>0</v>
      </c>
      <c r="X963" s="203">
        <v>51260</v>
      </c>
      <c r="Y963" s="204">
        <v>0</v>
      </c>
      <c r="Z963" s="202" t="s">
        <v>97</v>
      </c>
      <c r="AA963" s="202"/>
      <c r="AB963" s="202" t="s">
        <v>1495</v>
      </c>
      <c r="AC963" s="202"/>
      <c r="AD963" s="202" t="s">
        <v>1152</v>
      </c>
      <c r="AE963" s="202" t="s">
        <v>1153</v>
      </c>
      <c r="AF963" s="203" t="s">
        <v>1154</v>
      </c>
      <c r="AG963" s="202"/>
      <c r="AH963" s="203" t="s">
        <v>1155</v>
      </c>
      <c r="AI963" s="202">
        <v>0</v>
      </c>
      <c r="AJ963" s="202">
        <v>0</v>
      </c>
    </row>
    <row r="964" spans="2:36">
      <c r="B964" s="203">
        <v>2180</v>
      </c>
      <c r="C964" s="207">
        <v>67196</v>
      </c>
      <c r="D964" s="203" t="s">
        <v>97</v>
      </c>
      <c r="E964" s="202" t="s">
        <v>1494</v>
      </c>
      <c r="F964" s="203">
        <v>0</v>
      </c>
      <c r="G964" s="202"/>
      <c r="H964" s="202"/>
      <c r="I964" s="202"/>
      <c r="J964" s="202">
        <v>0</v>
      </c>
      <c r="K964" s="202" t="s">
        <v>109</v>
      </c>
      <c r="L964" s="202"/>
      <c r="M964" s="202"/>
      <c r="N964" s="206">
        <v>39986</v>
      </c>
      <c r="O964" s="206">
        <v>39986</v>
      </c>
      <c r="P964" s="202" t="s">
        <v>1491</v>
      </c>
      <c r="Q964" s="203">
        <v>500</v>
      </c>
      <c r="R964" s="203">
        <v>14070</v>
      </c>
      <c r="S964" s="204">
        <v>38653.29</v>
      </c>
      <c r="T964" s="203">
        <v>14076</v>
      </c>
      <c r="U964" s="204">
        <v>38653.29</v>
      </c>
      <c r="V964" s="204">
        <f t="shared" si="25"/>
        <v>0</v>
      </c>
      <c r="W964" s="205">
        <v>0</v>
      </c>
      <c r="X964" s="203">
        <v>51260</v>
      </c>
      <c r="Y964" s="204">
        <v>0</v>
      </c>
      <c r="Z964" s="202" t="s">
        <v>97</v>
      </c>
      <c r="AA964" s="202"/>
      <c r="AB964" s="202" t="s">
        <v>1493</v>
      </c>
      <c r="AC964" s="202"/>
      <c r="AD964" s="202" t="s">
        <v>1152</v>
      </c>
      <c r="AE964" s="202" t="s">
        <v>1153</v>
      </c>
      <c r="AF964" s="203" t="s">
        <v>1154</v>
      </c>
      <c r="AG964" s="202"/>
      <c r="AH964" s="203" t="s">
        <v>1155</v>
      </c>
      <c r="AI964" s="202">
        <v>0</v>
      </c>
      <c r="AJ964" s="202">
        <v>0</v>
      </c>
    </row>
    <row r="965" spans="2:36">
      <c r="B965" s="203">
        <v>2180</v>
      </c>
      <c r="C965" s="207">
        <v>67195</v>
      </c>
      <c r="D965" s="203" t="s">
        <v>97</v>
      </c>
      <c r="E965" s="202" t="s">
        <v>1492</v>
      </c>
      <c r="F965" s="203">
        <v>0</v>
      </c>
      <c r="G965" s="202"/>
      <c r="H965" s="202"/>
      <c r="I965" s="202"/>
      <c r="J965" s="202">
        <v>0</v>
      </c>
      <c r="K965" s="202" t="s">
        <v>109</v>
      </c>
      <c r="L965" s="202"/>
      <c r="M965" s="202"/>
      <c r="N965" s="206">
        <v>39979</v>
      </c>
      <c r="O965" s="206">
        <v>39979</v>
      </c>
      <c r="P965" s="202" t="s">
        <v>1491</v>
      </c>
      <c r="Q965" s="203">
        <v>500</v>
      </c>
      <c r="R965" s="203">
        <v>14070</v>
      </c>
      <c r="S965" s="204">
        <v>6722.48</v>
      </c>
      <c r="T965" s="203">
        <v>14076</v>
      </c>
      <c r="U965" s="204">
        <v>6722.48</v>
      </c>
      <c r="V965" s="204">
        <f t="shared" si="25"/>
        <v>0</v>
      </c>
      <c r="W965" s="205">
        <v>0</v>
      </c>
      <c r="X965" s="203">
        <v>51260</v>
      </c>
      <c r="Y965" s="204">
        <v>0</v>
      </c>
      <c r="Z965" s="202" t="s">
        <v>97</v>
      </c>
      <c r="AA965" s="202"/>
      <c r="AB965" s="202" t="s">
        <v>1490</v>
      </c>
      <c r="AC965" s="202"/>
      <c r="AD965" s="202" t="s">
        <v>1152</v>
      </c>
      <c r="AE965" s="202" t="s">
        <v>1153</v>
      </c>
      <c r="AF965" s="203" t="s">
        <v>1154</v>
      </c>
      <c r="AG965" s="202"/>
      <c r="AH965" s="203" t="s">
        <v>1155</v>
      </c>
      <c r="AI965" s="202">
        <v>0</v>
      </c>
      <c r="AJ965" s="202">
        <v>0</v>
      </c>
    </row>
    <row r="966" spans="2:36">
      <c r="B966" s="203">
        <v>2180</v>
      </c>
      <c r="C966" s="207">
        <v>66927</v>
      </c>
      <c r="D966" s="203" t="s">
        <v>97</v>
      </c>
      <c r="E966" s="202" t="s">
        <v>1489</v>
      </c>
      <c r="F966" s="203">
        <v>0</v>
      </c>
      <c r="G966" s="202"/>
      <c r="H966" s="202" t="s">
        <v>1488</v>
      </c>
      <c r="I966" s="202"/>
      <c r="J966" s="202">
        <v>2004</v>
      </c>
      <c r="K966" s="202" t="s">
        <v>1255</v>
      </c>
      <c r="L966" s="202" t="s">
        <v>1255</v>
      </c>
      <c r="M966" s="202" t="s">
        <v>280</v>
      </c>
      <c r="N966" s="206">
        <v>39755</v>
      </c>
      <c r="O966" s="206">
        <v>39755</v>
      </c>
      <c r="P966" s="202"/>
      <c r="Q966" s="203">
        <v>300</v>
      </c>
      <c r="R966" s="203">
        <v>14040</v>
      </c>
      <c r="S966" s="204">
        <v>13000</v>
      </c>
      <c r="T966" s="203">
        <v>14046</v>
      </c>
      <c r="U966" s="204">
        <v>13000</v>
      </c>
      <c r="V966" s="204">
        <f t="shared" si="25"/>
        <v>0</v>
      </c>
      <c r="W966" s="205">
        <v>0</v>
      </c>
      <c r="X966" s="203">
        <v>51260</v>
      </c>
      <c r="Y966" s="204">
        <v>0</v>
      </c>
      <c r="Z966" s="202" t="s">
        <v>1153</v>
      </c>
      <c r="AA966" s="202" t="s">
        <v>1383</v>
      </c>
      <c r="AB966" s="202"/>
      <c r="AC966" s="202">
        <v>8879</v>
      </c>
      <c r="AD966" s="202" t="s">
        <v>1152</v>
      </c>
      <c r="AE966" s="202" t="s">
        <v>1153</v>
      </c>
      <c r="AF966" s="203" t="s">
        <v>1154</v>
      </c>
      <c r="AG966" s="208">
        <v>40025</v>
      </c>
      <c r="AH966" s="203" t="s">
        <v>1155</v>
      </c>
      <c r="AI966" s="202">
        <v>0</v>
      </c>
      <c r="AJ966" s="202">
        <v>3250</v>
      </c>
    </row>
    <row r="967" spans="2:36">
      <c r="B967" s="203">
        <v>2180</v>
      </c>
      <c r="C967" s="207">
        <v>66926</v>
      </c>
      <c r="D967" s="203" t="s">
        <v>97</v>
      </c>
      <c r="E967" s="202" t="s">
        <v>1485</v>
      </c>
      <c r="F967" s="203">
        <v>0</v>
      </c>
      <c r="G967" s="202"/>
      <c r="H967" s="202" t="s">
        <v>1487</v>
      </c>
      <c r="I967" s="202"/>
      <c r="J967" s="202">
        <v>2003</v>
      </c>
      <c r="K967" s="202" t="s">
        <v>1255</v>
      </c>
      <c r="L967" s="202" t="s">
        <v>1255</v>
      </c>
      <c r="M967" s="202" t="s">
        <v>280</v>
      </c>
      <c r="N967" s="206">
        <v>39755</v>
      </c>
      <c r="O967" s="206">
        <v>39755</v>
      </c>
      <c r="P967" s="202"/>
      <c r="Q967" s="203">
        <v>300</v>
      </c>
      <c r="R967" s="203">
        <v>14040</v>
      </c>
      <c r="S967" s="204">
        <v>12000</v>
      </c>
      <c r="T967" s="203">
        <v>14046</v>
      </c>
      <c r="U967" s="204">
        <v>12000</v>
      </c>
      <c r="V967" s="204">
        <f t="shared" si="25"/>
        <v>0</v>
      </c>
      <c r="W967" s="205">
        <v>0</v>
      </c>
      <c r="X967" s="203">
        <v>51260</v>
      </c>
      <c r="Y967" s="204">
        <v>0</v>
      </c>
      <c r="Z967" s="202" t="s">
        <v>1153</v>
      </c>
      <c r="AA967" s="202" t="s">
        <v>1383</v>
      </c>
      <c r="AB967" s="202"/>
      <c r="AC967" s="202">
        <v>8876</v>
      </c>
      <c r="AD967" s="202" t="s">
        <v>1152</v>
      </c>
      <c r="AE967" s="202" t="s">
        <v>1153</v>
      </c>
      <c r="AF967" s="203" t="s">
        <v>1154</v>
      </c>
      <c r="AG967" s="208">
        <v>40025</v>
      </c>
      <c r="AH967" s="203" t="s">
        <v>1155</v>
      </c>
      <c r="AI967" s="202">
        <v>0</v>
      </c>
      <c r="AJ967" s="202">
        <v>3000</v>
      </c>
    </row>
    <row r="968" spans="2:36">
      <c r="B968" s="203">
        <v>2180</v>
      </c>
      <c r="C968" s="207">
        <v>66925</v>
      </c>
      <c r="D968" s="203" t="s">
        <v>97</v>
      </c>
      <c r="E968" s="202" t="s">
        <v>1485</v>
      </c>
      <c r="F968" s="203">
        <v>0</v>
      </c>
      <c r="G968" s="202"/>
      <c r="H968" s="202" t="s">
        <v>1486</v>
      </c>
      <c r="I968" s="202"/>
      <c r="J968" s="202">
        <v>2003</v>
      </c>
      <c r="K968" s="202" t="s">
        <v>1255</v>
      </c>
      <c r="L968" s="202" t="s">
        <v>1255</v>
      </c>
      <c r="M968" s="202" t="s">
        <v>280</v>
      </c>
      <c r="N968" s="206">
        <v>39755</v>
      </c>
      <c r="O968" s="206">
        <v>39755</v>
      </c>
      <c r="P968" s="202"/>
      <c r="Q968" s="203">
        <v>300</v>
      </c>
      <c r="R968" s="203">
        <v>14040</v>
      </c>
      <c r="S968" s="204">
        <v>12000</v>
      </c>
      <c r="T968" s="203">
        <v>14046</v>
      </c>
      <c r="U968" s="204">
        <v>12000</v>
      </c>
      <c r="V968" s="204">
        <f t="shared" si="25"/>
        <v>0</v>
      </c>
      <c r="W968" s="205">
        <v>0</v>
      </c>
      <c r="X968" s="203">
        <v>51260</v>
      </c>
      <c r="Y968" s="204">
        <v>0</v>
      </c>
      <c r="Z968" s="202" t="s">
        <v>1153</v>
      </c>
      <c r="AA968" s="202" t="s">
        <v>1383</v>
      </c>
      <c r="AB968" s="202"/>
      <c r="AC968" s="202">
        <v>8875</v>
      </c>
      <c r="AD968" s="202" t="s">
        <v>1152</v>
      </c>
      <c r="AE968" s="202" t="s">
        <v>1153</v>
      </c>
      <c r="AF968" s="203" t="s">
        <v>1154</v>
      </c>
      <c r="AG968" s="208">
        <v>40025</v>
      </c>
      <c r="AH968" s="203" t="s">
        <v>1155</v>
      </c>
      <c r="AI968" s="202">
        <v>0</v>
      </c>
      <c r="AJ968" s="202">
        <v>3000</v>
      </c>
    </row>
    <row r="969" spans="2:36">
      <c r="B969" s="203">
        <v>2180</v>
      </c>
      <c r="C969" s="207">
        <v>66924</v>
      </c>
      <c r="D969" s="203" t="s">
        <v>97</v>
      </c>
      <c r="E969" s="202" t="s">
        <v>1485</v>
      </c>
      <c r="F969" s="203">
        <v>0</v>
      </c>
      <c r="G969" s="202"/>
      <c r="H969" s="202" t="s">
        <v>1484</v>
      </c>
      <c r="I969" s="202"/>
      <c r="J969" s="202">
        <v>2003</v>
      </c>
      <c r="K969" s="202" t="s">
        <v>1255</v>
      </c>
      <c r="L969" s="202" t="s">
        <v>1255</v>
      </c>
      <c r="M969" s="202" t="s">
        <v>280</v>
      </c>
      <c r="N969" s="206">
        <v>39755</v>
      </c>
      <c r="O969" s="206">
        <v>39755</v>
      </c>
      <c r="P969" s="202"/>
      <c r="Q969" s="203">
        <v>300</v>
      </c>
      <c r="R969" s="203">
        <v>14040</v>
      </c>
      <c r="S969" s="204">
        <v>12000</v>
      </c>
      <c r="T969" s="203">
        <v>14046</v>
      </c>
      <c r="U969" s="204">
        <v>12000</v>
      </c>
      <c r="V969" s="204">
        <f t="shared" si="25"/>
        <v>0</v>
      </c>
      <c r="W969" s="205">
        <v>0</v>
      </c>
      <c r="X969" s="203">
        <v>51260</v>
      </c>
      <c r="Y969" s="204">
        <v>0</v>
      </c>
      <c r="Z969" s="202" t="s">
        <v>1153</v>
      </c>
      <c r="AA969" s="202" t="s">
        <v>1383</v>
      </c>
      <c r="AB969" s="202"/>
      <c r="AC969" s="202">
        <v>8874</v>
      </c>
      <c r="AD969" s="202" t="s">
        <v>1152</v>
      </c>
      <c r="AE969" s="202" t="s">
        <v>1153</v>
      </c>
      <c r="AF969" s="203" t="s">
        <v>1154</v>
      </c>
      <c r="AG969" s="208">
        <v>40025</v>
      </c>
      <c r="AH969" s="203" t="s">
        <v>1155</v>
      </c>
      <c r="AI969" s="202">
        <v>0</v>
      </c>
      <c r="AJ969" s="202">
        <v>3000</v>
      </c>
    </row>
    <row r="970" spans="2:36">
      <c r="B970" s="203">
        <v>2180</v>
      </c>
      <c r="C970" s="207">
        <v>66922</v>
      </c>
      <c r="D970" s="203" t="s">
        <v>97</v>
      </c>
      <c r="E970" s="202" t="s">
        <v>1483</v>
      </c>
      <c r="F970" s="203">
        <v>0</v>
      </c>
      <c r="G970" s="202"/>
      <c r="H970" s="202" t="s">
        <v>1482</v>
      </c>
      <c r="I970" s="202"/>
      <c r="J970" s="202">
        <v>2000</v>
      </c>
      <c r="K970" s="202" t="s">
        <v>1255</v>
      </c>
      <c r="L970" s="202" t="s">
        <v>1255</v>
      </c>
      <c r="M970" s="202" t="s">
        <v>280</v>
      </c>
      <c r="N970" s="206">
        <v>39755</v>
      </c>
      <c r="O970" s="206">
        <v>39755</v>
      </c>
      <c r="P970" s="202"/>
      <c r="Q970" s="203">
        <v>300</v>
      </c>
      <c r="R970" s="203">
        <v>14040</v>
      </c>
      <c r="S970" s="204">
        <v>9000</v>
      </c>
      <c r="T970" s="203">
        <v>14046</v>
      </c>
      <c r="U970" s="204">
        <v>9000</v>
      </c>
      <c r="V970" s="204">
        <f t="shared" si="25"/>
        <v>0</v>
      </c>
      <c r="W970" s="205">
        <v>0</v>
      </c>
      <c r="X970" s="203">
        <v>51260</v>
      </c>
      <c r="Y970" s="204">
        <v>0</v>
      </c>
      <c r="Z970" s="202" t="s">
        <v>1153</v>
      </c>
      <c r="AA970" s="202" t="s">
        <v>1383</v>
      </c>
      <c r="AB970" s="202"/>
      <c r="AC970" s="202">
        <v>8867</v>
      </c>
      <c r="AD970" s="202" t="s">
        <v>1152</v>
      </c>
      <c r="AE970" s="202" t="s">
        <v>1153</v>
      </c>
      <c r="AF970" s="203" t="s">
        <v>1154</v>
      </c>
      <c r="AG970" s="208">
        <v>40025</v>
      </c>
      <c r="AH970" s="203" t="s">
        <v>1155</v>
      </c>
      <c r="AI970" s="202">
        <v>0</v>
      </c>
      <c r="AJ970" s="202">
        <v>2250</v>
      </c>
    </row>
    <row r="971" spans="2:36">
      <c r="B971" s="203">
        <v>2180</v>
      </c>
      <c r="C971" s="207">
        <v>66920</v>
      </c>
      <c r="D971" s="203" t="s">
        <v>97</v>
      </c>
      <c r="E971" s="202" t="s">
        <v>1481</v>
      </c>
      <c r="F971" s="203">
        <v>0</v>
      </c>
      <c r="G971" s="202"/>
      <c r="H971" s="202" t="s">
        <v>1480</v>
      </c>
      <c r="I971" s="202"/>
      <c r="J971" s="202">
        <v>1999</v>
      </c>
      <c r="K971" s="202" t="s">
        <v>1255</v>
      </c>
      <c r="L971" s="202" t="s">
        <v>1255</v>
      </c>
      <c r="M971" s="202" t="s">
        <v>280</v>
      </c>
      <c r="N971" s="206">
        <v>39755</v>
      </c>
      <c r="O971" s="206">
        <v>39755</v>
      </c>
      <c r="P971" s="202"/>
      <c r="Q971" s="203">
        <v>300</v>
      </c>
      <c r="R971" s="203">
        <v>14040</v>
      </c>
      <c r="S971" s="204">
        <v>7000</v>
      </c>
      <c r="T971" s="203">
        <v>14046</v>
      </c>
      <c r="U971" s="204">
        <v>7000</v>
      </c>
      <c r="V971" s="204">
        <f t="shared" si="25"/>
        <v>0</v>
      </c>
      <c r="W971" s="205">
        <v>0</v>
      </c>
      <c r="X971" s="203">
        <v>51260</v>
      </c>
      <c r="Y971" s="204">
        <v>0</v>
      </c>
      <c r="Z971" s="202" t="s">
        <v>1153</v>
      </c>
      <c r="AA971" s="202" t="s">
        <v>1383</v>
      </c>
      <c r="AB971" s="202"/>
      <c r="AC971" s="202">
        <v>8855</v>
      </c>
      <c r="AD971" s="202" t="s">
        <v>1152</v>
      </c>
      <c r="AE971" s="202" t="s">
        <v>1153</v>
      </c>
      <c r="AF971" s="203" t="s">
        <v>1154</v>
      </c>
      <c r="AG971" s="208">
        <v>40025</v>
      </c>
      <c r="AH971" s="203" t="s">
        <v>1155</v>
      </c>
      <c r="AI971" s="202">
        <v>0</v>
      </c>
      <c r="AJ971" s="202">
        <v>1750</v>
      </c>
    </row>
    <row r="972" spans="2:36">
      <c r="B972" s="203">
        <v>2180</v>
      </c>
      <c r="C972" s="207">
        <v>66916</v>
      </c>
      <c r="D972" s="203" t="s">
        <v>97</v>
      </c>
      <c r="E972" s="202" t="s">
        <v>1479</v>
      </c>
      <c r="F972" s="203">
        <v>0</v>
      </c>
      <c r="G972" s="202"/>
      <c r="H972" s="202" t="s">
        <v>1478</v>
      </c>
      <c r="I972" s="202"/>
      <c r="J972" s="202">
        <v>1998</v>
      </c>
      <c r="K972" s="202" t="s">
        <v>1255</v>
      </c>
      <c r="L972" s="202" t="s">
        <v>1255</v>
      </c>
      <c r="M972" s="202" t="s">
        <v>280</v>
      </c>
      <c r="N972" s="206">
        <v>39755</v>
      </c>
      <c r="O972" s="206">
        <v>39755</v>
      </c>
      <c r="P972" s="202"/>
      <c r="Q972" s="203">
        <v>300</v>
      </c>
      <c r="R972" s="203">
        <v>14040</v>
      </c>
      <c r="S972" s="204">
        <v>7000</v>
      </c>
      <c r="T972" s="203">
        <v>14046</v>
      </c>
      <c r="U972" s="204">
        <v>7000</v>
      </c>
      <c r="V972" s="204">
        <f t="shared" si="25"/>
        <v>0</v>
      </c>
      <c r="W972" s="205">
        <v>0</v>
      </c>
      <c r="X972" s="203">
        <v>51260</v>
      </c>
      <c r="Y972" s="204">
        <v>0</v>
      </c>
      <c r="Z972" s="202" t="s">
        <v>1153</v>
      </c>
      <c r="AA972" s="202" t="s">
        <v>1383</v>
      </c>
      <c r="AB972" s="202"/>
      <c r="AC972" s="202">
        <v>8837</v>
      </c>
      <c r="AD972" s="202" t="s">
        <v>1152</v>
      </c>
      <c r="AE972" s="202" t="s">
        <v>1153</v>
      </c>
      <c r="AF972" s="203" t="s">
        <v>1154</v>
      </c>
      <c r="AG972" s="208">
        <v>40025</v>
      </c>
      <c r="AH972" s="203" t="s">
        <v>1155</v>
      </c>
      <c r="AI972" s="202">
        <v>0</v>
      </c>
      <c r="AJ972" s="202">
        <v>1750</v>
      </c>
    </row>
    <row r="973" spans="2:36">
      <c r="B973" s="203">
        <v>2180</v>
      </c>
      <c r="C973" s="207">
        <v>66913</v>
      </c>
      <c r="D973" s="203" t="s">
        <v>97</v>
      </c>
      <c r="E973" s="202" t="s">
        <v>1476</v>
      </c>
      <c r="F973" s="203">
        <v>0</v>
      </c>
      <c r="G973" s="202"/>
      <c r="H973" s="202" t="s">
        <v>1477</v>
      </c>
      <c r="I973" s="202"/>
      <c r="J973" s="202">
        <v>1997</v>
      </c>
      <c r="K973" s="202" t="s">
        <v>1255</v>
      </c>
      <c r="L973" s="202" t="s">
        <v>1255</v>
      </c>
      <c r="M973" s="202" t="s">
        <v>280</v>
      </c>
      <c r="N973" s="206">
        <v>39755</v>
      </c>
      <c r="O973" s="206">
        <v>39755</v>
      </c>
      <c r="P973" s="202"/>
      <c r="Q973" s="203">
        <v>300</v>
      </c>
      <c r="R973" s="203">
        <v>14040</v>
      </c>
      <c r="S973" s="204">
        <v>7000</v>
      </c>
      <c r="T973" s="203">
        <v>14046</v>
      </c>
      <c r="U973" s="204">
        <v>7000</v>
      </c>
      <c r="V973" s="204">
        <f t="shared" si="25"/>
        <v>0</v>
      </c>
      <c r="W973" s="205">
        <v>0</v>
      </c>
      <c r="X973" s="203">
        <v>51260</v>
      </c>
      <c r="Y973" s="204">
        <v>0</v>
      </c>
      <c r="Z973" s="202" t="s">
        <v>1153</v>
      </c>
      <c r="AA973" s="202" t="s">
        <v>1383</v>
      </c>
      <c r="AB973" s="202"/>
      <c r="AC973" s="202">
        <v>8833</v>
      </c>
      <c r="AD973" s="202" t="s">
        <v>1152</v>
      </c>
      <c r="AE973" s="202" t="s">
        <v>1153</v>
      </c>
      <c r="AF973" s="203" t="s">
        <v>1154</v>
      </c>
      <c r="AG973" s="208">
        <v>40025</v>
      </c>
      <c r="AH973" s="203" t="s">
        <v>1155</v>
      </c>
      <c r="AI973" s="202">
        <v>0</v>
      </c>
      <c r="AJ973" s="202">
        <v>1750</v>
      </c>
    </row>
    <row r="974" spans="2:36">
      <c r="B974" s="203">
        <v>2180</v>
      </c>
      <c r="C974" s="207">
        <v>66912</v>
      </c>
      <c r="D974" s="203" t="s">
        <v>97</v>
      </c>
      <c r="E974" s="202" t="s">
        <v>1476</v>
      </c>
      <c r="F974" s="203">
        <v>0</v>
      </c>
      <c r="G974" s="202"/>
      <c r="H974" s="202" t="s">
        <v>1475</v>
      </c>
      <c r="I974" s="202"/>
      <c r="J974" s="202">
        <v>1997</v>
      </c>
      <c r="K974" s="202" t="s">
        <v>1255</v>
      </c>
      <c r="L974" s="202" t="s">
        <v>1255</v>
      </c>
      <c r="M974" s="202" t="s">
        <v>280</v>
      </c>
      <c r="N974" s="206">
        <v>39755</v>
      </c>
      <c r="O974" s="206">
        <v>39755</v>
      </c>
      <c r="P974" s="202"/>
      <c r="Q974" s="203">
        <v>300</v>
      </c>
      <c r="R974" s="203">
        <v>14040</v>
      </c>
      <c r="S974" s="204">
        <v>7000</v>
      </c>
      <c r="T974" s="203">
        <v>14046</v>
      </c>
      <c r="U974" s="204">
        <v>7000</v>
      </c>
      <c r="V974" s="204">
        <f t="shared" ref="V974:V1022" si="26">S974-U974</f>
        <v>0</v>
      </c>
      <c r="W974" s="205">
        <v>0</v>
      </c>
      <c r="X974" s="203">
        <v>51260</v>
      </c>
      <c r="Y974" s="204">
        <v>0</v>
      </c>
      <c r="Z974" s="202" t="s">
        <v>1153</v>
      </c>
      <c r="AA974" s="202" t="s">
        <v>1383</v>
      </c>
      <c r="AB974" s="202"/>
      <c r="AC974" s="202">
        <v>8832</v>
      </c>
      <c r="AD974" s="202" t="s">
        <v>1152</v>
      </c>
      <c r="AE974" s="202" t="s">
        <v>1153</v>
      </c>
      <c r="AF974" s="203" t="s">
        <v>1154</v>
      </c>
      <c r="AG974" s="208">
        <v>40025</v>
      </c>
      <c r="AH974" s="203" t="s">
        <v>1155</v>
      </c>
      <c r="AI974" s="202">
        <v>0</v>
      </c>
      <c r="AJ974" s="202">
        <v>1750</v>
      </c>
    </row>
    <row r="975" spans="2:36">
      <c r="B975" s="203">
        <v>2180</v>
      </c>
      <c r="C975" s="207">
        <v>66899</v>
      </c>
      <c r="D975" s="203" t="s">
        <v>97</v>
      </c>
      <c r="E975" s="202" t="s">
        <v>1474</v>
      </c>
      <c r="F975" s="203">
        <v>0</v>
      </c>
      <c r="G975" s="202"/>
      <c r="H975" s="202" t="s">
        <v>1473</v>
      </c>
      <c r="I975" s="202"/>
      <c r="J975" s="202">
        <v>2006</v>
      </c>
      <c r="K975" s="202" t="s">
        <v>1396</v>
      </c>
      <c r="L975" s="202" t="s">
        <v>1395</v>
      </c>
      <c r="M975" s="202" t="s">
        <v>1394</v>
      </c>
      <c r="N975" s="206">
        <v>39755</v>
      </c>
      <c r="O975" s="206">
        <v>39755</v>
      </c>
      <c r="P975" s="202"/>
      <c r="Q975" s="203">
        <v>700</v>
      </c>
      <c r="R975" s="203">
        <v>14040</v>
      </c>
      <c r="S975" s="204">
        <v>123500</v>
      </c>
      <c r="T975" s="203">
        <v>14046</v>
      </c>
      <c r="U975" s="204">
        <v>123500</v>
      </c>
      <c r="V975" s="204">
        <f t="shared" si="26"/>
        <v>0</v>
      </c>
      <c r="W975" s="205">
        <v>0</v>
      </c>
      <c r="X975" s="203">
        <v>51260</v>
      </c>
      <c r="Y975" s="204">
        <v>0</v>
      </c>
      <c r="Z975" s="202" t="s">
        <v>1153</v>
      </c>
      <c r="AA975" s="202" t="s">
        <v>1383</v>
      </c>
      <c r="AB975" s="202"/>
      <c r="AC975" s="202">
        <v>1044</v>
      </c>
      <c r="AD975" s="202" t="s">
        <v>1152</v>
      </c>
      <c r="AE975" s="202" t="s">
        <v>1153</v>
      </c>
      <c r="AF975" s="203" t="s">
        <v>1154</v>
      </c>
      <c r="AG975" s="208">
        <v>40025</v>
      </c>
      <c r="AH975" s="203" t="s">
        <v>1155</v>
      </c>
      <c r="AI975" s="202">
        <v>0</v>
      </c>
      <c r="AJ975" s="202">
        <v>13232.15</v>
      </c>
    </row>
    <row r="976" spans="2:36">
      <c r="B976" s="203">
        <v>2180</v>
      </c>
      <c r="C976" s="207">
        <v>66832</v>
      </c>
      <c r="D976" s="203" t="s">
        <v>97</v>
      </c>
      <c r="E976" s="202" t="s">
        <v>1472</v>
      </c>
      <c r="F976" s="203">
        <v>0</v>
      </c>
      <c r="G976" s="202"/>
      <c r="H976" s="202" t="s">
        <v>1471</v>
      </c>
      <c r="I976" s="202"/>
      <c r="J976" s="202">
        <v>1987</v>
      </c>
      <c r="K976" s="202" t="s">
        <v>1406</v>
      </c>
      <c r="L976" s="202" t="s">
        <v>1255</v>
      </c>
      <c r="M976" s="202" t="s">
        <v>1470</v>
      </c>
      <c r="N976" s="206">
        <v>39814</v>
      </c>
      <c r="O976" s="206">
        <v>39814</v>
      </c>
      <c r="P976" s="202"/>
      <c r="Q976" s="203">
        <v>100</v>
      </c>
      <c r="R976" s="203">
        <v>14040</v>
      </c>
      <c r="S976" s="204">
        <v>0</v>
      </c>
      <c r="T976" s="203">
        <v>14046</v>
      </c>
      <c r="U976" s="204">
        <v>0</v>
      </c>
      <c r="V976" s="204">
        <f t="shared" si="26"/>
        <v>0</v>
      </c>
      <c r="W976" s="205">
        <v>0</v>
      </c>
      <c r="X976" s="203">
        <v>51260</v>
      </c>
      <c r="Y976" s="204">
        <v>0</v>
      </c>
      <c r="Z976" s="202" t="s">
        <v>97</v>
      </c>
      <c r="AA976" s="202"/>
      <c r="AB976" s="202"/>
      <c r="AC976" s="202">
        <v>9995</v>
      </c>
      <c r="AD976" s="202" t="s">
        <v>1152</v>
      </c>
      <c r="AE976" s="202" t="s">
        <v>1153</v>
      </c>
      <c r="AF976" s="203" t="s">
        <v>1382</v>
      </c>
      <c r="AG976" s="202"/>
      <c r="AH976" s="203" t="s">
        <v>1155</v>
      </c>
      <c r="AI976" s="202">
        <v>0</v>
      </c>
      <c r="AJ976" s="202">
        <v>0</v>
      </c>
    </row>
    <row r="977" spans="2:36">
      <c r="B977" s="203">
        <v>2180</v>
      </c>
      <c r="C977" s="207">
        <v>66628</v>
      </c>
      <c r="D977" s="203" t="s">
        <v>97</v>
      </c>
      <c r="E977" s="202" t="s">
        <v>1469</v>
      </c>
      <c r="F977" s="203">
        <v>0</v>
      </c>
      <c r="G977" s="202"/>
      <c r="H977" s="202"/>
      <c r="I977" s="202"/>
      <c r="J977" s="202">
        <v>0</v>
      </c>
      <c r="K977" s="202"/>
      <c r="L977" s="202"/>
      <c r="M977" s="202"/>
      <c r="N977" s="206">
        <v>40025</v>
      </c>
      <c r="O977" s="206">
        <v>40025</v>
      </c>
      <c r="P977" s="202"/>
      <c r="Q977" s="203">
        <v>100</v>
      </c>
      <c r="R977" s="203">
        <v>15110</v>
      </c>
      <c r="S977" s="204">
        <v>-1912.95</v>
      </c>
      <c r="T977" s="203">
        <v>0</v>
      </c>
      <c r="U977" s="204">
        <v>0</v>
      </c>
      <c r="V977" s="204">
        <f t="shared" si="26"/>
        <v>-1912.95</v>
      </c>
      <c r="W977" s="205">
        <v>0</v>
      </c>
      <c r="X977" s="203">
        <v>0</v>
      </c>
      <c r="Y977" s="204">
        <v>0</v>
      </c>
      <c r="Z977" s="202" t="s">
        <v>97</v>
      </c>
      <c r="AA977" s="202"/>
      <c r="AB977" s="202"/>
      <c r="AC977" s="202"/>
      <c r="AD977" s="202" t="s">
        <v>1152</v>
      </c>
      <c r="AE977" s="202" t="s">
        <v>1153</v>
      </c>
      <c r="AF977" s="203" t="s">
        <v>1382</v>
      </c>
      <c r="AG977" s="202"/>
      <c r="AH977" s="203" t="s">
        <v>1155</v>
      </c>
      <c r="AI977" s="202">
        <v>0</v>
      </c>
      <c r="AJ977" s="202">
        <v>0</v>
      </c>
    </row>
    <row r="978" spans="2:36">
      <c r="B978" s="203">
        <v>2180</v>
      </c>
      <c r="C978" s="207">
        <v>66627</v>
      </c>
      <c r="D978" s="203" t="s">
        <v>97</v>
      </c>
      <c r="E978" s="202" t="s">
        <v>1468</v>
      </c>
      <c r="F978" s="203">
        <v>0</v>
      </c>
      <c r="G978" s="202"/>
      <c r="H978" s="202"/>
      <c r="I978" s="202"/>
      <c r="J978" s="202">
        <v>0</v>
      </c>
      <c r="K978" s="202"/>
      <c r="L978" s="202"/>
      <c r="M978" s="202"/>
      <c r="N978" s="206">
        <v>40025</v>
      </c>
      <c r="O978" s="206">
        <v>40025</v>
      </c>
      <c r="P978" s="202"/>
      <c r="Q978" s="203">
        <v>100</v>
      </c>
      <c r="R978" s="203">
        <v>15110</v>
      </c>
      <c r="S978" s="204">
        <v>96176</v>
      </c>
      <c r="T978" s="203">
        <v>0</v>
      </c>
      <c r="U978" s="204">
        <v>0</v>
      </c>
      <c r="V978" s="204">
        <f t="shared" si="26"/>
        <v>96176</v>
      </c>
      <c r="W978" s="205">
        <v>0</v>
      </c>
      <c r="X978" s="203">
        <v>0</v>
      </c>
      <c r="Y978" s="204">
        <v>0</v>
      </c>
      <c r="Z978" s="202" t="s">
        <v>97</v>
      </c>
      <c r="AA978" s="202"/>
      <c r="AB978" s="202"/>
      <c r="AC978" s="202"/>
      <c r="AD978" s="202" t="s">
        <v>1152</v>
      </c>
      <c r="AE978" s="202" t="s">
        <v>1153</v>
      </c>
      <c r="AF978" s="203" t="s">
        <v>1382</v>
      </c>
      <c r="AG978" s="202"/>
      <c r="AH978" s="203" t="s">
        <v>1155</v>
      </c>
      <c r="AI978" s="202">
        <v>0</v>
      </c>
      <c r="AJ978" s="202">
        <v>0</v>
      </c>
    </row>
    <row r="979" spans="2:36">
      <c r="B979" s="203">
        <v>2180</v>
      </c>
      <c r="C979" s="207">
        <v>65578</v>
      </c>
      <c r="D979" s="203">
        <v>60827</v>
      </c>
      <c r="E979" s="202" t="s">
        <v>1467</v>
      </c>
      <c r="F979" s="203">
        <v>0</v>
      </c>
      <c r="G979" s="202"/>
      <c r="H979" s="202">
        <v>712770</v>
      </c>
      <c r="I979" s="202"/>
      <c r="J979" s="202">
        <v>2000</v>
      </c>
      <c r="K979" s="202"/>
      <c r="L979" s="202"/>
      <c r="M979" s="202" t="s">
        <v>1447</v>
      </c>
      <c r="N979" s="206">
        <v>39965</v>
      </c>
      <c r="O979" s="206">
        <v>39965</v>
      </c>
      <c r="P979" s="202" t="s">
        <v>1466</v>
      </c>
      <c r="Q979" s="203">
        <v>300</v>
      </c>
      <c r="R979" s="203">
        <v>14040</v>
      </c>
      <c r="S979" s="204">
        <v>10968.4</v>
      </c>
      <c r="T979" s="203">
        <v>14046</v>
      </c>
      <c r="U979" s="204">
        <v>10968.4</v>
      </c>
      <c r="V979" s="204">
        <f t="shared" si="26"/>
        <v>0</v>
      </c>
      <c r="W979" s="205">
        <v>0</v>
      </c>
      <c r="X979" s="203">
        <v>51260</v>
      </c>
      <c r="Y979" s="204">
        <v>0</v>
      </c>
      <c r="Z979" s="202" t="s">
        <v>97</v>
      </c>
      <c r="AA979" s="202"/>
      <c r="AB979" s="202">
        <v>7136</v>
      </c>
      <c r="AC979" s="202">
        <v>1569</v>
      </c>
      <c r="AD979" s="202" t="s">
        <v>1152</v>
      </c>
      <c r="AE979" s="202" t="s">
        <v>1153</v>
      </c>
      <c r="AF979" s="203" t="s">
        <v>1154</v>
      </c>
      <c r="AG979" s="202"/>
      <c r="AH979" s="203" t="s">
        <v>1155</v>
      </c>
      <c r="AI979" s="202">
        <v>0</v>
      </c>
      <c r="AJ979" s="202">
        <v>0</v>
      </c>
    </row>
    <row r="980" spans="2:36">
      <c r="B980" s="203">
        <v>2180</v>
      </c>
      <c r="C980" s="207">
        <v>64720</v>
      </c>
      <c r="D980" s="203" t="s">
        <v>97</v>
      </c>
      <c r="E980" s="202" t="s">
        <v>1465</v>
      </c>
      <c r="F980" s="203">
        <v>30</v>
      </c>
      <c r="G980" s="202"/>
      <c r="H980" s="202"/>
      <c r="I980" s="202"/>
      <c r="J980" s="202">
        <v>0</v>
      </c>
      <c r="K980" s="202"/>
      <c r="L980" s="202"/>
      <c r="M980" s="202" t="s">
        <v>1464</v>
      </c>
      <c r="N980" s="206">
        <v>39755</v>
      </c>
      <c r="O980" s="206">
        <v>39755</v>
      </c>
      <c r="P980" s="202"/>
      <c r="Q980" s="203">
        <v>1200</v>
      </c>
      <c r="R980" s="203">
        <v>14050</v>
      </c>
      <c r="S980" s="204">
        <v>6670.5</v>
      </c>
      <c r="T980" s="203">
        <v>14056</v>
      </c>
      <c r="U980" s="204">
        <v>6670.5</v>
      </c>
      <c r="V980" s="204">
        <f t="shared" si="26"/>
        <v>0</v>
      </c>
      <c r="W980" s="205">
        <v>0</v>
      </c>
      <c r="X980" s="203">
        <v>54260</v>
      </c>
      <c r="Y980" s="204">
        <v>0</v>
      </c>
      <c r="Z980" s="202" t="s">
        <v>1153</v>
      </c>
      <c r="AA980" s="202" t="s">
        <v>1383</v>
      </c>
      <c r="AB980" s="202"/>
      <c r="AC980" s="202"/>
      <c r="AD980" s="202" t="s">
        <v>1152</v>
      </c>
      <c r="AE980" s="202" t="s">
        <v>1153</v>
      </c>
      <c r="AF980" s="203" t="s">
        <v>1154</v>
      </c>
      <c r="AG980" s="208">
        <v>39933</v>
      </c>
      <c r="AH980" s="203" t="s">
        <v>1155</v>
      </c>
      <c r="AI980" s="202">
        <v>4</v>
      </c>
      <c r="AJ980" s="202">
        <v>277.94</v>
      </c>
    </row>
    <row r="981" spans="2:36">
      <c r="B981" s="203">
        <v>2180</v>
      </c>
      <c r="C981" s="207">
        <v>64713</v>
      </c>
      <c r="D981" s="203" t="s">
        <v>97</v>
      </c>
      <c r="E981" s="202" t="s">
        <v>1463</v>
      </c>
      <c r="F981" s="203">
        <v>129</v>
      </c>
      <c r="G981" s="202"/>
      <c r="H981" s="202"/>
      <c r="I981" s="202"/>
      <c r="J981" s="202">
        <v>0</v>
      </c>
      <c r="K981" s="202"/>
      <c r="L981" s="202"/>
      <c r="M981" s="202" t="s">
        <v>1462</v>
      </c>
      <c r="N981" s="206">
        <v>39755</v>
      </c>
      <c r="O981" s="206">
        <v>39755</v>
      </c>
      <c r="P981" s="202"/>
      <c r="Q981" s="203">
        <v>1200</v>
      </c>
      <c r="R981" s="203">
        <v>14050</v>
      </c>
      <c r="S981" s="204">
        <v>14183.58</v>
      </c>
      <c r="T981" s="203">
        <v>14056</v>
      </c>
      <c r="U981" s="204">
        <v>14183.58</v>
      </c>
      <c r="V981" s="204">
        <f t="shared" si="26"/>
        <v>0</v>
      </c>
      <c r="W981" s="205">
        <v>0</v>
      </c>
      <c r="X981" s="203">
        <v>54260</v>
      </c>
      <c r="Y981" s="204">
        <v>0</v>
      </c>
      <c r="Z981" s="202" t="s">
        <v>1153</v>
      </c>
      <c r="AA981" s="202" t="s">
        <v>1383</v>
      </c>
      <c r="AB981" s="202"/>
      <c r="AC981" s="202"/>
      <c r="AD981" s="202" t="s">
        <v>1152</v>
      </c>
      <c r="AE981" s="202" t="s">
        <v>1153</v>
      </c>
      <c r="AF981" s="203" t="s">
        <v>1154</v>
      </c>
      <c r="AG981" s="208">
        <v>41698</v>
      </c>
      <c r="AH981" s="203" t="s">
        <v>1155</v>
      </c>
      <c r="AI981" s="202">
        <v>9</v>
      </c>
      <c r="AJ981" s="202">
        <v>6303.83</v>
      </c>
    </row>
    <row r="982" spans="2:36">
      <c r="B982" s="203">
        <v>2180</v>
      </c>
      <c r="C982" s="207">
        <v>64710</v>
      </c>
      <c r="D982" s="203" t="s">
        <v>97</v>
      </c>
      <c r="E982" s="202" t="s">
        <v>1461</v>
      </c>
      <c r="F982" s="203">
        <v>2</v>
      </c>
      <c r="G982" s="202"/>
      <c r="H982" s="202"/>
      <c r="I982" s="202"/>
      <c r="J982" s="202">
        <v>0</v>
      </c>
      <c r="K982" s="202"/>
      <c r="L982" s="202"/>
      <c r="M982" s="202" t="s">
        <v>1460</v>
      </c>
      <c r="N982" s="206">
        <v>39755</v>
      </c>
      <c r="O982" s="206">
        <v>39755</v>
      </c>
      <c r="P982" s="202"/>
      <c r="Q982" s="203">
        <v>700</v>
      </c>
      <c r="R982" s="203">
        <v>14050</v>
      </c>
      <c r="S982" s="204">
        <v>6000</v>
      </c>
      <c r="T982" s="203">
        <v>14056</v>
      </c>
      <c r="U982" s="204">
        <v>6000</v>
      </c>
      <c r="V982" s="204">
        <f t="shared" si="26"/>
        <v>0</v>
      </c>
      <c r="W982" s="205">
        <v>0</v>
      </c>
      <c r="X982" s="203">
        <v>54260</v>
      </c>
      <c r="Y982" s="204">
        <v>0</v>
      </c>
      <c r="Z982" s="202" t="s">
        <v>1153</v>
      </c>
      <c r="AA982" s="202" t="s">
        <v>1383</v>
      </c>
      <c r="AB982" s="202"/>
      <c r="AC982" s="202"/>
      <c r="AD982" s="202" t="s">
        <v>1152</v>
      </c>
      <c r="AE982" s="202" t="s">
        <v>1153</v>
      </c>
      <c r="AF982" s="203" t="s">
        <v>1154</v>
      </c>
      <c r="AG982" s="208">
        <v>40694</v>
      </c>
      <c r="AH982" s="203" t="s">
        <v>1155</v>
      </c>
      <c r="AI982" s="202">
        <v>2</v>
      </c>
      <c r="AJ982" s="202">
        <v>2214.3000000000002</v>
      </c>
    </row>
    <row r="983" spans="2:36">
      <c r="B983" s="203">
        <v>2180</v>
      </c>
      <c r="C983" s="207">
        <v>64697</v>
      </c>
      <c r="D983" s="203" t="s">
        <v>97</v>
      </c>
      <c r="E983" s="202" t="s">
        <v>1459</v>
      </c>
      <c r="F983" s="203">
        <v>50</v>
      </c>
      <c r="G983" s="202"/>
      <c r="H983" s="202"/>
      <c r="I983" s="202"/>
      <c r="J983" s="202">
        <v>0</v>
      </c>
      <c r="K983" s="202"/>
      <c r="L983" s="202"/>
      <c r="M983" s="202" t="s">
        <v>1458</v>
      </c>
      <c r="N983" s="206">
        <v>39755</v>
      </c>
      <c r="O983" s="206">
        <v>39755</v>
      </c>
      <c r="P983" s="202"/>
      <c r="Q983" s="203">
        <v>700</v>
      </c>
      <c r="R983" s="203">
        <v>14050</v>
      </c>
      <c r="S983" s="204">
        <v>63502.92</v>
      </c>
      <c r="T983" s="203">
        <v>14056</v>
      </c>
      <c r="U983" s="204">
        <v>63502.92</v>
      </c>
      <c r="V983" s="204">
        <f t="shared" si="26"/>
        <v>0</v>
      </c>
      <c r="W983" s="205">
        <v>0</v>
      </c>
      <c r="X983" s="203">
        <v>54260</v>
      </c>
      <c r="Y983" s="204">
        <v>0</v>
      </c>
      <c r="Z983" s="202" t="s">
        <v>1153</v>
      </c>
      <c r="AA983" s="202" t="s">
        <v>1383</v>
      </c>
      <c r="AB983" s="202"/>
      <c r="AC983" s="202"/>
      <c r="AD983" s="202" t="s">
        <v>1152</v>
      </c>
      <c r="AE983" s="202" t="s">
        <v>1153</v>
      </c>
      <c r="AF983" s="203" t="s">
        <v>1154</v>
      </c>
      <c r="AG983" s="208">
        <v>39933</v>
      </c>
      <c r="AH983" s="203" t="s">
        <v>1155</v>
      </c>
      <c r="AI983" s="202">
        <v>6</v>
      </c>
      <c r="AJ983" s="202">
        <v>4535.93</v>
      </c>
    </row>
    <row r="984" spans="2:36">
      <c r="B984" s="203">
        <v>2180</v>
      </c>
      <c r="C984" s="207">
        <v>64690</v>
      </c>
      <c r="D984" s="203" t="s">
        <v>97</v>
      </c>
      <c r="E984" s="202" t="s">
        <v>1457</v>
      </c>
      <c r="F984" s="203">
        <v>64</v>
      </c>
      <c r="G984" s="202"/>
      <c r="H984" s="202"/>
      <c r="I984" s="202"/>
      <c r="J984" s="202">
        <v>0</v>
      </c>
      <c r="K984" s="202"/>
      <c r="L984" s="202"/>
      <c r="M984" s="202" t="s">
        <v>1456</v>
      </c>
      <c r="N984" s="206">
        <v>39755</v>
      </c>
      <c r="O984" s="206">
        <v>39755</v>
      </c>
      <c r="P984" s="202"/>
      <c r="Q984" s="203">
        <v>1200</v>
      </c>
      <c r="R984" s="203">
        <v>14050</v>
      </c>
      <c r="S984" s="204">
        <v>20478.96</v>
      </c>
      <c r="T984" s="203">
        <v>14056</v>
      </c>
      <c r="U984" s="204">
        <v>20478.96</v>
      </c>
      <c r="V984" s="204">
        <f t="shared" si="26"/>
        <v>0</v>
      </c>
      <c r="W984" s="205">
        <v>0</v>
      </c>
      <c r="X984" s="203">
        <v>54260</v>
      </c>
      <c r="Y984" s="204">
        <v>0</v>
      </c>
      <c r="Z984" s="202" t="s">
        <v>1153</v>
      </c>
      <c r="AA984" s="202" t="s">
        <v>1383</v>
      </c>
      <c r="AB984" s="202"/>
      <c r="AC984" s="202"/>
      <c r="AD984" s="202" t="s">
        <v>1152</v>
      </c>
      <c r="AE984" s="202" t="s">
        <v>1153</v>
      </c>
      <c r="AF984" s="203" t="s">
        <v>1154</v>
      </c>
      <c r="AG984" s="208">
        <v>39933</v>
      </c>
      <c r="AH984" s="203" t="s">
        <v>1155</v>
      </c>
      <c r="AI984" s="202">
        <v>4</v>
      </c>
      <c r="AJ984" s="202">
        <v>853.29</v>
      </c>
    </row>
    <row r="985" spans="2:36">
      <c r="B985" s="203">
        <v>2180</v>
      </c>
      <c r="C985" s="207">
        <v>64680</v>
      </c>
      <c r="D985" s="203" t="s">
        <v>97</v>
      </c>
      <c r="E985" s="202" t="s">
        <v>1455</v>
      </c>
      <c r="F985" s="203">
        <v>8</v>
      </c>
      <c r="G985" s="202"/>
      <c r="H985" s="202"/>
      <c r="I985" s="202"/>
      <c r="J985" s="202">
        <v>0</v>
      </c>
      <c r="K985" s="202"/>
      <c r="L985" s="202"/>
      <c r="M985" s="202" t="s">
        <v>1454</v>
      </c>
      <c r="N985" s="206">
        <v>39755</v>
      </c>
      <c r="O985" s="206">
        <v>39755</v>
      </c>
      <c r="P985" s="202"/>
      <c r="Q985" s="203">
        <v>700</v>
      </c>
      <c r="R985" s="203">
        <v>14050</v>
      </c>
      <c r="S985" s="204">
        <v>122000</v>
      </c>
      <c r="T985" s="203">
        <v>14056</v>
      </c>
      <c r="U985" s="204">
        <v>122000</v>
      </c>
      <c r="V985" s="204">
        <f t="shared" si="26"/>
        <v>0</v>
      </c>
      <c r="W985" s="205">
        <v>0</v>
      </c>
      <c r="X985" s="203">
        <v>54260</v>
      </c>
      <c r="Y985" s="204">
        <v>0</v>
      </c>
      <c r="Z985" s="202" t="s">
        <v>1153</v>
      </c>
      <c r="AA985" s="202" t="s">
        <v>1383</v>
      </c>
      <c r="AB985" s="202"/>
      <c r="AC985" s="202"/>
      <c r="AD985" s="202" t="s">
        <v>1152</v>
      </c>
      <c r="AE985" s="202" t="s">
        <v>1153</v>
      </c>
      <c r="AF985" s="203" t="s">
        <v>1154</v>
      </c>
      <c r="AG985" s="208">
        <v>39933</v>
      </c>
      <c r="AH985" s="203" t="s">
        <v>1155</v>
      </c>
      <c r="AI985" s="202">
        <v>2</v>
      </c>
      <c r="AJ985" s="202">
        <v>8714.2800000000007</v>
      </c>
    </row>
    <row r="986" spans="2:36">
      <c r="B986" s="203">
        <v>2180</v>
      </c>
      <c r="C986" s="207">
        <v>64668</v>
      </c>
      <c r="D986" s="203" t="s">
        <v>97</v>
      </c>
      <c r="E986" s="202" t="s">
        <v>1453</v>
      </c>
      <c r="F986" s="203">
        <v>2</v>
      </c>
      <c r="G986" s="202"/>
      <c r="H986" s="202"/>
      <c r="I986" s="202"/>
      <c r="J986" s="202">
        <v>0</v>
      </c>
      <c r="K986" s="202"/>
      <c r="L986" s="202"/>
      <c r="M986" s="202" t="s">
        <v>1452</v>
      </c>
      <c r="N986" s="206">
        <v>39755</v>
      </c>
      <c r="O986" s="206">
        <v>39755</v>
      </c>
      <c r="P986" s="202"/>
      <c r="Q986" s="203">
        <v>700</v>
      </c>
      <c r="R986" s="203">
        <v>14050</v>
      </c>
      <c r="S986" s="204">
        <v>34714</v>
      </c>
      <c r="T986" s="203">
        <v>14056</v>
      </c>
      <c r="U986" s="204">
        <v>34714</v>
      </c>
      <c r="V986" s="204">
        <f t="shared" si="26"/>
        <v>0</v>
      </c>
      <c r="W986" s="205">
        <v>0</v>
      </c>
      <c r="X986" s="203">
        <v>54260</v>
      </c>
      <c r="Y986" s="204">
        <v>0</v>
      </c>
      <c r="Z986" s="202" t="s">
        <v>1153</v>
      </c>
      <c r="AA986" s="202" t="s">
        <v>1383</v>
      </c>
      <c r="AB986" s="202"/>
      <c r="AC986" s="202"/>
      <c r="AD986" s="202" t="s">
        <v>1152</v>
      </c>
      <c r="AE986" s="202" t="s">
        <v>1153</v>
      </c>
      <c r="AF986" s="203" t="s">
        <v>1154</v>
      </c>
      <c r="AG986" s="208">
        <v>39933</v>
      </c>
      <c r="AH986" s="203" t="s">
        <v>1155</v>
      </c>
      <c r="AI986" s="202">
        <v>0</v>
      </c>
      <c r="AJ986" s="202">
        <v>2479.5700000000002</v>
      </c>
    </row>
    <row r="987" spans="2:36">
      <c r="B987" s="203">
        <v>2180</v>
      </c>
      <c r="C987" s="207">
        <v>63721</v>
      </c>
      <c r="D987" s="203" t="s">
        <v>97</v>
      </c>
      <c r="E987" s="202" t="s">
        <v>1451</v>
      </c>
      <c r="F987" s="203">
        <v>0</v>
      </c>
      <c r="G987" s="202"/>
      <c r="H987" s="202"/>
      <c r="I987" s="202"/>
      <c r="J987" s="202">
        <v>0</v>
      </c>
      <c r="K987" s="202"/>
      <c r="L987" s="202"/>
      <c r="M987" s="202"/>
      <c r="N987" s="206">
        <v>39903</v>
      </c>
      <c r="O987" s="206">
        <v>39903</v>
      </c>
      <c r="P987" s="202"/>
      <c r="Q987" s="203">
        <v>0</v>
      </c>
      <c r="R987" s="203">
        <v>15110</v>
      </c>
      <c r="S987" s="204">
        <v>63519.55</v>
      </c>
      <c r="T987" s="203">
        <v>15120</v>
      </c>
      <c r="U987" s="204">
        <v>0</v>
      </c>
      <c r="V987" s="204">
        <f t="shared" si="26"/>
        <v>63519.55</v>
      </c>
      <c r="W987" s="205">
        <v>0</v>
      </c>
      <c r="X987" s="203">
        <v>0</v>
      </c>
      <c r="Y987" s="204">
        <v>0</v>
      </c>
      <c r="Z987" s="202" t="s">
        <v>1153</v>
      </c>
      <c r="AA987" s="202" t="s">
        <v>1439</v>
      </c>
      <c r="AB987" s="202"/>
      <c r="AC987" s="202"/>
      <c r="AD987" s="202" t="s">
        <v>1152</v>
      </c>
      <c r="AE987" s="202" t="s">
        <v>1153</v>
      </c>
      <c r="AF987" s="203" t="s">
        <v>1382</v>
      </c>
      <c r="AG987" s="202"/>
      <c r="AH987" s="203" t="s">
        <v>1155</v>
      </c>
      <c r="AI987" s="202">
        <v>0</v>
      </c>
      <c r="AJ987" s="202">
        <v>0</v>
      </c>
    </row>
    <row r="988" spans="2:36">
      <c r="B988" s="203">
        <v>2180</v>
      </c>
      <c r="C988" s="207">
        <v>63214</v>
      </c>
      <c r="D988" s="203" t="s">
        <v>97</v>
      </c>
      <c r="E988" s="202" t="s">
        <v>1450</v>
      </c>
      <c r="F988" s="203">
        <v>0</v>
      </c>
      <c r="G988" s="202"/>
      <c r="H988" s="202"/>
      <c r="I988" s="202"/>
      <c r="J988" s="202">
        <v>0</v>
      </c>
      <c r="K988" s="202"/>
      <c r="L988" s="202"/>
      <c r="M988" s="202"/>
      <c r="N988" s="206">
        <v>39872</v>
      </c>
      <c r="O988" s="206">
        <v>39872</v>
      </c>
      <c r="P988" s="202"/>
      <c r="Q988" s="203">
        <v>0</v>
      </c>
      <c r="R988" s="203">
        <v>15110</v>
      </c>
      <c r="S988" s="204">
        <v>140030.07999999999</v>
      </c>
      <c r="T988" s="203">
        <v>15120</v>
      </c>
      <c r="U988" s="204">
        <v>0</v>
      </c>
      <c r="V988" s="204">
        <f t="shared" si="26"/>
        <v>140030.07999999999</v>
      </c>
      <c r="W988" s="205">
        <v>0</v>
      </c>
      <c r="X988" s="203">
        <v>0</v>
      </c>
      <c r="Y988" s="204">
        <v>0</v>
      </c>
      <c r="Z988" s="202" t="s">
        <v>1153</v>
      </c>
      <c r="AA988" s="202" t="s">
        <v>1439</v>
      </c>
      <c r="AB988" s="202"/>
      <c r="AC988" s="202"/>
      <c r="AD988" s="202" t="s">
        <v>1152</v>
      </c>
      <c r="AE988" s="202" t="s">
        <v>1153</v>
      </c>
      <c r="AF988" s="203" t="s">
        <v>1382</v>
      </c>
      <c r="AG988" s="202"/>
      <c r="AH988" s="203" t="s">
        <v>1155</v>
      </c>
      <c r="AI988" s="202">
        <v>0</v>
      </c>
      <c r="AJ988" s="202">
        <v>0</v>
      </c>
    </row>
    <row r="989" spans="2:36">
      <c r="B989" s="203">
        <v>2180</v>
      </c>
      <c r="C989" s="207">
        <v>62945</v>
      </c>
      <c r="D989" s="203" t="s">
        <v>97</v>
      </c>
      <c r="E989" s="202" t="s">
        <v>1449</v>
      </c>
      <c r="F989" s="203">
        <v>0</v>
      </c>
      <c r="G989" s="202"/>
      <c r="H989" s="202"/>
      <c r="I989" s="202"/>
      <c r="J989" s="202">
        <v>0</v>
      </c>
      <c r="K989" s="202"/>
      <c r="L989" s="202"/>
      <c r="M989" s="202"/>
      <c r="N989" s="206">
        <v>39844</v>
      </c>
      <c r="O989" s="206">
        <v>39844</v>
      </c>
      <c r="P989" s="202"/>
      <c r="Q989" s="203">
        <v>0</v>
      </c>
      <c r="R989" s="203">
        <v>15110</v>
      </c>
      <c r="S989" s="204">
        <v>118625.91</v>
      </c>
      <c r="T989" s="203">
        <v>15120</v>
      </c>
      <c r="U989" s="204">
        <v>0</v>
      </c>
      <c r="V989" s="204">
        <f t="shared" si="26"/>
        <v>118625.91</v>
      </c>
      <c r="W989" s="205">
        <v>0</v>
      </c>
      <c r="X989" s="203">
        <v>0</v>
      </c>
      <c r="Y989" s="204">
        <v>0</v>
      </c>
      <c r="Z989" s="202" t="s">
        <v>1153</v>
      </c>
      <c r="AA989" s="202" t="s">
        <v>1439</v>
      </c>
      <c r="AB989" s="202"/>
      <c r="AC989" s="202"/>
      <c r="AD989" s="202" t="s">
        <v>1152</v>
      </c>
      <c r="AE989" s="202" t="s">
        <v>1153</v>
      </c>
      <c r="AF989" s="203" t="s">
        <v>1382</v>
      </c>
      <c r="AG989" s="202"/>
      <c r="AH989" s="203" t="s">
        <v>1155</v>
      </c>
      <c r="AI989" s="202">
        <v>0</v>
      </c>
      <c r="AJ989" s="202">
        <v>0</v>
      </c>
    </row>
    <row r="990" spans="2:36">
      <c r="B990" s="203">
        <v>2180</v>
      </c>
      <c r="C990" s="207">
        <v>62796</v>
      </c>
      <c r="D990" s="203">
        <v>60751</v>
      </c>
      <c r="E990" s="202" t="s">
        <v>1448</v>
      </c>
      <c r="F990" s="203">
        <v>0</v>
      </c>
      <c r="G990" s="202"/>
      <c r="H990" s="202"/>
      <c r="I990" s="202"/>
      <c r="J990" s="202">
        <v>0</v>
      </c>
      <c r="K990" s="202"/>
      <c r="L990" s="202"/>
      <c r="M990" s="202" t="s">
        <v>1447</v>
      </c>
      <c r="N990" s="206">
        <v>39814</v>
      </c>
      <c r="O990" s="206">
        <v>39814</v>
      </c>
      <c r="P990" s="202" t="s">
        <v>1446</v>
      </c>
      <c r="Q990" s="203">
        <v>300</v>
      </c>
      <c r="R990" s="203">
        <v>14040</v>
      </c>
      <c r="S990" s="204">
        <v>4355.1400000000003</v>
      </c>
      <c r="T990" s="203">
        <v>14046</v>
      </c>
      <c r="U990" s="204">
        <v>4355.1400000000003</v>
      </c>
      <c r="V990" s="204">
        <f t="shared" si="26"/>
        <v>0</v>
      </c>
      <c r="W990" s="205">
        <v>0</v>
      </c>
      <c r="X990" s="203">
        <v>51260</v>
      </c>
      <c r="Y990" s="204">
        <v>0</v>
      </c>
      <c r="Z990" s="202" t="s">
        <v>97</v>
      </c>
      <c r="AA990" s="202"/>
      <c r="AB990" s="202">
        <v>6253</v>
      </c>
      <c r="AC990" s="202"/>
      <c r="AD990" s="202" t="s">
        <v>1152</v>
      </c>
      <c r="AE990" s="202" t="s">
        <v>1153</v>
      </c>
      <c r="AF990" s="203" t="s">
        <v>1154</v>
      </c>
      <c r="AG990" s="202"/>
      <c r="AH990" s="203" t="s">
        <v>1155</v>
      </c>
      <c r="AI990" s="202">
        <v>0</v>
      </c>
      <c r="AJ990" s="202">
        <v>0</v>
      </c>
    </row>
    <row r="991" spans="2:36">
      <c r="B991" s="203">
        <v>2180</v>
      </c>
      <c r="C991" s="207">
        <v>62783</v>
      </c>
      <c r="D991" s="203" t="s">
        <v>97</v>
      </c>
      <c r="E991" s="202" t="s">
        <v>1445</v>
      </c>
      <c r="F991" s="203">
        <v>0</v>
      </c>
      <c r="G991" s="202"/>
      <c r="H991" s="202"/>
      <c r="I991" s="202"/>
      <c r="J991" s="202">
        <v>0</v>
      </c>
      <c r="K991" s="202" t="s">
        <v>1444</v>
      </c>
      <c r="L991" s="202"/>
      <c r="M991" s="202"/>
      <c r="N991" s="206">
        <v>39814</v>
      </c>
      <c r="O991" s="206">
        <v>39814</v>
      </c>
      <c r="P991" s="202" t="s">
        <v>1443</v>
      </c>
      <c r="Q991" s="203">
        <v>411</v>
      </c>
      <c r="R991" s="203">
        <v>14070</v>
      </c>
      <c r="S991" s="204">
        <v>2847.76</v>
      </c>
      <c r="T991" s="203">
        <v>14076</v>
      </c>
      <c r="U991" s="204">
        <v>2847.76</v>
      </c>
      <c r="V991" s="204">
        <f t="shared" si="26"/>
        <v>0</v>
      </c>
      <c r="W991" s="205">
        <v>0</v>
      </c>
      <c r="X991" s="203">
        <v>51260</v>
      </c>
      <c r="Y991" s="204">
        <v>0</v>
      </c>
      <c r="Z991" s="202" t="s">
        <v>97</v>
      </c>
      <c r="AA991" s="202"/>
      <c r="AB991" s="202" t="s">
        <v>1442</v>
      </c>
      <c r="AC991" s="202"/>
      <c r="AD991" s="202" t="s">
        <v>1152</v>
      </c>
      <c r="AE991" s="202" t="s">
        <v>1153</v>
      </c>
      <c r="AF991" s="203" t="s">
        <v>1154</v>
      </c>
      <c r="AG991" s="202"/>
      <c r="AH991" s="203" t="s">
        <v>1155</v>
      </c>
      <c r="AI991" s="202">
        <v>0</v>
      </c>
      <c r="AJ991" s="202">
        <v>0</v>
      </c>
    </row>
    <row r="992" spans="2:36">
      <c r="B992" s="203">
        <v>2180</v>
      </c>
      <c r="C992" s="207">
        <v>62499</v>
      </c>
      <c r="D992" s="203" t="s">
        <v>97</v>
      </c>
      <c r="E992" s="202" t="s">
        <v>1441</v>
      </c>
      <c r="F992" s="203">
        <v>0</v>
      </c>
      <c r="G992" s="202"/>
      <c r="H992" s="202"/>
      <c r="I992" s="202"/>
      <c r="J992" s="202">
        <v>0</v>
      </c>
      <c r="K992" s="202"/>
      <c r="L992" s="202"/>
      <c r="M992" s="202"/>
      <c r="N992" s="206">
        <v>39783</v>
      </c>
      <c r="O992" s="206">
        <v>39783</v>
      </c>
      <c r="P992" s="202"/>
      <c r="Q992" s="203">
        <v>0</v>
      </c>
      <c r="R992" s="203">
        <v>15110</v>
      </c>
      <c r="S992" s="204">
        <v>287171.49</v>
      </c>
      <c r="T992" s="203">
        <v>15120</v>
      </c>
      <c r="U992" s="204">
        <v>0</v>
      </c>
      <c r="V992" s="204">
        <f t="shared" si="26"/>
        <v>287171.49</v>
      </c>
      <c r="W992" s="205">
        <v>0</v>
      </c>
      <c r="X992" s="203">
        <v>0</v>
      </c>
      <c r="Y992" s="204">
        <v>0</v>
      </c>
      <c r="Z992" s="202" t="s">
        <v>1153</v>
      </c>
      <c r="AA992" s="202" t="s">
        <v>1439</v>
      </c>
      <c r="AB992" s="202"/>
      <c r="AC992" s="202"/>
      <c r="AD992" s="202" t="s">
        <v>1152</v>
      </c>
      <c r="AE992" s="202" t="s">
        <v>1153</v>
      </c>
      <c r="AF992" s="203" t="s">
        <v>1382</v>
      </c>
      <c r="AG992" s="202"/>
      <c r="AH992" s="203" t="s">
        <v>1155</v>
      </c>
      <c r="AI992" s="202">
        <v>0</v>
      </c>
      <c r="AJ992" s="202">
        <v>0</v>
      </c>
    </row>
    <row r="993" spans="2:36">
      <c r="B993" s="203">
        <v>2180</v>
      </c>
      <c r="C993" s="207">
        <v>62484</v>
      </c>
      <c r="D993" s="203" t="s">
        <v>97</v>
      </c>
      <c r="E993" s="202" t="s">
        <v>1440</v>
      </c>
      <c r="F993" s="203">
        <v>0</v>
      </c>
      <c r="G993" s="202"/>
      <c r="H993" s="202"/>
      <c r="I993" s="202"/>
      <c r="J993" s="202">
        <v>0</v>
      </c>
      <c r="K993" s="202"/>
      <c r="L993" s="202"/>
      <c r="M993" s="202"/>
      <c r="N993" s="206">
        <v>39783</v>
      </c>
      <c r="O993" s="206">
        <v>39783</v>
      </c>
      <c r="P993" s="202"/>
      <c r="Q993" s="203">
        <v>0</v>
      </c>
      <c r="R993" s="203">
        <v>15110</v>
      </c>
      <c r="S993" s="204">
        <v>584477.31999999995</v>
      </c>
      <c r="T993" s="203">
        <v>15120</v>
      </c>
      <c r="U993" s="204">
        <v>0</v>
      </c>
      <c r="V993" s="204">
        <f t="shared" si="26"/>
        <v>584477.31999999995</v>
      </c>
      <c r="W993" s="205">
        <v>0</v>
      </c>
      <c r="X993" s="203">
        <v>0</v>
      </c>
      <c r="Y993" s="204">
        <v>0</v>
      </c>
      <c r="Z993" s="202" t="s">
        <v>1153</v>
      </c>
      <c r="AA993" s="202" t="s">
        <v>1439</v>
      </c>
      <c r="AB993" s="202"/>
      <c r="AC993" s="202"/>
      <c r="AD993" s="202" t="s">
        <v>1152</v>
      </c>
      <c r="AE993" s="202" t="s">
        <v>1153</v>
      </c>
      <c r="AF993" s="203" t="s">
        <v>1382</v>
      </c>
      <c r="AG993" s="202"/>
      <c r="AH993" s="203" t="s">
        <v>1155</v>
      </c>
      <c r="AI993" s="202">
        <v>0</v>
      </c>
      <c r="AJ993" s="202">
        <v>0</v>
      </c>
    </row>
    <row r="994" spans="2:36">
      <c r="B994" s="203">
        <v>2180</v>
      </c>
      <c r="C994" s="207">
        <v>61979</v>
      </c>
      <c r="D994" s="203">
        <v>61977</v>
      </c>
      <c r="E994" s="202" t="s">
        <v>1438</v>
      </c>
      <c r="F994" s="203">
        <v>0</v>
      </c>
      <c r="G994" s="202"/>
      <c r="H994" s="202"/>
      <c r="I994" s="202"/>
      <c r="J994" s="202">
        <v>0</v>
      </c>
      <c r="K994" s="202" t="s">
        <v>1435</v>
      </c>
      <c r="L994" s="202"/>
      <c r="M994" s="202"/>
      <c r="N994" s="206">
        <v>39752</v>
      </c>
      <c r="O994" s="206">
        <v>39752</v>
      </c>
      <c r="P994" s="202" t="s">
        <v>1432</v>
      </c>
      <c r="Q994" s="203">
        <v>300</v>
      </c>
      <c r="R994" s="203">
        <v>14110</v>
      </c>
      <c r="S994" s="204">
        <v>900.9</v>
      </c>
      <c r="T994" s="203">
        <v>14116</v>
      </c>
      <c r="U994" s="204">
        <v>900.9</v>
      </c>
      <c r="V994" s="204">
        <f t="shared" si="26"/>
        <v>0</v>
      </c>
      <c r="W994" s="205">
        <v>0</v>
      </c>
      <c r="X994" s="203">
        <v>70260</v>
      </c>
      <c r="Y994" s="204">
        <v>0</v>
      </c>
      <c r="Z994" s="202" t="s">
        <v>97</v>
      </c>
      <c r="AA994" s="202"/>
      <c r="AB994" s="202" t="s">
        <v>1437</v>
      </c>
      <c r="AC994" s="202"/>
      <c r="AD994" s="202" t="s">
        <v>1152</v>
      </c>
      <c r="AE994" s="202" t="s">
        <v>1153</v>
      </c>
      <c r="AF994" s="203" t="s">
        <v>1154</v>
      </c>
      <c r="AG994" s="202"/>
      <c r="AH994" s="203" t="s">
        <v>1155</v>
      </c>
      <c r="AI994" s="202">
        <v>0</v>
      </c>
      <c r="AJ994" s="202">
        <v>0</v>
      </c>
    </row>
    <row r="995" spans="2:36">
      <c r="B995" s="203">
        <v>2180</v>
      </c>
      <c r="C995" s="207">
        <v>61978</v>
      </c>
      <c r="D995" s="203">
        <v>61977</v>
      </c>
      <c r="E995" s="202" t="s">
        <v>1436</v>
      </c>
      <c r="F995" s="203">
        <v>0</v>
      </c>
      <c r="G995" s="202"/>
      <c r="H995" s="202"/>
      <c r="I995" s="202"/>
      <c r="J995" s="202">
        <v>0</v>
      </c>
      <c r="K995" s="202" t="s">
        <v>1435</v>
      </c>
      <c r="L995" s="202"/>
      <c r="M995" s="202"/>
      <c r="N995" s="206">
        <v>39752</v>
      </c>
      <c r="O995" s="206">
        <v>39752</v>
      </c>
      <c r="P995" s="202" t="s">
        <v>1432</v>
      </c>
      <c r="Q995" s="203">
        <v>300</v>
      </c>
      <c r="R995" s="203">
        <v>14110</v>
      </c>
      <c r="S995" s="204">
        <v>845.68</v>
      </c>
      <c r="T995" s="203">
        <v>14116</v>
      </c>
      <c r="U995" s="204">
        <v>845.68</v>
      </c>
      <c r="V995" s="204">
        <f t="shared" si="26"/>
        <v>0</v>
      </c>
      <c r="W995" s="205">
        <v>0</v>
      </c>
      <c r="X995" s="203">
        <v>70260</v>
      </c>
      <c r="Y995" s="204">
        <v>0</v>
      </c>
      <c r="Z995" s="202" t="s">
        <v>97</v>
      </c>
      <c r="AA995" s="202"/>
      <c r="AB995" s="202" t="s">
        <v>1434</v>
      </c>
      <c r="AC995" s="202"/>
      <c r="AD995" s="202" t="s">
        <v>1152</v>
      </c>
      <c r="AE995" s="202" t="s">
        <v>1153</v>
      </c>
      <c r="AF995" s="203" t="s">
        <v>1154</v>
      </c>
      <c r="AG995" s="202"/>
      <c r="AH995" s="203" t="s">
        <v>1155</v>
      </c>
      <c r="AI995" s="202">
        <v>0</v>
      </c>
      <c r="AJ995" s="202">
        <v>0</v>
      </c>
    </row>
    <row r="996" spans="2:36">
      <c r="B996" s="203">
        <v>2180</v>
      </c>
      <c r="C996" s="207">
        <v>61977</v>
      </c>
      <c r="D996" s="203" t="s">
        <v>97</v>
      </c>
      <c r="E996" s="202" t="s">
        <v>1433</v>
      </c>
      <c r="F996" s="203">
        <v>0</v>
      </c>
      <c r="G996" s="202"/>
      <c r="H996" s="202"/>
      <c r="I996" s="202"/>
      <c r="J996" s="202">
        <v>0</v>
      </c>
      <c r="K996" s="202" t="s">
        <v>1429</v>
      </c>
      <c r="L996" s="202"/>
      <c r="M996" s="202"/>
      <c r="N996" s="206">
        <v>39752</v>
      </c>
      <c r="O996" s="206">
        <v>39752</v>
      </c>
      <c r="P996" s="202" t="s">
        <v>1432</v>
      </c>
      <c r="Q996" s="203">
        <v>300</v>
      </c>
      <c r="R996" s="203">
        <v>14110</v>
      </c>
      <c r="S996" s="204">
        <v>3309.76</v>
      </c>
      <c r="T996" s="203">
        <v>14116</v>
      </c>
      <c r="U996" s="204">
        <v>3309.76</v>
      </c>
      <c r="V996" s="204">
        <f t="shared" si="26"/>
        <v>0</v>
      </c>
      <c r="W996" s="205">
        <v>0</v>
      </c>
      <c r="X996" s="203">
        <v>70260</v>
      </c>
      <c r="Y996" s="204">
        <v>0</v>
      </c>
      <c r="Z996" s="202" t="s">
        <v>97</v>
      </c>
      <c r="AA996" s="202"/>
      <c r="AB996" s="202" t="s">
        <v>1431</v>
      </c>
      <c r="AC996" s="202"/>
      <c r="AD996" s="202" t="s">
        <v>1152</v>
      </c>
      <c r="AE996" s="202" t="s">
        <v>1153</v>
      </c>
      <c r="AF996" s="203" t="s">
        <v>1154</v>
      </c>
      <c r="AG996" s="202"/>
      <c r="AH996" s="203" t="s">
        <v>1155</v>
      </c>
      <c r="AI996" s="202">
        <v>0</v>
      </c>
      <c r="AJ996" s="202">
        <v>0</v>
      </c>
    </row>
    <row r="997" spans="2:36">
      <c r="B997" s="203">
        <v>2180</v>
      </c>
      <c r="C997" s="207">
        <v>61976</v>
      </c>
      <c r="D997" s="203" t="s">
        <v>97</v>
      </c>
      <c r="E997" s="202" t="s">
        <v>1430</v>
      </c>
      <c r="F997" s="203">
        <v>0</v>
      </c>
      <c r="G997" s="202"/>
      <c r="H997" s="202"/>
      <c r="I997" s="202"/>
      <c r="J997" s="202">
        <v>0</v>
      </c>
      <c r="K997" s="202" t="s">
        <v>1429</v>
      </c>
      <c r="L997" s="202"/>
      <c r="M997" s="202"/>
      <c r="N997" s="206">
        <v>39790</v>
      </c>
      <c r="O997" s="206">
        <v>39790</v>
      </c>
      <c r="P997" s="202" t="s">
        <v>1425</v>
      </c>
      <c r="Q997" s="203">
        <v>300</v>
      </c>
      <c r="R997" s="203">
        <v>14110</v>
      </c>
      <c r="S997" s="204">
        <v>82410.94</v>
      </c>
      <c r="T997" s="203">
        <v>14116</v>
      </c>
      <c r="U997" s="204">
        <v>82410.94</v>
      </c>
      <c r="V997" s="204">
        <f t="shared" si="26"/>
        <v>0</v>
      </c>
      <c r="W997" s="205">
        <v>0</v>
      </c>
      <c r="X997" s="203">
        <v>70260</v>
      </c>
      <c r="Y997" s="204">
        <v>0</v>
      </c>
      <c r="Z997" s="202" t="s">
        <v>97</v>
      </c>
      <c r="AA997" s="202"/>
      <c r="AB997" s="202" t="s">
        <v>1428</v>
      </c>
      <c r="AC997" s="202"/>
      <c r="AD997" s="202" t="s">
        <v>1152</v>
      </c>
      <c r="AE997" s="202" t="s">
        <v>1153</v>
      </c>
      <c r="AF997" s="203" t="s">
        <v>1154</v>
      </c>
      <c r="AG997" s="202"/>
      <c r="AH997" s="203" t="s">
        <v>1155</v>
      </c>
      <c r="AI997" s="202">
        <v>0</v>
      </c>
      <c r="AJ997" s="202">
        <v>0</v>
      </c>
    </row>
    <row r="998" spans="2:36">
      <c r="B998" s="203">
        <v>2180</v>
      </c>
      <c r="C998" s="207">
        <v>61685</v>
      </c>
      <c r="D998" s="203" t="s">
        <v>97</v>
      </c>
      <c r="E998" s="202" t="s">
        <v>1427</v>
      </c>
      <c r="F998" s="203">
        <v>0</v>
      </c>
      <c r="G998" s="202"/>
      <c r="H998" s="202"/>
      <c r="I998" s="202"/>
      <c r="J998" s="202">
        <v>0</v>
      </c>
      <c r="K998" s="202" t="s">
        <v>1426</v>
      </c>
      <c r="L998" s="202"/>
      <c r="M998" s="202"/>
      <c r="N998" s="206">
        <v>39787</v>
      </c>
      <c r="O998" s="206">
        <v>39787</v>
      </c>
      <c r="P998" s="202" t="s">
        <v>1425</v>
      </c>
      <c r="Q998" s="203">
        <v>300</v>
      </c>
      <c r="R998" s="203">
        <v>14110</v>
      </c>
      <c r="S998" s="204">
        <v>36600</v>
      </c>
      <c r="T998" s="203">
        <v>14116</v>
      </c>
      <c r="U998" s="204">
        <v>36600</v>
      </c>
      <c r="V998" s="204">
        <f t="shared" si="26"/>
        <v>0</v>
      </c>
      <c r="W998" s="205">
        <v>0</v>
      </c>
      <c r="X998" s="203">
        <v>70260</v>
      </c>
      <c r="Y998" s="204">
        <v>0</v>
      </c>
      <c r="Z998" s="202" t="s">
        <v>97</v>
      </c>
      <c r="AA998" s="202"/>
      <c r="AB998" s="202">
        <v>351230</v>
      </c>
      <c r="AC998" s="202"/>
      <c r="AD998" s="202" t="s">
        <v>1152</v>
      </c>
      <c r="AE998" s="202" t="s">
        <v>1153</v>
      </c>
      <c r="AF998" s="203" t="s">
        <v>1154</v>
      </c>
      <c r="AG998" s="202"/>
      <c r="AH998" s="203" t="s">
        <v>1155</v>
      </c>
      <c r="AI998" s="202">
        <v>0</v>
      </c>
      <c r="AJ998" s="202">
        <v>0</v>
      </c>
    </row>
    <row r="999" spans="2:36">
      <c r="B999" s="203">
        <v>2180</v>
      </c>
      <c r="C999" s="207">
        <v>61477</v>
      </c>
      <c r="D999" s="203" t="s">
        <v>97</v>
      </c>
      <c r="E999" s="202" t="s">
        <v>1424</v>
      </c>
      <c r="F999" s="203">
        <v>0</v>
      </c>
      <c r="G999" s="202"/>
      <c r="H999" s="202"/>
      <c r="I999" s="202"/>
      <c r="J999" s="202">
        <v>0</v>
      </c>
      <c r="K999" s="202"/>
      <c r="L999" s="202"/>
      <c r="M999" s="202"/>
      <c r="N999" s="206">
        <v>39755</v>
      </c>
      <c r="O999" s="206">
        <v>39755</v>
      </c>
      <c r="P999" s="202"/>
      <c r="Q999" s="203">
        <v>0</v>
      </c>
      <c r="R999" s="203">
        <v>15260</v>
      </c>
      <c r="S999" s="204">
        <v>23804343</v>
      </c>
      <c r="T999" s="203">
        <v>15266</v>
      </c>
      <c r="U999" s="204">
        <v>0</v>
      </c>
      <c r="V999" s="204">
        <f t="shared" si="26"/>
        <v>23804343</v>
      </c>
      <c r="W999" s="205">
        <v>0</v>
      </c>
      <c r="X999" s="203"/>
      <c r="Y999" s="204">
        <v>0</v>
      </c>
      <c r="Z999" s="202" t="s">
        <v>1153</v>
      </c>
      <c r="AA999" s="202" t="s">
        <v>1383</v>
      </c>
      <c r="AB999" s="202"/>
      <c r="AC999" s="202"/>
      <c r="AD999" s="202" t="s">
        <v>1152</v>
      </c>
      <c r="AE999" s="202" t="s">
        <v>1153</v>
      </c>
      <c r="AF999" s="203" t="s">
        <v>1382</v>
      </c>
      <c r="AG999" s="202"/>
      <c r="AH999" s="203" t="s">
        <v>1155</v>
      </c>
      <c r="AI999" s="202">
        <v>0</v>
      </c>
      <c r="AJ999" s="202">
        <v>0</v>
      </c>
    </row>
    <row r="1000" spans="2:36">
      <c r="B1000" s="203">
        <v>2180</v>
      </c>
      <c r="C1000" s="207">
        <v>61476</v>
      </c>
      <c r="D1000" s="203" t="s">
        <v>97</v>
      </c>
      <c r="E1000" s="202" t="s">
        <v>1423</v>
      </c>
      <c r="F1000" s="203"/>
      <c r="G1000" s="202"/>
      <c r="H1000" s="202"/>
      <c r="I1000" s="202"/>
      <c r="J1000" s="202">
        <v>0</v>
      </c>
      <c r="K1000" s="202"/>
      <c r="L1000" s="202"/>
      <c r="M1000" s="202"/>
      <c r="N1000" s="206">
        <v>39755</v>
      </c>
      <c r="O1000" s="206">
        <v>39755</v>
      </c>
      <c r="P1000" s="202"/>
      <c r="Q1000" s="203">
        <v>2000</v>
      </c>
      <c r="R1000" s="203">
        <v>14080</v>
      </c>
      <c r="S1000" s="204">
        <v>3530000</v>
      </c>
      <c r="T1000" s="203">
        <v>14086</v>
      </c>
      <c r="U1000" s="204">
        <v>2323916.66</v>
      </c>
      <c r="V1000" s="204">
        <f t="shared" si="26"/>
        <v>1206083.3399999999</v>
      </c>
      <c r="W1000" s="205">
        <v>176500</v>
      </c>
      <c r="X1000" s="203">
        <v>57260</v>
      </c>
      <c r="Y1000" s="204">
        <v>14708.33</v>
      </c>
      <c r="Z1000" s="202" t="s">
        <v>1153</v>
      </c>
      <c r="AA1000" s="202" t="s">
        <v>1383</v>
      </c>
      <c r="AB1000" s="202"/>
      <c r="AC1000" s="202"/>
      <c r="AD1000" s="202" t="s">
        <v>1152</v>
      </c>
      <c r="AE1000" s="202" t="s">
        <v>1153</v>
      </c>
      <c r="AF1000" s="203" t="s">
        <v>1154</v>
      </c>
      <c r="AG1000" s="208">
        <v>41639</v>
      </c>
      <c r="AH1000" s="203" t="s">
        <v>1155</v>
      </c>
      <c r="AI1000" s="202">
        <v>1</v>
      </c>
      <c r="AJ1000" s="202">
        <v>911916.66</v>
      </c>
    </row>
    <row r="1001" spans="2:36">
      <c r="B1001" s="203">
        <v>2180</v>
      </c>
      <c r="C1001" s="207">
        <v>61475</v>
      </c>
      <c r="D1001" s="203" t="s">
        <v>97</v>
      </c>
      <c r="E1001" s="202" t="s">
        <v>1422</v>
      </c>
      <c r="F1001" s="203">
        <v>42</v>
      </c>
      <c r="G1001" s="202"/>
      <c r="H1001" s="202"/>
      <c r="I1001" s="202"/>
      <c r="J1001" s="202">
        <v>0</v>
      </c>
      <c r="K1001" s="202"/>
      <c r="L1001" s="202"/>
      <c r="M1001" s="202" t="s">
        <v>1421</v>
      </c>
      <c r="N1001" s="206">
        <v>39755</v>
      </c>
      <c r="O1001" s="206">
        <v>39755</v>
      </c>
      <c r="P1001" s="202"/>
      <c r="Q1001" s="203">
        <v>1200</v>
      </c>
      <c r="R1001" s="203">
        <v>14050</v>
      </c>
      <c r="S1001" s="204">
        <v>10437.969999999999</v>
      </c>
      <c r="T1001" s="203">
        <v>14056</v>
      </c>
      <c r="U1001" s="204">
        <v>10437.969999999999</v>
      </c>
      <c r="V1001" s="204">
        <f t="shared" si="26"/>
        <v>0</v>
      </c>
      <c r="W1001" s="205">
        <v>0</v>
      </c>
      <c r="X1001" s="203">
        <v>54260</v>
      </c>
      <c r="Y1001" s="204">
        <v>0</v>
      </c>
      <c r="Z1001" s="202" t="s">
        <v>1153</v>
      </c>
      <c r="AA1001" s="202" t="s">
        <v>1383</v>
      </c>
      <c r="AB1001" s="202"/>
      <c r="AC1001" s="202"/>
      <c r="AD1001" s="202" t="s">
        <v>1152</v>
      </c>
      <c r="AE1001" s="202" t="s">
        <v>1153</v>
      </c>
      <c r="AF1001" s="203" t="s">
        <v>1154</v>
      </c>
      <c r="AG1001" s="208">
        <v>39933</v>
      </c>
      <c r="AH1001" s="203" t="s">
        <v>1155</v>
      </c>
      <c r="AI1001" s="202">
        <v>22</v>
      </c>
      <c r="AJ1001" s="202">
        <v>434.91</v>
      </c>
    </row>
    <row r="1002" spans="2:36">
      <c r="B1002" s="203">
        <v>2180</v>
      </c>
      <c r="C1002" s="207">
        <v>61473</v>
      </c>
      <c r="D1002" s="203" t="s">
        <v>97</v>
      </c>
      <c r="E1002" s="202" t="s">
        <v>1420</v>
      </c>
      <c r="F1002" s="203">
        <v>2151</v>
      </c>
      <c r="G1002" s="202"/>
      <c r="H1002" s="202"/>
      <c r="I1002" s="202"/>
      <c r="J1002" s="202">
        <v>0</v>
      </c>
      <c r="K1002" s="202"/>
      <c r="L1002" s="202"/>
      <c r="M1002" s="202"/>
      <c r="N1002" s="206">
        <v>39755</v>
      </c>
      <c r="O1002" s="206">
        <v>39755</v>
      </c>
      <c r="P1002" s="202"/>
      <c r="Q1002" s="203">
        <v>700</v>
      </c>
      <c r="R1002" s="203">
        <v>14050</v>
      </c>
      <c r="S1002" s="204">
        <v>95070</v>
      </c>
      <c r="T1002" s="203">
        <v>14056</v>
      </c>
      <c r="U1002" s="204">
        <v>95070</v>
      </c>
      <c r="V1002" s="204">
        <f t="shared" si="26"/>
        <v>0</v>
      </c>
      <c r="W1002" s="205">
        <v>0</v>
      </c>
      <c r="X1002" s="203">
        <v>54260</v>
      </c>
      <c r="Y1002" s="204">
        <v>0</v>
      </c>
      <c r="Z1002" s="202" t="s">
        <v>1153</v>
      </c>
      <c r="AA1002" s="202" t="s">
        <v>1383</v>
      </c>
      <c r="AB1002" s="202"/>
      <c r="AC1002" s="202"/>
      <c r="AD1002" s="202" t="s">
        <v>1152</v>
      </c>
      <c r="AE1002" s="202" t="s">
        <v>1153</v>
      </c>
      <c r="AF1002" s="203" t="s">
        <v>1154</v>
      </c>
      <c r="AG1002" s="202"/>
      <c r="AH1002" s="203" t="s">
        <v>1155</v>
      </c>
      <c r="AI1002" s="202">
        <v>0</v>
      </c>
      <c r="AJ1002" s="202">
        <v>0</v>
      </c>
    </row>
    <row r="1003" spans="2:36">
      <c r="B1003" s="203">
        <v>2180</v>
      </c>
      <c r="C1003" s="207">
        <v>61472</v>
      </c>
      <c r="D1003" s="203" t="s">
        <v>97</v>
      </c>
      <c r="E1003" s="202" t="s">
        <v>1419</v>
      </c>
      <c r="F1003" s="203">
        <v>100486</v>
      </c>
      <c r="G1003" s="202"/>
      <c r="H1003" s="202"/>
      <c r="I1003" s="202"/>
      <c r="J1003" s="202">
        <v>0</v>
      </c>
      <c r="K1003" s="202"/>
      <c r="L1003" s="202"/>
      <c r="M1003" s="202"/>
      <c r="N1003" s="206">
        <v>39755</v>
      </c>
      <c r="O1003" s="206">
        <v>39755</v>
      </c>
      <c r="P1003" s="202"/>
      <c r="Q1003" s="203">
        <v>500</v>
      </c>
      <c r="R1003" s="203">
        <v>14050</v>
      </c>
      <c r="S1003" s="204">
        <v>1004860</v>
      </c>
      <c r="T1003" s="203">
        <v>14056</v>
      </c>
      <c r="U1003" s="204">
        <v>1004860</v>
      </c>
      <c r="V1003" s="204">
        <f t="shared" si="26"/>
        <v>0</v>
      </c>
      <c r="W1003" s="205">
        <v>0</v>
      </c>
      <c r="X1003" s="203">
        <v>54260</v>
      </c>
      <c r="Y1003" s="204">
        <v>0</v>
      </c>
      <c r="Z1003" s="202" t="s">
        <v>1153</v>
      </c>
      <c r="AA1003" s="202" t="s">
        <v>1383</v>
      </c>
      <c r="AB1003" s="202"/>
      <c r="AC1003" s="202"/>
      <c r="AD1003" s="202" t="s">
        <v>1152</v>
      </c>
      <c r="AE1003" s="202" t="s">
        <v>1153</v>
      </c>
      <c r="AF1003" s="203" t="s">
        <v>1154</v>
      </c>
      <c r="AG1003" s="202"/>
      <c r="AH1003" s="203" t="s">
        <v>1155</v>
      </c>
      <c r="AI1003" s="202">
        <v>0</v>
      </c>
      <c r="AJ1003" s="202">
        <v>0</v>
      </c>
    </row>
    <row r="1004" spans="2:36">
      <c r="B1004" s="203">
        <v>2180</v>
      </c>
      <c r="C1004" s="207">
        <v>61471</v>
      </c>
      <c r="D1004" s="203" t="s">
        <v>97</v>
      </c>
      <c r="E1004" s="202" t="s">
        <v>1418</v>
      </c>
      <c r="F1004" s="203">
        <v>4</v>
      </c>
      <c r="G1004" s="202"/>
      <c r="H1004" s="202"/>
      <c r="I1004" s="202"/>
      <c r="J1004" s="202">
        <v>0</v>
      </c>
      <c r="K1004" s="202"/>
      <c r="L1004" s="202"/>
      <c r="M1004" s="202" t="s">
        <v>1417</v>
      </c>
      <c r="N1004" s="206">
        <v>39755</v>
      </c>
      <c r="O1004" s="206">
        <v>39755</v>
      </c>
      <c r="P1004" s="202"/>
      <c r="Q1004" s="203">
        <v>700</v>
      </c>
      <c r="R1004" s="203">
        <v>14050</v>
      </c>
      <c r="S1004" s="204">
        <v>43875</v>
      </c>
      <c r="T1004" s="203">
        <v>14056</v>
      </c>
      <c r="U1004" s="204">
        <v>43875</v>
      </c>
      <c r="V1004" s="204">
        <f t="shared" si="26"/>
        <v>0</v>
      </c>
      <c r="W1004" s="205">
        <v>0</v>
      </c>
      <c r="X1004" s="203">
        <v>54260</v>
      </c>
      <c r="Y1004" s="204">
        <v>0</v>
      </c>
      <c r="Z1004" s="202" t="s">
        <v>1153</v>
      </c>
      <c r="AA1004" s="202" t="s">
        <v>1383</v>
      </c>
      <c r="AB1004" s="202"/>
      <c r="AC1004" s="202"/>
      <c r="AD1004" s="202" t="s">
        <v>1152</v>
      </c>
      <c r="AE1004" s="202" t="s">
        <v>1153</v>
      </c>
      <c r="AF1004" s="203" t="s">
        <v>1154</v>
      </c>
      <c r="AG1004" s="208">
        <v>39933</v>
      </c>
      <c r="AH1004" s="203" t="s">
        <v>1155</v>
      </c>
      <c r="AI1004" s="202">
        <v>8</v>
      </c>
      <c r="AJ1004" s="202">
        <v>3133.93</v>
      </c>
    </row>
    <row r="1005" spans="2:36">
      <c r="B1005" s="203">
        <v>2180</v>
      </c>
      <c r="C1005" s="207">
        <v>61469</v>
      </c>
      <c r="D1005" s="203" t="s">
        <v>97</v>
      </c>
      <c r="E1005" s="202" t="s">
        <v>1416</v>
      </c>
      <c r="F1005" s="203">
        <v>0</v>
      </c>
      <c r="G1005" s="202"/>
      <c r="H1005" s="202"/>
      <c r="I1005" s="202"/>
      <c r="J1005" s="202">
        <v>0</v>
      </c>
      <c r="K1005" s="202"/>
      <c r="L1005" s="202"/>
      <c r="M1005" s="202"/>
      <c r="N1005" s="206">
        <v>39755</v>
      </c>
      <c r="O1005" s="206">
        <v>39755</v>
      </c>
      <c r="P1005" s="202"/>
      <c r="Q1005" s="203">
        <v>2000</v>
      </c>
      <c r="R1005" s="203">
        <v>14010</v>
      </c>
      <c r="S1005" s="204">
        <v>450000</v>
      </c>
      <c r="T1005" s="203">
        <v>14016</v>
      </c>
      <c r="U1005" s="204">
        <v>296250</v>
      </c>
      <c r="V1005" s="204">
        <f t="shared" si="26"/>
        <v>153750</v>
      </c>
      <c r="W1005" s="205">
        <v>22500</v>
      </c>
      <c r="X1005" s="203">
        <v>57260</v>
      </c>
      <c r="Y1005" s="204">
        <v>1875</v>
      </c>
      <c r="Z1005" s="202" t="s">
        <v>1153</v>
      </c>
      <c r="AA1005" s="202" t="s">
        <v>1383</v>
      </c>
      <c r="AB1005" s="202"/>
      <c r="AC1005" s="202"/>
      <c r="AD1005" s="202" t="s">
        <v>1152</v>
      </c>
      <c r="AE1005" s="202" t="s">
        <v>1153</v>
      </c>
      <c r="AF1005" s="203" t="s">
        <v>1154</v>
      </c>
      <c r="AG1005" s="202"/>
      <c r="AH1005" s="203" t="s">
        <v>1155</v>
      </c>
      <c r="AI1005" s="202">
        <v>0</v>
      </c>
      <c r="AJ1005" s="202">
        <v>0</v>
      </c>
    </row>
    <row r="1006" spans="2:36">
      <c r="B1006" s="203">
        <v>2180</v>
      </c>
      <c r="C1006" s="207">
        <v>60807</v>
      </c>
      <c r="D1006" s="203" t="s">
        <v>97</v>
      </c>
      <c r="E1006" s="202" t="s">
        <v>1415</v>
      </c>
      <c r="F1006" s="203">
        <v>0</v>
      </c>
      <c r="G1006" s="202"/>
      <c r="H1006" s="202"/>
      <c r="I1006" s="202"/>
      <c r="J1006" s="202">
        <v>0</v>
      </c>
      <c r="K1006" s="202"/>
      <c r="L1006" s="202"/>
      <c r="M1006" s="202"/>
      <c r="N1006" s="206">
        <v>39755</v>
      </c>
      <c r="O1006" s="206">
        <v>39755</v>
      </c>
      <c r="P1006" s="202"/>
      <c r="Q1006" s="203">
        <v>0</v>
      </c>
      <c r="R1006" s="203">
        <v>15110</v>
      </c>
      <c r="S1006" s="204">
        <v>3228855.86</v>
      </c>
      <c r="T1006" s="203">
        <v>15120</v>
      </c>
      <c r="U1006" s="204">
        <v>0</v>
      </c>
      <c r="V1006" s="204">
        <f t="shared" si="26"/>
        <v>3228855.86</v>
      </c>
      <c r="W1006" s="205">
        <v>0</v>
      </c>
      <c r="X1006" s="203"/>
      <c r="Y1006" s="204">
        <v>0</v>
      </c>
      <c r="Z1006" s="202" t="s">
        <v>1153</v>
      </c>
      <c r="AA1006" s="202" t="s">
        <v>1383</v>
      </c>
      <c r="AB1006" s="202"/>
      <c r="AC1006" s="202"/>
      <c r="AD1006" s="202" t="s">
        <v>1152</v>
      </c>
      <c r="AE1006" s="202" t="s">
        <v>1153</v>
      </c>
      <c r="AF1006" s="203" t="s">
        <v>1382</v>
      </c>
      <c r="AG1006" s="202"/>
      <c r="AH1006" s="203" t="s">
        <v>1155</v>
      </c>
      <c r="AI1006" s="202">
        <v>0</v>
      </c>
      <c r="AJ1006" s="202">
        <v>0</v>
      </c>
    </row>
    <row r="1007" spans="2:36">
      <c r="B1007" s="203">
        <v>2180</v>
      </c>
      <c r="C1007" s="207">
        <v>60806</v>
      </c>
      <c r="D1007" s="203" t="s">
        <v>97</v>
      </c>
      <c r="E1007" s="202" t="s">
        <v>1414</v>
      </c>
      <c r="F1007" s="203">
        <v>0</v>
      </c>
      <c r="G1007" s="202"/>
      <c r="H1007" s="202"/>
      <c r="I1007" s="202"/>
      <c r="J1007" s="202">
        <v>0</v>
      </c>
      <c r="K1007" s="202"/>
      <c r="L1007" s="202"/>
      <c r="M1007" s="202"/>
      <c r="N1007" s="206">
        <v>39755</v>
      </c>
      <c r="O1007" s="206">
        <v>39755</v>
      </c>
      <c r="P1007" s="202"/>
      <c r="Q1007" s="203">
        <v>300</v>
      </c>
      <c r="R1007" s="203">
        <v>14070</v>
      </c>
      <c r="S1007" s="204">
        <v>1000</v>
      </c>
      <c r="T1007" s="203">
        <v>14076</v>
      </c>
      <c r="U1007" s="204">
        <v>1000</v>
      </c>
      <c r="V1007" s="204">
        <f t="shared" si="26"/>
        <v>0</v>
      </c>
      <c r="W1007" s="205">
        <v>0</v>
      </c>
      <c r="X1007" s="203">
        <v>51260</v>
      </c>
      <c r="Y1007" s="204">
        <v>0</v>
      </c>
      <c r="Z1007" s="202" t="s">
        <v>1153</v>
      </c>
      <c r="AA1007" s="202" t="s">
        <v>1383</v>
      </c>
      <c r="AB1007" s="202"/>
      <c r="AC1007" s="202"/>
      <c r="AD1007" s="202" t="s">
        <v>1152</v>
      </c>
      <c r="AE1007" s="202" t="s">
        <v>1153</v>
      </c>
      <c r="AF1007" s="203" t="s">
        <v>1154</v>
      </c>
      <c r="AG1007" s="202"/>
      <c r="AH1007" s="203" t="s">
        <v>1155</v>
      </c>
      <c r="AI1007" s="202">
        <v>0</v>
      </c>
      <c r="AJ1007" s="202">
        <v>0</v>
      </c>
    </row>
    <row r="1008" spans="2:36">
      <c r="B1008" s="203">
        <v>2180</v>
      </c>
      <c r="C1008" s="207">
        <v>60804</v>
      </c>
      <c r="D1008" s="203" t="s">
        <v>97</v>
      </c>
      <c r="E1008" s="202" t="s">
        <v>1413</v>
      </c>
      <c r="F1008" s="203">
        <v>0</v>
      </c>
      <c r="G1008" s="202"/>
      <c r="H1008" s="202">
        <v>3015080598</v>
      </c>
      <c r="I1008" s="202"/>
      <c r="J1008" s="202">
        <v>1990</v>
      </c>
      <c r="K1008" s="202" t="s">
        <v>1255</v>
      </c>
      <c r="L1008" s="202" t="s">
        <v>1255</v>
      </c>
      <c r="M1008" s="202" t="s">
        <v>1412</v>
      </c>
      <c r="N1008" s="206">
        <v>39755</v>
      </c>
      <c r="O1008" s="206">
        <v>39755</v>
      </c>
      <c r="P1008" s="202"/>
      <c r="Q1008" s="203">
        <v>300</v>
      </c>
      <c r="R1008" s="203">
        <v>14030</v>
      </c>
      <c r="S1008" s="204">
        <v>2500</v>
      </c>
      <c r="T1008" s="203">
        <v>14036</v>
      </c>
      <c r="U1008" s="204">
        <v>2500</v>
      </c>
      <c r="V1008" s="204">
        <f t="shared" si="26"/>
        <v>0</v>
      </c>
      <c r="W1008" s="205">
        <v>0</v>
      </c>
      <c r="X1008" s="203">
        <v>51260</v>
      </c>
      <c r="Y1008" s="204">
        <v>0</v>
      </c>
      <c r="Z1008" s="202" t="s">
        <v>1153</v>
      </c>
      <c r="AA1008" s="202" t="s">
        <v>1383</v>
      </c>
      <c r="AB1008" s="202"/>
      <c r="AC1008" s="202">
        <v>7988</v>
      </c>
      <c r="AD1008" s="202" t="s">
        <v>1152</v>
      </c>
      <c r="AE1008" s="202" t="s">
        <v>1153</v>
      </c>
      <c r="AF1008" s="203" t="s">
        <v>1154</v>
      </c>
      <c r="AG1008" s="202"/>
      <c r="AH1008" s="203" t="s">
        <v>1155</v>
      </c>
      <c r="AI1008" s="202">
        <v>0</v>
      </c>
      <c r="AJ1008" s="202">
        <v>0</v>
      </c>
    </row>
    <row r="1009" spans="2:36">
      <c r="B1009" s="203">
        <v>2180</v>
      </c>
      <c r="C1009" s="207">
        <v>60790</v>
      </c>
      <c r="D1009" s="203" t="s">
        <v>97</v>
      </c>
      <c r="E1009" s="202" t="s">
        <v>1408</v>
      </c>
      <c r="F1009" s="203">
        <v>0</v>
      </c>
      <c r="G1009" s="202"/>
      <c r="H1009" s="202" t="s">
        <v>1411</v>
      </c>
      <c r="I1009" s="202"/>
      <c r="J1009" s="202">
        <v>2007</v>
      </c>
      <c r="K1009" s="202" t="s">
        <v>1406</v>
      </c>
      <c r="L1009" s="202" t="s">
        <v>1405</v>
      </c>
      <c r="M1009" s="202" t="s">
        <v>1404</v>
      </c>
      <c r="N1009" s="206">
        <v>39755</v>
      </c>
      <c r="O1009" s="206">
        <v>39755</v>
      </c>
      <c r="P1009" s="202"/>
      <c r="Q1009" s="203">
        <v>800</v>
      </c>
      <c r="R1009" s="203">
        <v>14040</v>
      </c>
      <c r="S1009" s="204">
        <v>133500</v>
      </c>
      <c r="T1009" s="203">
        <v>14046</v>
      </c>
      <c r="U1009" s="204">
        <v>133500</v>
      </c>
      <c r="V1009" s="204">
        <f t="shared" si="26"/>
        <v>0</v>
      </c>
      <c r="W1009" s="205">
        <v>0</v>
      </c>
      <c r="X1009" s="203">
        <v>51260</v>
      </c>
      <c r="Y1009" s="204">
        <v>0</v>
      </c>
      <c r="Z1009" s="202" t="s">
        <v>1153</v>
      </c>
      <c r="AA1009" s="202" t="s">
        <v>1383</v>
      </c>
      <c r="AB1009" s="202"/>
      <c r="AC1009" s="202">
        <v>3620</v>
      </c>
      <c r="AD1009" s="202" t="s">
        <v>1152</v>
      </c>
      <c r="AE1009" s="202" t="s">
        <v>1153</v>
      </c>
      <c r="AF1009" s="203" t="s">
        <v>1154</v>
      </c>
      <c r="AG1009" s="202"/>
      <c r="AH1009" s="203" t="s">
        <v>1155</v>
      </c>
      <c r="AI1009" s="202">
        <v>0</v>
      </c>
      <c r="AJ1009" s="202">
        <v>0</v>
      </c>
    </row>
    <row r="1010" spans="2:36">
      <c r="B1010" s="203">
        <v>2180</v>
      </c>
      <c r="C1010" s="207">
        <v>60789</v>
      </c>
      <c r="D1010" s="203" t="s">
        <v>97</v>
      </c>
      <c r="E1010" s="202" t="s">
        <v>1408</v>
      </c>
      <c r="F1010" s="203">
        <v>0</v>
      </c>
      <c r="G1010" s="202"/>
      <c r="H1010" s="202" t="s">
        <v>1410</v>
      </c>
      <c r="I1010" s="202"/>
      <c r="J1010" s="202">
        <v>2007</v>
      </c>
      <c r="K1010" s="202" t="s">
        <v>1406</v>
      </c>
      <c r="L1010" s="202" t="s">
        <v>1405</v>
      </c>
      <c r="M1010" s="202" t="s">
        <v>1404</v>
      </c>
      <c r="N1010" s="206">
        <v>39755</v>
      </c>
      <c r="O1010" s="206">
        <v>39755</v>
      </c>
      <c r="P1010" s="202"/>
      <c r="Q1010" s="203">
        <v>800</v>
      </c>
      <c r="R1010" s="203">
        <v>14040</v>
      </c>
      <c r="S1010" s="204">
        <v>133500</v>
      </c>
      <c r="T1010" s="203">
        <v>14046</v>
      </c>
      <c r="U1010" s="204">
        <v>133500</v>
      </c>
      <c r="V1010" s="204">
        <f t="shared" si="26"/>
        <v>0</v>
      </c>
      <c r="W1010" s="205">
        <v>0</v>
      </c>
      <c r="X1010" s="203">
        <v>51260</v>
      </c>
      <c r="Y1010" s="204">
        <v>0</v>
      </c>
      <c r="Z1010" s="202" t="s">
        <v>1153</v>
      </c>
      <c r="AA1010" s="202" t="s">
        <v>1383</v>
      </c>
      <c r="AB1010" s="202"/>
      <c r="AC1010" s="202">
        <v>3619</v>
      </c>
      <c r="AD1010" s="202" t="s">
        <v>1152</v>
      </c>
      <c r="AE1010" s="202" t="s">
        <v>1153</v>
      </c>
      <c r="AF1010" s="203" t="s">
        <v>1154</v>
      </c>
      <c r="AG1010" s="202"/>
      <c r="AH1010" s="203" t="s">
        <v>1155</v>
      </c>
      <c r="AI1010" s="202">
        <v>0</v>
      </c>
      <c r="AJ1010" s="202">
        <v>0</v>
      </c>
    </row>
    <row r="1011" spans="2:36">
      <c r="B1011" s="203">
        <v>2180</v>
      </c>
      <c r="C1011" s="207">
        <v>60787</v>
      </c>
      <c r="D1011" s="203" t="s">
        <v>97</v>
      </c>
      <c r="E1011" s="202" t="s">
        <v>1408</v>
      </c>
      <c r="F1011" s="203">
        <v>0</v>
      </c>
      <c r="G1011" s="202"/>
      <c r="H1011" s="202" t="s">
        <v>1409</v>
      </c>
      <c r="I1011" s="202"/>
      <c r="J1011" s="202">
        <v>2007</v>
      </c>
      <c r="K1011" s="202" t="s">
        <v>1406</v>
      </c>
      <c r="L1011" s="202" t="s">
        <v>1405</v>
      </c>
      <c r="M1011" s="202" t="s">
        <v>1404</v>
      </c>
      <c r="N1011" s="206">
        <v>39755</v>
      </c>
      <c r="O1011" s="206">
        <v>39755</v>
      </c>
      <c r="P1011" s="202"/>
      <c r="Q1011" s="203">
        <v>800</v>
      </c>
      <c r="R1011" s="203">
        <v>14040</v>
      </c>
      <c r="S1011" s="204">
        <v>133500</v>
      </c>
      <c r="T1011" s="203">
        <v>14046</v>
      </c>
      <c r="U1011" s="204">
        <v>133500</v>
      </c>
      <c r="V1011" s="204">
        <f t="shared" si="26"/>
        <v>0</v>
      </c>
      <c r="W1011" s="205">
        <v>0</v>
      </c>
      <c r="X1011" s="203">
        <v>51260</v>
      </c>
      <c r="Y1011" s="204">
        <v>0</v>
      </c>
      <c r="Z1011" s="202" t="s">
        <v>1153</v>
      </c>
      <c r="AA1011" s="202" t="s">
        <v>1383</v>
      </c>
      <c r="AB1011" s="202"/>
      <c r="AC1011" s="202">
        <v>3617</v>
      </c>
      <c r="AD1011" s="202" t="s">
        <v>1152</v>
      </c>
      <c r="AE1011" s="202" t="s">
        <v>1153</v>
      </c>
      <c r="AF1011" s="203" t="s">
        <v>1154</v>
      </c>
      <c r="AG1011" s="202"/>
      <c r="AH1011" s="203" t="s">
        <v>1155</v>
      </c>
      <c r="AI1011" s="202">
        <v>0</v>
      </c>
      <c r="AJ1011" s="202">
        <v>0</v>
      </c>
    </row>
    <row r="1012" spans="2:36">
      <c r="B1012" s="203">
        <v>2180</v>
      </c>
      <c r="C1012" s="207">
        <v>60786</v>
      </c>
      <c r="D1012" s="203" t="s">
        <v>97</v>
      </c>
      <c r="E1012" s="202" t="s">
        <v>1408</v>
      </c>
      <c r="F1012" s="203">
        <v>0</v>
      </c>
      <c r="G1012" s="202"/>
      <c r="H1012" s="202" t="s">
        <v>1407</v>
      </c>
      <c r="I1012" s="202"/>
      <c r="J1012" s="202">
        <v>2007</v>
      </c>
      <c r="K1012" s="202" t="s">
        <v>1406</v>
      </c>
      <c r="L1012" s="202" t="s">
        <v>1405</v>
      </c>
      <c r="M1012" s="202" t="s">
        <v>1404</v>
      </c>
      <c r="N1012" s="206">
        <v>39755</v>
      </c>
      <c r="O1012" s="206">
        <v>39755</v>
      </c>
      <c r="P1012" s="202"/>
      <c r="Q1012" s="203">
        <v>800</v>
      </c>
      <c r="R1012" s="203">
        <v>14040</v>
      </c>
      <c r="S1012" s="204">
        <v>133500</v>
      </c>
      <c r="T1012" s="203">
        <v>14046</v>
      </c>
      <c r="U1012" s="204">
        <v>133500</v>
      </c>
      <c r="V1012" s="204">
        <f t="shared" si="26"/>
        <v>0</v>
      </c>
      <c r="W1012" s="205">
        <v>0</v>
      </c>
      <c r="X1012" s="203">
        <v>51260</v>
      </c>
      <c r="Y1012" s="204">
        <v>0</v>
      </c>
      <c r="Z1012" s="202" t="s">
        <v>1153</v>
      </c>
      <c r="AA1012" s="202" t="s">
        <v>1383</v>
      </c>
      <c r="AB1012" s="202"/>
      <c r="AC1012" s="202">
        <v>3616</v>
      </c>
      <c r="AD1012" s="202" t="s">
        <v>1152</v>
      </c>
      <c r="AE1012" s="202" t="s">
        <v>1153</v>
      </c>
      <c r="AF1012" s="203" t="s">
        <v>1154</v>
      </c>
      <c r="AG1012" s="202"/>
      <c r="AH1012" s="203" t="s">
        <v>1155</v>
      </c>
      <c r="AI1012" s="202">
        <v>0</v>
      </c>
      <c r="AJ1012" s="202">
        <v>0</v>
      </c>
    </row>
    <row r="1013" spans="2:36">
      <c r="B1013" s="203">
        <v>2180</v>
      </c>
      <c r="C1013" s="207">
        <v>60780</v>
      </c>
      <c r="D1013" s="203" t="s">
        <v>97</v>
      </c>
      <c r="E1013" s="202" t="s">
        <v>1398</v>
      </c>
      <c r="F1013" s="203">
        <v>0</v>
      </c>
      <c r="G1013" s="202"/>
      <c r="H1013" s="202" t="s">
        <v>1403</v>
      </c>
      <c r="I1013" s="202"/>
      <c r="J1013" s="202">
        <v>2007</v>
      </c>
      <c r="K1013" s="202" t="s">
        <v>1396</v>
      </c>
      <c r="L1013" s="202" t="s">
        <v>1395</v>
      </c>
      <c r="M1013" s="202" t="s">
        <v>1394</v>
      </c>
      <c r="N1013" s="206">
        <v>39755</v>
      </c>
      <c r="O1013" s="206">
        <v>39755</v>
      </c>
      <c r="P1013" s="202"/>
      <c r="Q1013" s="203">
        <v>800</v>
      </c>
      <c r="R1013" s="203">
        <v>14040</v>
      </c>
      <c r="S1013" s="204">
        <v>133500</v>
      </c>
      <c r="T1013" s="203">
        <v>14046</v>
      </c>
      <c r="U1013" s="204">
        <v>133500</v>
      </c>
      <c r="V1013" s="204">
        <f t="shared" si="26"/>
        <v>0</v>
      </c>
      <c r="W1013" s="205">
        <v>0</v>
      </c>
      <c r="X1013" s="203">
        <v>51260</v>
      </c>
      <c r="Y1013" s="204">
        <v>0</v>
      </c>
      <c r="Z1013" s="202" t="s">
        <v>1153</v>
      </c>
      <c r="AA1013" s="202" t="s">
        <v>1383</v>
      </c>
      <c r="AB1013" s="202"/>
      <c r="AC1013" s="202">
        <v>1066</v>
      </c>
      <c r="AD1013" s="202" t="s">
        <v>1152</v>
      </c>
      <c r="AE1013" s="202" t="s">
        <v>1153</v>
      </c>
      <c r="AF1013" s="203" t="s">
        <v>1154</v>
      </c>
      <c r="AG1013" s="202"/>
      <c r="AH1013" s="203" t="s">
        <v>1155</v>
      </c>
      <c r="AI1013" s="202">
        <v>0</v>
      </c>
      <c r="AJ1013" s="202">
        <v>0</v>
      </c>
    </row>
    <row r="1014" spans="2:36">
      <c r="B1014" s="203">
        <v>2180</v>
      </c>
      <c r="C1014" s="207">
        <v>60779</v>
      </c>
      <c r="D1014" s="203" t="s">
        <v>97</v>
      </c>
      <c r="E1014" s="202" t="s">
        <v>1398</v>
      </c>
      <c r="F1014" s="203">
        <v>0</v>
      </c>
      <c r="G1014" s="202"/>
      <c r="H1014" s="202" t="s">
        <v>1402</v>
      </c>
      <c r="I1014" s="202"/>
      <c r="J1014" s="202">
        <v>2007</v>
      </c>
      <c r="K1014" s="202" t="s">
        <v>1396</v>
      </c>
      <c r="L1014" s="202" t="s">
        <v>1395</v>
      </c>
      <c r="M1014" s="202" t="s">
        <v>1394</v>
      </c>
      <c r="N1014" s="206">
        <v>39755</v>
      </c>
      <c r="O1014" s="206">
        <v>39755</v>
      </c>
      <c r="P1014" s="202"/>
      <c r="Q1014" s="203">
        <v>800</v>
      </c>
      <c r="R1014" s="203">
        <v>14040</v>
      </c>
      <c r="S1014" s="204">
        <v>133500</v>
      </c>
      <c r="T1014" s="203">
        <v>14046</v>
      </c>
      <c r="U1014" s="204">
        <v>133500</v>
      </c>
      <c r="V1014" s="204">
        <f t="shared" si="26"/>
        <v>0</v>
      </c>
      <c r="W1014" s="205">
        <v>0</v>
      </c>
      <c r="X1014" s="203">
        <v>51260</v>
      </c>
      <c r="Y1014" s="204">
        <v>0</v>
      </c>
      <c r="Z1014" s="202" t="s">
        <v>1153</v>
      </c>
      <c r="AA1014" s="202" t="s">
        <v>1383</v>
      </c>
      <c r="AB1014" s="202"/>
      <c r="AC1014" s="202">
        <v>1065</v>
      </c>
      <c r="AD1014" s="202" t="s">
        <v>1152</v>
      </c>
      <c r="AE1014" s="202" t="s">
        <v>1153</v>
      </c>
      <c r="AF1014" s="203" t="s">
        <v>1154</v>
      </c>
      <c r="AG1014" s="202"/>
      <c r="AH1014" s="203" t="s">
        <v>1155</v>
      </c>
      <c r="AI1014" s="202">
        <v>0</v>
      </c>
      <c r="AJ1014" s="202">
        <v>0</v>
      </c>
    </row>
    <row r="1015" spans="2:36">
      <c r="B1015" s="203">
        <v>2180</v>
      </c>
      <c r="C1015" s="207">
        <v>60778</v>
      </c>
      <c r="D1015" s="203" t="s">
        <v>97</v>
      </c>
      <c r="E1015" s="202" t="s">
        <v>1398</v>
      </c>
      <c r="F1015" s="203">
        <v>0</v>
      </c>
      <c r="G1015" s="202"/>
      <c r="H1015" s="202" t="s">
        <v>1401</v>
      </c>
      <c r="I1015" s="202"/>
      <c r="J1015" s="202">
        <v>2007</v>
      </c>
      <c r="K1015" s="202" t="s">
        <v>1396</v>
      </c>
      <c r="L1015" s="202" t="s">
        <v>1395</v>
      </c>
      <c r="M1015" s="202" t="s">
        <v>1394</v>
      </c>
      <c r="N1015" s="206">
        <v>39755</v>
      </c>
      <c r="O1015" s="206">
        <v>39755</v>
      </c>
      <c r="P1015" s="202"/>
      <c r="Q1015" s="203">
        <v>800</v>
      </c>
      <c r="R1015" s="203">
        <v>14040</v>
      </c>
      <c r="S1015" s="204">
        <v>133500</v>
      </c>
      <c r="T1015" s="203">
        <v>14046</v>
      </c>
      <c r="U1015" s="204">
        <v>133500</v>
      </c>
      <c r="V1015" s="204">
        <f t="shared" si="26"/>
        <v>0</v>
      </c>
      <c r="W1015" s="205">
        <v>0</v>
      </c>
      <c r="X1015" s="203">
        <v>51260</v>
      </c>
      <c r="Y1015" s="204">
        <v>0</v>
      </c>
      <c r="Z1015" s="202" t="s">
        <v>1153</v>
      </c>
      <c r="AA1015" s="202" t="s">
        <v>1383</v>
      </c>
      <c r="AB1015" s="202"/>
      <c r="AC1015" s="202">
        <v>1064</v>
      </c>
      <c r="AD1015" s="202" t="s">
        <v>1152</v>
      </c>
      <c r="AE1015" s="202" t="s">
        <v>1153</v>
      </c>
      <c r="AF1015" s="203" t="s">
        <v>1154</v>
      </c>
      <c r="AG1015" s="202"/>
      <c r="AH1015" s="203" t="s">
        <v>1155</v>
      </c>
      <c r="AI1015" s="202">
        <v>0</v>
      </c>
      <c r="AJ1015" s="202">
        <v>0</v>
      </c>
    </row>
    <row r="1016" spans="2:36">
      <c r="B1016" s="203">
        <v>2180</v>
      </c>
      <c r="C1016" s="207">
        <v>60777</v>
      </c>
      <c r="D1016" s="203" t="s">
        <v>97</v>
      </c>
      <c r="E1016" s="202" t="s">
        <v>1398</v>
      </c>
      <c r="F1016" s="203">
        <v>0</v>
      </c>
      <c r="G1016" s="202"/>
      <c r="H1016" s="202" t="s">
        <v>1400</v>
      </c>
      <c r="I1016" s="202"/>
      <c r="J1016" s="202">
        <v>2007</v>
      </c>
      <c r="K1016" s="202" t="s">
        <v>1396</v>
      </c>
      <c r="L1016" s="202" t="s">
        <v>1395</v>
      </c>
      <c r="M1016" s="202" t="s">
        <v>1394</v>
      </c>
      <c r="N1016" s="206">
        <v>39755</v>
      </c>
      <c r="O1016" s="206">
        <v>39755</v>
      </c>
      <c r="P1016" s="202"/>
      <c r="Q1016" s="203">
        <v>800</v>
      </c>
      <c r="R1016" s="203">
        <v>14040</v>
      </c>
      <c r="S1016" s="204">
        <v>133500</v>
      </c>
      <c r="T1016" s="203">
        <v>14046</v>
      </c>
      <c r="U1016" s="204">
        <v>133500</v>
      </c>
      <c r="V1016" s="204">
        <f t="shared" si="26"/>
        <v>0</v>
      </c>
      <c r="W1016" s="205">
        <v>0</v>
      </c>
      <c r="X1016" s="203">
        <v>51260</v>
      </c>
      <c r="Y1016" s="204">
        <v>0</v>
      </c>
      <c r="Z1016" s="202" t="s">
        <v>1153</v>
      </c>
      <c r="AA1016" s="202" t="s">
        <v>1383</v>
      </c>
      <c r="AB1016" s="202"/>
      <c r="AC1016" s="202">
        <v>1063</v>
      </c>
      <c r="AD1016" s="202" t="s">
        <v>1152</v>
      </c>
      <c r="AE1016" s="202" t="s">
        <v>1153</v>
      </c>
      <c r="AF1016" s="203" t="s">
        <v>1154</v>
      </c>
      <c r="AG1016" s="202"/>
      <c r="AH1016" s="203" t="s">
        <v>1155</v>
      </c>
      <c r="AI1016" s="202">
        <v>0</v>
      </c>
      <c r="AJ1016" s="202">
        <v>0</v>
      </c>
    </row>
    <row r="1017" spans="2:36">
      <c r="B1017" s="203">
        <v>2180</v>
      </c>
      <c r="C1017" s="207">
        <v>60775</v>
      </c>
      <c r="D1017" s="203" t="s">
        <v>97</v>
      </c>
      <c r="E1017" s="202" t="s">
        <v>1398</v>
      </c>
      <c r="F1017" s="203">
        <v>0</v>
      </c>
      <c r="G1017" s="202"/>
      <c r="H1017" s="202" t="s">
        <v>1399</v>
      </c>
      <c r="I1017" s="202"/>
      <c r="J1017" s="202">
        <v>2007</v>
      </c>
      <c r="K1017" s="202" t="s">
        <v>1396</v>
      </c>
      <c r="L1017" s="202" t="s">
        <v>1395</v>
      </c>
      <c r="M1017" s="202" t="s">
        <v>1394</v>
      </c>
      <c r="N1017" s="206">
        <v>39755</v>
      </c>
      <c r="O1017" s="206">
        <v>39755</v>
      </c>
      <c r="P1017" s="202"/>
      <c r="Q1017" s="203">
        <v>800</v>
      </c>
      <c r="R1017" s="203">
        <v>14040</v>
      </c>
      <c r="S1017" s="204">
        <v>133500</v>
      </c>
      <c r="T1017" s="203">
        <v>14046</v>
      </c>
      <c r="U1017" s="204">
        <v>133500</v>
      </c>
      <c r="V1017" s="204">
        <f t="shared" si="26"/>
        <v>0</v>
      </c>
      <c r="W1017" s="205">
        <v>0</v>
      </c>
      <c r="X1017" s="203">
        <v>51260</v>
      </c>
      <c r="Y1017" s="204">
        <v>0</v>
      </c>
      <c r="Z1017" s="202" t="s">
        <v>1153</v>
      </c>
      <c r="AA1017" s="202" t="s">
        <v>1383</v>
      </c>
      <c r="AB1017" s="202"/>
      <c r="AC1017" s="202">
        <v>1055</v>
      </c>
      <c r="AD1017" s="202" t="s">
        <v>1152</v>
      </c>
      <c r="AE1017" s="202" t="s">
        <v>1153</v>
      </c>
      <c r="AF1017" s="203" t="s">
        <v>1154</v>
      </c>
      <c r="AG1017" s="202"/>
      <c r="AH1017" s="203" t="s">
        <v>1155</v>
      </c>
      <c r="AI1017" s="202">
        <v>0</v>
      </c>
      <c r="AJ1017" s="202">
        <v>0</v>
      </c>
    </row>
    <row r="1018" spans="2:36">
      <c r="B1018" s="203">
        <v>2180</v>
      </c>
      <c r="C1018" s="207">
        <v>60773</v>
      </c>
      <c r="D1018" s="203" t="s">
        <v>97</v>
      </c>
      <c r="E1018" s="202" t="s">
        <v>1398</v>
      </c>
      <c r="F1018" s="203">
        <v>0</v>
      </c>
      <c r="G1018" s="202"/>
      <c r="H1018" s="202" t="s">
        <v>1397</v>
      </c>
      <c r="I1018" s="202"/>
      <c r="J1018" s="202">
        <v>2007</v>
      </c>
      <c r="K1018" s="202" t="s">
        <v>1396</v>
      </c>
      <c r="L1018" s="202" t="s">
        <v>1395</v>
      </c>
      <c r="M1018" s="202" t="s">
        <v>1394</v>
      </c>
      <c r="N1018" s="206">
        <v>39755</v>
      </c>
      <c r="O1018" s="206">
        <v>39755</v>
      </c>
      <c r="P1018" s="202"/>
      <c r="Q1018" s="203">
        <v>800</v>
      </c>
      <c r="R1018" s="203">
        <v>14040</v>
      </c>
      <c r="S1018" s="204">
        <v>133500</v>
      </c>
      <c r="T1018" s="203">
        <v>14046</v>
      </c>
      <c r="U1018" s="204">
        <v>133500</v>
      </c>
      <c r="V1018" s="204">
        <f t="shared" si="26"/>
        <v>0</v>
      </c>
      <c r="W1018" s="205">
        <v>0</v>
      </c>
      <c r="X1018" s="203">
        <v>51260</v>
      </c>
      <c r="Y1018" s="204">
        <v>0</v>
      </c>
      <c r="Z1018" s="202" t="s">
        <v>1153</v>
      </c>
      <c r="AA1018" s="202" t="s">
        <v>1383</v>
      </c>
      <c r="AB1018" s="202"/>
      <c r="AC1018" s="202">
        <v>1052</v>
      </c>
      <c r="AD1018" s="202" t="s">
        <v>1152</v>
      </c>
      <c r="AE1018" s="202" t="s">
        <v>1153</v>
      </c>
      <c r="AF1018" s="203" t="s">
        <v>1154</v>
      </c>
      <c r="AG1018" s="202"/>
      <c r="AH1018" s="203" t="s">
        <v>1155</v>
      </c>
      <c r="AI1018" s="202">
        <v>0</v>
      </c>
      <c r="AJ1018" s="202">
        <v>0</v>
      </c>
    </row>
    <row r="1019" spans="2:36">
      <c r="B1019" s="203">
        <v>2180</v>
      </c>
      <c r="C1019" s="207">
        <v>60755</v>
      </c>
      <c r="D1019" s="203" t="s">
        <v>97</v>
      </c>
      <c r="E1019" s="202" t="s">
        <v>1393</v>
      </c>
      <c r="F1019" s="203">
        <v>0</v>
      </c>
      <c r="G1019" s="202"/>
      <c r="H1019" s="202" t="s">
        <v>1392</v>
      </c>
      <c r="I1019" s="202"/>
      <c r="J1019" s="202">
        <v>2005</v>
      </c>
      <c r="K1019" s="202" t="s">
        <v>1255</v>
      </c>
      <c r="L1019" s="202" t="s">
        <v>1255</v>
      </c>
      <c r="M1019" s="202" t="s">
        <v>1391</v>
      </c>
      <c r="N1019" s="206">
        <v>39755</v>
      </c>
      <c r="O1019" s="206">
        <v>39755</v>
      </c>
      <c r="P1019" s="202"/>
      <c r="Q1019" s="203">
        <v>600</v>
      </c>
      <c r="R1019" s="203">
        <v>14040</v>
      </c>
      <c r="S1019" s="204">
        <v>22500</v>
      </c>
      <c r="T1019" s="203">
        <v>14046</v>
      </c>
      <c r="U1019" s="204">
        <v>22500</v>
      </c>
      <c r="V1019" s="204">
        <f t="shared" si="26"/>
        <v>0</v>
      </c>
      <c r="W1019" s="205">
        <v>0</v>
      </c>
      <c r="X1019" s="203">
        <v>51260</v>
      </c>
      <c r="Y1019" s="204">
        <v>0</v>
      </c>
      <c r="Z1019" s="202" t="s">
        <v>1153</v>
      </c>
      <c r="AA1019" s="202" t="s">
        <v>1383</v>
      </c>
      <c r="AB1019" s="202"/>
      <c r="AC1019" s="202">
        <v>9222</v>
      </c>
      <c r="AD1019" s="202" t="s">
        <v>1152</v>
      </c>
      <c r="AE1019" s="202" t="s">
        <v>1153</v>
      </c>
      <c r="AF1019" s="203" t="s">
        <v>1154</v>
      </c>
      <c r="AG1019" s="202"/>
      <c r="AH1019" s="203" t="s">
        <v>1155</v>
      </c>
      <c r="AI1019" s="202">
        <v>0</v>
      </c>
      <c r="AJ1019" s="202">
        <v>0</v>
      </c>
    </row>
    <row r="1020" spans="2:36">
      <c r="B1020" s="203">
        <v>2180</v>
      </c>
      <c r="C1020" s="207">
        <v>60752</v>
      </c>
      <c r="D1020" s="203" t="s">
        <v>97</v>
      </c>
      <c r="E1020" s="202" t="s">
        <v>1390</v>
      </c>
      <c r="F1020" s="203">
        <v>0</v>
      </c>
      <c r="G1020" s="202"/>
      <c r="H1020" s="202" t="s">
        <v>1389</v>
      </c>
      <c r="I1020" s="202"/>
      <c r="J1020" s="202">
        <v>2005</v>
      </c>
      <c r="K1020" s="202" t="s">
        <v>1388</v>
      </c>
      <c r="L1020" s="202" t="s">
        <v>1255</v>
      </c>
      <c r="M1020" s="202" t="s">
        <v>1385</v>
      </c>
      <c r="N1020" s="206">
        <v>39755</v>
      </c>
      <c r="O1020" s="206">
        <v>39755</v>
      </c>
      <c r="P1020" s="202"/>
      <c r="Q1020" s="203">
        <v>300</v>
      </c>
      <c r="R1020" s="203">
        <v>14040</v>
      </c>
      <c r="S1020" s="204">
        <v>13000</v>
      </c>
      <c r="T1020" s="203">
        <v>14046</v>
      </c>
      <c r="U1020" s="204">
        <v>13000</v>
      </c>
      <c r="V1020" s="204">
        <f t="shared" si="26"/>
        <v>0</v>
      </c>
      <c r="W1020" s="205">
        <v>0</v>
      </c>
      <c r="X1020" s="203">
        <v>51260</v>
      </c>
      <c r="Y1020" s="204">
        <v>0</v>
      </c>
      <c r="Z1020" s="202" t="s">
        <v>1153</v>
      </c>
      <c r="AA1020" s="202" t="s">
        <v>1383</v>
      </c>
      <c r="AB1020" s="202"/>
      <c r="AC1020" s="202">
        <v>6035</v>
      </c>
      <c r="AD1020" s="202" t="s">
        <v>1152</v>
      </c>
      <c r="AE1020" s="202" t="s">
        <v>1153</v>
      </c>
      <c r="AF1020" s="203" t="s">
        <v>1154</v>
      </c>
      <c r="AG1020" s="202"/>
      <c r="AH1020" s="203" t="s">
        <v>1155</v>
      </c>
      <c r="AI1020" s="202">
        <v>0</v>
      </c>
      <c r="AJ1020" s="202">
        <v>0</v>
      </c>
    </row>
    <row r="1021" spans="2:36">
      <c r="B1021" s="203">
        <v>2180</v>
      </c>
      <c r="C1021" s="207">
        <v>60721</v>
      </c>
      <c r="D1021" s="203" t="s">
        <v>97</v>
      </c>
      <c r="E1021" s="202" t="s">
        <v>1387</v>
      </c>
      <c r="F1021" s="203">
        <v>0</v>
      </c>
      <c r="G1021" s="202"/>
      <c r="H1021" s="202" t="s">
        <v>1386</v>
      </c>
      <c r="I1021" s="202"/>
      <c r="J1021" s="202">
        <v>2000</v>
      </c>
      <c r="K1021" s="202" t="s">
        <v>1255</v>
      </c>
      <c r="L1021" s="202" t="s">
        <v>1255</v>
      </c>
      <c r="M1021" s="202" t="s">
        <v>1385</v>
      </c>
      <c r="N1021" s="206">
        <v>39755</v>
      </c>
      <c r="O1021" s="206">
        <v>39755</v>
      </c>
      <c r="P1021" s="202"/>
      <c r="Q1021" s="203">
        <v>300</v>
      </c>
      <c r="R1021" s="203">
        <v>14040</v>
      </c>
      <c r="S1021" s="204">
        <v>8500</v>
      </c>
      <c r="T1021" s="203">
        <v>14046</v>
      </c>
      <c r="U1021" s="204">
        <v>8500</v>
      </c>
      <c r="V1021" s="204">
        <f t="shared" si="26"/>
        <v>0</v>
      </c>
      <c r="W1021" s="205">
        <v>0</v>
      </c>
      <c r="X1021" s="203">
        <v>51260</v>
      </c>
      <c r="Y1021" s="204">
        <v>0</v>
      </c>
      <c r="Z1021" s="202" t="s">
        <v>1153</v>
      </c>
      <c r="AA1021" s="202" t="s">
        <v>1383</v>
      </c>
      <c r="AB1021" s="202"/>
      <c r="AC1021" s="202">
        <v>9214</v>
      </c>
      <c r="AD1021" s="202" t="s">
        <v>1152</v>
      </c>
      <c r="AE1021" s="202" t="s">
        <v>1153</v>
      </c>
      <c r="AF1021" s="203" t="s">
        <v>1154</v>
      </c>
      <c r="AG1021" s="202"/>
      <c r="AH1021" s="203" t="s">
        <v>1155</v>
      </c>
      <c r="AI1021" s="202">
        <v>0</v>
      </c>
      <c r="AJ1021" s="202">
        <v>0</v>
      </c>
    </row>
    <row r="1022" spans="2:36">
      <c r="B1022" s="203">
        <v>2180</v>
      </c>
      <c r="C1022" s="207">
        <v>60675</v>
      </c>
      <c r="D1022" s="203" t="s">
        <v>97</v>
      </c>
      <c r="E1022" s="202" t="s">
        <v>1384</v>
      </c>
      <c r="F1022" s="203">
        <v>0</v>
      </c>
      <c r="G1022" s="202"/>
      <c r="H1022" s="202"/>
      <c r="I1022" s="202"/>
      <c r="J1022" s="202">
        <v>0</v>
      </c>
      <c r="K1022" s="202"/>
      <c r="L1022" s="202"/>
      <c r="M1022" s="202"/>
      <c r="N1022" s="206">
        <v>39755</v>
      </c>
      <c r="O1022" s="206">
        <v>39755</v>
      </c>
      <c r="P1022" s="202"/>
      <c r="Q1022" s="203">
        <v>0</v>
      </c>
      <c r="R1022" s="203">
        <v>14000</v>
      </c>
      <c r="S1022" s="204">
        <v>9148000</v>
      </c>
      <c r="T1022" s="203">
        <v>14016</v>
      </c>
      <c r="U1022" s="204">
        <v>0</v>
      </c>
      <c r="V1022" s="204">
        <f t="shared" si="26"/>
        <v>9148000</v>
      </c>
      <c r="W1022" s="205">
        <v>0</v>
      </c>
      <c r="X1022" s="203">
        <v>57260</v>
      </c>
      <c r="Y1022" s="204">
        <v>0</v>
      </c>
      <c r="Z1022" s="202" t="s">
        <v>1153</v>
      </c>
      <c r="AA1022" s="202" t="s">
        <v>1383</v>
      </c>
      <c r="AB1022" s="202"/>
      <c r="AC1022" s="202"/>
      <c r="AD1022" s="202" t="s">
        <v>1152</v>
      </c>
      <c r="AE1022" s="202" t="s">
        <v>1153</v>
      </c>
      <c r="AF1022" s="203" t="s">
        <v>1382</v>
      </c>
      <c r="AG1022" s="202"/>
      <c r="AH1022" s="203" t="s">
        <v>1155</v>
      </c>
      <c r="AI1022" s="202">
        <v>0</v>
      </c>
      <c r="AJ1022" s="202">
        <v>0</v>
      </c>
    </row>
  </sheetData>
  <autoFilter ref="A13:AW13" xr:uid="{00000000-0009-0000-0000-000001000000}"/>
  <mergeCells count="5">
    <mergeCell ref="M9:N9"/>
    <mergeCell ref="M10:N10"/>
    <mergeCell ref="M11:N11"/>
    <mergeCell ref="C10:D10"/>
    <mergeCell ref="F9:J10"/>
  </mergeCells>
  <dataValidations count="1">
    <dataValidation type="list" allowBlank="1" showInputMessage="1" showErrorMessage="1" sqref="S9" xr:uid="{00000000-0002-0000-0100-000000000000}">
      <formula1>"P,C,All"</formula1>
    </dataValidation>
  </dataValidations>
  <pageMargins left="0.7" right="0.7" top="0.75" bottom="0.75" header="0.3" footer="0.3"/>
  <pageSetup scale="10" fitToWidth="2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  <pageSetUpPr fitToPage="1"/>
  </sheetPr>
  <dimension ref="A1:BQ86"/>
  <sheetViews>
    <sheetView view="pageBreakPreview" zoomScale="60" zoomScaleNormal="100" workbookViewId="0">
      <selection activeCell="AS6" sqref="AS6:BQ86"/>
    </sheetView>
  </sheetViews>
  <sheetFormatPr defaultRowHeight="15"/>
  <cols>
    <col min="1" max="1" width="25.7109375" bestFit="1" customWidth="1"/>
    <col min="2" max="2" width="11.42578125" bestFit="1" customWidth="1"/>
    <col min="3" max="3" width="20" bestFit="1" customWidth="1"/>
    <col min="4" max="4" width="17.85546875" bestFit="1" customWidth="1"/>
    <col min="5" max="5" width="17.7109375" bestFit="1" customWidth="1"/>
    <col min="6" max="6" width="30.140625" bestFit="1" customWidth="1"/>
  </cols>
  <sheetData>
    <row r="1" spans="1:69">
      <c r="A1" s="9" t="s">
        <v>3197</v>
      </c>
      <c r="B1" s="9" t="s">
        <v>3193</v>
      </c>
      <c r="C1" s="9"/>
      <c r="D1" s="369"/>
      <c r="E1" s="9"/>
      <c r="F1" s="9"/>
    </row>
    <row r="2" spans="1:69">
      <c r="A2" s="377" t="s">
        <v>3203</v>
      </c>
      <c r="B2" s="9"/>
      <c r="C2" s="9"/>
      <c r="D2" s="9"/>
      <c r="E2" s="9"/>
      <c r="F2" s="9"/>
    </row>
    <row r="3" spans="1:69">
      <c r="A3" s="9" t="s">
        <v>3195</v>
      </c>
      <c r="B3" s="9" t="s">
        <v>3198</v>
      </c>
      <c r="C3" s="9" t="s">
        <v>3199</v>
      </c>
      <c r="D3" s="9" t="s">
        <v>3200</v>
      </c>
      <c r="E3" s="9" t="s">
        <v>3201</v>
      </c>
      <c r="F3" s="9" t="s">
        <v>3202</v>
      </c>
    </row>
    <row r="4" spans="1:69">
      <c r="A4" s="151" t="s">
        <v>18</v>
      </c>
      <c r="B4" s="110">
        <v>26160</v>
      </c>
      <c r="C4" s="110">
        <v>2180</v>
      </c>
      <c r="D4" s="110">
        <v>0</v>
      </c>
      <c r="E4" s="110">
        <v>2180</v>
      </c>
      <c r="F4" s="110">
        <v>23980</v>
      </c>
    </row>
    <row r="5" spans="1:69">
      <c r="A5" s="151" t="s">
        <v>16</v>
      </c>
      <c r="B5" s="110">
        <v>173519.33999999997</v>
      </c>
      <c r="C5" s="110">
        <v>14459.945000000002</v>
      </c>
      <c r="D5" s="110">
        <v>0</v>
      </c>
      <c r="E5" s="110">
        <v>14459.945000000002</v>
      </c>
      <c r="F5" s="110">
        <v>159059.39500000002</v>
      </c>
    </row>
    <row r="6" spans="1:69">
      <c r="A6" s="151" t="s">
        <v>28</v>
      </c>
      <c r="B6" s="110">
        <v>9749.869999999999</v>
      </c>
      <c r="C6" s="110">
        <v>3249.9566666666669</v>
      </c>
      <c r="D6" s="110">
        <v>0</v>
      </c>
      <c r="E6" s="110">
        <v>3249.9566666666669</v>
      </c>
      <c r="F6" s="110">
        <v>6499.913333333332</v>
      </c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</row>
    <row r="7" spans="1:69">
      <c r="A7" s="151" t="s">
        <v>27</v>
      </c>
      <c r="B7" s="110">
        <v>54274.180000000008</v>
      </c>
      <c r="C7" s="110">
        <v>10854.835999999999</v>
      </c>
      <c r="D7" s="110">
        <v>0</v>
      </c>
      <c r="E7" s="110">
        <v>10854.835999999999</v>
      </c>
      <c r="F7" s="110">
        <v>43419.343999999997</v>
      </c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</row>
    <row r="8" spans="1:69">
      <c r="A8" s="151" t="s">
        <v>26</v>
      </c>
      <c r="B8" s="110">
        <v>21985.68</v>
      </c>
      <c r="C8" s="110">
        <v>4397.1360000000004</v>
      </c>
      <c r="D8" s="110">
        <v>0</v>
      </c>
      <c r="E8" s="110">
        <v>4397.1360000000004</v>
      </c>
      <c r="F8" s="110">
        <v>17588.544000000002</v>
      </c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69">
      <c r="A9" s="151" t="s">
        <v>31</v>
      </c>
      <c r="B9" s="110">
        <v>70527.989999999991</v>
      </c>
      <c r="C9" s="110">
        <v>8815.9987499999988</v>
      </c>
      <c r="D9" s="110">
        <v>0</v>
      </c>
      <c r="E9" s="110">
        <v>8815.9987499999988</v>
      </c>
      <c r="F9" s="110">
        <v>61711.991249999999</v>
      </c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</row>
    <row r="10" spans="1:69">
      <c r="A10" s="151" t="s">
        <v>21</v>
      </c>
      <c r="B10" s="110">
        <v>96059.94</v>
      </c>
      <c r="C10" s="110">
        <v>13722.848571428571</v>
      </c>
      <c r="D10" s="110">
        <v>0</v>
      </c>
      <c r="E10" s="110">
        <v>13722.848571428571</v>
      </c>
      <c r="F10" s="110">
        <v>82337.091428571439</v>
      </c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</row>
    <row r="11" spans="1:69">
      <c r="A11" s="151" t="s">
        <v>22</v>
      </c>
      <c r="B11" s="110">
        <v>96059.94</v>
      </c>
      <c r="C11" s="110">
        <v>13722.848571428571</v>
      </c>
      <c r="D11" s="110">
        <v>0</v>
      </c>
      <c r="E11" s="110">
        <v>13722.848571428571</v>
      </c>
      <c r="F11" s="110">
        <v>82337.091428571439</v>
      </c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</row>
    <row r="12" spans="1:69">
      <c r="A12" s="151" t="s">
        <v>19</v>
      </c>
      <c r="B12" s="110">
        <v>96059.94</v>
      </c>
      <c r="C12" s="110">
        <v>13722.848571428571</v>
      </c>
      <c r="D12" s="110">
        <v>0</v>
      </c>
      <c r="E12" s="110">
        <v>13722.848571428571</v>
      </c>
      <c r="F12" s="110">
        <v>82337.091428571439</v>
      </c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</row>
    <row r="13" spans="1:69">
      <c r="A13" s="151" t="s">
        <v>3401</v>
      </c>
      <c r="B13" s="110">
        <v>295736.69</v>
      </c>
      <c r="C13" s="110">
        <v>9898.4208333333336</v>
      </c>
      <c r="D13" s="110">
        <v>176955.64</v>
      </c>
      <c r="E13" s="110">
        <v>186854.06083333335</v>
      </c>
      <c r="F13" s="110">
        <v>108882.62916666667</v>
      </c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</row>
    <row r="14" spans="1:69">
      <c r="A14" s="151" t="s">
        <v>74</v>
      </c>
      <c r="B14" s="110">
        <v>152472.72999999998</v>
      </c>
      <c r="C14" s="110">
        <v>15247.273000000001</v>
      </c>
      <c r="D14" s="110">
        <v>0</v>
      </c>
      <c r="E14" s="110">
        <v>15247.273000000001</v>
      </c>
      <c r="F14" s="110">
        <v>137225.45699999999</v>
      </c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</row>
    <row r="15" spans="1:69">
      <c r="A15" s="151" t="s">
        <v>33</v>
      </c>
      <c r="B15" s="110">
        <v>71206.179999999993</v>
      </c>
      <c r="C15" s="110">
        <v>14413.861212121214</v>
      </c>
      <c r="D15" s="110">
        <v>0</v>
      </c>
      <c r="E15" s="110">
        <v>14413.861212121214</v>
      </c>
      <c r="F15" s="110">
        <v>56792.318787878787</v>
      </c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</row>
    <row r="16" spans="1:69">
      <c r="A16" s="151" t="s">
        <v>227</v>
      </c>
      <c r="B16" s="110">
        <v>373893.89</v>
      </c>
      <c r="C16" s="110">
        <v>37389.389000000003</v>
      </c>
      <c r="D16" s="110">
        <v>0</v>
      </c>
      <c r="E16" s="110">
        <v>37389.389000000003</v>
      </c>
      <c r="F16" s="110">
        <v>336504.50099999999</v>
      </c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>
      <c r="A17" s="151" t="s">
        <v>3196</v>
      </c>
      <c r="B17" s="110">
        <v>1537706.3699999996</v>
      </c>
      <c r="C17" s="110">
        <v>162075.36217640692</v>
      </c>
      <c r="D17" s="110">
        <v>176955.64</v>
      </c>
      <c r="E17" s="110">
        <v>339031.00217640691</v>
      </c>
      <c r="F17" s="110">
        <v>1198675.3678235931</v>
      </c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69"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</row>
    <row r="19" spans="1:69">
      <c r="A19" s="381" t="s">
        <v>3448</v>
      </c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</row>
    <row r="20" spans="1:69">
      <c r="A20" s="378" t="s">
        <v>3195</v>
      </c>
      <c r="B20" s="378" t="s">
        <v>3198</v>
      </c>
      <c r="C20" s="378" t="s">
        <v>3199</v>
      </c>
      <c r="D20" s="378" t="s">
        <v>3200</v>
      </c>
      <c r="E20" s="378" t="s">
        <v>3201</v>
      </c>
      <c r="F20" s="378" t="s">
        <v>3202</v>
      </c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</row>
    <row r="21" spans="1:69">
      <c r="A21" s="151" t="s">
        <v>18</v>
      </c>
      <c r="B21" s="110">
        <v>26160</v>
      </c>
      <c r="C21" s="110">
        <v>2180</v>
      </c>
      <c r="D21" s="110">
        <v>0</v>
      </c>
      <c r="E21" s="110">
        <v>2180</v>
      </c>
      <c r="F21" s="110">
        <v>23980</v>
      </c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</row>
    <row r="22" spans="1:69">
      <c r="A22" s="151" t="s">
        <v>16</v>
      </c>
      <c r="B22" s="110">
        <v>173519.33999999997</v>
      </c>
      <c r="C22" s="110">
        <v>14459.945000000002</v>
      </c>
      <c r="D22" s="110">
        <v>0</v>
      </c>
      <c r="E22" s="110">
        <v>14459.945000000002</v>
      </c>
      <c r="F22" s="110">
        <v>159059.39500000002</v>
      </c>
      <c r="H22" s="17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</row>
    <row r="23" spans="1:69">
      <c r="A23" s="151" t="s">
        <v>28</v>
      </c>
      <c r="B23" s="110">
        <v>9749.869999999999</v>
      </c>
      <c r="C23" s="110">
        <v>3249.9566666666669</v>
      </c>
      <c r="D23" s="110">
        <v>0</v>
      </c>
      <c r="E23" s="110">
        <v>3249.9566666666669</v>
      </c>
      <c r="F23" s="110">
        <v>6499.913333333332</v>
      </c>
      <c r="H23" s="17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</row>
    <row r="24" spans="1:69">
      <c r="A24" s="151" t="s">
        <v>27</v>
      </c>
      <c r="B24" s="110">
        <v>54274.180000000008</v>
      </c>
      <c r="C24" s="110">
        <v>10854.835999999999</v>
      </c>
      <c r="D24" s="110">
        <v>0</v>
      </c>
      <c r="E24" s="110">
        <v>10854.835999999999</v>
      </c>
      <c r="F24" s="110">
        <v>43419.343999999997</v>
      </c>
      <c r="H24" s="17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</row>
    <row r="25" spans="1:69">
      <c r="A25" s="151" t="s">
        <v>26</v>
      </c>
      <c r="B25" s="110">
        <v>21985.68</v>
      </c>
      <c r="C25" s="110">
        <v>4397.1360000000004</v>
      </c>
      <c r="D25" s="110">
        <v>0</v>
      </c>
      <c r="E25" s="110">
        <v>4397.1360000000004</v>
      </c>
      <c r="F25" s="110">
        <v>17588.544000000002</v>
      </c>
      <c r="H25" s="17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</row>
    <row r="26" spans="1:69">
      <c r="A26" s="151" t="s">
        <v>31</v>
      </c>
      <c r="B26" s="110">
        <v>70527.989999999991</v>
      </c>
      <c r="C26" s="110">
        <v>8815.9987499999988</v>
      </c>
      <c r="D26" s="110">
        <v>0</v>
      </c>
      <c r="E26" s="110">
        <v>8815.9987499999988</v>
      </c>
      <c r="F26" s="110">
        <v>61711.991249999999</v>
      </c>
      <c r="H26" s="17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</row>
    <row r="27" spans="1:69">
      <c r="A27" s="151" t="s">
        <v>21</v>
      </c>
      <c r="B27" s="110">
        <v>96059.94</v>
      </c>
      <c r="C27" s="110">
        <v>13722.848571428571</v>
      </c>
      <c r="D27" s="110">
        <v>0</v>
      </c>
      <c r="E27" s="110">
        <v>13722.848571428571</v>
      </c>
      <c r="F27" s="110">
        <v>82337.091428571439</v>
      </c>
      <c r="H27" s="17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</row>
    <row r="28" spans="1:69">
      <c r="A28" s="151" t="s">
        <v>22</v>
      </c>
      <c r="B28" s="110">
        <v>96059.94</v>
      </c>
      <c r="C28" s="110">
        <v>13722.848571428571</v>
      </c>
      <c r="D28" s="110">
        <v>0</v>
      </c>
      <c r="E28" s="110">
        <v>13722.848571428571</v>
      </c>
      <c r="F28" s="110">
        <v>82337.091428571439</v>
      </c>
      <c r="H28" s="17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</row>
    <row r="29" spans="1:69">
      <c r="A29" s="151" t="s">
        <v>19</v>
      </c>
      <c r="B29" s="110">
        <v>96059.94</v>
      </c>
      <c r="C29" s="110">
        <v>13722.848571428571</v>
      </c>
      <c r="D29" s="110">
        <v>0</v>
      </c>
      <c r="E29" s="110">
        <v>13722.848571428571</v>
      </c>
      <c r="F29" s="110">
        <v>82337.091428571439</v>
      </c>
      <c r="H29" s="17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</row>
    <row r="30" spans="1:69">
      <c r="A30" s="151" t="s">
        <v>3401</v>
      </c>
      <c r="B30" s="110">
        <v>295736.69</v>
      </c>
      <c r="C30" s="110">
        <v>9898.4208333333336</v>
      </c>
      <c r="D30" s="110">
        <v>176955.64</v>
      </c>
      <c r="E30" s="110">
        <v>186854.06083333335</v>
      </c>
      <c r="F30" s="110">
        <v>108882.62916666667</v>
      </c>
      <c r="H30" s="17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</row>
    <row r="31" spans="1:69">
      <c r="A31" s="151" t="s">
        <v>74</v>
      </c>
      <c r="B31" s="110">
        <v>152472.72999999998</v>
      </c>
      <c r="C31" s="110">
        <v>15247.273000000001</v>
      </c>
      <c r="D31" s="110">
        <v>0</v>
      </c>
      <c r="E31" s="110">
        <v>15247.273000000001</v>
      </c>
      <c r="F31" s="110">
        <v>137225.45699999999</v>
      </c>
      <c r="H31" s="17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</row>
    <row r="32" spans="1:69">
      <c r="A32" s="151" t="s">
        <v>33</v>
      </c>
      <c r="B32" s="110">
        <v>71206.179999999993</v>
      </c>
      <c r="C32" s="110">
        <v>14413.861212121214</v>
      </c>
      <c r="D32" s="110">
        <v>0</v>
      </c>
      <c r="E32" s="110">
        <v>14413.861212121214</v>
      </c>
      <c r="F32" s="110">
        <v>56792.318787878787</v>
      </c>
      <c r="H32" s="17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</row>
    <row r="33" spans="1:69">
      <c r="A33" s="151" t="s">
        <v>227</v>
      </c>
      <c r="B33" s="110">
        <v>373893.89</v>
      </c>
      <c r="C33" s="110">
        <v>37389.389000000003</v>
      </c>
      <c r="D33" s="110">
        <v>0</v>
      </c>
      <c r="E33" s="110">
        <v>37389.389000000003</v>
      </c>
      <c r="F33" s="110">
        <v>336504.50099999999</v>
      </c>
      <c r="H33" s="17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</row>
    <row r="34" spans="1:69">
      <c r="A34" s="379" t="s">
        <v>3196</v>
      </c>
      <c r="B34" s="380">
        <v>1537706.3699999996</v>
      </c>
      <c r="C34" s="380">
        <v>162075.36217640692</v>
      </c>
      <c r="D34" s="380">
        <v>176955.64</v>
      </c>
      <c r="E34" s="380">
        <v>339031.00217640691</v>
      </c>
      <c r="F34" s="380">
        <v>1198675.3678235931</v>
      </c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</row>
    <row r="35" spans="1:69">
      <c r="A35" s="254" t="s">
        <v>1363</v>
      </c>
      <c r="B35" s="11">
        <f>B34-SUM('FAR 6.30.22'!T6:T7)</f>
        <v>0</v>
      </c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</row>
    <row r="36" spans="1:69"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</row>
    <row r="37" spans="1:69"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</row>
    <row r="38" spans="1:69"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</row>
    <row r="39" spans="1:69"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</row>
    <row r="40" spans="1:69"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</row>
    <row r="41" spans="1:69"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</row>
    <row r="42" spans="1:69"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</row>
    <row r="43" spans="1:69"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</row>
    <row r="44" spans="1:69"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</row>
    <row r="45" spans="1:69"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</row>
    <row r="46" spans="1:69"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</row>
    <row r="47" spans="1:69"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</row>
    <row r="48" spans="1:69"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</row>
    <row r="49" spans="45:69"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</row>
    <row r="50" spans="45:69"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</row>
    <row r="51" spans="45:69"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</row>
    <row r="52" spans="45:69"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</row>
    <row r="53" spans="45:69"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</row>
    <row r="54" spans="45:69"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</row>
    <row r="55" spans="45:69"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</row>
    <row r="56" spans="45:69"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</row>
    <row r="57" spans="45:69"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</row>
    <row r="58" spans="45:69"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</row>
    <row r="59" spans="45:69"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</row>
    <row r="60" spans="45:69"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</row>
    <row r="61" spans="45:69"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</row>
    <row r="62" spans="45:69"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</row>
    <row r="63" spans="45:69"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</row>
    <row r="64" spans="45:69"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</row>
    <row r="65" spans="45:69"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</row>
    <row r="66" spans="45:69"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</row>
    <row r="67" spans="45:69"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</row>
    <row r="68" spans="45:69"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</row>
    <row r="69" spans="45:69"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</row>
    <row r="70" spans="45:69"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</row>
    <row r="71" spans="45:69"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</row>
    <row r="72" spans="45:69"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</row>
    <row r="73" spans="45:69"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</row>
    <row r="74" spans="45:69"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</row>
    <row r="75" spans="45:69"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</row>
    <row r="76" spans="45:69"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</row>
    <row r="77" spans="45:69"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</row>
    <row r="78" spans="45:69"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</row>
    <row r="79" spans="45:69"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</row>
    <row r="80" spans="45:69"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</row>
    <row r="81" spans="45:69"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</row>
    <row r="82" spans="45:69"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</row>
    <row r="83" spans="45:69"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</row>
    <row r="84" spans="45:69"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</row>
    <row r="85" spans="45:69"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</row>
    <row r="86" spans="45:69"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</row>
  </sheetData>
  <pageMargins left="0.7" right="0.7" top="0.75" bottom="0.75" header="0.3" footer="0.3"/>
  <pageSetup scale="74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BQ103"/>
  <sheetViews>
    <sheetView showGridLines="0" view="pageBreakPreview" topLeftCell="D22" zoomScale="60" zoomScaleNormal="90" workbookViewId="0">
      <pane xSplit="5" ySplit="7" topLeftCell="K29" activePane="bottomRight" state="frozen"/>
      <selection activeCell="AS6" sqref="AS6:BQ86"/>
      <selection pane="topRight" activeCell="AS6" sqref="AS6:BQ86"/>
      <selection pane="bottomLeft" activeCell="AS6" sqref="AS6:BQ86"/>
      <selection pane="bottomRight" activeCell="AS6" sqref="AS6:BQ86"/>
    </sheetView>
  </sheetViews>
  <sheetFormatPr defaultRowHeight="15" outlineLevelCol="1"/>
  <cols>
    <col min="1" max="2" width="9.140625" style="17"/>
    <col min="3" max="3" width="12.140625" style="17" customWidth="1"/>
    <col min="4" max="4" width="1.42578125" style="17" customWidth="1"/>
    <col min="5" max="5" width="10.42578125" style="17" customWidth="1"/>
    <col min="6" max="6" width="6" style="17" customWidth="1"/>
    <col min="7" max="7" width="5.42578125" style="17" customWidth="1"/>
    <col min="8" max="8" width="27.7109375" style="17" customWidth="1"/>
    <col min="9" max="9" width="49.5703125" style="17" hidden="1" customWidth="1" outlineLevel="1"/>
    <col min="10" max="10" width="45.140625" style="17" hidden="1" customWidth="1" outlineLevel="1"/>
    <col min="11" max="11" width="2.85546875" style="17" customWidth="1" collapsed="1"/>
    <col min="12" max="12" width="35.28515625" style="17" hidden="1" customWidth="1" outlineLevel="1"/>
    <col min="13" max="13" width="28.85546875" style="17" hidden="1" customWidth="1" outlineLevel="1"/>
    <col min="14" max="14" width="5.7109375" style="17" hidden="1" customWidth="1" outlineLevel="1"/>
    <col min="15" max="15" width="5.5703125" style="17" hidden="1" customWidth="1" outlineLevel="1"/>
    <col min="16" max="16" width="5.140625" style="17" hidden="1" customWidth="1" outlineLevel="1"/>
    <col min="17" max="17" width="0" style="17" hidden="1" customWidth="1" outlineLevel="1"/>
    <col min="18" max="29" width="10" style="17" hidden="1" customWidth="1" outlineLevel="1"/>
    <col min="30" max="30" width="0.7109375" style="17" hidden="1" customWidth="1" outlineLevel="1"/>
    <col min="31" max="31" width="13.28515625" style="17" customWidth="1" collapsed="1"/>
    <col min="32" max="32" width="0.85546875" style="17" customWidth="1"/>
    <col min="33" max="33" width="9.140625" style="17" hidden="1" customWidth="1" outlineLevel="1"/>
    <col min="34" max="34" width="42.140625" style="17" hidden="1" customWidth="1" outlineLevel="1"/>
    <col min="35" max="35" width="46.42578125" style="17" customWidth="1" collapsed="1"/>
    <col min="36" max="37" width="9.140625" style="17" hidden="1" customWidth="1" outlineLevel="1"/>
    <col min="38" max="38" width="2.7109375" style="17" hidden="1" customWidth="1" outlineLevel="1"/>
    <col min="39" max="39" width="26.7109375" style="17" hidden="1" customWidth="1" outlineLevel="1"/>
    <col min="40" max="40" width="11.42578125" style="17" customWidth="1" collapsed="1"/>
    <col min="41" max="41" width="24.140625" style="356" customWidth="1"/>
    <col min="42" max="42" width="25" style="341" customWidth="1"/>
    <col min="43" max="43" width="18.140625" style="341" customWidth="1" outlineLevel="1"/>
    <col min="44" max="44" width="29.7109375" style="341" bestFit="1" customWidth="1"/>
    <col min="45" max="45" width="21.42578125" style="341" customWidth="1"/>
    <col min="46" max="46" width="12.28515625" style="17" bestFit="1" customWidth="1"/>
    <col min="47" max="47" width="13.85546875" style="17" bestFit="1" customWidth="1"/>
    <col min="48" max="16384" width="9.140625" style="17"/>
  </cols>
  <sheetData>
    <row r="1" spans="1:69" s="326" customFormat="1">
      <c r="D1" s="326" t="s">
        <v>3391</v>
      </c>
      <c r="AO1" s="355"/>
      <c r="AP1" s="340"/>
      <c r="AQ1" s="344"/>
      <c r="AR1" s="340"/>
      <c r="AS1" s="340"/>
    </row>
    <row r="2" spans="1:69">
      <c r="C2" s="327"/>
      <c r="D2" s="329"/>
      <c r="E2" s="327"/>
      <c r="F2" s="327"/>
      <c r="G2" s="327"/>
      <c r="H2" s="339"/>
      <c r="I2" s="339"/>
      <c r="J2" s="339"/>
      <c r="L2" s="327"/>
      <c r="M2" s="327"/>
      <c r="N2" s="327"/>
      <c r="O2" s="327"/>
      <c r="P2" s="327"/>
      <c r="Q2" s="327" t="s">
        <v>3390</v>
      </c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G2" s="327"/>
      <c r="AH2" s="327"/>
      <c r="AI2" s="327"/>
      <c r="AJ2" s="327"/>
      <c r="AK2" s="327"/>
      <c r="AM2" s="327"/>
    </row>
    <row r="3" spans="1:69">
      <c r="A3" s="17" t="s">
        <v>3389</v>
      </c>
      <c r="B3" s="17" t="s">
        <v>3361</v>
      </c>
      <c r="C3" s="327" t="s">
        <v>3388</v>
      </c>
      <c r="D3" s="329"/>
      <c r="E3" s="327" t="s">
        <v>3387</v>
      </c>
      <c r="F3" s="327" t="s">
        <v>3386</v>
      </c>
      <c r="G3" s="327" t="s">
        <v>3360</v>
      </c>
      <c r="H3" s="339" t="s">
        <v>3385</v>
      </c>
      <c r="I3" s="339" t="s">
        <v>3384</v>
      </c>
      <c r="J3" s="339" t="s">
        <v>3383</v>
      </c>
      <c r="L3" s="327" t="s">
        <v>3382</v>
      </c>
      <c r="M3" s="327" t="s">
        <v>3381</v>
      </c>
      <c r="N3" s="327" t="s">
        <v>3322</v>
      </c>
      <c r="O3" s="327" t="s">
        <v>3380</v>
      </c>
      <c r="P3" s="327" t="s">
        <v>3379</v>
      </c>
      <c r="Q3" s="327" t="s">
        <v>3378</v>
      </c>
      <c r="R3" s="327" t="s">
        <v>3377</v>
      </c>
      <c r="S3" s="327" t="s">
        <v>3376</v>
      </c>
      <c r="T3" s="327" t="s">
        <v>3375</v>
      </c>
      <c r="U3" s="327" t="s">
        <v>3374</v>
      </c>
      <c r="V3" s="327" t="s">
        <v>3373</v>
      </c>
      <c r="W3" s="327" t="s">
        <v>3372</v>
      </c>
      <c r="X3" s="327" t="s">
        <v>3371</v>
      </c>
      <c r="Y3" s="327" t="s">
        <v>3370</v>
      </c>
      <c r="Z3" s="327" t="s">
        <v>3369</v>
      </c>
      <c r="AA3" s="327" t="s">
        <v>3368</v>
      </c>
      <c r="AB3" s="327" t="s">
        <v>3367</v>
      </c>
      <c r="AC3" s="327" t="s">
        <v>3366</v>
      </c>
      <c r="AG3" s="327" t="s">
        <v>3352</v>
      </c>
      <c r="AH3" s="327"/>
      <c r="AI3" s="327" t="s">
        <v>3365</v>
      </c>
      <c r="AJ3" s="327" t="s">
        <v>3364</v>
      </c>
      <c r="AK3" s="327" t="s">
        <v>3363</v>
      </c>
      <c r="AM3" s="327" t="s">
        <v>3362</v>
      </c>
    </row>
    <row r="4" spans="1:69">
      <c r="C4" s="17" t="s">
        <v>3361</v>
      </c>
      <c r="D4" s="329"/>
      <c r="E4" s="327"/>
      <c r="F4" s="327"/>
      <c r="G4" s="327" t="s">
        <v>3360</v>
      </c>
      <c r="H4" s="339"/>
      <c r="I4" s="339"/>
      <c r="J4" s="339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G4" s="327"/>
      <c r="AH4" s="327"/>
      <c r="AI4" s="327"/>
      <c r="AJ4" s="327"/>
      <c r="AK4" s="327"/>
      <c r="AM4" s="327"/>
    </row>
    <row r="5" spans="1:69" s="326" customFormat="1">
      <c r="D5" s="326" t="s">
        <v>3359</v>
      </c>
      <c r="AO5" s="355"/>
      <c r="AP5" s="340"/>
      <c r="AQ5" s="344"/>
      <c r="AR5" s="340"/>
      <c r="AS5" s="340"/>
    </row>
    <row r="6" spans="1:69">
      <c r="A6" s="17" t="b">
        <f>IF(AND(C6&lt;&gt;"", B6&lt;&gt;C6),TRUE, FALSE)</f>
        <v>0</v>
      </c>
      <c r="B6" s="17" t="str">
        <f>IF(RIGHT("0000"&amp;F6,4)&amp;"-"&amp;G6 &lt;&gt; "0000-", RIGHT("0000"&amp;F6,4)&amp;"-"&amp;G6, "")</f>
        <v/>
      </c>
      <c r="C6" s="292"/>
      <c r="D6" s="291">
        <v>1</v>
      </c>
      <c r="E6" s="290"/>
      <c r="F6" s="289"/>
      <c r="G6" s="276"/>
      <c r="H6" s="288"/>
      <c r="I6" s="288"/>
      <c r="J6" s="288"/>
      <c r="K6" s="287"/>
      <c r="L6" s="286"/>
      <c r="M6" s="286"/>
      <c r="N6" s="277"/>
      <c r="O6" s="285"/>
      <c r="P6" s="285"/>
      <c r="Q6" s="284"/>
      <c r="R6" s="283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1"/>
      <c r="AD6" s="261"/>
      <c r="AE6" s="280">
        <f>SUM(R6:AC6)</f>
        <v>0</v>
      </c>
      <c r="AG6" s="277"/>
      <c r="AH6" s="279"/>
      <c r="AI6" s="278"/>
      <c r="AJ6" s="277"/>
      <c r="AK6" s="276"/>
      <c r="AL6" s="275"/>
      <c r="AM6" s="274"/>
      <c r="AN6" s="273" t="s">
        <v>2567</v>
      </c>
      <c r="AO6" s="357"/>
      <c r="AS6" s="375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</row>
    <row r="7" spans="1:69" s="326" customFormat="1">
      <c r="D7" s="326" t="s">
        <v>3358</v>
      </c>
      <c r="AO7" s="355"/>
      <c r="AP7" s="340"/>
      <c r="AQ7" s="344"/>
      <c r="AR7" s="340"/>
      <c r="AS7" s="374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</row>
    <row r="8" spans="1:69" s="327" customFormat="1">
      <c r="C8" s="332"/>
      <c r="D8" s="332"/>
      <c r="E8" s="332"/>
      <c r="F8" s="336" t="s">
        <v>3357</v>
      </c>
      <c r="G8" s="332"/>
      <c r="H8" s="332"/>
      <c r="I8" s="332"/>
      <c r="J8" s="332"/>
      <c r="K8" s="332"/>
      <c r="L8" s="332" t="str">
        <f ca="1">_xll.jFreezePanes(I29,D22)</f>
        <v xml:space="preserve">&gt; jFreezePanes is ready. </v>
      </c>
      <c r="M8" s="332"/>
      <c r="N8" s="332"/>
      <c r="AO8" s="358"/>
      <c r="AP8" s="342"/>
      <c r="AQ8" s="342"/>
      <c r="AR8" s="342"/>
      <c r="AS8" s="375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</row>
    <row r="9" spans="1:69" s="327" customFormat="1">
      <c r="C9" s="332"/>
      <c r="D9" s="332"/>
      <c r="E9" s="331" t="s">
        <v>3356</v>
      </c>
      <c r="F9" s="332" t="str">
        <f ca="1">_xll.ReportDefaults("Pull","Clear",_xll.PairGroup(_xll.Pair("",H18)))</f>
        <v>OK!: ReportDefaults Formula OK [jAction{}]</v>
      </c>
      <c r="G9" s="332"/>
      <c r="H9" s="332"/>
      <c r="I9" s="332"/>
      <c r="J9" s="332"/>
      <c r="K9" s="331" t="s">
        <v>3355</v>
      </c>
      <c r="L9" s="332" t="str">
        <f ca="1">_xll.ReportDrill(,"CCQueryDrill",_xll.PairGroup(_xll.Pair(K18,"SummaryLevel"),_xll.Pair(H24,"BudYear"),_xll.Pair(H23,"DistrictCell"),_xll.Pair(C30:C98,"PONumber"),_xll.Pair(F20:AN20)),"Drill to CC Query for Change History")</f>
        <v>OK!: ReportDrill 'Drill to CC Query for Change History' Formula OK [jAction{}]</v>
      </c>
      <c r="M9" s="332"/>
      <c r="N9" s="332"/>
      <c r="AO9" s="358"/>
      <c r="AP9" s="342"/>
      <c r="AQ9" s="342"/>
      <c r="AR9" s="342"/>
      <c r="AS9" s="375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</row>
    <row r="10" spans="1:69" s="327" customFormat="1">
      <c r="C10" s="332"/>
      <c r="D10" s="332"/>
      <c r="E10" s="328" t="s">
        <v>3354</v>
      </c>
      <c r="F10" s="327" t="str">
        <f>_xll.ReportRun([34]AssetTypeList!C7,FALSE,"Pull")</f>
        <v>OK!: ReportRun Formula OK [jAction{}]</v>
      </c>
      <c r="H10" s="332"/>
      <c r="I10" s="332"/>
      <c r="J10" s="332"/>
      <c r="K10" s="331"/>
      <c r="L10" s="332"/>
      <c r="M10" s="332"/>
      <c r="N10" s="332"/>
      <c r="AO10" s="358"/>
      <c r="AP10" s="342"/>
      <c r="AQ10" s="342"/>
      <c r="AR10" s="342"/>
      <c r="AS10" s="375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</row>
    <row r="11" spans="1:69" s="327" customFormat="1">
      <c r="C11" s="332"/>
      <c r="D11" s="332"/>
      <c r="E11" s="331" t="s">
        <v>3353</v>
      </c>
      <c r="F11" s="332" t="str">
        <f ca="1">_xll.ReportRange("BudgetCapitalDetailPull",30:66,C3:AN3,C6:AN6,_xll.Param(H23,H24,H18,N18,K19))</f>
        <v>OK!: ReportRange Formula OK [jAction{}]</v>
      </c>
      <c r="G11" s="332"/>
      <c r="H11" s="332"/>
      <c r="I11" s="332"/>
      <c r="M11" s="332"/>
      <c r="N11" s="332"/>
      <c r="AG11" s="327" t="s">
        <v>3352</v>
      </c>
      <c r="AH11" s="327" t="s">
        <v>3351</v>
      </c>
      <c r="AO11" s="358"/>
      <c r="AP11" s="342"/>
      <c r="AQ11" s="342"/>
      <c r="AR11" s="342"/>
      <c r="AS11" s="375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</row>
    <row r="12" spans="1:69" s="327" customFormat="1">
      <c r="C12" s="332"/>
      <c r="D12" s="332"/>
      <c r="E12" s="331" t="s">
        <v>3350</v>
      </c>
      <c r="F12" s="338" t="str">
        <f ca="1">_xll.ReportFixed("BudCap1",AG30:AG66,AG11:AH11,_xll.Param(DetailBudYear, DetailDistrict))</f>
        <v>OK!: ReportFixed Formula OK [jAction{}]</v>
      </c>
      <c r="G12" s="332"/>
      <c r="H12" s="332"/>
      <c r="I12" s="338"/>
      <c r="M12" s="332"/>
      <c r="N12" s="332"/>
      <c r="AO12" s="358"/>
      <c r="AP12" s="342"/>
      <c r="AQ12" s="342"/>
      <c r="AR12" s="342"/>
      <c r="AS12" s="375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</row>
    <row r="13" spans="1:69" s="327" customFormat="1">
      <c r="C13" s="332"/>
      <c r="D13" s="332"/>
      <c r="E13" s="331"/>
      <c r="F13" s="338" t="str">
        <f>_xll.ReportRun([34]TruckCenterReference!F15,,"Pull")</f>
        <v>OK!: ReportRun Formula OK [jAction{}]</v>
      </c>
      <c r="G13" s="332"/>
      <c r="H13" s="332"/>
      <c r="I13" s="338"/>
      <c r="M13" s="332"/>
      <c r="N13" s="332"/>
      <c r="AO13" s="358"/>
      <c r="AP13" s="342"/>
      <c r="AQ13" s="342"/>
      <c r="AR13" s="342"/>
      <c r="AS13" s="375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</row>
    <row r="14" spans="1:69" s="327" customFormat="1">
      <c r="C14" s="332"/>
      <c r="D14" s="332"/>
      <c r="E14" s="337"/>
      <c r="F14" s="336" t="s">
        <v>3349</v>
      </c>
      <c r="G14" s="332"/>
      <c r="H14" s="332"/>
      <c r="I14" s="332"/>
      <c r="J14" s="332"/>
      <c r="K14" s="331"/>
      <c r="L14" s="332"/>
      <c r="M14" s="332"/>
      <c r="N14" s="332"/>
      <c r="AO14" s="358"/>
      <c r="AP14" s="342"/>
      <c r="AQ14" s="342"/>
      <c r="AR14" s="342"/>
      <c r="AS14" s="375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</row>
    <row r="15" spans="1:69" s="327" customFormat="1">
      <c r="C15" s="332"/>
      <c r="D15" s="332"/>
      <c r="E15" s="331" t="s">
        <v>3348</v>
      </c>
      <c r="F15" s="332" t="str">
        <f ca="1">_xll.ReportSave("BudgetCapitalDetailSave",B30:B66,A3:AM3,C4:AN4,_xll.Param(H23,H24,H18,N18))</f>
        <v>OK!: ReportSave Formula OK [jAction{}]</v>
      </c>
      <c r="G15" s="332"/>
      <c r="H15" s="332"/>
      <c r="I15" s="332"/>
      <c r="J15" s="332"/>
      <c r="K15" s="332"/>
      <c r="L15" s="332"/>
      <c r="M15" s="332"/>
      <c r="N15" s="332"/>
      <c r="AO15" s="358"/>
      <c r="AP15" s="342"/>
      <c r="AQ15" s="342"/>
      <c r="AR15" s="342"/>
      <c r="AS15" s="375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</row>
    <row r="16" spans="1:69" s="327" customFormat="1">
      <c r="AO16" s="358"/>
      <c r="AP16" s="342"/>
      <c r="AQ16" s="342"/>
      <c r="AR16" s="342"/>
      <c r="AS16" s="375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s="326" customFormat="1">
      <c r="D17" s="326" t="s">
        <v>3347</v>
      </c>
      <c r="M17" s="335"/>
      <c r="AO17" s="355"/>
      <c r="AP17" s="340"/>
      <c r="AQ17" s="344"/>
      <c r="AR17" s="340"/>
      <c r="AS17" s="374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</row>
    <row r="18" spans="1:69" s="329" customFormat="1">
      <c r="A18" s="334" t="s">
        <v>3346</v>
      </c>
      <c r="B18" s="333" t="b">
        <f>IFERROR(OR(A30:A66),FALSE)</f>
        <v>0</v>
      </c>
      <c r="G18" s="328" t="s">
        <v>3345</v>
      </c>
      <c r="H18" s="330" t="s">
        <v>3344</v>
      </c>
      <c r="J18" s="328" t="s">
        <v>3343</v>
      </c>
      <c r="K18" s="330" t="s">
        <v>3342</v>
      </c>
      <c r="L18" s="330"/>
      <c r="M18" s="328" t="s">
        <v>3341</v>
      </c>
      <c r="N18" s="330">
        <v>2</v>
      </c>
      <c r="AO18" s="358"/>
      <c r="AP18" s="342"/>
      <c r="AQ18" s="342"/>
      <c r="AR18" s="342"/>
      <c r="AS18" s="375"/>
      <c r="AT18" s="421"/>
      <c r="AU18" s="421"/>
      <c r="AV18" s="421"/>
      <c r="AW18" s="421"/>
      <c r="AX18" s="421"/>
      <c r="AY18" s="421"/>
      <c r="AZ18" s="421"/>
      <c r="BA18" s="421"/>
      <c r="BB18" s="421"/>
      <c r="BC18" s="421"/>
      <c r="BD18" s="421"/>
      <c r="BE18" s="421"/>
      <c r="BF18" s="421"/>
      <c r="BG18" s="421"/>
      <c r="BH18" s="421"/>
      <c r="BI18" s="421"/>
      <c r="BJ18" s="421"/>
      <c r="BK18" s="421"/>
      <c r="BL18" s="421"/>
      <c r="BM18" s="421"/>
      <c r="BN18" s="421"/>
      <c r="BO18" s="421"/>
      <c r="BP18" s="421"/>
      <c r="BQ18" s="421"/>
    </row>
    <row r="19" spans="1:69" s="329" customFormat="1">
      <c r="A19" s="334"/>
      <c r="B19" s="333" t="str">
        <f>IF(B18=TRUE,"Save","SkipRePull")</f>
        <v>SkipRePull</v>
      </c>
      <c r="I19" s="332"/>
      <c r="J19" s="331" t="s">
        <v>3340</v>
      </c>
      <c r="K19" s="330" t="s">
        <v>3339</v>
      </c>
      <c r="L19" s="330"/>
      <c r="M19" s="328"/>
      <c r="N19" s="328"/>
      <c r="AO19" s="358"/>
      <c r="AP19" s="342"/>
      <c r="AQ19" s="342"/>
      <c r="AR19" s="342"/>
      <c r="AS19" s="375"/>
      <c r="AT19" s="421"/>
      <c r="AU19" s="421"/>
      <c r="AV19" s="421"/>
      <c r="AW19" s="421"/>
      <c r="AX19" s="421"/>
      <c r="AY19" s="421"/>
      <c r="AZ19" s="421"/>
      <c r="BA19" s="421"/>
      <c r="BB19" s="421"/>
      <c r="BC19" s="421"/>
      <c r="BD19" s="421"/>
      <c r="BE19" s="421"/>
      <c r="BF19" s="421"/>
      <c r="BG19" s="421"/>
      <c r="BH19" s="421"/>
      <c r="BI19" s="421"/>
      <c r="BJ19" s="421"/>
      <c r="BK19" s="421"/>
      <c r="BL19" s="421"/>
      <c r="BM19" s="421"/>
      <c r="BN19" s="421"/>
      <c r="BO19" s="421"/>
      <c r="BP19" s="421"/>
      <c r="BQ19" s="421"/>
    </row>
    <row r="20" spans="1:69" s="327" customFormat="1">
      <c r="F20" s="327" t="s">
        <v>3338</v>
      </c>
      <c r="G20" s="327" t="s">
        <v>3338</v>
      </c>
      <c r="H20" s="327" t="s">
        <v>3338</v>
      </c>
      <c r="I20" s="327" t="s">
        <v>3338</v>
      </c>
      <c r="J20" s="327" t="s">
        <v>3338</v>
      </c>
      <c r="K20" s="328"/>
      <c r="L20" s="327" t="s">
        <v>3338</v>
      </c>
      <c r="M20" s="327" t="s">
        <v>3338</v>
      </c>
      <c r="N20" s="327" t="s">
        <v>3338</v>
      </c>
      <c r="O20" s="327" t="s">
        <v>3338</v>
      </c>
      <c r="P20" s="327" t="s">
        <v>3338</v>
      </c>
      <c r="Q20" s="327" t="s">
        <v>3338</v>
      </c>
      <c r="R20" s="327" t="s">
        <v>3338</v>
      </c>
      <c r="S20" s="327" t="s">
        <v>3338</v>
      </c>
      <c r="T20" s="327" t="s">
        <v>3338</v>
      </c>
      <c r="U20" s="327" t="s">
        <v>3338</v>
      </c>
      <c r="V20" s="327" t="s">
        <v>3338</v>
      </c>
      <c r="W20" s="327" t="s">
        <v>3338</v>
      </c>
      <c r="X20" s="327" t="s">
        <v>3338</v>
      </c>
      <c r="Y20" s="327" t="s">
        <v>3338</v>
      </c>
      <c r="Z20" s="327" t="s">
        <v>3338</v>
      </c>
      <c r="AA20" s="327" t="s">
        <v>3338</v>
      </c>
      <c r="AB20" s="327" t="s">
        <v>3338</v>
      </c>
      <c r="AC20" s="327" t="s">
        <v>3338</v>
      </c>
      <c r="AE20" s="327" t="s">
        <v>3338</v>
      </c>
      <c r="AG20" s="327" t="s">
        <v>3338</v>
      </c>
      <c r="AJ20" s="327" t="s">
        <v>3338</v>
      </c>
      <c r="AK20" s="327" t="s">
        <v>3338</v>
      </c>
      <c r="AM20" s="327" t="s">
        <v>3338</v>
      </c>
      <c r="AO20" s="358"/>
      <c r="AP20" s="342"/>
      <c r="AQ20" s="342"/>
      <c r="AR20" s="342"/>
      <c r="AS20" s="375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</row>
    <row r="21" spans="1:69" s="326" customFormat="1">
      <c r="D21" s="326" t="s">
        <v>3337</v>
      </c>
      <c r="AO21" s="355"/>
      <c r="AP21" s="340"/>
      <c r="AQ21" s="344"/>
      <c r="AR21" s="340"/>
      <c r="AS21" s="374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</row>
    <row r="22" spans="1:69">
      <c r="E22" s="264"/>
      <c r="F22" s="264"/>
      <c r="G22" s="264"/>
      <c r="H22" s="264"/>
      <c r="I22" s="264"/>
      <c r="J22" s="264"/>
      <c r="K22" s="264"/>
      <c r="L22" s="264"/>
      <c r="M22" s="264"/>
      <c r="N22" s="261"/>
      <c r="O22" s="261"/>
      <c r="P22" s="261"/>
      <c r="Q22" s="261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G22" s="261"/>
      <c r="AH22" s="261"/>
      <c r="AI22" s="261"/>
      <c r="AJ22" s="261"/>
      <c r="AK22" s="261"/>
      <c r="AM22" s="261"/>
      <c r="AS22" s="375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</row>
    <row r="23" spans="1:69" ht="15.75">
      <c r="E23" s="325"/>
      <c r="F23" s="324"/>
      <c r="G23" s="323" t="s">
        <v>3336</v>
      </c>
      <c r="H23" s="322" t="s">
        <v>3132</v>
      </c>
      <c r="I23" s="321" t="s">
        <v>3335</v>
      </c>
      <c r="K23" s="314"/>
      <c r="M23" s="313"/>
      <c r="N23" s="261"/>
      <c r="O23" s="261"/>
      <c r="P23" s="261"/>
      <c r="Q23" s="261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320"/>
      <c r="AG23" s="261"/>
      <c r="AH23" s="261"/>
      <c r="AI23" s="261"/>
      <c r="AJ23" s="261"/>
      <c r="AK23" s="261"/>
      <c r="AM23" s="261"/>
      <c r="AS23" s="375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</row>
    <row r="24" spans="1:69" ht="15.75">
      <c r="E24" s="319"/>
      <c r="F24" s="318"/>
      <c r="G24" s="317" t="s">
        <v>3334</v>
      </c>
      <c r="H24" s="316">
        <v>2022</v>
      </c>
      <c r="I24" s="315"/>
      <c r="J24" s="315"/>
      <c r="K24" s="314"/>
      <c r="L24" s="311"/>
      <c r="M24" s="313"/>
      <c r="N24" s="261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G24" s="261"/>
      <c r="AH24" s="261"/>
      <c r="AI24" s="261"/>
      <c r="AJ24" s="261"/>
      <c r="AK24" s="261"/>
      <c r="AM24" s="261"/>
      <c r="AS24" s="375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</row>
    <row r="25" spans="1:69">
      <c r="E25" s="312"/>
      <c r="F25" s="312"/>
      <c r="G25" s="312"/>
      <c r="H25" s="264"/>
      <c r="I25" s="264"/>
      <c r="J25" s="264"/>
      <c r="K25" s="264"/>
      <c r="L25" s="311" t="s">
        <v>3333</v>
      </c>
      <c r="M25" s="264"/>
      <c r="N25" s="261"/>
      <c r="O25" s="261"/>
      <c r="P25" s="261"/>
      <c r="Q25" s="261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G25" s="261"/>
      <c r="AH25" s="261"/>
      <c r="AI25" s="261"/>
      <c r="AJ25" s="261"/>
      <c r="AK25" s="261"/>
      <c r="AM25" s="261"/>
      <c r="AS25" s="375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</row>
    <row r="26" spans="1:69" ht="15.75">
      <c r="E26" s="310" t="s">
        <v>3332</v>
      </c>
      <c r="F26" s="309"/>
      <c r="G26" s="309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52"/>
      <c r="AS26" s="375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</row>
    <row r="27" spans="1:69">
      <c r="E27" s="307"/>
      <c r="F27" s="307"/>
      <c r="G27" s="307"/>
      <c r="H27" s="307"/>
      <c r="I27" s="307"/>
      <c r="J27" s="307"/>
      <c r="K27" s="307"/>
      <c r="L27" s="307"/>
      <c r="M27" s="307"/>
      <c r="N27" s="298"/>
      <c r="O27" s="298"/>
      <c r="P27" s="298"/>
      <c r="Q27" s="298"/>
      <c r="R27" s="306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261"/>
      <c r="AF27" s="305" t="s">
        <v>3331</v>
      </c>
      <c r="AG27" s="304"/>
      <c r="AH27" s="304"/>
      <c r="AI27" s="304"/>
      <c r="AJ27" s="304"/>
      <c r="AK27" s="304"/>
      <c r="AS27" s="375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</row>
    <row r="28" spans="1:69" ht="27" thickBot="1">
      <c r="E28" s="303" t="s">
        <v>3330</v>
      </c>
      <c r="F28" s="295" t="s">
        <v>3329</v>
      </c>
      <c r="G28" s="295" t="s">
        <v>3328</v>
      </c>
      <c r="H28" s="302" t="s">
        <v>3327</v>
      </c>
      <c r="I28" s="302" t="s">
        <v>3326</v>
      </c>
      <c r="J28" s="302" t="s">
        <v>3325</v>
      </c>
      <c r="K28" s="295"/>
      <c r="L28" s="295" t="s">
        <v>3324</v>
      </c>
      <c r="M28" s="295" t="s">
        <v>3323</v>
      </c>
      <c r="N28" s="295" t="s">
        <v>3322</v>
      </c>
      <c r="O28" s="295" t="s">
        <v>3321</v>
      </c>
      <c r="P28" s="295" t="s">
        <v>3320</v>
      </c>
      <c r="Q28" s="295" t="s">
        <v>3319</v>
      </c>
      <c r="R28" s="301">
        <v>40209</v>
      </c>
      <c r="S28" s="300">
        <v>40237</v>
      </c>
      <c r="T28" s="299">
        <v>40268</v>
      </c>
      <c r="U28" s="301">
        <v>40298</v>
      </c>
      <c r="V28" s="300">
        <v>40329</v>
      </c>
      <c r="W28" s="299">
        <v>40359</v>
      </c>
      <c r="X28" s="301">
        <v>40390</v>
      </c>
      <c r="Y28" s="300">
        <v>40421</v>
      </c>
      <c r="Z28" s="299">
        <v>40451</v>
      </c>
      <c r="AA28" s="301">
        <v>40482</v>
      </c>
      <c r="AB28" s="300">
        <v>40512</v>
      </c>
      <c r="AC28" s="299">
        <v>40543</v>
      </c>
      <c r="AD28" s="298"/>
      <c r="AE28" s="297" t="s">
        <v>36</v>
      </c>
      <c r="AF28" s="268"/>
      <c r="AG28" s="295" t="s">
        <v>66</v>
      </c>
      <c r="AH28" s="295" t="s">
        <v>3318</v>
      </c>
      <c r="AI28" s="295" t="s">
        <v>3317</v>
      </c>
      <c r="AJ28" s="295" t="s">
        <v>3316</v>
      </c>
      <c r="AK28" s="295" t="s">
        <v>3112</v>
      </c>
      <c r="AL28" s="296"/>
      <c r="AM28" s="295" t="s">
        <v>3315</v>
      </c>
      <c r="AN28" s="296"/>
      <c r="AO28" s="353" t="s">
        <v>3399</v>
      </c>
      <c r="AP28" s="343" t="s">
        <v>3392</v>
      </c>
      <c r="AQ28" s="343" t="s">
        <v>3393</v>
      </c>
      <c r="AR28" s="343" t="s">
        <v>3447</v>
      </c>
      <c r="AS28" s="374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</row>
    <row r="29" spans="1:69">
      <c r="E29" s="264"/>
      <c r="F29" s="264"/>
      <c r="G29" s="264"/>
      <c r="H29" s="264"/>
      <c r="I29" s="264"/>
      <c r="J29" s="264"/>
      <c r="K29" s="264"/>
      <c r="L29" s="264"/>
      <c r="M29" s="264"/>
      <c r="N29" s="261"/>
      <c r="O29" s="261"/>
      <c r="P29" s="261"/>
      <c r="Q29" s="261"/>
      <c r="R29" s="294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6"/>
      <c r="AG29" s="261"/>
      <c r="AH29" s="261"/>
      <c r="AI29" s="261"/>
      <c r="AJ29" s="261"/>
      <c r="AK29" s="261"/>
      <c r="AL29" s="261"/>
      <c r="AM29" s="261"/>
      <c r="AN29" s="261"/>
      <c r="AO29" s="354"/>
      <c r="AQ29" s="364"/>
      <c r="AS29" s="375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</row>
    <row r="30" spans="1:69" ht="51.75">
      <c r="A30" s="17" t="b">
        <f t="shared" ref="A30:A65" si="0">IF(AND(C30&lt;&gt;"", B30&lt;&gt;C30),TRUE, FALSE)</f>
        <v>0</v>
      </c>
      <c r="B30" s="17" t="str">
        <f t="shared" ref="B30:B65" si="1">IF(RIGHT("0000"&amp;F30,4)&amp;"-"&amp;G30 &lt;&gt; "0000-", RIGHT("0000"&amp;F30,4)&amp;"-"&amp;G30, "")</f>
        <v>0001-1</v>
      </c>
      <c r="C30" s="292" t="s">
        <v>3314</v>
      </c>
      <c r="D30" s="291">
        <v>1</v>
      </c>
      <c r="E30" s="290"/>
      <c r="F30" s="289">
        <v>1</v>
      </c>
      <c r="G30" s="276">
        <v>1</v>
      </c>
      <c r="H30" s="288" t="s">
        <v>3313</v>
      </c>
      <c r="I30" s="288" t="s">
        <v>3313</v>
      </c>
      <c r="J30" s="288" t="s">
        <v>3313</v>
      </c>
      <c r="K30" s="287"/>
      <c r="L30" s="286" t="s">
        <v>1254</v>
      </c>
      <c r="M30" s="286" t="s">
        <v>3312</v>
      </c>
      <c r="N30" s="277">
        <v>7</v>
      </c>
      <c r="O30" s="285" t="s">
        <v>3266</v>
      </c>
      <c r="P30" s="285" t="s">
        <v>1058</v>
      </c>
      <c r="Q30" s="284"/>
      <c r="R30" s="283">
        <v>0</v>
      </c>
      <c r="S30" s="282">
        <v>0</v>
      </c>
      <c r="T30" s="282">
        <v>516799</v>
      </c>
      <c r="U30" s="282">
        <v>0</v>
      </c>
      <c r="V30" s="282">
        <v>0</v>
      </c>
      <c r="W30" s="282">
        <v>331497</v>
      </c>
      <c r="X30" s="282">
        <v>0</v>
      </c>
      <c r="Y30" s="282">
        <v>0</v>
      </c>
      <c r="Z30" s="282">
        <v>347028</v>
      </c>
      <c r="AA30" s="282">
        <v>0</v>
      </c>
      <c r="AB30" s="282">
        <v>135364</v>
      </c>
      <c r="AC30" s="281">
        <v>0</v>
      </c>
      <c r="AD30" s="261"/>
      <c r="AE30" s="373">
        <v>694467</v>
      </c>
      <c r="AG30" s="277"/>
      <c r="AH30" s="279"/>
      <c r="AI30" s="278" t="s">
        <v>3311</v>
      </c>
      <c r="AJ30" s="277"/>
      <c r="AK30" s="276"/>
      <c r="AL30" s="275"/>
      <c r="AM30" s="274"/>
      <c r="AN30" s="273" t="s">
        <v>2567</v>
      </c>
      <c r="AO30" s="359" t="s">
        <v>3402</v>
      </c>
      <c r="AP30" s="360" t="s">
        <v>3401</v>
      </c>
      <c r="AQ30" s="365"/>
      <c r="AR30" s="367" t="s">
        <v>3409</v>
      </c>
      <c r="AS30" s="367"/>
      <c r="AT30" s="15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</row>
    <row r="31" spans="1:69" ht="38.25">
      <c r="A31" s="17" t="b">
        <f t="shared" si="0"/>
        <v>0</v>
      </c>
      <c r="B31" s="17" t="str">
        <f t="shared" si="1"/>
        <v>0002-1</v>
      </c>
      <c r="C31" s="292" t="s">
        <v>3310</v>
      </c>
      <c r="D31" s="291">
        <v>1</v>
      </c>
      <c r="E31" s="290"/>
      <c r="F31" s="289">
        <v>2</v>
      </c>
      <c r="G31" s="276">
        <v>1</v>
      </c>
      <c r="H31" s="288" t="s">
        <v>3309</v>
      </c>
      <c r="I31" s="288" t="s">
        <v>3309</v>
      </c>
      <c r="J31" s="288" t="s">
        <v>3309</v>
      </c>
      <c r="K31" s="287"/>
      <c r="L31" s="286" t="s">
        <v>26</v>
      </c>
      <c r="M31" s="286" t="s">
        <v>26</v>
      </c>
      <c r="N31" s="277">
        <v>5</v>
      </c>
      <c r="O31" s="285" t="s">
        <v>1153</v>
      </c>
      <c r="P31" s="285" t="s">
        <v>1058</v>
      </c>
      <c r="Q31" s="284"/>
      <c r="R31" s="283">
        <v>180000</v>
      </c>
      <c r="S31" s="282">
        <v>0</v>
      </c>
      <c r="T31" s="282">
        <v>0</v>
      </c>
      <c r="U31" s="282">
        <v>0</v>
      </c>
      <c r="V31" s="282">
        <v>0</v>
      </c>
      <c r="W31" s="282">
        <v>0</v>
      </c>
      <c r="X31" s="282">
        <v>0</v>
      </c>
      <c r="Y31" s="282">
        <v>0</v>
      </c>
      <c r="Z31" s="282">
        <v>0</v>
      </c>
      <c r="AA31" s="282">
        <v>0</v>
      </c>
      <c r="AB31" s="282">
        <v>0</v>
      </c>
      <c r="AC31" s="281">
        <v>0</v>
      </c>
      <c r="AD31" s="261"/>
      <c r="AE31" s="386">
        <f t="shared" ref="AE31:AE65" si="2">SUM(R31:AC31)</f>
        <v>180000</v>
      </c>
      <c r="AG31" s="277"/>
      <c r="AH31" s="279"/>
      <c r="AI31" s="278" t="s">
        <v>3308</v>
      </c>
      <c r="AJ31" s="277"/>
      <c r="AK31" s="276"/>
      <c r="AL31" s="275"/>
      <c r="AM31" s="274"/>
      <c r="AN31" s="273" t="s">
        <v>2567</v>
      </c>
      <c r="AO31" s="359"/>
      <c r="AP31" s="361" t="s">
        <v>26</v>
      </c>
      <c r="AQ31" s="365"/>
      <c r="AR31" s="365" t="s">
        <v>3410</v>
      </c>
      <c r="AS31" s="367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</row>
    <row r="32" spans="1:69" ht="38.25">
      <c r="A32" s="17" t="b">
        <f t="shared" si="0"/>
        <v>0</v>
      </c>
      <c r="B32" s="17" t="str">
        <f t="shared" si="1"/>
        <v>0003-1</v>
      </c>
      <c r="C32" s="292" t="s">
        <v>3307</v>
      </c>
      <c r="D32" s="291">
        <v>1</v>
      </c>
      <c r="E32" s="290"/>
      <c r="F32" s="289">
        <v>3</v>
      </c>
      <c r="G32" s="276">
        <v>1</v>
      </c>
      <c r="H32" s="288" t="s">
        <v>3306</v>
      </c>
      <c r="I32" s="288" t="s">
        <v>3305</v>
      </c>
      <c r="J32" s="288" t="s">
        <v>3305</v>
      </c>
      <c r="K32" s="287"/>
      <c r="L32" s="286" t="s">
        <v>3304</v>
      </c>
      <c r="M32" s="286" t="s">
        <v>3304</v>
      </c>
      <c r="N32" s="277">
        <v>10</v>
      </c>
      <c r="O32" s="285" t="s">
        <v>1153</v>
      </c>
      <c r="P32" s="285" t="s">
        <v>1058</v>
      </c>
      <c r="Q32" s="284"/>
      <c r="R32" s="283">
        <v>0</v>
      </c>
      <c r="S32" s="282">
        <v>0</v>
      </c>
      <c r="T32" s="282">
        <v>0</v>
      </c>
      <c r="U32" s="282">
        <v>85000</v>
      </c>
      <c r="V32" s="282">
        <v>0</v>
      </c>
      <c r="W32" s="282">
        <v>0</v>
      </c>
      <c r="X32" s="282">
        <v>0</v>
      </c>
      <c r="Y32" s="282">
        <v>0</v>
      </c>
      <c r="Z32" s="282">
        <v>0</v>
      </c>
      <c r="AA32" s="282">
        <v>0</v>
      </c>
      <c r="AB32" s="282">
        <v>0</v>
      </c>
      <c r="AC32" s="281">
        <v>0</v>
      </c>
      <c r="AD32" s="261"/>
      <c r="AE32" s="386">
        <f t="shared" si="2"/>
        <v>85000</v>
      </c>
      <c r="AG32" s="277"/>
      <c r="AH32" s="279"/>
      <c r="AI32" s="278" t="s">
        <v>3303</v>
      </c>
      <c r="AJ32" s="277"/>
      <c r="AK32" s="276"/>
      <c r="AL32" s="275"/>
      <c r="AM32" s="274"/>
      <c r="AN32" s="273" t="s">
        <v>2567</v>
      </c>
      <c r="AO32" s="359" t="s">
        <v>3403</v>
      </c>
      <c r="AP32" s="360" t="s">
        <v>32</v>
      </c>
      <c r="AQ32" s="365"/>
      <c r="AR32" s="365" t="s">
        <v>3411</v>
      </c>
      <c r="AS32" s="367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</row>
    <row r="33" spans="1:69" ht="39">
      <c r="A33" s="17" t="b">
        <f t="shared" si="0"/>
        <v>0</v>
      </c>
      <c r="B33" s="17" t="str">
        <f t="shared" si="1"/>
        <v>0006-1</v>
      </c>
      <c r="C33" s="292" t="s">
        <v>3302</v>
      </c>
      <c r="D33" s="291">
        <v>1</v>
      </c>
      <c r="E33" s="290"/>
      <c r="F33" s="289">
        <v>6</v>
      </c>
      <c r="G33" s="276">
        <v>1</v>
      </c>
      <c r="H33" s="288" t="s">
        <v>3301</v>
      </c>
      <c r="I33" s="288" t="s">
        <v>3301</v>
      </c>
      <c r="J33" s="288" t="s">
        <v>3301</v>
      </c>
      <c r="K33" s="287"/>
      <c r="L33" s="286" t="s">
        <v>3267</v>
      </c>
      <c r="M33" s="286" t="s">
        <v>3028</v>
      </c>
      <c r="N33" s="277">
        <v>12</v>
      </c>
      <c r="O33" s="285" t="s">
        <v>3266</v>
      </c>
      <c r="P33" s="285" t="s">
        <v>1058</v>
      </c>
      <c r="Q33" s="284"/>
      <c r="R33" s="283">
        <v>80000</v>
      </c>
      <c r="S33" s="282">
        <v>0</v>
      </c>
      <c r="T33" s="282">
        <v>0</v>
      </c>
      <c r="U33" s="282">
        <v>0</v>
      </c>
      <c r="V33" s="282">
        <v>0</v>
      </c>
      <c r="W33" s="282">
        <v>0</v>
      </c>
      <c r="X33" s="282">
        <v>0</v>
      </c>
      <c r="Y33" s="282">
        <v>0</v>
      </c>
      <c r="Z33" s="282">
        <v>0</v>
      </c>
      <c r="AA33" s="282">
        <v>0</v>
      </c>
      <c r="AB33" s="282">
        <v>0</v>
      </c>
      <c r="AC33" s="281">
        <v>0</v>
      </c>
      <c r="AD33" s="261"/>
      <c r="AE33" s="386">
        <f t="shared" si="2"/>
        <v>80000</v>
      </c>
      <c r="AG33" s="277">
        <v>130834</v>
      </c>
      <c r="AH33" s="279"/>
      <c r="AI33" s="278" t="s">
        <v>3300</v>
      </c>
      <c r="AJ33" s="277"/>
      <c r="AK33" s="276">
        <v>1989</v>
      </c>
      <c r="AL33" s="275"/>
      <c r="AM33" s="293" t="str">
        <f>HYPERLINK("7379.xlsx","7379.xlsx")</f>
        <v>7379.xlsx</v>
      </c>
      <c r="AN33" s="273" t="s">
        <v>2567</v>
      </c>
      <c r="AO33" s="371" t="s">
        <v>3404</v>
      </c>
      <c r="AP33" s="360" t="s">
        <v>3443</v>
      </c>
      <c r="AQ33" s="365"/>
      <c r="AR33" s="365" t="s">
        <v>3412</v>
      </c>
      <c r="AS33" s="367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</row>
    <row r="34" spans="1:69">
      <c r="A34" s="17" t="b">
        <f t="shared" si="0"/>
        <v>0</v>
      </c>
      <c r="B34" s="17" t="str">
        <f t="shared" si="1"/>
        <v>0007-1</v>
      </c>
      <c r="C34" s="292" t="s">
        <v>3299</v>
      </c>
      <c r="D34" s="291">
        <v>1</v>
      </c>
      <c r="E34" s="290"/>
      <c r="F34" s="289">
        <v>7</v>
      </c>
      <c r="G34" s="276">
        <v>1</v>
      </c>
      <c r="H34" s="288" t="s">
        <v>3298</v>
      </c>
      <c r="I34" s="288" t="s">
        <v>3298</v>
      </c>
      <c r="J34" s="288" t="s">
        <v>3298</v>
      </c>
      <c r="K34" s="287"/>
      <c r="L34" s="286" t="s">
        <v>3267</v>
      </c>
      <c r="M34" s="286" t="s">
        <v>1412</v>
      </c>
      <c r="N34" s="277">
        <v>10</v>
      </c>
      <c r="O34" s="285" t="s">
        <v>1153</v>
      </c>
      <c r="P34" s="285" t="s">
        <v>1058</v>
      </c>
      <c r="Q34" s="284">
        <v>12389</v>
      </c>
      <c r="R34" s="283">
        <v>0</v>
      </c>
      <c r="S34" s="282">
        <v>0</v>
      </c>
      <c r="T34" s="282">
        <v>0</v>
      </c>
      <c r="U34" s="282">
        <v>0</v>
      </c>
      <c r="V34" s="282">
        <v>0</v>
      </c>
      <c r="W34" s="282">
        <v>0</v>
      </c>
      <c r="X34" s="282">
        <v>0</v>
      </c>
      <c r="Y34" s="282">
        <v>0</v>
      </c>
      <c r="Z34" s="282">
        <v>69850</v>
      </c>
      <c r="AA34" s="282">
        <v>0</v>
      </c>
      <c r="AB34" s="282">
        <v>0</v>
      </c>
      <c r="AC34" s="281">
        <v>0</v>
      </c>
      <c r="AD34" s="261"/>
      <c r="AE34" s="386">
        <f t="shared" si="2"/>
        <v>69850</v>
      </c>
      <c r="AG34" s="277"/>
      <c r="AH34" s="279"/>
      <c r="AI34" s="278" t="s">
        <v>3297</v>
      </c>
      <c r="AJ34" s="277"/>
      <c r="AK34" s="276"/>
      <c r="AL34" s="275"/>
      <c r="AM34" s="274"/>
      <c r="AN34" s="273" t="s">
        <v>2567</v>
      </c>
      <c r="AO34" s="362"/>
      <c r="AP34" s="363" t="s">
        <v>3398</v>
      </c>
      <c r="AQ34" s="366"/>
      <c r="AR34" s="367" t="s">
        <v>3414</v>
      </c>
      <c r="AS34" s="367"/>
      <c r="AT34" s="15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</row>
    <row r="35" spans="1:69" ht="75">
      <c r="A35" s="17" t="b">
        <f t="shared" si="0"/>
        <v>0</v>
      </c>
      <c r="B35" s="17" t="str">
        <f t="shared" si="1"/>
        <v>0010-1</v>
      </c>
      <c r="C35" s="292" t="s">
        <v>3296</v>
      </c>
      <c r="D35" s="291">
        <v>1</v>
      </c>
      <c r="E35" s="290"/>
      <c r="F35" s="289">
        <v>10</v>
      </c>
      <c r="G35" s="276">
        <v>1</v>
      </c>
      <c r="H35" s="288" t="s">
        <v>3295</v>
      </c>
      <c r="I35" s="288" t="s">
        <v>3295</v>
      </c>
      <c r="J35" s="288" t="s">
        <v>3295</v>
      </c>
      <c r="K35" s="287"/>
      <c r="L35" s="286" t="s">
        <v>26</v>
      </c>
      <c r="M35" s="286" t="s">
        <v>26</v>
      </c>
      <c r="N35" s="277">
        <v>5</v>
      </c>
      <c r="O35" s="285" t="s">
        <v>1153</v>
      </c>
      <c r="P35" s="285" t="s">
        <v>1058</v>
      </c>
      <c r="Q35" s="284"/>
      <c r="R35" s="283">
        <v>0</v>
      </c>
      <c r="S35" s="282">
        <v>0</v>
      </c>
      <c r="T35" s="282">
        <v>80000</v>
      </c>
      <c r="U35" s="282">
        <v>0</v>
      </c>
      <c r="V35" s="282">
        <v>0</v>
      </c>
      <c r="W35" s="282">
        <v>0</v>
      </c>
      <c r="X35" s="282">
        <v>0</v>
      </c>
      <c r="Y35" s="282">
        <v>0</v>
      </c>
      <c r="Z35" s="282">
        <v>0</v>
      </c>
      <c r="AA35" s="282">
        <v>0</v>
      </c>
      <c r="AB35" s="282">
        <v>0</v>
      </c>
      <c r="AC35" s="281">
        <v>0</v>
      </c>
      <c r="AD35" s="261"/>
      <c r="AE35" s="387">
        <f>SUM(R35:AC35)-41000-9199.36</f>
        <v>29800.639999999999</v>
      </c>
      <c r="AG35" s="277"/>
      <c r="AH35" s="279"/>
      <c r="AI35" s="278" t="s">
        <v>3294</v>
      </c>
      <c r="AJ35" s="277"/>
      <c r="AK35" s="276"/>
      <c r="AL35" s="275"/>
      <c r="AM35" s="274"/>
      <c r="AN35" s="273" t="s">
        <v>2567</v>
      </c>
      <c r="AO35" s="359"/>
      <c r="AP35" s="360" t="s">
        <v>26</v>
      </c>
      <c r="AQ35" s="365"/>
      <c r="AR35" s="367" t="s">
        <v>3449</v>
      </c>
      <c r="AS35" s="367"/>
      <c r="AT35" s="15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</row>
    <row r="36" spans="1:69" ht="51">
      <c r="A36" s="17" t="b">
        <f t="shared" si="0"/>
        <v>0</v>
      </c>
      <c r="B36" s="17" t="str">
        <f t="shared" si="1"/>
        <v>0011-1</v>
      </c>
      <c r="C36" s="292" t="s">
        <v>3293</v>
      </c>
      <c r="D36" s="291">
        <v>1</v>
      </c>
      <c r="E36" s="290"/>
      <c r="F36" s="289">
        <v>11</v>
      </c>
      <c r="G36" s="276">
        <v>1</v>
      </c>
      <c r="H36" s="288" t="s">
        <v>3292</v>
      </c>
      <c r="I36" s="288" t="s">
        <v>3292</v>
      </c>
      <c r="J36" s="288" t="s">
        <v>3292</v>
      </c>
      <c r="K36" s="287"/>
      <c r="L36" s="286" t="s">
        <v>3267</v>
      </c>
      <c r="M36" s="286" t="s">
        <v>1757</v>
      </c>
      <c r="N36" s="277">
        <v>12</v>
      </c>
      <c r="O36" s="285" t="s">
        <v>3266</v>
      </c>
      <c r="P36" s="285" t="s">
        <v>1058</v>
      </c>
      <c r="Q36" s="284"/>
      <c r="R36" s="283">
        <v>0</v>
      </c>
      <c r="S36" s="282">
        <v>0</v>
      </c>
      <c r="T36" s="282">
        <v>0</v>
      </c>
      <c r="U36" s="282">
        <v>255116</v>
      </c>
      <c r="V36" s="282">
        <v>0</v>
      </c>
      <c r="W36" s="282">
        <v>0</v>
      </c>
      <c r="X36" s="282">
        <v>0</v>
      </c>
      <c r="Y36" s="282">
        <v>0</v>
      </c>
      <c r="Z36" s="282">
        <v>0</v>
      </c>
      <c r="AA36" s="282">
        <v>0</v>
      </c>
      <c r="AB36" s="282">
        <v>0</v>
      </c>
      <c r="AC36" s="281">
        <v>0</v>
      </c>
      <c r="AD36" s="261"/>
      <c r="AE36" s="386">
        <f t="shared" si="2"/>
        <v>255116</v>
      </c>
      <c r="AG36" s="277">
        <v>7407</v>
      </c>
      <c r="AH36" s="279"/>
      <c r="AI36" s="278" t="s">
        <v>3291</v>
      </c>
      <c r="AJ36" s="277"/>
      <c r="AK36" s="276">
        <v>1993</v>
      </c>
      <c r="AL36" s="275"/>
      <c r="AM36" s="293" t="str">
        <f>HYPERLINK("7407.xlsx","7407.xlsx")</f>
        <v>7407.xlsx</v>
      </c>
      <c r="AN36" s="273" t="s">
        <v>2567</v>
      </c>
      <c r="AO36" s="359" t="s">
        <v>3405</v>
      </c>
      <c r="AP36" s="360" t="s">
        <v>33</v>
      </c>
      <c r="AQ36" s="365"/>
      <c r="AR36" s="367" t="s">
        <v>3414</v>
      </c>
      <c r="AS36" s="367"/>
      <c r="AT36" s="15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</row>
    <row r="37" spans="1:69" ht="25.5">
      <c r="A37" s="17" t="b">
        <f t="shared" si="0"/>
        <v>0</v>
      </c>
      <c r="B37" s="17" t="str">
        <f t="shared" si="1"/>
        <v>0012-1</v>
      </c>
      <c r="C37" s="292" t="s">
        <v>3290</v>
      </c>
      <c r="D37" s="291">
        <v>1</v>
      </c>
      <c r="E37" s="290"/>
      <c r="F37" s="289">
        <v>12</v>
      </c>
      <c r="G37" s="276">
        <v>1</v>
      </c>
      <c r="H37" s="288" t="s">
        <v>3283</v>
      </c>
      <c r="I37" s="288" t="s">
        <v>3283</v>
      </c>
      <c r="J37" s="288" t="s">
        <v>3283</v>
      </c>
      <c r="K37" s="287"/>
      <c r="L37" s="286" t="s">
        <v>3262</v>
      </c>
      <c r="M37" s="286" t="s">
        <v>3282</v>
      </c>
      <c r="N37" s="277">
        <v>10</v>
      </c>
      <c r="O37" s="285" t="s">
        <v>1153</v>
      </c>
      <c r="P37" s="285" t="s">
        <v>1058</v>
      </c>
      <c r="Q37" s="284">
        <v>12311</v>
      </c>
      <c r="R37" s="283">
        <v>0</v>
      </c>
      <c r="S37" s="282">
        <v>0</v>
      </c>
      <c r="T37" s="282">
        <v>0</v>
      </c>
      <c r="U37" s="282">
        <v>0</v>
      </c>
      <c r="V37" s="282">
        <v>0</v>
      </c>
      <c r="W37" s="282">
        <v>0</v>
      </c>
      <c r="X37" s="282">
        <v>407511</v>
      </c>
      <c r="Y37" s="282">
        <v>0</v>
      </c>
      <c r="Z37" s="282">
        <v>0</v>
      </c>
      <c r="AA37" s="282">
        <v>0</v>
      </c>
      <c r="AB37" s="282">
        <v>0</v>
      </c>
      <c r="AC37" s="281">
        <v>0</v>
      </c>
      <c r="AD37" s="261"/>
      <c r="AE37" s="386">
        <f t="shared" si="2"/>
        <v>407511</v>
      </c>
      <c r="AG37" s="277"/>
      <c r="AH37" s="279"/>
      <c r="AI37" s="278" t="s">
        <v>3289</v>
      </c>
      <c r="AJ37" s="277"/>
      <c r="AK37" s="276"/>
      <c r="AL37" s="275"/>
      <c r="AM37" s="274"/>
      <c r="AN37" s="273" t="s">
        <v>2567</v>
      </c>
      <c r="AO37" s="359" t="s">
        <v>3406</v>
      </c>
      <c r="AP37" s="360" t="s">
        <v>3444</v>
      </c>
      <c r="AQ37" s="370"/>
      <c r="AR37" s="367" t="s">
        <v>3413</v>
      </c>
      <c r="AS37" s="367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</row>
    <row r="38" spans="1:69" ht="120">
      <c r="A38" s="17" t="b">
        <f t="shared" si="0"/>
        <v>0</v>
      </c>
      <c r="B38" s="17" t="str">
        <f t="shared" si="1"/>
        <v>0013-1</v>
      </c>
      <c r="C38" s="292" t="s">
        <v>3288</v>
      </c>
      <c r="D38" s="291">
        <v>1</v>
      </c>
      <c r="E38" s="290"/>
      <c r="F38" s="289">
        <v>13</v>
      </c>
      <c r="G38" s="276">
        <v>1</v>
      </c>
      <c r="H38" s="288" t="s">
        <v>3283</v>
      </c>
      <c r="I38" s="288" t="s">
        <v>3283</v>
      </c>
      <c r="J38" s="288" t="s">
        <v>3283</v>
      </c>
      <c r="K38" s="287"/>
      <c r="L38" s="286" t="s">
        <v>3262</v>
      </c>
      <c r="M38" s="286" t="s">
        <v>3282</v>
      </c>
      <c r="N38" s="277">
        <v>10</v>
      </c>
      <c r="O38" s="285" t="s">
        <v>3266</v>
      </c>
      <c r="P38" s="285" t="s">
        <v>1058</v>
      </c>
      <c r="Q38" s="284">
        <v>12312</v>
      </c>
      <c r="R38" s="283">
        <v>0</v>
      </c>
      <c r="S38" s="282">
        <v>0</v>
      </c>
      <c r="T38" s="282">
        <v>0</v>
      </c>
      <c r="U38" s="282">
        <v>0</v>
      </c>
      <c r="V38" s="282">
        <v>0</v>
      </c>
      <c r="W38" s="282">
        <v>0</v>
      </c>
      <c r="X38" s="282">
        <v>0</v>
      </c>
      <c r="Y38" s="282">
        <v>0</v>
      </c>
      <c r="Z38" s="282">
        <v>0</v>
      </c>
      <c r="AA38" s="282">
        <v>0</v>
      </c>
      <c r="AB38" s="282">
        <v>435832</v>
      </c>
      <c r="AC38" s="281">
        <v>0</v>
      </c>
      <c r="AD38" s="261"/>
      <c r="AE38" s="386">
        <f t="shared" si="2"/>
        <v>435832</v>
      </c>
      <c r="AG38" s="277">
        <v>60786</v>
      </c>
      <c r="AH38" s="279" t="s">
        <v>1408</v>
      </c>
      <c r="AI38" s="278" t="s">
        <v>3287</v>
      </c>
      <c r="AJ38" s="277"/>
      <c r="AK38" s="276">
        <v>2007</v>
      </c>
      <c r="AL38" s="275"/>
      <c r="AM38" s="293" t="str">
        <f>HYPERLINK("3616.xlsx","3616.xlsx")</f>
        <v>3616.xlsx</v>
      </c>
      <c r="AN38" s="273" t="s">
        <v>2567</v>
      </c>
      <c r="AO38" s="359"/>
      <c r="AP38" s="360" t="s">
        <v>173</v>
      </c>
      <c r="AQ38" s="367" t="s">
        <v>3446</v>
      </c>
      <c r="AR38" s="367" t="s">
        <v>3414</v>
      </c>
      <c r="AS38" s="367"/>
      <c r="AT38" s="15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</row>
    <row r="39" spans="1:69" ht="120">
      <c r="A39" s="17" t="b">
        <f t="shared" si="0"/>
        <v>0</v>
      </c>
      <c r="B39" s="17" t="str">
        <f t="shared" si="1"/>
        <v>0014-1</v>
      </c>
      <c r="C39" s="292" t="s">
        <v>3286</v>
      </c>
      <c r="D39" s="291">
        <v>1</v>
      </c>
      <c r="E39" s="290"/>
      <c r="F39" s="289">
        <v>14</v>
      </c>
      <c r="G39" s="276">
        <v>1</v>
      </c>
      <c r="H39" s="288" t="s">
        <v>3283</v>
      </c>
      <c r="I39" s="288" t="s">
        <v>3283</v>
      </c>
      <c r="J39" s="288" t="s">
        <v>3283</v>
      </c>
      <c r="K39" s="287"/>
      <c r="L39" s="286" t="s">
        <v>3262</v>
      </c>
      <c r="M39" s="286" t="s">
        <v>3282</v>
      </c>
      <c r="N39" s="277">
        <v>10</v>
      </c>
      <c r="O39" s="285" t="s">
        <v>3266</v>
      </c>
      <c r="P39" s="285" t="s">
        <v>1058</v>
      </c>
      <c r="Q39" s="284">
        <v>12313</v>
      </c>
      <c r="R39" s="283">
        <v>0</v>
      </c>
      <c r="S39" s="282">
        <v>0</v>
      </c>
      <c r="T39" s="282">
        <v>0</v>
      </c>
      <c r="U39" s="282">
        <v>435832</v>
      </c>
      <c r="V39" s="282">
        <v>0</v>
      </c>
      <c r="W39" s="282">
        <v>0</v>
      </c>
      <c r="X39" s="282">
        <v>0</v>
      </c>
      <c r="Y39" s="282">
        <v>0</v>
      </c>
      <c r="Z39" s="282">
        <v>0</v>
      </c>
      <c r="AA39" s="282">
        <v>0</v>
      </c>
      <c r="AB39" s="282">
        <v>0</v>
      </c>
      <c r="AC39" s="281">
        <v>0</v>
      </c>
      <c r="AD39" s="261"/>
      <c r="AE39" s="386">
        <f t="shared" si="2"/>
        <v>435832</v>
      </c>
      <c r="AG39" s="277">
        <v>60787</v>
      </c>
      <c r="AH39" s="279" t="s">
        <v>1408</v>
      </c>
      <c r="AI39" s="278" t="s">
        <v>3285</v>
      </c>
      <c r="AJ39" s="277"/>
      <c r="AK39" s="276">
        <v>2007</v>
      </c>
      <c r="AL39" s="275"/>
      <c r="AM39" s="293" t="str">
        <f>HYPERLINK("3617.xlsx","3617.xlsx")</f>
        <v>3617.xlsx</v>
      </c>
      <c r="AN39" s="273" t="s">
        <v>2567</v>
      </c>
      <c r="AO39" s="359"/>
      <c r="AP39" s="360" t="s">
        <v>74</v>
      </c>
      <c r="AQ39" s="367" t="s">
        <v>3446</v>
      </c>
      <c r="AR39" s="367" t="s">
        <v>3414</v>
      </c>
      <c r="AS39" s="367"/>
      <c r="AT39" s="15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</row>
    <row r="40" spans="1:69" ht="120">
      <c r="A40" s="17" t="b">
        <f t="shared" si="0"/>
        <v>0</v>
      </c>
      <c r="B40" s="17" t="str">
        <f t="shared" si="1"/>
        <v>0015-1</v>
      </c>
      <c r="C40" s="292" t="s">
        <v>3284</v>
      </c>
      <c r="D40" s="291">
        <v>1</v>
      </c>
      <c r="E40" s="290"/>
      <c r="F40" s="289">
        <v>15</v>
      </c>
      <c r="G40" s="276">
        <v>1</v>
      </c>
      <c r="H40" s="288" t="s">
        <v>3283</v>
      </c>
      <c r="I40" s="288" t="s">
        <v>3283</v>
      </c>
      <c r="J40" s="288" t="s">
        <v>3283</v>
      </c>
      <c r="K40" s="287"/>
      <c r="L40" s="286" t="s">
        <v>3262</v>
      </c>
      <c r="M40" s="286" t="s">
        <v>3282</v>
      </c>
      <c r="N40" s="277">
        <v>10</v>
      </c>
      <c r="O40" s="285" t="s">
        <v>3266</v>
      </c>
      <c r="P40" s="285" t="s">
        <v>1058</v>
      </c>
      <c r="Q40" s="284">
        <v>12314</v>
      </c>
      <c r="R40" s="283">
        <v>0</v>
      </c>
      <c r="S40" s="282">
        <v>0</v>
      </c>
      <c r="T40" s="282">
        <v>0</v>
      </c>
      <c r="U40" s="282">
        <v>435832</v>
      </c>
      <c r="V40" s="282">
        <v>0</v>
      </c>
      <c r="W40" s="282">
        <v>0</v>
      </c>
      <c r="X40" s="282">
        <v>0</v>
      </c>
      <c r="Y40" s="282">
        <v>0</v>
      </c>
      <c r="Z40" s="282">
        <v>0</v>
      </c>
      <c r="AA40" s="282">
        <v>0</v>
      </c>
      <c r="AB40" s="282">
        <v>0</v>
      </c>
      <c r="AC40" s="281">
        <v>0</v>
      </c>
      <c r="AD40" s="261"/>
      <c r="AE40" s="386">
        <f t="shared" si="2"/>
        <v>435832</v>
      </c>
      <c r="AG40" s="277">
        <v>90549</v>
      </c>
      <c r="AH40" s="279" t="s">
        <v>1408</v>
      </c>
      <c r="AI40" s="278" t="s">
        <v>3281</v>
      </c>
      <c r="AJ40" s="277"/>
      <c r="AK40" s="276">
        <v>2007</v>
      </c>
      <c r="AL40" s="275"/>
      <c r="AM40" s="293" t="str">
        <f>HYPERLINK("3618.xlsx","3618.xlsx")</f>
        <v>3618.xlsx</v>
      </c>
      <c r="AN40" s="273" t="s">
        <v>2567</v>
      </c>
      <c r="AO40" s="359"/>
      <c r="AP40" s="360" t="s">
        <v>220</v>
      </c>
      <c r="AQ40" s="367" t="s">
        <v>3446</v>
      </c>
      <c r="AR40" s="367" t="s">
        <v>3414</v>
      </c>
      <c r="AS40" s="367"/>
      <c r="AT40" s="15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</row>
    <row r="41" spans="1:69" ht="45">
      <c r="A41" s="17" t="b">
        <f t="shared" si="0"/>
        <v>0</v>
      </c>
      <c r="B41" s="17" t="str">
        <f t="shared" si="1"/>
        <v>0017-1</v>
      </c>
      <c r="C41" s="292" t="s">
        <v>3280</v>
      </c>
      <c r="D41" s="291">
        <v>1</v>
      </c>
      <c r="E41" s="290"/>
      <c r="F41" s="289">
        <v>17</v>
      </c>
      <c r="G41" s="276">
        <v>1</v>
      </c>
      <c r="H41" s="288" t="s">
        <v>3279</v>
      </c>
      <c r="I41" s="288" t="s">
        <v>3279</v>
      </c>
      <c r="J41" s="288" t="s">
        <v>3279</v>
      </c>
      <c r="K41" s="287"/>
      <c r="L41" s="286" t="s">
        <v>3262</v>
      </c>
      <c r="M41" s="286" t="s">
        <v>3278</v>
      </c>
      <c r="N41" s="277">
        <v>10</v>
      </c>
      <c r="O41" s="285" t="s">
        <v>3266</v>
      </c>
      <c r="P41" s="285" t="s">
        <v>1058</v>
      </c>
      <c r="Q41" s="284">
        <v>12285</v>
      </c>
      <c r="R41" s="283">
        <v>0</v>
      </c>
      <c r="S41" s="282">
        <v>0</v>
      </c>
      <c r="T41" s="282">
        <v>0</v>
      </c>
      <c r="U41" s="282">
        <v>0</v>
      </c>
      <c r="V41" s="282">
        <v>0</v>
      </c>
      <c r="W41" s="282">
        <v>0</v>
      </c>
      <c r="X41" s="282">
        <v>0</v>
      </c>
      <c r="Y41" s="282">
        <v>0</v>
      </c>
      <c r="Z41" s="282">
        <v>0</v>
      </c>
      <c r="AA41" s="282">
        <v>385082</v>
      </c>
      <c r="AB41" s="282">
        <v>0</v>
      </c>
      <c r="AC41" s="281">
        <v>0</v>
      </c>
      <c r="AD41" s="261"/>
      <c r="AE41" s="386">
        <f t="shared" si="2"/>
        <v>385082</v>
      </c>
      <c r="AG41" s="277">
        <v>94430</v>
      </c>
      <c r="AH41" s="279" t="s">
        <v>2002</v>
      </c>
      <c r="AI41" s="278" t="s">
        <v>3277</v>
      </c>
      <c r="AJ41" s="277"/>
      <c r="AK41" s="276">
        <v>2011</v>
      </c>
      <c r="AL41" s="275"/>
      <c r="AM41" s="293" t="str">
        <f>HYPERLINK("2039.xlsx","2039.xlsx")</f>
        <v>2039.xlsx</v>
      </c>
      <c r="AN41" s="273" t="s">
        <v>2567</v>
      </c>
      <c r="AO41" s="359"/>
      <c r="AP41" s="360" t="s">
        <v>3443</v>
      </c>
      <c r="AQ41" s="367" t="s">
        <v>3397</v>
      </c>
      <c r="AR41" s="367" t="s">
        <v>3450</v>
      </c>
      <c r="AS41" s="367"/>
      <c r="AT41" s="15"/>
      <c r="AU41" s="9"/>
      <c r="AV41" s="15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</row>
    <row r="42" spans="1:69" ht="51">
      <c r="A42" s="17" t="b">
        <f t="shared" si="0"/>
        <v>0</v>
      </c>
      <c r="B42" s="17" t="str">
        <f t="shared" si="1"/>
        <v>0018-1</v>
      </c>
      <c r="C42" s="292" t="s">
        <v>3276</v>
      </c>
      <c r="D42" s="291">
        <v>1</v>
      </c>
      <c r="E42" s="290"/>
      <c r="F42" s="289">
        <v>18</v>
      </c>
      <c r="G42" s="276">
        <v>1</v>
      </c>
      <c r="H42" s="288" t="s">
        <v>3275</v>
      </c>
      <c r="I42" s="288" t="s">
        <v>3275</v>
      </c>
      <c r="J42" s="288" t="s">
        <v>3275</v>
      </c>
      <c r="K42" s="287"/>
      <c r="L42" s="286" t="s">
        <v>3262</v>
      </c>
      <c r="M42" s="286" t="s">
        <v>3274</v>
      </c>
      <c r="N42" s="277">
        <v>10</v>
      </c>
      <c r="O42" s="285" t="s">
        <v>3266</v>
      </c>
      <c r="P42" s="285" t="s">
        <v>1058</v>
      </c>
      <c r="Q42" s="284">
        <v>12306</v>
      </c>
      <c r="R42" s="283">
        <v>0</v>
      </c>
      <c r="S42" s="282">
        <v>0</v>
      </c>
      <c r="T42" s="282">
        <v>0</v>
      </c>
      <c r="U42" s="282">
        <v>0</v>
      </c>
      <c r="V42" s="282">
        <v>0</v>
      </c>
      <c r="W42" s="282">
        <v>0</v>
      </c>
      <c r="X42" s="282">
        <v>0</v>
      </c>
      <c r="Y42" s="282">
        <v>344356</v>
      </c>
      <c r="Z42" s="282">
        <v>0</v>
      </c>
      <c r="AA42" s="282">
        <v>0</v>
      </c>
      <c r="AB42" s="282">
        <v>0</v>
      </c>
      <c r="AC42" s="281">
        <v>0</v>
      </c>
      <c r="AD42" s="261"/>
      <c r="AE42" s="386">
        <f t="shared" si="2"/>
        <v>344356</v>
      </c>
      <c r="AG42" s="277">
        <v>60773</v>
      </c>
      <c r="AH42" s="279" t="s">
        <v>1398</v>
      </c>
      <c r="AI42" s="278" t="s">
        <v>3273</v>
      </c>
      <c r="AJ42" s="277"/>
      <c r="AK42" s="276">
        <v>2007</v>
      </c>
      <c r="AL42" s="275"/>
      <c r="AM42" s="293" t="str">
        <f>HYPERLINK("1052.xlsx","1052.xlsx")</f>
        <v>1052.xlsx</v>
      </c>
      <c r="AN42" s="273" t="s">
        <v>2567</v>
      </c>
      <c r="AO42" s="359"/>
      <c r="AP42" s="361" t="s">
        <v>74</v>
      </c>
      <c r="AQ42" s="365" t="s">
        <v>3397</v>
      </c>
      <c r="AR42" s="365" t="s">
        <v>3414</v>
      </c>
      <c r="AS42" s="367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</row>
    <row r="43" spans="1:69" ht="30">
      <c r="A43" s="17" t="b">
        <f t="shared" si="0"/>
        <v>0</v>
      </c>
      <c r="B43" s="17" t="str">
        <f t="shared" si="1"/>
        <v>0019-1</v>
      </c>
      <c r="C43" s="292" t="s">
        <v>3272</v>
      </c>
      <c r="D43" s="291">
        <v>1</v>
      </c>
      <c r="E43" s="290"/>
      <c r="F43" s="289">
        <v>19</v>
      </c>
      <c r="G43" s="276">
        <v>1</v>
      </c>
      <c r="H43" s="288" t="s">
        <v>3271</v>
      </c>
      <c r="I43" s="288" t="s">
        <v>3271</v>
      </c>
      <c r="J43" s="288" t="s">
        <v>3271</v>
      </c>
      <c r="K43" s="287"/>
      <c r="L43" s="286" t="s">
        <v>26</v>
      </c>
      <c r="M43" s="286" t="s">
        <v>26</v>
      </c>
      <c r="N43" s="277">
        <v>5</v>
      </c>
      <c r="O43" s="285" t="s">
        <v>1153</v>
      </c>
      <c r="P43" s="285" t="s">
        <v>1058</v>
      </c>
      <c r="Q43" s="284"/>
      <c r="R43" s="283">
        <v>0</v>
      </c>
      <c r="S43" s="282">
        <v>0</v>
      </c>
      <c r="T43" s="282">
        <v>0</v>
      </c>
      <c r="U43" s="282">
        <v>0</v>
      </c>
      <c r="V43" s="282">
        <v>0</v>
      </c>
      <c r="W43" s="282">
        <v>0</v>
      </c>
      <c r="X43" s="282">
        <v>0</v>
      </c>
      <c r="Y43" s="282">
        <v>0</v>
      </c>
      <c r="Z43" s="282">
        <v>41000</v>
      </c>
      <c r="AA43" s="282">
        <v>0</v>
      </c>
      <c r="AB43" s="282">
        <v>0</v>
      </c>
      <c r="AC43" s="281">
        <v>0</v>
      </c>
      <c r="AD43" s="261"/>
      <c r="AE43" s="387">
        <f>SUM(R43:AC43)+41000</f>
        <v>82000</v>
      </c>
      <c r="AG43" s="277"/>
      <c r="AH43" s="279"/>
      <c r="AI43" s="278" t="s">
        <v>3270</v>
      </c>
      <c r="AJ43" s="277"/>
      <c r="AK43" s="276"/>
      <c r="AL43" s="275"/>
      <c r="AM43" s="274"/>
      <c r="AN43" s="273" t="s">
        <v>2567</v>
      </c>
      <c r="AO43" s="359"/>
      <c r="AP43" s="361" t="s">
        <v>31</v>
      </c>
      <c r="AQ43" s="365"/>
      <c r="AR43" s="367" t="s">
        <v>3415</v>
      </c>
      <c r="AS43" s="367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</row>
    <row r="44" spans="1:69" ht="38.25">
      <c r="A44" s="17" t="b">
        <f t="shared" si="0"/>
        <v>0</v>
      </c>
      <c r="B44" s="17" t="str">
        <f t="shared" si="1"/>
        <v>0020-1</v>
      </c>
      <c r="C44" s="292" t="s">
        <v>3269</v>
      </c>
      <c r="D44" s="291">
        <v>1</v>
      </c>
      <c r="E44" s="290"/>
      <c r="F44" s="289">
        <v>20</v>
      </c>
      <c r="G44" s="276">
        <v>1</v>
      </c>
      <c r="H44" s="288" t="s">
        <v>3268</v>
      </c>
      <c r="I44" s="288" t="s">
        <v>3268</v>
      </c>
      <c r="J44" s="288" t="s">
        <v>3268</v>
      </c>
      <c r="K44" s="287"/>
      <c r="L44" s="286" t="s">
        <v>3267</v>
      </c>
      <c r="M44" s="286" t="s">
        <v>1968</v>
      </c>
      <c r="N44" s="277">
        <v>7</v>
      </c>
      <c r="O44" s="285" t="s">
        <v>3266</v>
      </c>
      <c r="P44" s="285" t="s">
        <v>1058</v>
      </c>
      <c r="Q44" s="284">
        <v>12374</v>
      </c>
      <c r="R44" s="283">
        <v>0</v>
      </c>
      <c r="S44" s="282">
        <v>0</v>
      </c>
      <c r="T44" s="282">
        <v>175522</v>
      </c>
      <c r="U44" s="282">
        <v>0</v>
      </c>
      <c r="V44" s="282">
        <v>0</v>
      </c>
      <c r="W44" s="282">
        <v>0</v>
      </c>
      <c r="X44" s="282">
        <v>0</v>
      </c>
      <c r="Y44" s="282">
        <v>0</v>
      </c>
      <c r="Z44" s="282">
        <v>0</v>
      </c>
      <c r="AA44" s="282">
        <v>0</v>
      </c>
      <c r="AB44" s="282">
        <v>0</v>
      </c>
      <c r="AC44" s="281">
        <v>0</v>
      </c>
      <c r="AD44" s="261"/>
      <c r="AE44" s="386">
        <f t="shared" si="2"/>
        <v>175522</v>
      </c>
      <c r="AG44" s="277">
        <v>90660</v>
      </c>
      <c r="AH44" s="279" t="s">
        <v>1969</v>
      </c>
      <c r="AI44" s="278" t="s">
        <v>3265</v>
      </c>
      <c r="AJ44" s="277"/>
      <c r="AK44" s="276">
        <v>1990</v>
      </c>
      <c r="AL44" s="275"/>
      <c r="AM44" s="293" t="str">
        <f>HYPERLINK("7809.xlsx","7809.xlsx")</f>
        <v>7809.xlsx</v>
      </c>
      <c r="AN44" s="273" t="s">
        <v>2567</v>
      </c>
      <c r="AO44" s="359" t="s">
        <v>3407</v>
      </c>
      <c r="AP44" s="360" t="s">
        <v>33</v>
      </c>
      <c r="AQ44" s="365"/>
      <c r="AR44" s="365" t="s">
        <v>3414</v>
      </c>
      <c r="AS44" s="367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</row>
    <row r="45" spans="1:69" ht="75">
      <c r="A45" s="17" t="b">
        <f t="shared" si="0"/>
        <v>0</v>
      </c>
      <c r="B45" s="17" t="str">
        <f t="shared" si="1"/>
        <v>0022-1</v>
      </c>
      <c r="C45" s="292" t="s">
        <v>3264</v>
      </c>
      <c r="D45" s="291">
        <v>1</v>
      </c>
      <c r="E45" s="290"/>
      <c r="F45" s="289">
        <v>22</v>
      </c>
      <c r="G45" s="276">
        <v>1</v>
      </c>
      <c r="H45" s="288" t="s">
        <v>3263</v>
      </c>
      <c r="I45" s="288" t="s">
        <v>3263</v>
      </c>
      <c r="J45" s="288" t="s">
        <v>3263</v>
      </c>
      <c r="K45" s="287"/>
      <c r="L45" s="286" t="s">
        <v>3262</v>
      </c>
      <c r="M45" s="286" t="s">
        <v>1128</v>
      </c>
      <c r="N45" s="277">
        <v>7</v>
      </c>
      <c r="O45" s="285" t="s">
        <v>1153</v>
      </c>
      <c r="P45" s="285" t="s">
        <v>1058</v>
      </c>
      <c r="Q45" s="284">
        <v>13009</v>
      </c>
      <c r="R45" s="283">
        <v>0</v>
      </c>
      <c r="S45" s="282">
        <v>0</v>
      </c>
      <c r="T45" s="282">
        <v>0</v>
      </c>
      <c r="U45" s="282">
        <v>0</v>
      </c>
      <c r="V45" s="282">
        <v>0</v>
      </c>
      <c r="W45" s="282">
        <v>0</v>
      </c>
      <c r="X45" s="282">
        <v>95012</v>
      </c>
      <c r="Y45" s="282">
        <v>0</v>
      </c>
      <c r="Z45" s="282">
        <v>0</v>
      </c>
      <c r="AA45" s="282">
        <v>0</v>
      </c>
      <c r="AB45" s="282">
        <v>0</v>
      </c>
      <c r="AC45" s="281">
        <v>0</v>
      </c>
      <c r="AD45" s="261"/>
      <c r="AE45" s="386">
        <f t="shared" si="2"/>
        <v>95012</v>
      </c>
      <c r="AG45" s="277"/>
      <c r="AH45" s="279"/>
      <c r="AI45" s="278" t="s">
        <v>3261</v>
      </c>
      <c r="AJ45" s="277"/>
      <c r="AK45" s="276"/>
      <c r="AL45" s="275"/>
      <c r="AM45" s="274"/>
      <c r="AN45" s="273" t="s">
        <v>2567</v>
      </c>
      <c r="AO45" s="359" t="s">
        <v>3408</v>
      </c>
      <c r="AP45" s="360" t="s">
        <v>3443</v>
      </c>
      <c r="AQ45" s="370"/>
      <c r="AR45" s="367" t="s">
        <v>3416</v>
      </c>
      <c r="AS45" s="367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</row>
    <row r="46" spans="1:69">
      <c r="A46" s="17" t="b">
        <f t="shared" si="0"/>
        <v>0</v>
      </c>
      <c r="B46" s="17" t="str">
        <f t="shared" si="1"/>
        <v/>
      </c>
      <c r="C46" s="292" t="s">
        <v>3260</v>
      </c>
      <c r="D46" s="291">
        <v>1</v>
      </c>
      <c r="E46" s="290"/>
      <c r="F46" s="289"/>
      <c r="G46" s="276"/>
      <c r="H46" s="288" t="s">
        <v>3260</v>
      </c>
      <c r="I46" s="288" t="s">
        <v>3260</v>
      </c>
      <c r="J46" s="288" t="s">
        <v>3260</v>
      </c>
      <c r="K46" s="287"/>
      <c r="L46" s="286" t="s">
        <v>3260</v>
      </c>
      <c r="M46" s="286" t="s">
        <v>3260</v>
      </c>
      <c r="N46" s="277"/>
      <c r="O46" s="285" t="s">
        <v>3260</v>
      </c>
      <c r="P46" s="285" t="s">
        <v>3260</v>
      </c>
      <c r="Q46" s="284"/>
      <c r="R46" s="283">
        <v>0</v>
      </c>
      <c r="S46" s="282">
        <v>0</v>
      </c>
      <c r="T46" s="282">
        <v>0</v>
      </c>
      <c r="U46" s="282">
        <v>0</v>
      </c>
      <c r="V46" s="282">
        <v>0</v>
      </c>
      <c r="W46" s="282">
        <v>0</v>
      </c>
      <c r="X46" s="282">
        <v>0</v>
      </c>
      <c r="Y46" s="282">
        <v>0</v>
      </c>
      <c r="Z46" s="282">
        <v>0</v>
      </c>
      <c r="AA46" s="282">
        <v>0</v>
      </c>
      <c r="AB46" s="282">
        <v>0</v>
      </c>
      <c r="AC46" s="281">
        <v>0</v>
      </c>
      <c r="AD46" s="261"/>
      <c r="AE46" s="280">
        <f t="shared" si="2"/>
        <v>0</v>
      </c>
      <c r="AG46" s="277"/>
      <c r="AH46" s="279"/>
      <c r="AI46" s="278" t="s">
        <v>3260</v>
      </c>
      <c r="AJ46" s="277"/>
      <c r="AK46" s="276"/>
      <c r="AL46" s="275"/>
      <c r="AM46" s="274"/>
      <c r="AN46" s="273" t="s">
        <v>2567</v>
      </c>
      <c r="AO46" s="357"/>
      <c r="AS46" s="375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</row>
    <row r="47" spans="1:69">
      <c r="A47" s="17" t="b">
        <f t="shared" si="0"/>
        <v>0</v>
      </c>
      <c r="B47" s="17" t="str">
        <f t="shared" si="1"/>
        <v/>
      </c>
      <c r="C47" s="292" t="s">
        <v>3260</v>
      </c>
      <c r="D47" s="291">
        <v>1</v>
      </c>
      <c r="E47" s="290"/>
      <c r="F47" s="289"/>
      <c r="G47" s="276"/>
      <c r="H47" s="288" t="s">
        <v>3260</v>
      </c>
      <c r="I47" s="288" t="s">
        <v>3260</v>
      </c>
      <c r="J47" s="288" t="s">
        <v>3260</v>
      </c>
      <c r="K47" s="287"/>
      <c r="L47" s="286" t="s">
        <v>3260</v>
      </c>
      <c r="M47" s="286" t="s">
        <v>3260</v>
      </c>
      <c r="N47" s="277"/>
      <c r="O47" s="285" t="s">
        <v>3260</v>
      </c>
      <c r="P47" s="285" t="s">
        <v>3260</v>
      </c>
      <c r="Q47" s="284"/>
      <c r="R47" s="283">
        <v>0</v>
      </c>
      <c r="S47" s="282">
        <v>0</v>
      </c>
      <c r="T47" s="282">
        <v>0</v>
      </c>
      <c r="U47" s="282">
        <v>0</v>
      </c>
      <c r="V47" s="282">
        <v>0</v>
      </c>
      <c r="W47" s="282">
        <v>0</v>
      </c>
      <c r="X47" s="282">
        <v>0</v>
      </c>
      <c r="Y47" s="282">
        <v>0</v>
      </c>
      <c r="Z47" s="282">
        <v>0</v>
      </c>
      <c r="AA47" s="282">
        <v>0</v>
      </c>
      <c r="AB47" s="282">
        <v>0</v>
      </c>
      <c r="AC47" s="281">
        <v>0</v>
      </c>
      <c r="AD47" s="261"/>
      <c r="AE47" s="280">
        <f t="shared" si="2"/>
        <v>0</v>
      </c>
      <c r="AG47" s="277"/>
      <c r="AH47" s="279"/>
      <c r="AI47" s="278" t="s">
        <v>3260</v>
      </c>
      <c r="AJ47" s="277"/>
      <c r="AK47" s="276"/>
      <c r="AL47" s="275"/>
      <c r="AM47" s="274"/>
      <c r="AN47" s="273" t="s">
        <v>2567</v>
      </c>
      <c r="AO47" s="357"/>
      <c r="AS47" s="375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</row>
    <row r="48" spans="1:69">
      <c r="A48" s="17" t="b">
        <f t="shared" si="0"/>
        <v>0</v>
      </c>
      <c r="B48" s="17" t="str">
        <f t="shared" si="1"/>
        <v/>
      </c>
      <c r="C48" s="292" t="s">
        <v>3260</v>
      </c>
      <c r="D48" s="291">
        <v>1</v>
      </c>
      <c r="E48" s="290"/>
      <c r="F48" s="289"/>
      <c r="G48" s="276"/>
      <c r="H48" s="288" t="s">
        <v>3260</v>
      </c>
      <c r="I48" s="288" t="s">
        <v>3260</v>
      </c>
      <c r="J48" s="288" t="s">
        <v>3260</v>
      </c>
      <c r="K48" s="287"/>
      <c r="L48" s="286" t="s">
        <v>3260</v>
      </c>
      <c r="M48" s="286" t="s">
        <v>3260</v>
      </c>
      <c r="N48" s="277"/>
      <c r="O48" s="285" t="s">
        <v>3260</v>
      </c>
      <c r="P48" s="285" t="s">
        <v>3260</v>
      </c>
      <c r="Q48" s="284"/>
      <c r="R48" s="283">
        <v>0</v>
      </c>
      <c r="S48" s="282">
        <v>0</v>
      </c>
      <c r="T48" s="282">
        <v>0</v>
      </c>
      <c r="U48" s="282">
        <v>0</v>
      </c>
      <c r="V48" s="282">
        <v>0</v>
      </c>
      <c r="W48" s="282">
        <v>0</v>
      </c>
      <c r="X48" s="282">
        <v>0</v>
      </c>
      <c r="Y48" s="282">
        <v>0</v>
      </c>
      <c r="Z48" s="282">
        <v>0</v>
      </c>
      <c r="AA48" s="282">
        <v>0</v>
      </c>
      <c r="AB48" s="282">
        <v>0</v>
      </c>
      <c r="AC48" s="281">
        <v>0</v>
      </c>
      <c r="AD48" s="261"/>
      <c r="AE48" s="280">
        <f t="shared" si="2"/>
        <v>0</v>
      </c>
      <c r="AG48" s="277"/>
      <c r="AH48" s="279"/>
      <c r="AI48" s="278" t="s">
        <v>3260</v>
      </c>
      <c r="AJ48" s="277"/>
      <c r="AK48" s="276"/>
      <c r="AL48" s="275"/>
      <c r="AM48" s="274"/>
      <c r="AN48" s="273" t="s">
        <v>2567</v>
      </c>
      <c r="AO48" s="357"/>
      <c r="AS48" s="375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</row>
    <row r="49" spans="1:69">
      <c r="A49" s="17" t="b">
        <f t="shared" si="0"/>
        <v>0</v>
      </c>
      <c r="B49" s="17" t="str">
        <f t="shared" si="1"/>
        <v/>
      </c>
      <c r="C49" s="292" t="s">
        <v>3260</v>
      </c>
      <c r="D49" s="291">
        <v>1</v>
      </c>
      <c r="E49" s="290"/>
      <c r="F49" s="289"/>
      <c r="G49" s="276"/>
      <c r="H49" s="288" t="s">
        <v>3260</v>
      </c>
      <c r="I49" s="288" t="s">
        <v>3260</v>
      </c>
      <c r="J49" s="288" t="s">
        <v>3260</v>
      </c>
      <c r="K49" s="287"/>
      <c r="L49" s="286" t="s">
        <v>3260</v>
      </c>
      <c r="M49" s="286" t="s">
        <v>3260</v>
      </c>
      <c r="N49" s="277"/>
      <c r="O49" s="285" t="s">
        <v>3260</v>
      </c>
      <c r="P49" s="285" t="s">
        <v>3260</v>
      </c>
      <c r="Q49" s="284"/>
      <c r="R49" s="283">
        <v>0</v>
      </c>
      <c r="S49" s="282">
        <v>0</v>
      </c>
      <c r="T49" s="282">
        <v>0</v>
      </c>
      <c r="U49" s="282">
        <v>0</v>
      </c>
      <c r="V49" s="282">
        <v>0</v>
      </c>
      <c r="W49" s="282">
        <v>0</v>
      </c>
      <c r="X49" s="282">
        <v>0</v>
      </c>
      <c r="Y49" s="282">
        <v>0</v>
      </c>
      <c r="Z49" s="282">
        <v>0</v>
      </c>
      <c r="AA49" s="282">
        <v>0</v>
      </c>
      <c r="AB49" s="282">
        <v>0</v>
      </c>
      <c r="AC49" s="281">
        <v>0</v>
      </c>
      <c r="AD49" s="261"/>
      <c r="AE49" s="280">
        <f t="shared" si="2"/>
        <v>0</v>
      </c>
      <c r="AG49" s="277"/>
      <c r="AH49" s="279"/>
      <c r="AI49" s="278" t="s">
        <v>3260</v>
      </c>
      <c r="AJ49" s="277"/>
      <c r="AK49" s="276"/>
      <c r="AL49" s="275"/>
      <c r="AM49" s="274"/>
      <c r="AN49" s="273" t="s">
        <v>2567</v>
      </c>
      <c r="AO49" s="357"/>
      <c r="AS49" s="375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</row>
    <row r="50" spans="1:69">
      <c r="A50" s="17" t="b">
        <f t="shared" si="0"/>
        <v>0</v>
      </c>
      <c r="B50" s="17" t="str">
        <f t="shared" si="1"/>
        <v/>
      </c>
      <c r="C50" s="292" t="s">
        <v>3260</v>
      </c>
      <c r="D50" s="291">
        <v>1</v>
      </c>
      <c r="E50" s="290"/>
      <c r="F50" s="289"/>
      <c r="G50" s="276"/>
      <c r="H50" s="288" t="s">
        <v>3260</v>
      </c>
      <c r="I50" s="288" t="s">
        <v>3260</v>
      </c>
      <c r="J50" s="288" t="s">
        <v>3260</v>
      </c>
      <c r="K50" s="287"/>
      <c r="L50" s="286" t="s">
        <v>3260</v>
      </c>
      <c r="M50" s="286" t="s">
        <v>3260</v>
      </c>
      <c r="N50" s="277"/>
      <c r="O50" s="285" t="s">
        <v>3260</v>
      </c>
      <c r="P50" s="285" t="s">
        <v>3260</v>
      </c>
      <c r="Q50" s="284"/>
      <c r="R50" s="283">
        <v>0</v>
      </c>
      <c r="S50" s="282">
        <v>0</v>
      </c>
      <c r="T50" s="282">
        <v>0</v>
      </c>
      <c r="U50" s="282">
        <v>0</v>
      </c>
      <c r="V50" s="282">
        <v>0</v>
      </c>
      <c r="W50" s="282">
        <v>0</v>
      </c>
      <c r="X50" s="282">
        <v>0</v>
      </c>
      <c r="Y50" s="282">
        <v>0</v>
      </c>
      <c r="Z50" s="282">
        <v>0</v>
      </c>
      <c r="AA50" s="282">
        <v>0</v>
      </c>
      <c r="AB50" s="282">
        <v>0</v>
      </c>
      <c r="AC50" s="281">
        <v>0</v>
      </c>
      <c r="AD50" s="261"/>
      <c r="AE50" s="280">
        <f t="shared" si="2"/>
        <v>0</v>
      </c>
      <c r="AG50" s="277"/>
      <c r="AH50" s="279"/>
      <c r="AI50" s="278" t="s">
        <v>3260</v>
      </c>
      <c r="AJ50" s="277"/>
      <c r="AK50" s="276"/>
      <c r="AL50" s="275"/>
      <c r="AM50" s="274"/>
      <c r="AN50" s="273" t="s">
        <v>2567</v>
      </c>
      <c r="AO50" s="357"/>
      <c r="AS50" s="375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</row>
    <row r="51" spans="1:69">
      <c r="A51" s="17" t="b">
        <f t="shared" si="0"/>
        <v>0</v>
      </c>
      <c r="B51" s="17" t="str">
        <f t="shared" si="1"/>
        <v/>
      </c>
      <c r="C51" s="292" t="s">
        <v>3260</v>
      </c>
      <c r="D51" s="291">
        <v>1</v>
      </c>
      <c r="E51" s="290"/>
      <c r="F51" s="289"/>
      <c r="G51" s="276"/>
      <c r="H51" s="288" t="s">
        <v>3260</v>
      </c>
      <c r="I51" s="288" t="s">
        <v>3260</v>
      </c>
      <c r="J51" s="288" t="s">
        <v>3260</v>
      </c>
      <c r="K51" s="287"/>
      <c r="L51" s="286" t="s">
        <v>3260</v>
      </c>
      <c r="M51" s="286" t="s">
        <v>3260</v>
      </c>
      <c r="N51" s="277"/>
      <c r="O51" s="285" t="s">
        <v>3260</v>
      </c>
      <c r="P51" s="285" t="s">
        <v>3260</v>
      </c>
      <c r="Q51" s="284"/>
      <c r="R51" s="283">
        <v>0</v>
      </c>
      <c r="S51" s="282">
        <v>0</v>
      </c>
      <c r="T51" s="282">
        <v>0</v>
      </c>
      <c r="U51" s="282">
        <v>0</v>
      </c>
      <c r="V51" s="282">
        <v>0</v>
      </c>
      <c r="W51" s="282">
        <v>0</v>
      </c>
      <c r="X51" s="282">
        <v>0</v>
      </c>
      <c r="Y51" s="282">
        <v>0</v>
      </c>
      <c r="Z51" s="282">
        <v>0</v>
      </c>
      <c r="AA51" s="282">
        <v>0</v>
      </c>
      <c r="AB51" s="282">
        <v>0</v>
      </c>
      <c r="AC51" s="281">
        <v>0</v>
      </c>
      <c r="AD51" s="261"/>
      <c r="AE51" s="280">
        <f t="shared" si="2"/>
        <v>0</v>
      </c>
      <c r="AG51" s="277"/>
      <c r="AH51" s="279"/>
      <c r="AI51" s="278" t="s">
        <v>3260</v>
      </c>
      <c r="AJ51" s="277"/>
      <c r="AK51" s="276"/>
      <c r="AL51" s="275"/>
      <c r="AM51" s="274"/>
      <c r="AN51" s="273" t="s">
        <v>2567</v>
      </c>
      <c r="AO51" s="357"/>
      <c r="AS51" s="375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</row>
    <row r="52" spans="1:69">
      <c r="A52" s="17" t="b">
        <f t="shared" si="0"/>
        <v>0</v>
      </c>
      <c r="B52" s="17" t="str">
        <f t="shared" si="1"/>
        <v/>
      </c>
      <c r="C52" s="292" t="s">
        <v>3260</v>
      </c>
      <c r="D52" s="291">
        <v>1</v>
      </c>
      <c r="E52" s="290"/>
      <c r="F52" s="289"/>
      <c r="G52" s="276"/>
      <c r="H52" s="288" t="s">
        <v>3260</v>
      </c>
      <c r="I52" s="288" t="s">
        <v>3260</v>
      </c>
      <c r="J52" s="288" t="s">
        <v>3260</v>
      </c>
      <c r="K52" s="287"/>
      <c r="L52" s="286" t="s">
        <v>3260</v>
      </c>
      <c r="M52" s="286" t="s">
        <v>3260</v>
      </c>
      <c r="N52" s="277"/>
      <c r="O52" s="285" t="s">
        <v>3260</v>
      </c>
      <c r="P52" s="285" t="s">
        <v>3260</v>
      </c>
      <c r="Q52" s="284"/>
      <c r="R52" s="283">
        <v>0</v>
      </c>
      <c r="S52" s="282">
        <v>0</v>
      </c>
      <c r="T52" s="282">
        <v>0</v>
      </c>
      <c r="U52" s="282">
        <v>0</v>
      </c>
      <c r="V52" s="282">
        <v>0</v>
      </c>
      <c r="W52" s="282">
        <v>0</v>
      </c>
      <c r="X52" s="282">
        <v>0</v>
      </c>
      <c r="Y52" s="282">
        <v>0</v>
      </c>
      <c r="Z52" s="282">
        <v>0</v>
      </c>
      <c r="AA52" s="282">
        <v>0</v>
      </c>
      <c r="AB52" s="282">
        <v>0</v>
      </c>
      <c r="AC52" s="281">
        <v>0</v>
      </c>
      <c r="AD52" s="261"/>
      <c r="AE52" s="280">
        <f t="shared" si="2"/>
        <v>0</v>
      </c>
      <c r="AG52" s="277"/>
      <c r="AH52" s="279"/>
      <c r="AI52" s="278" t="s">
        <v>3260</v>
      </c>
      <c r="AJ52" s="277"/>
      <c r="AK52" s="276"/>
      <c r="AL52" s="275"/>
      <c r="AM52" s="274"/>
      <c r="AN52" s="273" t="s">
        <v>2567</v>
      </c>
      <c r="AO52" s="357"/>
      <c r="AS52" s="375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</row>
    <row r="53" spans="1:69">
      <c r="A53" s="17" t="b">
        <f t="shared" si="0"/>
        <v>0</v>
      </c>
      <c r="B53" s="17" t="str">
        <f t="shared" si="1"/>
        <v/>
      </c>
      <c r="C53" s="292" t="s">
        <v>3260</v>
      </c>
      <c r="D53" s="291">
        <v>1</v>
      </c>
      <c r="E53" s="290"/>
      <c r="F53" s="289"/>
      <c r="G53" s="276"/>
      <c r="H53" s="288" t="s">
        <v>3260</v>
      </c>
      <c r="I53" s="288" t="s">
        <v>3260</v>
      </c>
      <c r="J53" s="288" t="s">
        <v>3260</v>
      </c>
      <c r="K53" s="287"/>
      <c r="L53" s="286" t="s">
        <v>3260</v>
      </c>
      <c r="M53" s="286" t="s">
        <v>3260</v>
      </c>
      <c r="N53" s="277"/>
      <c r="O53" s="285" t="s">
        <v>3260</v>
      </c>
      <c r="P53" s="285" t="s">
        <v>3260</v>
      </c>
      <c r="Q53" s="284"/>
      <c r="R53" s="283">
        <v>0</v>
      </c>
      <c r="S53" s="282">
        <v>0</v>
      </c>
      <c r="T53" s="282">
        <v>0</v>
      </c>
      <c r="U53" s="282">
        <v>0</v>
      </c>
      <c r="V53" s="282">
        <v>0</v>
      </c>
      <c r="W53" s="282">
        <v>0</v>
      </c>
      <c r="X53" s="282">
        <v>0</v>
      </c>
      <c r="Y53" s="282">
        <v>0</v>
      </c>
      <c r="Z53" s="282">
        <v>0</v>
      </c>
      <c r="AA53" s="282">
        <v>0</v>
      </c>
      <c r="AB53" s="282">
        <v>0</v>
      </c>
      <c r="AC53" s="281">
        <v>0</v>
      </c>
      <c r="AD53" s="261"/>
      <c r="AE53" s="280">
        <f t="shared" si="2"/>
        <v>0</v>
      </c>
      <c r="AG53" s="277"/>
      <c r="AH53" s="279"/>
      <c r="AI53" s="278" t="s">
        <v>3260</v>
      </c>
      <c r="AJ53" s="277"/>
      <c r="AK53" s="276"/>
      <c r="AL53" s="275"/>
      <c r="AM53" s="274"/>
      <c r="AN53" s="273" t="s">
        <v>2567</v>
      </c>
      <c r="AO53" s="357"/>
      <c r="AS53" s="375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</row>
    <row r="54" spans="1:69">
      <c r="A54" s="17" t="b">
        <f t="shared" si="0"/>
        <v>0</v>
      </c>
      <c r="B54" s="17" t="str">
        <f t="shared" si="1"/>
        <v/>
      </c>
      <c r="C54" s="292" t="s">
        <v>3260</v>
      </c>
      <c r="D54" s="291">
        <v>1</v>
      </c>
      <c r="E54" s="290"/>
      <c r="F54" s="289"/>
      <c r="G54" s="276"/>
      <c r="H54" s="288" t="s">
        <v>3260</v>
      </c>
      <c r="I54" s="288" t="s">
        <v>3260</v>
      </c>
      <c r="J54" s="288" t="s">
        <v>3260</v>
      </c>
      <c r="K54" s="287"/>
      <c r="L54" s="286" t="s">
        <v>3260</v>
      </c>
      <c r="M54" s="286" t="s">
        <v>3260</v>
      </c>
      <c r="N54" s="277"/>
      <c r="O54" s="285" t="s">
        <v>3260</v>
      </c>
      <c r="P54" s="285" t="s">
        <v>3260</v>
      </c>
      <c r="Q54" s="284"/>
      <c r="R54" s="283">
        <v>0</v>
      </c>
      <c r="S54" s="282">
        <v>0</v>
      </c>
      <c r="T54" s="282">
        <v>0</v>
      </c>
      <c r="U54" s="282">
        <v>0</v>
      </c>
      <c r="V54" s="282">
        <v>0</v>
      </c>
      <c r="W54" s="282">
        <v>0</v>
      </c>
      <c r="X54" s="282">
        <v>0</v>
      </c>
      <c r="Y54" s="282">
        <v>0</v>
      </c>
      <c r="Z54" s="282">
        <v>0</v>
      </c>
      <c r="AA54" s="282">
        <v>0</v>
      </c>
      <c r="AB54" s="282">
        <v>0</v>
      </c>
      <c r="AC54" s="281">
        <v>0</v>
      </c>
      <c r="AD54" s="261"/>
      <c r="AE54" s="280">
        <f t="shared" si="2"/>
        <v>0</v>
      </c>
      <c r="AG54" s="277"/>
      <c r="AH54" s="279"/>
      <c r="AI54" s="278" t="s">
        <v>3260</v>
      </c>
      <c r="AJ54" s="277"/>
      <c r="AK54" s="276"/>
      <c r="AL54" s="275"/>
      <c r="AM54" s="274"/>
      <c r="AN54" s="273" t="s">
        <v>2567</v>
      </c>
      <c r="AO54" s="357"/>
      <c r="AS54" s="375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</row>
    <row r="55" spans="1:69">
      <c r="A55" s="17" t="b">
        <f t="shared" si="0"/>
        <v>0</v>
      </c>
      <c r="B55" s="17" t="str">
        <f t="shared" si="1"/>
        <v/>
      </c>
      <c r="C55" s="292" t="s">
        <v>3260</v>
      </c>
      <c r="D55" s="291">
        <v>1</v>
      </c>
      <c r="E55" s="290"/>
      <c r="F55" s="289"/>
      <c r="G55" s="276"/>
      <c r="H55" s="288" t="s">
        <v>3260</v>
      </c>
      <c r="I55" s="288" t="s">
        <v>3260</v>
      </c>
      <c r="J55" s="288" t="s">
        <v>3260</v>
      </c>
      <c r="K55" s="287"/>
      <c r="L55" s="286" t="s">
        <v>3260</v>
      </c>
      <c r="M55" s="286" t="s">
        <v>3260</v>
      </c>
      <c r="N55" s="277"/>
      <c r="O55" s="285" t="s">
        <v>3260</v>
      </c>
      <c r="P55" s="285" t="s">
        <v>3260</v>
      </c>
      <c r="Q55" s="284"/>
      <c r="R55" s="283">
        <v>0</v>
      </c>
      <c r="S55" s="282">
        <v>0</v>
      </c>
      <c r="T55" s="282">
        <v>0</v>
      </c>
      <c r="U55" s="282">
        <v>0</v>
      </c>
      <c r="V55" s="282">
        <v>0</v>
      </c>
      <c r="W55" s="282">
        <v>0</v>
      </c>
      <c r="X55" s="282">
        <v>0</v>
      </c>
      <c r="Y55" s="282">
        <v>0</v>
      </c>
      <c r="Z55" s="282">
        <v>0</v>
      </c>
      <c r="AA55" s="282">
        <v>0</v>
      </c>
      <c r="AB55" s="282">
        <v>0</v>
      </c>
      <c r="AC55" s="281">
        <v>0</v>
      </c>
      <c r="AD55" s="261"/>
      <c r="AE55" s="280">
        <f t="shared" si="2"/>
        <v>0</v>
      </c>
      <c r="AG55" s="277"/>
      <c r="AH55" s="279"/>
      <c r="AI55" s="278" t="s">
        <v>3260</v>
      </c>
      <c r="AJ55" s="277"/>
      <c r="AK55" s="276"/>
      <c r="AL55" s="275"/>
      <c r="AM55" s="274"/>
      <c r="AN55" s="273" t="s">
        <v>2567</v>
      </c>
      <c r="AO55" s="357"/>
      <c r="AS55" s="375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</row>
    <row r="56" spans="1:69">
      <c r="A56" s="17" t="b">
        <f t="shared" si="0"/>
        <v>0</v>
      </c>
      <c r="B56" s="17" t="str">
        <f t="shared" si="1"/>
        <v/>
      </c>
      <c r="C56" s="292" t="s">
        <v>3260</v>
      </c>
      <c r="D56" s="291">
        <v>1</v>
      </c>
      <c r="E56" s="290"/>
      <c r="F56" s="289"/>
      <c r="G56" s="276"/>
      <c r="H56" s="288" t="s">
        <v>3260</v>
      </c>
      <c r="I56" s="288" t="s">
        <v>3260</v>
      </c>
      <c r="J56" s="288" t="s">
        <v>3260</v>
      </c>
      <c r="K56" s="287"/>
      <c r="L56" s="286" t="s">
        <v>3260</v>
      </c>
      <c r="M56" s="286" t="s">
        <v>3260</v>
      </c>
      <c r="N56" s="277"/>
      <c r="O56" s="285" t="s">
        <v>3260</v>
      </c>
      <c r="P56" s="285" t="s">
        <v>3260</v>
      </c>
      <c r="Q56" s="284"/>
      <c r="R56" s="283">
        <v>0</v>
      </c>
      <c r="S56" s="282">
        <v>0</v>
      </c>
      <c r="T56" s="282">
        <v>0</v>
      </c>
      <c r="U56" s="282">
        <v>0</v>
      </c>
      <c r="V56" s="282">
        <v>0</v>
      </c>
      <c r="W56" s="282">
        <v>0</v>
      </c>
      <c r="X56" s="282">
        <v>0</v>
      </c>
      <c r="Y56" s="282">
        <v>0</v>
      </c>
      <c r="Z56" s="282">
        <v>0</v>
      </c>
      <c r="AA56" s="282">
        <v>0</v>
      </c>
      <c r="AB56" s="282">
        <v>0</v>
      </c>
      <c r="AC56" s="281">
        <v>0</v>
      </c>
      <c r="AD56" s="261"/>
      <c r="AE56" s="280">
        <f t="shared" si="2"/>
        <v>0</v>
      </c>
      <c r="AG56" s="277"/>
      <c r="AH56" s="279"/>
      <c r="AI56" s="278" t="s">
        <v>3260</v>
      </c>
      <c r="AJ56" s="277"/>
      <c r="AK56" s="276"/>
      <c r="AL56" s="275"/>
      <c r="AM56" s="274"/>
      <c r="AN56" s="273" t="s">
        <v>2567</v>
      </c>
      <c r="AO56" s="357"/>
      <c r="AS56" s="375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</row>
    <row r="57" spans="1:69">
      <c r="A57" s="17" t="b">
        <f t="shared" si="0"/>
        <v>0</v>
      </c>
      <c r="B57" s="17" t="str">
        <f t="shared" si="1"/>
        <v/>
      </c>
      <c r="C57" s="292" t="s">
        <v>3260</v>
      </c>
      <c r="D57" s="291">
        <v>1</v>
      </c>
      <c r="E57" s="290"/>
      <c r="F57" s="289"/>
      <c r="G57" s="276"/>
      <c r="H57" s="288" t="s">
        <v>3260</v>
      </c>
      <c r="I57" s="288" t="s">
        <v>3260</v>
      </c>
      <c r="J57" s="288" t="s">
        <v>3260</v>
      </c>
      <c r="K57" s="287"/>
      <c r="L57" s="286" t="s">
        <v>3260</v>
      </c>
      <c r="M57" s="286" t="s">
        <v>3260</v>
      </c>
      <c r="N57" s="277"/>
      <c r="O57" s="285" t="s">
        <v>3260</v>
      </c>
      <c r="P57" s="285" t="s">
        <v>3260</v>
      </c>
      <c r="Q57" s="284"/>
      <c r="R57" s="283">
        <v>0</v>
      </c>
      <c r="S57" s="282">
        <v>0</v>
      </c>
      <c r="T57" s="282">
        <v>0</v>
      </c>
      <c r="U57" s="282">
        <v>0</v>
      </c>
      <c r="V57" s="282">
        <v>0</v>
      </c>
      <c r="W57" s="282">
        <v>0</v>
      </c>
      <c r="X57" s="282">
        <v>0</v>
      </c>
      <c r="Y57" s="282">
        <v>0</v>
      </c>
      <c r="Z57" s="282">
        <v>0</v>
      </c>
      <c r="AA57" s="282">
        <v>0</v>
      </c>
      <c r="AB57" s="282">
        <v>0</v>
      </c>
      <c r="AC57" s="281">
        <v>0</v>
      </c>
      <c r="AD57" s="261"/>
      <c r="AE57" s="280">
        <f t="shared" si="2"/>
        <v>0</v>
      </c>
      <c r="AG57" s="277"/>
      <c r="AH57" s="279"/>
      <c r="AI57" s="278" t="s">
        <v>3260</v>
      </c>
      <c r="AJ57" s="277"/>
      <c r="AK57" s="276"/>
      <c r="AL57" s="275"/>
      <c r="AM57" s="274"/>
      <c r="AN57" s="273" t="s">
        <v>2567</v>
      </c>
      <c r="AO57" s="357"/>
      <c r="AS57" s="375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</row>
    <row r="58" spans="1:69">
      <c r="A58" s="17" t="b">
        <f t="shared" si="0"/>
        <v>0</v>
      </c>
      <c r="B58" s="17" t="str">
        <f t="shared" si="1"/>
        <v/>
      </c>
      <c r="C58" s="292" t="s">
        <v>3260</v>
      </c>
      <c r="D58" s="291">
        <v>1</v>
      </c>
      <c r="E58" s="290"/>
      <c r="F58" s="289"/>
      <c r="G58" s="276"/>
      <c r="H58" s="288" t="s">
        <v>3260</v>
      </c>
      <c r="I58" s="288" t="s">
        <v>3260</v>
      </c>
      <c r="J58" s="288" t="s">
        <v>3260</v>
      </c>
      <c r="K58" s="287"/>
      <c r="L58" s="286" t="s">
        <v>3260</v>
      </c>
      <c r="M58" s="286" t="s">
        <v>3260</v>
      </c>
      <c r="N58" s="277"/>
      <c r="O58" s="285" t="s">
        <v>3260</v>
      </c>
      <c r="P58" s="285" t="s">
        <v>3260</v>
      </c>
      <c r="Q58" s="284"/>
      <c r="R58" s="283">
        <v>0</v>
      </c>
      <c r="S58" s="282">
        <v>0</v>
      </c>
      <c r="T58" s="282">
        <v>0</v>
      </c>
      <c r="U58" s="282">
        <v>0</v>
      </c>
      <c r="V58" s="282">
        <v>0</v>
      </c>
      <c r="W58" s="282">
        <v>0</v>
      </c>
      <c r="X58" s="282">
        <v>0</v>
      </c>
      <c r="Y58" s="282">
        <v>0</v>
      </c>
      <c r="Z58" s="282">
        <v>0</v>
      </c>
      <c r="AA58" s="282">
        <v>0</v>
      </c>
      <c r="AB58" s="282">
        <v>0</v>
      </c>
      <c r="AC58" s="281">
        <v>0</v>
      </c>
      <c r="AD58" s="261"/>
      <c r="AE58" s="280">
        <f t="shared" si="2"/>
        <v>0</v>
      </c>
      <c r="AG58" s="277"/>
      <c r="AH58" s="279"/>
      <c r="AI58" s="278" t="s">
        <v>3260</v>
      </c>
      <c r="AJ58" s="277"/>
      <c r="AK58" s="276"/>
      <c r="AL58" s="275"/>
      <c r="AM58" s="274"/>
      <c r="AN58" s="273" t="s">
        <v>2567</v>
      </c>
      <c r="AO58" s="357"/>
      <c r="AS58" s="375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</row>
    <row r="59" spans="1:69">
      <c r="A59" s="17" t="b">
        <f t="shared" si="0"/>
        <v>0</v>
      </c>
      <c r="B59" s="17" t="str">
        <f t="shared" si="1"/>
        <v/>
      </c>
      <c r="C59" s="292" t="s">
        <v>3260</v>
      </c>
      <c r="D59" s="291">
        <v>1</v>
      </c>
      <c r="E59" s="290"/>
      <c r="F59" s="289"/>
      <c r="G59" s="276"/>
      <c r="H59" s="288" t="s">
        <v>3260</v>
      </c>
      <c r="I59" s="288" t="s">
        <v>3260</v>
      </c>
      <c r="J59" s="288" t="s">
        <v>3260</v>
      </c>
      <c r="K59" s="287"/>
      <c r="L59" s="286" t="s">
        <v>3260</v>
      </c>
      <c r="M59" s="286" t="s">
        <v>3260</v>
      </c>
      <c r="N59" s="277"/>
      <c r="O59" s="285" t="s">
        <v>3260</v>
      </c>
      <c r="P59" s="285" t="s">
        <v>3260</v>
      </c>
      <c r="Q59" s="284"/>
      <c r="R59" s="283">
        <v>0</v>
      </c>
      <c r="S59" s="282">
        <v>0</v>
      </c>
      <c r="T59" s="282">
        <v>0</v>
      </c>
      <c r="U59" s="282">
        <v>0</v>
      </c>
      <c r="V59" s="282">
        <v>0</v>
      </c>
      <c r="W59" s="282">
        <v>0</v>
      </c>
      <c r="X59" s="282">
        <v>0</v>
      </c>
      <c r="Y59" s="282">
        <v>0</v>
      </c>
      <c r="Z59" s="282">
        <v>0</v>
      </c>
      <c r="AA59" s="282">
        <v>0</v>
      </c>
      <c r="AB59" s="282">
        <v>0</v>
      </c>
      <c r="AC59" s="281">
        <v>0</v>
      </c>
      <c r="AD59" s="261"/>
      <c r="AE59" s="280">
        <f t="shared" si="2"/>
        <v>0</v>
      </c>
      <c r="AG59" s="277"/>
      <c r="AH59" s="279"/>
      <c r="AI59" s="278" t="s">
        <v>3260</v>
      </c>
      <c r="AJ59" s="277"/>
      <c r="AK59" s="276"/>
      <c r="AL59" s="275"/>
      <c r="AM59" s="274"/>
      <c r="AN59" s="273" t="s">
        <v>2567</v>
      </c>
      <c r="AO59" s="357"/>
      <c r="AS59" s="375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</row>
    <row r="60" spans="1:69">
      <c r="A60" s="17" t="b">
        <f t="shared" si="0"/>
        <v>0</v>
      </c>
      <c r="B60" s="17" t="str">
        <f t="shared" si="1"/>
        <v/>
      </c>
      <c r="C60" s="292" t="s">
        <v>3260</v>
      </c>
      <c r="D60" s="291">
        <v>1</v>
      </c>
      <c r="E60" s="290"/>
      <c r="F60" s="289"/>
      <c r="G60" s="276"/>
      <c r="H60" s="288" t="s">
        <v>3260</v>
      </c>
      <c r="I60" s="288" t="s">
        <v>3260</v>
      </c>
      <c r="J60" s="288" t="s">
        <v>3260</v>
      </c>
      <c r="K60" s="287"/>
      <c r="L60" s="286" t="s">
        <v>3260</v>
      </c>
      <c r="M60" s="286" t="s">
        <v>3260</v>
      </c>
      <c r="N60" s="277"/>
      <c r="O60" s="285" t="s">
        <v>3260</v>
      </c>
      <c r="P60" s="285" t="s">
        <v>3260</v>
      </c>
      <c r="Q60" s="284"/>
      <c r="R60" s="283">
        <v>0</v>
      </c>
      <c r="S60" s="282">
        <v>0</v>
      </c>
      <c r="T60" s="282">
        <v>0</v>
      </c>
      <c r="U60" s="282">
        <v>0</v>
      </c>
      <c r="V60" s="282">
        <v>0</v>
      </c>
      <c r="W60" s="282">
        <v>0</v>
      </c>
      <c r="X60" s="282">
        <v>0</v>
      </c>
      <c r="Y60" s="282">
        <v>0</v>
      </c>
      <c r="Z60" s="282">
        <v>0</v>
      </c>
      <c r="AA60" s="282">
        <v>0</v>
      </c>
      <c r="AB60" s="282">
        <v>0</v>
      </c>
      <c r="AC60" s="281">
        <v>0</v>
      </c>
      <c r="AD60" s="261"/>
      <c r="AE60" s="280">
        <f t="shared" si="2"/>
        <v>0</v>
      </c>
      <c r="AG60" s="277"/>
      <c r="AH60" s="279"/>
      <c r="AI60" s="278" t="s">
        <v>3260</v>
      </c>
      <c r="AJ60" s="277"/>
      <c r="AK60" s="276"/>
      <c r="AL60" s="275"/>
      <c r="AM60" s="274"/>
      <c r="AN60" s="273" t="s">
        <v>2567</v>
      </c>
      <c r="AO60" s="357"/>
      <c r="AS60" s="375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</row>
    <row r="61" spans="1:69">
      <c r="A61" s="17" t="b">
        <f t="shared" si="0"/>
        <v>0</v>
      </c>
      <c r="B61" s="17" t="str">
        <f t="shared" si="1"/>
        <v/>
      </c>
      <c r="C61" s="292" t="s">
        <v>3260</v>
      </c>
      <c r="D61" s="291">
        <v>1</v>
      </c>
      <c r="E61" s="290"/>
      <c r="F61" s="289"/>
      <c r="G61" s="276"/>
      <c r="H61" s="288" t="s">
        <v>3260</v>
      </c>
      <c r="I61" s="288" t="s">
        <v>3260</v>
      </c>
      <c r="J61" s="288" t="s">
        <v>3260</v>
      </c>
      <c r="K61" s="287"/>
      <c r="L61" s="286" t="s">
        <v>3260</v>
      </c>
      <c r="M61" s="286" t="s">
        <v>3260</v>
      </c>
      <c r="N61" s="277"/>
      <c r="O61" s="285" t="s">
        <v>3260</v>
      </c>
      <c r="P61" s="285" t="s">
        <v>3260</v>
      </c>
      <c r="Q61" s="284"/>
      <c r="R61" s="283">
        <v>0</v>
      </c>
      <c r="S61" s="282">
        <v>0</v>
      </c>
      <c r="T61" s="282">
        <v>0</v>
      </c>
      <c r="U61" s="282">
        <v>0</v>
      </c>
      <c r="V61" s="282">
        <v>0</v>
      </c>
      <c r="W61" s="282">
        <v>0</v>
      </c>
      <c r="X61" s="282">
        <v>0</v>
      </c>
      <c r="Y61" s="282">
        <v>0</v>
      </c>
      <c r="Z61" s="282">
        <v>0</v>
      </c>
      <c r="AA61" s="282">
        <v>0</v>
      </c>
      <c r="AB61" s="282">
        <v>0</v>
      </c>
      <c r="AC61" s="281">
        <v>0</v>
      </c>
      <c r="AD61" s="261"/>
      <c r="AE61" s="280">
        <f t="shared" si="2"/>
        <v>0</v>
      </c>
      <c r="AG61" s="277"/>
      <c r="AH61" s="279"/>
      <c r="AI61" s="278" t="s">
        <v>3260</v>
      </c>
      <c r="AJ61" s="277"/>
      <c r="AK61" s="276"/>
      <c r="AL61" s="275"/>
      <c r="AM61" s="274"/>
      <c r="AN61" s="273" t="s">
        <v>2567</v>
      </c>
      <c r="AO61" s="357"/>
      <c r="AS61" s="375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</row>
    <row r="62" spans="1:69">
      <c r="A62" s="17" t="b">
        <f t="shared" si="0"/>
        <v>0</v>
      </c>
      <c r="B62" s="17" t="str">
        <f t="shared" si="1"/>
        <v/>
      </c>
      <c r="C62" s="292" t="s">
        <v>3260</v>
      </c>
      <c r="D62" s="291">
        <v>1</v>
      </c>
      <c r="E62" s="290"/>
      <c r="F62" s="289"/>
      <c r="G62" s="276"/>
      <c r="H62" s="288" t="s">
        <v>3260</v>
      </c>
      <c r="I62" s="288" t="s">
        <v>3260</v>
      </c>
      <c r="J62" s="288" t="s">
        <v>3260</v>
      </c>
      <c r="K62" s="287"/>
      <c r="L62" s="286" t="s">
        <v>3260</v>
      </c>
      <c r="M62" s="286" t="s">
        <v>3260</v>
      </c>
      <c r="N62" s="277"/>
      <c r="O62" s="285" t="s">
        <v>3260</v>
      </c>
      <c r="P62" s="285" t="s">
        <v>3260</v>
      </c>
      <c r="Q62" s="284"/>
      <c r="R62" s="283">
        <v>0</v>
      </c>
      <c r="S62" s="282">
        <v>0</v>
      </c>
      <c r="T62" s="282">
        <v>0</v>
      </c>
      <c r="U62" s="282">
        <v>0</v>
      </c>
      <c r="V62" s="282">
        <v>0</v>
      </c>
      <c r="W62" s="282">
        <v>0</v>
      </c>
      <c r="X62" s="282">
        <v>0</v>
      </c>
      <c r="Y62" s="282">
        <v>0</v>
      </c>
      <c r="Z62" s="282">
        <v>0</v>
      </c>
      <c r="AA62" s="282">
        <v>0</v>
      </c>
      <c r="AB62" s="282">
        <v>0</v>
      </c>
      <c r="AC62" s="281">
        <v>0</v>
      </c>
      <c r="AD62" s="261"/>
      <c r="AE62" s="280">
        <f t="shared" si="2"/>
        <v>0</v>
      </c>
      <c r="AG62" s="277"/>
      <c r="AH62" s="279"/>
      <c r="AI62" s="278" t="s">
        <v>3260</v>
      </c>
      <c r="AJ62" s="277"/>
      <c r="AK62" s="276"/>
      <c r="AL62" s="275"/>
      <c r="AM62" s="274"/>
      <c r="AN62" s="273" t="s">
        <v>2567</v>
      </c>
      <c r="AO62" s="357"/>
      <c r="AS62" s="375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</row>
    <row r="63" spans="1:69">
      <c r="A63" s="17" t="b">
        <f t="shared" si="0"/>
        <v>0</v>
      </c>
      <c r="B63" s="17" t="str">
        <f t="shared" si="1"/>
        <v/>
      </c>
      <c r="C63" s="292" t="s">
        <v>3260</v>
      </c>
      <c r="D63" s="291">
        <v>1</v>
      </c>
      <c r="E63" s="290"/>
      <c r="F63" s="289"/>
      <c r="G63" s="276"/>
      <c r="H63" s="288" t="s">
        <v>3260</v>
      </c>
      <c r="I63" s="288" t="s">
        <v>3260</v>
      </c>
      <c r="J63" s="288" t="s">
        <v>3260</v>
      </c>
      <c r="K63" s="287"/>
      <c r="L63" s="286" t="s">
        <v>3260</v>
      </c>
      <c r="M63" s="286" t="s">
        <v>3260</v>
      </c>
      <c r="N63" s="277"/>
      <c r="O63" s="285" t="s">
        <v>3260</v>
      </c>
      <c r="P63" s="285" t="s">
        <v>3260</v>
      </c>
      <c r="Q63" s="284"/>
      <c r="R63" s="283">
        <v>0</v>
      </c>
      <c r="S63" s="282">
        <v>0</v>
      </c>
      <c r="T63" s="282">
        <v>0</v>
      </c>
      <c r="U63" s="282">
        <v>0</v>
      </c>
      <c r="V63" s="282">
        <v>0</v>
      </c>
      <c r="W63" s="282">
        <v>0</v>
      </c>
      <c r="X63" s="282">
        <v>0</v>
      </c>
      <c r="Y63" s="282">
        <v>0</v>
      </c>
      <c r="Z63" s="282">
        <v>0</v>
      </c>
      <c r="AA63" s="282">
        <v>0</v>
      </c>
      <c r="AB63" s="282">
        <v>0</v>
      </c>
      <c r="AC63" s="281">
        <v>0</v>
      </c>
      <c r="AD63" s="261"/>
      <c r="AE63" s="280">
        <f t="shared" si="2"/>
        <v>0</v>
      </c>
      <c r="AG63" s="277"/>
      <c r="AH63" s="279"/>
      <c r="AI63" s="278" t="s">
        <v>3260</v>
      </c>
      <c r="AJ63" s="277"/>
      <c r="AK63" s="276"/>
      <c r="AL63" s="275"/>
      <c r="AM63" s="274"/>
      <c r="AN63" s="273" t="s">
        <v>2567</v>
      </c>
      <c r="AO63" s="357"/>
      <c r="AS63" s="375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</row>
    <row r="64" spans="1:69">
      <c r="A64" s="17" t="b">
        <f t="shared" si="0"/>
        <v>0</v>
      </c>
      <c r="B64" s="17" t="str">
        <f t="shared" si="1"/>
        <v/>
      </c>
      <c r="C64" s="292" t="s">
        <v>3260</v>
      </c>
      <c r="D64" s="291">
        <v>1</v>
      </c>
      <c r="E64" s="290"/>
      <c r="F64" s="289"/>
      <c r="G64" s="276"/>
      <c r="H64" s="288" t="s">
        <v>3260</v>
      </c>
      <c r="I64" s="288" t="s">
        <v>3260</v>
      </c>
      <c r="J64" s="288" t="s">
        <v>3260</v>
      </c>
      <c r="K64" s="287"/>
      <c r="L64" s="286" t="s">
        <v>3260</v>
      </c>
      <c r="M64" s="286" t="s">
        <v>3260</v>
      </c>
      <c r="N64" s="277"/>
      <c r="O64" s="285" t="s">
        <v>3260</v>
      </c>
      <c r="P64" s="285" t="s">
        <v>3260</v>
      </c>
      <c r="Q64" s="284"/>
      <c r="R64" s="283">
        <v>0</v>
      </c>
      <c r="S64" s="282">
        <v>0</v>
      </c>
      <c r="T64" s="282">
        <v>0</v>
      </c>
      <c r="U64" s="282">
        <v>0</v>
      </c>
      <c r="V64" s="282">
        <v>0</v>
      </c>
      <c r="W64" s="282">
        <v>0</v>
      </c>
      <c r="X64" s="282">
        <v>0</v>
      </c>
      <c r="Y64" s="282">
        <v>0</v>
      </c>
      <c r="Z64" s="282">
        <v>0</v>
      </c>
      <c r="AA64" s="282">
        <v>0</v>
      </c>
      <c r="AB64" s="282">
        <v>0</v>
      </c>
      <c r="AC64" s="281">
        <v>0</v>
      </c>
      <c r="AD64" s="261"/>
      <c r="AE64" s="280">
        <f t="shared" si="2"/>
        <v>0</v>
      </c>
      <c r="AG64" s="277"/>
      <c r="AH64" s="279"/>
      <c r="AI64" s="278" t="s">
        <v>3260</v>
      </c>
      <c r="AJ64" s="277"/>
      <c r="AK64" s="276"/>
      <c r="AL64" s="275"/>
      <c r="AM64" s="274"/>
      <c r="AN64" s="273" t="s">
        <v>2567</v>
      </c>
      <c r="AO64" s="357"/>
      <c r="AS64" s="375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</row>
    <row r="65" spans="1:69">
      <c r="A65" s="17" t="b">
        <f t="shared" si="0"/>
        <v>0</v>
      </c>
      <c r="B65" s="17" t="str">
        <f t="shared" si="1"/>
        <v/>
      </c>
      <c r="C65" s="292" t="s">
        <v>3260</v>
      </c>
      <c r="D65" s="291">
        <v>1</v>
      </c>
      <c r="E65" s="290"/>
      <c r="F65" s="289"/>
      <c r="G65" s="276"/>
      <c r="H65" s="288" t="s">
        <v>3260</v>
      </c>
      <c r="I65" s="288" t="s">
        <v>3260</v>
      </c>
      <c r="J65" s="288" t="s">
        <v>3260</v>
      </c>
      <c r="K65" s="287"/>
      <c r="L65" s="286" t="s">
        <v>3260</v>
      </c>
      <c r="M65" s="286" t="s">
        <v>3260</v>
      </c>
      <c r="N65" s="277"/>
      <c r="O65" s="285" t="s">
        <v>3260</v>
      </c>
      <c r="P65" s="285" t="s">
        <v>3260</v>
      </c>
      <c r="Q65" s="284"/>
      <c r="R65" s="283">
        <v>0</v>
      </c>
      <c r="S65" s="282">
        <v>0</v>
      </c>
      <c r="T65" s="282">
        <v>0</v>
      </c>
      <c r="U65" s="282">
        <v>0</v>
      </c>
      <c r="V65" s="282">
        <v>0</v>
      </c>
      <c r="W65" s="282">
        <v>0</v>
      </c>
      <c r="X65" s="282">
        <v>0</v>
      </c>
      <c r="Y65" s="282">
        <v>0</v>
      </c>
      <c r="Z65" s="282">
        <v>0</v>
      </c>
      <c r="AA65" s="282">
        <v>0</v>
      </c>
      <c r="AB65" s="282">
        <v>0</v>
      </c>
      <c r="AC65" s="281">
        <v>0</v>
      </c>
      <c r="AD65" s="261"/>
      <c r="AE65" s="280">
        <f t="shared" si="2"/>
        <v>0</v>
      </c>
      <c r="AG65" s="277"/>
      <c r="AH65" s="279"/>
      <c r="AI65" s="278" t="s">
        <v>3260</v>
      </c>
      <c r="AJ65" s="277"/>
      <c r="AK65" s="276"/>
      <c r="AL65" s="275"/>
      <c r="AM65" s="274"/>
      <c r="AN65" s="273" t="s">
        <v>2567</v>
      </c>
      <c r="AO65" s="357"/>
      <c r="AS65" s="375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</row>
    <row r="66" spans="1:69">
      <c r="E66" s="272" t="s">
        <v>3259</v>
      </c>
      <c r="F66" s="271"/>
      <c r="G66" s="270"/>
      <c r="H66" s="264"/>
      <c r="I66" s="264"/>
      <c r="J66" s="264"/>
      <c r="K66" s="264"/>
      <c r="L66" s="264"/>
      <c r="M66" s="264"/>
      <c r="N66" s="261"/>
      <c r="O66" s="261"/>
      <c r="P66" s="261"/>
      <c r="Q66" s="261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1"/>
      <c r="AE66" s="269"/>
      <c r="AG66" s="261"/>
      <c r="AH66" s="261"/>
      <c r="AI66" s="261"/>
      <c r="AJ66" s="261"/>
      <c r="AK66" s="261"/>
      <c r="AM66" s="261"/>
      <c r="AS66" s="375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</row>
    <row r="67" spans="1:69" ht="15.75" thickBot="1">
      <c r="P67" s="268"/>
      <c r="Q67" s="267" t="s">
        <v>3258</v>
      </c>
      <c r="R67" s="265">
        <f t="shared" ref="R67:AC67" si="3">SUM(R29:R66)</f>
        <v>260000</v>
      </c>
      <c r="S67" s="265">
        <f t="shared" si="3"/>
        <v>0</v>
      </c>
      <c r="T67" s="265">
        <f t="shared" si="3"/>
        <v>772321</v>
      </c>
      <c r="U67" s="265">
        <f t="shared" si="3"/>
        <v>1211780</v>
      </c>
      <c r="V67" s="265">
        <f t="shared" si="3"/>
        <v>0</v>
      </c>
      <c r="W67" s="265">
        <f t="shared" si="3"/>
        <v>331497</v>
      </c>
      <c r="X67" s="265">
        <f t="shared" si="3"/>
        <v>502523</v>
      </c>
      <c r="Y67" s="265">
        <f t="shared" si="3"/>
        <v>344356</v>
      </c>
      <c r="Z67" s="265">
        <f t="shared" si="3"/>
        <v>457878</v>
      </c>
      <c r="AA67" s="265">
        <f t="shared" si="3"/>
        <v>385082</v>
      </c>
      <c r="AB67" s="265">
        <f t="shared" si="3"/>
        <v>571196</v>
      </c>
      <c r="AC67" s="265">
        <f t="shared" si="3"/>
        <v>0</v>
      </c>
      <c r="AD67" s="266"/>
      <c r="AE67" s="265">
        <f>SUM(AE29:AE66)</f>
        <v>4191212.6399999997</v>
      </c>
      <c r="AG67" s="261"/>
      <c r="AH67" s="261"/>
      <c r="AI67" s="261"/>
      <c r="AJ67" s="261"/>
      <c r="AK67" s="261"/>
      <c r="AM67" s="261"/>
      <c r="AS67" s="375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</row>
    <row r="68" spans="1:69" ht="15.75" thickTop="1">
      <c r="E68" s="264"/>
      <c r="F68" s="264"/>
      <c r="G68" s="264"/>
      <c r="H68" s="264"/>
      <c r="I68" s="264"/>
      <c r="J68" s="264"/>
      <c r="K68" s="264"/>
      <c r="L68" s="264"/>
      <c r="M68" s="264"/>
      <c r="N68" s="261"/>
      <c r="O68" s="261"/>
      <c r="P68" s="261"/>
      <c r="Q68" s="261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1"/>
      <c r="AE68" s="262"/>
      <c r="AG68" s="261"/>
      <c r="AH68" s="261"/>
      <c r="AI68" s="261"/>
      <c r="AJ68" s="261"/>
      <c r="AK68" s="261"/>
      <c r="AM68" s="261"/>
      <c r="AS68" s="375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</row>
    <row r="69" spans="1:69">
      <c r="AD69" s="261"/>
      <c r="AS69" s="375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</row>
    <row r="70" spans="1:69">
      <c r="AE70" s="11"/>
      <c r="AS70" s="375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</row>
    <row r="71" spans="1:69">
      <c r="AP71" s="346" t="s">
        <v>3396</v>
      </c>
      <c r="AQ71" s="345" t="s">
        <v>6</v>
      </c>
      <c r="AR71" s="345" t="s">
        <v>3105</v>
      </c>
      <c r="AS71" s="422" t="s">
        <v>3188</v>
      </c>
      <c r="AT71" s="422" t="s">
        <v>3394</v>
      </c>
      <c r="AU71" s="422" t="s">
        <v>3395</v>
      </c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</row>
    <row r="72" spans="1:69">
      <c r="V72" s="1"/>
      <c r="AP72" s="347" t="s">
        <v>26</v>
      </c>
      <c r="AQ72" s="384">
        <f>SUM(AE31,AE35)</f>
        <v>209800.64</v>
      </c>
      <c r="AR72" s="341">
        <v>5</v>
      </c>
      <c r="AS72" s="385">
        <f>AQ72/AR72</f>
        <v>41960.128000000004</v>
      </c>
      <c r="AT72" s="385">
        <f>AS72</f>
        <v>41960.128000000004</v>
      </c>
      <c r="AU72" s="385">
        <f>AQ72-AT72</f>
        <v>167840.51200000002</v>
      </c>
      <c r="AV72" s="375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</row>
    <row r="73" spans="1:69">
      <c r="V73" s="1"/>
      <c r="AP73" s="347" t="s">
        <v>26</v>
      </c>
      <c r="AQ73" s="384">
        <f>SUM(AE34)</f>
        <v>69850</v>
      </c>
      <c r="AR73" s="341">
        <v>10</v>
      </c>
      <c r="AS73" s="385">
        <f t="shared" ref="AS73:AS77" si="4">AQ73/AR73</f>
        <v>6985</v>
      </c>
      <c r="AT73" s="385">
        <f t="shared" ref="AT73:AT77" si="5">AS73</f>
        <v>6985</v>
      </c>
      <c r="AU73" s="385">
        <f t="shared" ref="AU73:AU77" si="6">AQ73-AT73</f>
        <v>62865</v>
      </c>
      <c r="AV73" s="375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</row>
    <row r="74" spans="1:69">
      <c r="V74" s="1"/>
      <c r="AP74" s="347" t="s">
        <v>3401</v>
      </c>
      <c r="AQ74" s="384">
        <f>SUM(AE30)</f>
        <v>694467</v>
      </c>
      <c r="AR74" s="341">
        <v>7</v>
      </c>
      <c r="AS74" s="385">
        <f t="shared" ref="AS74" si="7">AQ74/AR74</f>
        <v>99209.571428571435</v>
      </c>
      <c r="AT74" s="385">
        <f t="shared" ref="AT74" si="8">AS74</f>
        <v>99209.571428571435</v>
      </c>
      <c r="AU74" s="385">
        <f t="shared" ref="AU74" si="9">AQ74-AT74</f>
        <v>595257.42857142852</v>
      </c>
      <c r="AV74" s="375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</row>
    <row r="75" spans="1:69">
      <c r="V75" s="1"/>
      <c r="AP75" s="347" t="s">
        <v>173</v>
      </c>
      <c r="AQ75" s="384">
        <f>SUM(AE38)</f>
        <v>435832</v>
      </c>
      <c r="AR75" s="341">
        <v>10</v>
      </c>
      <c r="AS75" s="385">
        <f t="shared" si="4"/>
        <v>43583.199999999997</v>
      </c>
      <c r="AT75" s="385">
        <f t="shared" si="5"/>
        <v>43583.199999999997</v>
      </c>
      <c r="AU75" s="385">
        <f t="shared" si="6"/>
        <v>392248.8</v>
      </c>
      <c r="AV75" s="375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</row>
    <row r="76" spans="1:69">
      <c r="L76" s="1"/>
      <c r="M76" s="1"/>
      <c r="V76" s="1"/>
      <c r="AP76" s="347" t="s">
        <v>74</v>
      </c>
      <c r="AQ76" s="384">
        <f>SUM(AE42,AE39)</f>
        <v>780188</v>
      </c>
      <c r="AR76" s="341">
        <v>10</v>
      </c>
      <c r="AS76" s="385">
        <f t="shared" si="4"/>
        <v>78018.8</v>
      </c>
      <c r="AT76" s="385">
        <f t="shared" si="5"/>
        <v>78018.8</v>
      </c>
      <c r="AU76" s="385">
        <f t="shared" si="6"/>
        <v>702169.2</v>
      </c>
      <c r="AV76" s="375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</row>
    <row r="77" spans="1:69">
      <c r="L77" s="1"/>
      <c r="M77" s="1"/>
      <c r="V77" s="1"/>
      <c r="AP77" s="347" t="s">
        <v>220</v>
      </c>
      <c r="AQ77" s="384">
        <f>SUM(AE40)</f>
        <v>435832</v>
      </c>
      <c r="AR77" s="341">
        <v>10</v>
      </c>
      <c r="AS77" s="385">
        <f t="shared" si="4"/>
        <v>43583.199999999997</v>
      </c>
      <c r="AT77" s="385">
        <f t="shared" si="5"/>
        <v>43583.199999999997</v>
      </c>
      <c r="AU77" s="385">
        <f t="shared" si="6"/>
        <v>392248.8</v>
      </c>
      <c r="AV77" s="375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</row>
    <row r="78" spans="1:69">
      <c r="L78" s="1"/>
      <c r="M78" s="1"/>
      <c r="V78" s="1"/>
      <c r="AP78" s="347" t="s">
        <v>33</v>
      </c>
      <c r="AQ78" s="384">
        <f>SUM(AE36)</f>
        <v>255116</v>
      </c>
      <c r="AR78" s="341">
        <v>12</v>
      </c>
      <c r="AS78" s="385">
        <f t="shared" ref="AS78:AS81" si="10">AQ78/AR78</f>
        <v>21259.666666666668</v>
      </c>
      <c r="AT78" s="385">
        <f t="shared" ref="AT78:AT81" si="11">AS78</f>
        <v>21259.666666666668</v>
      </c>
      <c r="AU78" s="385">
        <f t="shared" ref="AU78:AU81" si="12">AQ78-AT78</f>
        <v>233856.33333333334</v>
      </c>
      <c r="AV78" s="375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</row>
    <row r="79" spans="1:69">
      <c r="L79" s="1"/>
      <c r="M79" s="1"/>
      <c r="V79" s="1"/>
      <c r="AP79" s="347" t="s">
        <v>33</v>
      </c>
      <c r="AQ79" s="384">
        <f>SUM(AE44)</f>
        <v>175522</v>
      </c>
      <c r="AR79" s="341">
        <v>7</v>
      </c>
      <c r="AS79" s="385">
        <f t="shared" si="10"/>
        <v>25074.571428571428</v>
      </c>
      <c r="AT79" s="385">
        <f t="shared" si="11"/>
        <v>25074.571428571428</v>
      </c>
      <c r="AU79" s="385">
        <f t="shared" si="12"/>
        <v>150447.42857142858</v>
      </c>
      <c r="AV79" s="375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</row>
    <row r="80" spans="1:69" s="9" customFormat="1">
      <c r="AO80" s="382"/>
      <c r="AP80" s="383" t="s">
        <v>31</v>
      </c>
      <c r="AQ80" s="384">
        <f>SUM(AE43)</f>
        <v>82000</v>
      </c>
      <c r="AR80" s="375">
        <v>8</v>
      </c>
      <c r="AS80" s="385">
        <f t="shared" si="10"/>
        <v>10250</v>
      </c>
      <c r="AT80" s="385">
        <f t="shared" si="11"/>
        <v>10250</v>
      </c>
      <c r="AU80" s="385">
        <f t="shared" si="12"/>
        <v>71750</v>
      </c>
      <c r="AV80" s="375"/>
    </row>
    <row r="81" spans="12:69" s="9" customFormat="1">
      <c r="AO81" s="382"/>
      <c r="AP81" s="383" t="s">
        <v>32</v>
      </c>
      <c r="AQ81" s="384">
        <f>SUM(AE32)</f>
        <v>85000</v>
      </c>
      <c r="AR81" s="375">
        <v>10</v>
      </c>
      <c r="AS81" s="385">
        <f t="shared" si="10"/>
        <v>8500</v>
      </c>
      <c r="AT81" s="385">
        <f t="shared" si="11"/>
        <v>8500</v>
      </c>
      <c r="AU81" s="385">
        <f t="shared" si="12"/>
        <v>76500</v>
      </c>
      <c r="AV81" s="375"/>
    </row>
    <row r="82" spans="12:69" s="9" customFormat="1">
      <c r="V82" s="148"/>
      <c r="AO82" s="382"/>
      <c r="AP82" s="383" t="s">
        <v>3443</v>
      </c>
      <c r="AQ82" s="384">
        <f>SUM(AE33,AE41,AE45)</f>
        <v>560094</v>
      </c>
      <c r="AR82" s="375"/>
      <c r="AS82" s="385"/>
      <c r="AT82" s="385"/>
      <c r="AU82" s="385"/>
      <c r="AV82" s="375"/>
    </row>
    <row r="83" spans="12:69" s="9" customFormat="1">
      <c r="V83" s="148"/>
      <c r="AO83" s="382"/>
      <c r="AP83" s="383" t="s">
        <v>3444</v>
      </c>
      <c r="AQ83" s="384">
        <f>SUM(AE37)</f>
        <v>407511</v>
      </c>
      <c r="AR83" s="375"/>
      <c r="AS83" s="385"/>
      <c r="AT83" s="385"/>
      <c r="AU83" s="385"/>
      <c r="AV83" s="375"/>
    </row>
    <row r="84" spans="12:69" ht="15.75" thickBot="1">
      <c r="AP84" s="349"/>
      <c r="AQ84" s="350">
        <f>SUM(AQ72:AQ83)</f>
        <v>4191212.64</v>
      </c>
      <c r="AR84" s="349"/>
      <c r="AS84" s="423">
        <f t="shared" ref="AS84:AU84" si="13">SUM(AS72:AS82)</f>
        <v>378424.13752380956</v>
      </c>
      <c r="AT84" s="423">
        <f t="shared" si="13"/>
        <v>378424.13752380956</v>
      </c>
      <c r="AU84" s="423">
        <f t="shared" si="13"/>
        <v>2845183.5024761907</v>
      </c>
      <c r="AV84" s="375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</row>
    <row r="85" spans="12:69" ht="15.75" thickTop="1">
      <c r="AP85" s="351" t="s">
        <v>1363</v>
      </c>
      <c r="AQ85" s="348">
        <f>AQ84-AE67</f>
        <v>0</v>
      </c>
      <c r="AS85" s="375"/>
      <c r="AT85" s="375"/>
      <c r="AU85" s="375"/>
      <c r="AV85" s="375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</row>
    <row r="86" spans="12:69">
      <c r="AS86" s="375"/>
      <c r="AT86" s="375"/>
      <c r="AU86" s="375"/>
      <c r="AV86" s="375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</row>
    <row r="87" spans="12:69">
      <c r="AP87" s="388" t="s">
        <v>3453</v>
      </c>
      <c r="AQ87" s="389">
        <f>SUM(AQ72:AQ81)</f>
        <v>3223607.64</v>
      </c>
      <c r="AT87" s="341"/>
      <c r="AU87" s="341"/>
      <c r="AV87" s="341"/>
    </row>
    <row r="88" spans="12:69">
      <c r="L88" s="1"/>
      <c r="M88" s="1"/>
      <c r="AT88" s="341"/>
      <c r="AU88" s="341"/>
      <c r="AV88" s="341"/>
    </row>
    <row r="89" spans="12:69">
      <c r="AT89" s="341"/>
      <c r="AU89" s="341"/>
      <c r="AV89" s="341"/>
    </row>
    <row r="90" spans="12:69">
      <c r="AT90" s="341"/>
      <c r="AU90" s="341"/>
      <c r="AV90" s="341"/>
    </row>
    <row r="91" spans="12:69">
      <c r="AT91" s="341"/>
      <c r="AU91" s="341"/>
      <c r="AV91" s="341"/>
    </row>
    <row r="92" spans="12:69">
      <c r="AT92" s="341"/>
      <c r="AU92" s="341"/>
      <c r="AV92" s="341"/>
    </row>
    <row r="93" spans="12:69">
      <c r="AT93" s="341"/>
      <c r="AU93" s="341"/>
      <c r="AV93" s="341"/>
    </row>
    <row r="94" spans="12:69">
      <c r="AT94" s="341"/>
      <c r="AU94" s="341"/>
      <c r="AV94" s="341"/>
    </row>
    <row r="95" spans="12:69">
      <c r="AT95" s="341"/>
      <c r="AU95" s="341"/>
      <c r="AV95" s="341"/>
    </row>
    <row r="96" spans="12:69">
      <c r="AT96" s="341"/>
      <c r="AU96" s="341"/>
      <c r="AV96" s="341"/>
    </row>
    <row r="97" spans="46:48">
      <c r="AT97" s="341"/>
      <c r="AU97" s="341"/>
      <c r="AV97" s="341"/>
    </row>
    <row r="98" spans="46:48">
      <c r="AT98" s="341"/>
      <c r="AU98" s="341"/>
      <c r="AV98" s="341"/>
    </row>
    <row r="99" spans="46:48">
      <c r="AT99" s="341"/>
      <c r="AU99" s="341"/>
      <c r="AV99" s="341"/>
    </row>
    <row r="100" spans="46:48">
      <c r="AT100" s="341"/>
      <c r="AU100" s="341"/>
      <c r="AV100" s="341"/>
    </row>
    <row r="101" spans="46:48">
      <c r="AT101" s="341"/>
      <c r="AU101" s="341"/>
      <c r="AV101" s="341"/>
    </row>
    <row r="102" spans="46:48">
      <c r="AT102" s="341"/>
      <c r="AU102" s="341"/>
      <c r="AV102" s="341"/>
    </row>
    <row r="103" spans="46:48">
      <c r="AT103" s="341"/>
      <c r="AU103" s="341"/>
      <c r="AV103" s="341"/>
    </row>
  </sheetData>
  <dataValidations count="5">
    <dataValidation type="list" allowBlank="1" showInputMessage="1" showErrorMessage="1" sqref="Q30:Q65" xr:uid="{00000000-0002-0000-0300-000000000000}">
      <formula1>",,12285,12306,12312,12313,12314,12374,12389,13009"</formula1>
    </dataValidation>
    <dataValidation type="list" allowBlank="1" showInputMessage="1" showErrorMessage="1" sqref="I15" xr:uid="{00000000-0002-0000-0300-000001000000}">
      <formula1>H19</formula1>
    </dataValidation>
    <dataValidation type="list" allowBlank="1" showInputMessage="1" showErrorMessage="1" sqref="P6 P30:P65" xr:uid="{00000000-0002-0000-0300-000002000000}">
      <formula1>"N,U"</formula1>
    </dataValidation>
    <dataValidation type="list" allowBlank="1" showInputMessage="1" showErrorMessage="1" sqref="O6 O30:O65" xr:uid="{00000000-0002-0000-0300-000003000000}">
      <formula1>"A,R"</formula1>
    </dataValidation>
    <dataValidation type="list" allowBlank="1" showInputMessage="1" showErrorMessage="1" sqref="E6 E30:E65" xr:uid="{00000000-0002-0000-0300-000004000000}">
      <formula1>"Delete!"</formula1>
    </dataValidation>
  </dataValidations>
  <pageMargins left="0.25" right="0.25" top="0.75" bottom="0.75" header="0.3" footer="0.3"/>
  <pageSetup scale="60" fitToHeight="0" pageOrder="overThenDown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  <pageSetUpPr fitToPage="1"/>
  </sheetPr>
  <dimension ref="A1:BQ124"/>
  <sheetViews>
    <sheetView view="pageBreakPreview" zoomScale="60" zoomScaleNormal="100" workbookViewId="0">
      <pane xSplit="1" ySplit="7" topLeftCell="AR61" activePane="bottomRight" state="frozen"/>
      <selection activeCell="AS6" sqref="AS6:BQ86"/>
      <selection pane="topRight" activeCell="AS6" sqref="AS6:BQ86"/>
      <selection pane="bottomLeft" activeCell="AS6" sqref="AS6:BQ86"/>
      <selection pane="bottomRight" activeCell="AS6" sqref="AS6:BQ86"/>
    </sheetView>
  </sheetViews>
  <sheetFormatPr defaultRowHeight="15" outlineLevelCol="1"/>
  <cols>
    <col min="1" max="1" width="45.7109375" style="17" customWidth="1"/>
    <col min="2" max="2" width="14.42578125" style="17" bestFit="1" customWidth="1"/>
    <col min="3" max="3" width="14.28515625" style="17" bestFit="1" customWidth="1"/>
    <col min="4" max="4" width="15.7109375" style="17" bestFit="1" customWidth="1"/>
    <col min="5" max="5" width="16" style="17" bestFit="1" customWidth="1"/>
    <col min="6" max="8" width="14.42578125" style="17" bestFit="1" customWidth="1"/>
    <col min="9" max="9" width="13" style="17" customWidth="1"/>
    <col min="10" max="10" width="11.140625" style="9" hidden="1" customWidth="1" outlineLevel="1"/>
    <col min="11" max="11" width="15.42578125" style="9" hidden="1" customWidth="1" outlineLevel="1"/>
    <col min="12" max="12" width="16.140625" style="9" hidden="1" customWidth="1" outlineLevel="1"/>
    <col min="13" max="13" width="8" style="9" hidden="1" customWidth="1" outlineLevel="1"/>
    <col min="14" max="14" width="3.85546875" style="99" hidden="1" customWidth="1" outlineLevel="1"/>
    <col min="15" max="15" width="14.28515625" style="9" hidden="1" customWidth="1" outlineLevel="1"/>
    <col min="16" max="16" width="11.140625" style="9" hidden="1" customWidth="1" outlineLevel="1"/>
    <col min="17" max="17" width="8" style="9" hidden="1" customWidth="1" outlineLevel="1"/>
    <col min="18" max="18" width="4.7109375" style="9" hidden="1" customWidth="1" outlineLevel="1"/>
    <col min="19" max="19" width="13.42578125" style="9" hidden="1" customWidth="1" outlineLevel="1"/>
    <col min="20" max="20" width="15.42578125" style="9" hidden="1" customWidth="1" outlineLevel="1"/>
    <col min="21" max="21" width="16.140625" style="9" hidden="1" customWidth="1" outlineLevel="1"/>
    <col min="22" max="22" width="11.42578125" style="9" hidden="1" customWidth="1" outlineLevel="1"/>
    <col min="23" max="23" width="3.85546875" style="99" hidden="1" customWidth="1" outlineLevel="1"/>
    <col min="24" max="24" width="15.28515625" style="9" hidden="1" customWidth="1" outlineLevel="1"/>
    <col min="25" max="25" width="12" style="9" hidden="1" customWidth="1" outlineLevel="1"/>
    <col min="26" max="26" width="8" style="9" hidden="1" customWidth="1" outlineLevel="1"/>
    <col min="27" max="27" width="4.7109375" style="9" hidden="1" customWidth="1" outlineLevel="1"/>
    <col min="28" max="29" width="11.28515625" style="9" hidden="1" customWidth="1" outlineLevel="1"/>
    <col min="30" max="30" width="9.28515625" style="9" hidden="1" customWidth="1" outlineLevel="1"/>
    <col min="31" max="31" width="4.5703125" style="9" hidden="1" customWidth="1" outlineLevel="1"/>
    <col min="32" max="32" width="14.28515625" style="9" hidden="1" customWidth="1" outlineLevel="1"/>
    <col min="33" max="33" width="12.5703125" style="9" hidden="1" customWidth="1" outlineLevel="1"/>
    <col min="34" max="34" width="11.5703125" style="9" hidden="1" customWidth="1" outlineLevel="1"/>
    <col min="35" max="35" width="8.5703125" style="9" hidden="1" customWidth="1" outlineLevel="1"/>
    <col min="36" max="36" width="15.28515625" style="9" hidden="1" customWidth="1" outlineLevel="1"/>
    <col min="37" max="37" width="14.28515625" style="9" hidden="1" customWidth="1" outlineLevel="1"/>
    <col min="38" max="38" width="12.42578125" style="9" hidden="1" customWidth="1" outlineLevel="1"/>
    <col min="39" max="39" width="11.42578125" style="9" hidden="1" customWidth="1" outlineLevel="1"/>
    <col min="40" max="41" width="9.140625" style="9" hidden="1" customWidth="1" outlineLevel="1"/>
    <col min="42" max="42" width="46" style="17" bestFit="1" customWidth="1" collapsed="1"/>
    <col min="43" max="43" width="10.5703125" style="17" bestFit="1" customWidth="1"/>
    <col min="44" max="44" width="9.140625" style="17"/>
    <col min="45" max="45" width="10.5703125" style="17" bestFit="1" customWidth="1"/>
    <col min="46" max="46" width="9.140625" style="17"/>
    <col min="47" max="48" width="11.5703125" style="17" bestFit="1" customWidth="1"/>
    <col min="49" max="49" width="11.140625" style="17" bestFit="1" customWidth="1"/>
    <col min="50" max="50" width="9.140625" style="17"/>
    <col min="51" max="51" width="46" style="17" bestFit="1" customWidth="1"/>
    <col min="52" max="52" width="11.5703125" style="17" bestFit="1" customWidth="1"/>
    <col min="53" max="53" width="9.140625" style="17"/>
    <col min="54" max="54" width="10.5703125" style="17" bestFit="1" customWidth="1"/>
    <col min="55" max="55" width="9.7109375" style="17" bestFit="1" customWidth="1"/>
    <col min="56" max="57" width="11.5703125" style="17" bestFit="1" customWidth="1"/>
    <col min="58" max="58" width="11.140625" style="17" bestFit="1" customWidth="1"/>
    <col min="59" max="59" width="9.140625" style="17"/>
    <col min="60" max="60" width="46" style="17" bestFit="1" customWidth="1"/>
    <col min="61" max="61" width="11.5703125" style="17" bestFit="1" customWidth="1"/>
    <col min="62" max="62" width="9.140625" style="17"/>
    <col min="63" max="63" width="11.5703125" style="17" bestFit="1" customWidth="1"/>
    <col min="64" max="64" width="10.5703125" style="17" bestFit="1" customWidth="1"/>
    <col min="65" max="67" width="11.5703125" style="17" bestFit="1" customWidth="1"/>
    <col min="68" max="16384" width="9.140625" style="17"/>
  </cols>
  <sheetData>
    <row r="1" spans="1:69">
      <c r="A1" s="1" t="s">
        <v>0</v>
      </c>
    </row>
    <row r="2" spans="1:69">
      <c r="A2" s="1" t="s">
        <v>1</v>
      </c>
    </row>
    <row r="3" spans="1:69">
      <c r="A3" s="393">
        <f>G7</f>
        <v>44712</v>
      </c>
    </row>
    <row r="4" spans="1:69" ht="26.25">
      <c r="A4" s="399" t="s">
        <v>3204</v>
      </c>
      <c r="B4" s="399"/>
      <c r="C4" s="399"/>
      <c r="D4" s="399"/>
      <c r="E4" s="399"/>
      <c r="F4" s="399"/>
      <c r="G4" s="399"/>
      <c r="H4" s="399"/>
      <c r="AP4" s="399" t="s">
        <v>3205</v>
      </c>
      <c r="AQ4" s="399"/>
      <c r="AR4" s="399"/>
      <c r="AS4" s="399"/>
      <c r="AT4" s="399"/>
      <c r="AU4" s="399"/>
      <c r="AV4" s="399"/>
      <c r="AW4" s="399"/>
      <c r="AY4" s="399" t="s">
        <v>3207</v>
      </c>
      <c r="AZ4" s="399"/>
      <c r="BA4" s="399"/>
      <c r="BB4" s="399"/>
      <c r="BC4" s="399"/>
      <c r="BD4" s="399"/>
      <c r="BE4" s="399"/>
      <c r="BF4" s="399"/>
      <c r="BH4" s="399" t="s">
        <v>3209</v>
      </c>
      <c r="BI4" s="399"/>
      <c r="BJ4" s="399"/>
      <c r="BK4" s="399"/>
      <c r="BL4" s="399"/>
      <c r="BM4" s="399"/>
      <c r="BN4" s="399"/>
      <c r="BO4" s="399"/>
    </row>
    <row r="5" spans="1:69" ht="15.75" customHeight="1" thickBot="1">
      <c r="A5" s="4"/>
      <c r="B5" s="4"/>
      <c r="C5" s="4"/>
      <c r="D5" s="4"/>
      <c r="E5" s="4"/>
      <c r="F5" s="4" t="s">
        <v>2</v>
      </c>
      <c r="G5" s="4" t="s">
        <v>3</v>
      </c>
      <c r="H5" s="4" t="s">
        <v>4</v>
      </c>
      <c r="J5" s="400" t="s">
        <v>1221</v>
      </c>
      <c r="K5" s="400"/>
      <c r="L5" s="400"/>
      <c r="O5" s="400" t="s">
        <v>1248</v>
      </c>
      <c r="P5" s="400"/>
      <c r="S5" s="400" t="s">
        <v>1162</v>
      </c>
      <c r="T5" s="400"/>
      <c r="U5" s="400"/>
      <c r="X5" s="400" t="s">
        <v>1249</v>
      </c>
      <c r="Y5" s="400"/>
      <c r="AF5" s="400" t="s">
        <v>1222</v>
      </c>
      <c r="AG5" s="400"/>
      <c r="AH5" s="400"/>
      <c r="AJ5" s="400" t="s">
        <v>1223</v>
      </c>
      <c r="AK5" s="400"/>
      <c r="AL5" s="400"/>
      <c r="AP5" s="4"/>
      <c r="AQ5" s="4"/>
      <c r="AR5" s="4"/>
      <c r="AS5" s="4"/>
      <c r="AT5" s="4"/>
      <c r="AU5" s="4" t="s">
        <v>2</v>
      </c>
      <c r="AV5" s="4" t="s">
        <v>3</v>
      </c>
      <c r="AW5" s="4" t="s">
        <v>4</v>
      </c>
      <c r="AY5" s="4"/>
      <c r="AZ5" s="4"/>
      <c r="BA5" s="4"/>
      <c r="BB5" s="4"/>
      <c r="BC5" s="4"/>
      <c r="BD5" s="4" t="s">
        <v>2</v>
      </c>
      <c r="BE5" s="4" t="s">
        <v>3</v>
      </c>
      <c r="BF5" s="4" t="s">
        <v>4</v>
      </c>
      <c r="BH5" s="4"/>
      <c r="BI5" s="4"/>
      <c r="BJ5" s="4"/>
      <c r="BK5" s="4"/>
      <c r="BL5" s="4"/>
      <c r="BM5" s="4" t="s">
        <v>2</v>
      </c>
      <c r="BN5" s="4" t="s">
        <v>3</v>
      </c>
      <c r="BO5" s="4" t="s">
        <v>4</v>
      </c>
    </row>
    <row r="6" spans="1:69">
      <c r="A6" s="4" t="s">
        <v>5</v>
      </c>
      <c r="B6" s="4" t="s">
        <v>6</v>
      </c>
      <c r="C6" s="4" t="s">
        <v>7</v>
      </c>
      <c r="D6" s="4" t="s">
        <v>8</v>
      </c>
      <c r="E6" s="159" t="s">
        <v>9</v>
      </c>
      <c r="F6" s="159" t="s">
        <v>10</v>
      </c>
      <c r="G6" s="159" t="s">
        <v>10</v>
      </c>
      <c r="H6" s="159" t="s">
        <v>11</v>
      </c>
      <c r="J6" s="189" t="s">
        <v>1215</v>
      </c>
      <c r="K6" s="401" t="s">
        <v>1224</v>
      </c>
      <c r="L6" s="401" t="s">
        <v>1225</v>
      </c>
      <c r="O6" s="190" t="s">
        <v>1228</v>
      </c>
      <c r="P6" s="190" t="s">
        <v>1230</v>
      </c>
      <c r="S6" s="189" t="s">
        <v>1215</v>
      </c>
      <c r="T6" s="401" t="s">
        <v>1224</v>
      </c>
      <c r="U6" s="401" t="s">
        <v>1225</v>
      </c>
      <c r="X6" s="190" t="s">
        <v>1228</v>
      </c>
      <c r="Y6" s="190" t="s">
        <v>1230</v>
      </c>
      <c r="AF6" s="189"/>
      <c r="AG6" s="191"/>
      <c r="AH6" s="192"/>
      <c r="AJ6" s="189"/>
      <c r="AK6" s="191"/>
      <c r="AL6" s="192"/>
      <c r="AP6" s="4" t="s">
        <v>5</v>
      </c>
      <c r="AQ6" s="4" t="s">
        <v>6</v>
      </c>
      <c r="AR6" s="4" t="s">
        <v>7</v>
      </c>
      <c r="AS6" s="159" t="s">
        <v>8</v>
      </c>
      <c r="AT6" s="159" t="s">
        <v>9</v>
      </c>
      <c r="AU6" s="159" t="s">
        <v>10</v>
      </c>
      <c r="AV6" s="159" t="s">
        <v>10</v>
      </c>
      <c r="AW6" s="159" t="s">
        <v>11</v>
      </c>
      <c r="AX6" s="9"/>
      <c r="AY6" s="159" t="s">
        <v>5</v>
      </c>
      <c r="AZ6" s="159" t="s">
        <v>6</v>
      </c>
      <c r="BA6" s="159" t="s">
        <v>7</v>
      </c>
      <c r="BB6" s="159" t="s">
        <v>8</v>
      </c>
      <c r="BC6" s="159" t="s">
        <v>9</v>
      </c>
      <c r="BD6" s="159" t="s">
        <v>10</v>
      </c>
      <c r="BE6" s="159" t="s">
        <v>10</v>
      </c>
      <c r="BF6" s="159" t="s">
        <v>11</v>
      </c>
      <c r="BG6" s="9"/>
      <c r="BH6" s="159" t="s">
        <v>5</v>
      </c>
      <c r="BI6" s="159" t="s">
        <v>6</v>
      </c>
      <c r="BJ6" s="159" t="s">
        <v>7</v>
      </c>
      <c r="BK6" s="159" t="s">
        <v>8</v>
      </c>
      <c r="BL6" s="159" t="s">
        <v>9</v>
      </c>
      <c r="BM6" s="159" t="s">
        <v>10</v>
      </c>
      <c r="BN6" s="159" t="s">
        <v>10</v>
      </c>
      <c r="BO6" s="159" t="s">
        <v>11</v>
      </c>
      <c r="BP6" s="9"/>
      <c r="BQ6" s="9"/>
    </row>
    <row r="7" spans="1:69" ht="15.75" customHeight="1" thickBot="1">
      <c r="A7" s="4"/>
      <c r="B7" s="159"/>
      <c r="C7" s="159"/>
      <c r="D7" s="159" t="s">
        <v>6</v>
      </c>
      <c r="E7" s="159" t="s">
        <v>8</v>
      </c>
      <c r="F7" s="391">
        <v>44348</v>
      </c>
      <c r="G7" s="391">
        <v>44712</v>
      </c>
      <c r="H7" s="391">
        <f>G7</f>
        <v>44712</v>
      </c>
      <c r="J7" s="193" t="s">
        <v>1226</v>
      </c>
      <c r="K7" s="402" t="s">
        <v>1224</v>
      </c>
      <c r="L7" s="402"/>
      <c r="O7" s="194" t="s">
        <v>1229</v>
      </c>
      <c r="P7" s="194" t="s">
        <v>1231</v>
      </c>
      <c r="S7" s="193" t="s">
        <v>1226</v>
      </c>
      <c r="T7" s="402" t="s">
        <v>1224</v>
      </c>
      <c r="U7" s="402"/>
      <c r="X7" s="194" t="s">
        <v>1229</v>
      </c>
      <c r="Y7" s="194" t="s">
        <v>1250</v>
      </c>
      <c r="AF7" s="193" t="s">
        <v>1171</v>
      </c>
      <c r="AG7" s="195" t="s">
        <v>234</v>
      </c>
      <c r="AH7" s="196" t="s">
        <v>221</v>
      </c>
      <c r="AJ7" s="193" t="s">
        <v>1171</v>
      </c>
      <c r="AK7" s="195" t="s">
        <v>234</v>
      </c>
      <c r="AL7" s="196" t="s">
        <v>221</v>
      </c>
      <c r="AP7" s="4"/>
      <c r="AQ7" s="159"/>
      <c r="AR7" s="159"/>
      <c r="AS7" s="159" t="s">
        <v>6</v>
      </c>
      <c r="AT7" s="159" t="s">
        <v>8</v>
      </c>
      <c r="AU7" s="391">
        <f>F7</f>
        <v>44348</v>
      </c>
      <c r="AV7" s="391">
        <f t="shared" ref="AV7:AW7" si="0">G7</f>
        <v>44712</v>
      </c>
      <c r="AW7" s="391">
        <f t="shared" si="0"/>
        <v>44712</v>
      </c>
      <c r="AX7" s="9"/>
      <c r="AY7" s="159"/>
      <c r="AZ7" s="159"/>
      <c r="BA7" s="159"/>
      <c r="BB7" s="159" t="s">
        <v>6</v>
      </c>
      <c r="BC7" s="159" t="s">
        <v>8</v>
      </c>
      <c r="BD7" s="391">
        <f>F7</f>
        <v>44348</v>
      </c>
      <c r="BE7" s="391">
        <f t="shared" ref="BE7:BF7" si="1">G7</f>
        <v>44712</v>
      </c>
      <c r="BF7" s="391">
        <f t="shared" si="1"/>
        <v>44712</v>
      </c>
      <c r="BG7" s="9"/>
      <c r="BH7" s="159"/>
      <c r="BI7" s="159"/>
      <c r="BJ7" s="159"/>
      <c r="BK7" s="159" t="s">
        <v>6</v>
      </c>
      <c r="BL7" s="159" t="s">
        <v>8</v>
      </c>
      <c r="BM7" s="391">
        <f>F7</f>
        <v>44348</v>
      </c>
      <c r="BN7" s="391">
        <f t="shared" ref="BN7:BO7" si="2">G7</f>
        <v>44712</v>
      </c>
      <c r="BO7" s="391">
        <f t="shared" si="2"/>
        <v>44712</v>
      </c>
      <c r="BP7" s="9"/>
      <c r="BQ7" s="9"/>
    </row>
    <row r="8" spans="1:69">
      <c r="A8" s="2" t="s">
        <v>12</v>
      </c>
      <c r="B8" s="9"/>
      <c r="C8" s="9"/>
      <c r="D8" s="9"/>
      <c r="E8" s="9"/>
      <c r="F8" s="9"/>
      <c r="G8" s="9"/>
      <c r="H8" s="9"/>
      <c r="AF8" s="13"/>
      <c r="AG8" s="13"/>
      <c r="AH8" s="13"/>
      <c r="AI8" s="13"/>
      <c r="AJ8" s="13"/>
      <c r="AK8" s="13"/>
      <c r="AL8" s="13"/>
      <c r="AP8" s="2" t="s">
        <v>12</v>
      </c>
      <c r="AQ8" s="9"/>
      <c r="AR8" s="9"/>
      <c r="AS8" s="9"/>
      <c r="AT8" s="9"/>
      <c r="AU8" s="9"/>
      <c r="AV8" s="9"/>
      <c r="AW8" s="9"/>
      <c r="AX8" s="9"/>
      <c r="AY8" s="142" t="s">
        <v>12</v>
      </c>
      <c r="AZ8" s="9"/>
      <c r="BA8" s="9"/>
      <c r="BB8" s="9"/>
      <c r="BC8" s="9"/>
      <c r="BD8" s="9"/>
      <c r="BE8" s="9"/>
      <c r="BF8" s="9"/>
      <c r="BG8" s="9"/>
      <c r="BH8" s="142" t="s">
        <v>12</v>
      </c>
      <c r="BI8" s="9"/>
      <c r="BJ8" s="9"/>
      <c r="BK8" s="9"/>
      <c r="BL8" s="9"/>
      <c r="BM8" s="9"/>
      <c r="BN8" s="9"/>
      <c r="BO8" s="9"/>
      <c r="BP8" s="9"/>
      <c r="BQ8" s="9"/>
    </row>
    <row r="9" spans="1:69">
      <c r="A9" s="17" t="s">
        <v>74</v>
      </c>
      <c r="B9" s="13">
        <f>'2180 Trucks'!N134</f>
        <v>17985358.970737725</v>
      </c>
      <c r="C9" s="13">
        <f>B9-D9</f>
        <v>0</v>
      </c>
      <c r="D9" s="13">
        <f>'2180 Trucks'!O134</f>
        <v>17985358.970737725</v>
      </c>
      <c r="E9" s="13">
        <f>'2180 Trucks'!S134</f>
        <v>1682231.6746666657</v>
      </c>
      <c r="F9" s="13">
        <f>'2180 Trucks'!T134</f>
        <v>4811940.4617377035</v>
      </c>
      <c r="G9" s="13">
        <f>'2180 Trucks'!U134</f>
        <v>6494172.1364043728</v>
      </c>
      <c r="H9" s="13">
        <f>'2180 Trucks'!W134</f>
        <v>11491186.834333332</v>
      </c>
      <c r="J9" s="13"/>
      <c r="K9" s="13"/>
      <c r="L9" s="13"/>
      <c r="M9" s="13"/>
      <c r="N9" s="100"/>
      <c r="O9" s="13"/>
      <c r="P9" s="13"/>
      <c r="Q9" s="13"/>
      <c r="R9" s="13"/>
      <c r="S9" s="13"/>
      <c r="T9" s="13"/>
      <c r="U9" s="13"/>
      <c r="V9" s="110"/>
      <c r="W9" s="100"/>
      <c r="X9" s="13"/>
      <c r="Y9" s="13"/>
      <c r="Z9" s="13"/>
      <c r="AA9" s="13"/>
      <c r="AB9" s="110"/>
      <c r="AC9" s="110"/>
      <c r="AD9" s="144"/>
      <c r="AF9" s="13"/>
      <c r="AG9" s="13"/>
      <c r="AH9" s="13"/>
      <c r="AI9" s="13"/>
      <c r="AJ9" s="13"/>
      <c r="AK9" s="13"/>
      <c r="AL9" s="13"/>
      <c r="AM9" s="110"/>
      <c r="AP9" s="17" t="s">
        <v>74</v>
      </c>
      <c r="AQ9" s="13">
        <f>IFERROR(VLOOKUP($AP9,'FAR Dep Summary'!$A$21:$F$34,2,FALSE),0)</f>
        <v>152472.72999999998</v>
      </c>
      <c r="AR9" s="13">
        <f>AQ9-AS9</f>
        <v>0</v>
      </c>
      <c r="AS9" s="13">
        <f>AQ9</f>
        <v>152472.72999999998</v>
      </c>
      <c r="AT9" s="13">
        <f>IFERROR(VLOOKUP($AP9,'FAR Dep Summary'!$A$21:$F$34,3,FALSE),0)</f>
        <v>15247.273000000001</v>
      </c>
      <c r="AU9" s="13">
        <f>IFERROR(VLOOKUP($AP9,'FAR Dep Summary'!$A$21:$F$34,4,FALSE),0)</f>
        <v>0</v>
      </c>
      <c r="AV9" s="13">
        <f>IFERROR(VLOOKUP($AP9,'FAR Dep Summary'!$A$21:$F$34,5,FALSE),0)</f>
        <v>15247.273000000001</v>
      </c>
      <c r="AW9" s="13">
        <f>IFERROR(VLOOKUP($AP9,'FAR Dep Summary'!$A$21:$F$34,6,FALSE),0)</f>
        <v>137225.45699999999</v>
      </c>
      <c r="AX9" s="9"/>
      <c r="AY9" s="9" t="s">
        <v>74</v>
      </c>
      <c r="AZ9" s="13">
        <f>IFERROR(SUMIF('2022 Bud CapEx'!$AP$72:$AP$83,'2180 Deprec'!$AY9,'2022 Bud CapEx'!$AQ$72:$AQ$83),0)</f>
        <v>780188</v>
      </c>
      <c r="BA9" s="13">
        <f>AZ9-BB9</f>
        <v>0</v>
      </c>
      <c r="BB9" s="13">
        <f>AZ9</f>
        <v>780188</v>
      </c>
      <c r="BC9" s="13">
        <f>IFERROR(SUMIF('2022 Bud CapEx'!$AP$72:$AP$83,'2180 Deprec'!$AY9,'2022 Bud CapEx'!$AS$72:$AS$83),0)</f>
        <v>78018.8</v>
      </c>
      <c r="BD9" s="13">
        <v>0</v>
      </c>
      <c r="BE9" s="13">
        <f>BC9</f>
        <v>78018.8</v>
      </c>
      <c r="BF9" s="13">
        <f>IFERROR(SUMIF('2022 Bud CapEx'!$AP$72:$AP$83,'2180 Deprec'!$AY9,'2022 Bud CapEx'!$AU$72:$AU$83),0)</f>
        <v>702169.2</v>
      </c>
      <c r="BG9" s="9"/>
      <c r="BH9" s="9" t="s">
        <v>74</v>
      </c>
      <c r="BI9" s="13">
        <f>B9+AQ9+AZ9</f>
        <v>18918019.700737726</v>
      </c>
      <c r="BJ9" s="13">
        <f t="shared" ref="BJ9:BO9" si="3">C9+AR9+BA9</f>
        <v>0</v>
      </c>
      <c r="BK9" s="13">
        <f t="shared" si="3"/>
        <v>18918019.700737726</v>
      </c>
      <c r="BL9" s="13">
        <f t="shared" si="3"/>
        <v>1775497.7476666658</v>
      </c>
      <c r="BM9" s="13">
        <f t="shared" si="3"/>
        <v>4811940.4617377035</v>
      </c>
      <c r="BN9" s="13">
        <f t="shared" si="3"/>
        <v>6587438.2094043726</v>
      </c>
      <c r="BO9" s="13">
        <f t="shared" si="3"/>
        <v>12330581.491333332</v>
      </c>
      <c r="BP9" s="9"/>
      <c r="BQ9" s="9"/>
    </row>
    <row r="10" spans="1:69">
      <c r="B10" s="13"/>
      <c r="C10" s="13"/>
      <c r="D10" s="13"/>
      <c r="E10" s="13"/>
      <c r="F10" s="13"/>
      <c r="G10" s="13"/>
      <c r="H10" s="13"/>
      <c r="J10" s="13"/>
      <c r="K10" s="13"/>
      <c r="L10" s="13"/>
      <c r="M10" s="13"/>
      <c r="N10" s="100"/>
      <c r="O10" s="13"/>
      <c r="P10" s="13"/>
      <c r="Q10" s="13"/>
      <c r="R10" s="13"/>
      <c r="S10" s="13"/>
      <c r="T10" s="13"/>
      <c r="U10" s="13"/>
      <c r="W10" s="100"/>
      <c r="X10" s="13"/>
      <c r="Y10" s="13"/>
      <c r="Z10" s="13"/>
      <c r="AA10" s="13"/>
      <c r="AF10" s="13"/>
      <c r="AG10" s="13"/>
      <c r="AH10" s="13"/>
      <c r="AI10" s="13"/>
      <c r="AJ10" s="13"/>
      <c r="AK10" s="13"/>
      <c r="AL10" s="13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13"/>
      <c r="BD10" s="13"/>
      <c r="BE10" s="13"/>
      <c r="BF10" s="13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</row>
    <row r="11" spans="1:69">
      <c r="A11" s="17" t="s">
        <v>144</v>
      </c>
      <c r="B11" s="13">
        <f>'2180 Trucks'!N139</f>
        <v>356786.03</v>
      </c>
      <c r="C11" s="13">
        <f>B11-D11</f>
        <v>0</v>
      </c>
      <c r="D11" s="13">
        <f>'2180 Trucks'!O139</f>
        <v>356786.03</v>
      </c>
      <c r="E11" s="13">
        <f>'2180 Trucks'!S139</f>
        <v>35678.603000000003</v>
      </c>
      <c r="F11" s="13">
        <f>'2180 Trucks'!T139</f>
        <v>71357.206000000006</v>
      </c>
      <c r="G11" s="13">
        <f>'2180 Trucks'!U139</f>
        <v>107035.80900000001</v>
      </c>
      <c r="H11" s="13">
        <f>'2180 Trucks'!W139</f>
        <v>249750.22100000002</v>
      </c>
      <c r="J11" s="13"/>
      <c r="K11" s="13"/>
      <c r="L11" s="13"/>
      <c r="M11" s="13"/>
      <c r="N11" s="100"/>
      <c r="O11" s="13"/>
      <c r="P11" s="13"/>
      <c r="Q11" s="13"/>
      <c r="R11" s="13"/>
      <c r="S11" s="13"/>
      <c r="T11" s="13"/>
      <c r="U11" s="13"/>
      <c r="V11" s="110"/>
      <c r="W11" s="100"/>
      <c r="X11" s="13"/>
      <c r="Y11" s="13"/>
      <c r="Z11" s="13"/>
      <c r="AA11" s="13"/>
      <c r="AB11" s="110"/>
      <c r="AC11" s="110"/>
      <c r="AF11" s="13"/>
      <c r="AG11" s="13"/>
      <c r="AH11" s="13"/>
      <c r="AI11" s="13"/>
      <c r="AJ11" s="13"/>
      <c r="AK11" s="13"/>
      <c r="AL11" s="13"/>
      <c r="AM11" s="110"/>
      <c r="AP11" s="17" t="s">
        <v>144</v>
      </c>
      <c r="AQ11" s="13">
        <f>IFERROR(VLOOKUP($AP11,'FAR Dep Summary'!$A$21:$F$34,2,FALSE),0)</f>
        <v>0</v>
      </c>
      <c r="AR11" s="13">
        <f t="shared" ref="AR11" si="4">AQ11-AS11</f>
        <v>0</v>
      </c>
      <c r="AS11" s="13">
        <f t="shared" ref="AS11" si="5">AQ11</f>
        <v>0</v>
      </c>
      <c r="AT11" s="13">
        <f>IFERROR(VLOOKUP($AP11,'FAR Dep Summary'!$A$21:$F$34,3,FALSE),0)</f>
        <v>0</v>
      </c>
      <c r="AU11" s="13">
        <f>IFERROR(VLOOKUP($AP11,'FAR Dep Summary'!$A$21:$F$34,4,FALSE),0)</f>
        <v>0</v>
      </c>
      <c r="AV11" s="13">
        <f>IFERROR(VLOOKUP($AP11,'FAR Dep Summary'!$A$21:$F$34,5,FALSE),0)</f>
        <v>0</v>
      </c>
      <c r="AW11" s="13">
        <f>IFERROR(VLOOKUP($AP11,'FAR Dep Summary'!$A$21:$F$34,6,FALSE),0)</f>
        <v>0</v>
      </c>
      <c r="AX11" s="9"/>
      <c r="AY11" s="9" t="s">
        <v>144</v>
      </c>
      <c r="AZ11" s="13">
        <f>IFERROR(SUMIF('2022 Bud CapEx'!$AP$72:$AP$83,'2180 Deprec'!$AY11,'2022 Bud CapEx'!$AQ$72:$AQ$83),0)</f>
        <v>0</v>
      </c>
      <c r="BA11" s="13">
        <f t="shared" ref="BA11" si="6">AZ11-BB11</f>
        <v>0</v>
      </c>
      <c r="BB11" s="13">
        <f t="shared" ref="BB11" si="7">AZ11</f>
        <v>0</v>
      </c>
      <c r="BC11" s="13">
        <f>IFERROR(SUMIF('2022 Bud CapEx'!$AP$72:$AP$83,'2180 Deprec'!$AY11,'2022 Bud CapEx'!$AS$72:$AS$83),0)</f>
        <v>0</v>
      </c>
      <c r="BD11" s="13">
        <v>0</v>
      </c>
      <c r="BE11" s="13">
        <f t="shared" ref="BE11" si="8">BC11</f>
        <v>0</v>
      </c>
      <c r="BF11" s="13">
        <f>IFERROR(SUMIF('2022 Bud CapEx'!$AP$72:$AP$83,'2180 Deprec'!$AY11,'2022 Bud CapEx'!$AU$72:$AU$83),0)</f>
        <v>0</v>
      </c>
      <c r="BG11" s="9"/>
      <c r="BH11" s="9" t="s">
        <v>144</v>
      </c>
      <c r="BI11" s="13">
        <f t="shared" ref="BI11" si="9">B11+AQ11+AZ11</f>
        <v>356786.03</v>
      </c>
      <c r="BJ11" s="13">
        <f t="shared" ref="BJ11" si="10">C11+AR11+BA11</f>
        <v>0</v>
      </c>
      <c r="BK11" s="13">
        <f t="shared" ref="BK11" si="11">D11+AS11+BB11</f>
        <v>356786.03</v>
      </c>
      <c r="BL11" s="13">
        <f t="shared" ref="BL11" si="12">E11+AT11+BC11</f>
        <v>35678.603000000003</v>
      </c>
      <c r="BM11" s="13">
        <f t="shared" ref="BM11" si="13">F11+AU11+BD11</f>
        <v>71357.206000000006</v>
      </c>
      <c r="BN11" s="13">
        <f t="shared" ref="BN11" si="14">G11+AV11+BE11</f>
        <v>107035.80900000001</v>
      </c>
      <c r="BO11" s="13">
        <f t="shared" ref="BO11" si="15">H11+AW11+BF11</f>
        <v>249750.22100000002</v>
      </c>
      <c r="BP11" s="9"/>
      <c r="BQ11" s="9"/>
    </row>
    <row r="12" spans="1:69">
      <c r="B12" s="13"/>
      <c r="C12" s="13"/>
      <c r="D12" s="13"/>
      <c r="E12" s="13"/>
      <c r="F12" s="13"/>
      <c r="G12" s="13"/>
      <c r="H12" s="13"/>
      <c r="J12" s="13"/>
      <c r="K12" s="13"/>
      <c r="L12" s="13"/>
      <c r="M12" s="13"/>
      <c r="N12" s="100"/>
      <c r="O12" s="13"/>
      <c r="P12" s="13"/>
      <c r="Q12" s="13"/>
      <c r="R12" s="13"/>
      <c r="S12" s="13"/>
      <c r="T12" s="13"/>
      <c r="U12" s="13"/>
      <c r="W12" s="100"/>
      <c r="X12" s="13"/>
      <c r="Y12" s="13"/>
      <c r="Z12" s="13"/>
      <c r="AA12" s="13"/>
      <c r="AF12" s="13"/>
      <c r="AG12" s="13"/>
      <c r="AH12" s="13"/>
      <c r="AI12" s="13"/>
      <c r="AJ12" s="13"/>
      <c r="AK12" s="13"/>
      <c r="AL12" s="13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13"/>
      <c r="BD12" s="13"/>
      <c r="BE12" s="13"/>
      <c r="BF12" s="13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</row>
    <row r="13" spans="1:69">
      <c r="A13" s="17" t="s">
        <v>148</v>
      </c>
      <c r="B13" s="13">
        <f>'2180 Trucks'!N144</f>
        <v>349200.73</v>
      </c>
      <c r="C13" s="13">
        <f>B13-D13</f>
        <v>0</v>
      </c>
      <c r="D13" s="13">
        <f>'2180 Trucks'!O144</f>
        <v>349200.73</v>
      </c>
      <c r="E13" s="13">
        <f>'2180 Trucks'!S144</f>
        <v>34920.072999999997</v>
      </c>
      <c r="F13" s="13">
        <f>'2180 Trucks'!T144</f>
        <v>104760.21899999998</v>
      </c>
      <c r="G13" s="13">
        <f>'2180 Trucks'!U144</f>
        <v>139680.29199999999</v>
      </c>
      <c r="H13" s="13">
        <f>'2180 Trucks'!W144</f>
        <v>209520.43799999999</v>
      </c>
      <c r="J13" s="13"/>
      <c r="K13" s="13"/>
      <c r="L13" s="13"/>
      <c r="M13" s="13"/>
      <c r="N13" s="100"/>
      <c r="O13" s="13"/>
      <c r="P13" s="13"/>
      <c r="Q13" s="13"/>
      <c r="R13" s="13"/>
      <c r="S13" s="13"/>
      <c r="T13" s="13"/>
      <c r="U13" s="13"/>
      <c r="V13" s="110"/>
      <c r="W13" s="100"/>
      <c r="X13" s="13"/>
      <c r="Y13" s="13"/>
      <c r="Z13" s="13"/>
      <c r="AA13" s="13"/>
      <c r="AB13" s="110"/>
      <c r="AC13" s="110"/>
      <c r="AF13" s="13"/>
      <c r="AG13" s="13"/>
      <c r="AH13" s="13"/>
      <c r="AI13" s="13"/>
      <c r="AJ13" s="13"/>
      <c r="AK13" s="13"/>
      <c r="AL13" s="13"/>
      <c r="AM13" s="110"/>
      <c r="AP13" s="17" t="s">
        <v>148</v>
      </c>
      <c r="AQ13" s="13">
        <f>IFERROR(VLOOKUP($AP13,'FAR Dep Summary'!$A$21:$F$34,2,FALSE),0)</f>
        <v>0</v>
      </c>
      <c r="AR13" s="13">
        <f t="shared" ref="AR13" si="16">AQ13-AS13</f>
        <v>0</v>
      </c>
      <c r="AS13" s="13">
        <f t="shared" ref="AS13" si="17">AQ13</f>
        <v>0</v>
      </c>
      <c r="AT13" s="13">
        <f>IFERROR(VLOOKUP($AP13,'FAR Dep Summary'!$A$21:$F$34,3,FALSE),0)</f>
        <v>0</v>
      </c>
      <c r="AU13" s="13">
        <f>IFERROR(VLOOKUP($AP13,'FAR Dep Summary'!$A$21:$F$34,4,FALSE),0)</f>
        <v>0</v>
      </c>
      <c r="AV13" s="13">
        <f>IFERROR(VLOOKUP($AP13,'FAR Dep Summary'!$A$21:$F$34,5,FALSE),0)</f>
        <v>0</v>
      </c>
      <c r="AW13" s="13">
        <f>IFERROR(VLOOKUP($AP13,'FAR Dep Summary'!$A$21:$F$34,6,FALSE),0)</f>
        <v>0</v>
      </c>
      <c r="AX13" s="9"/>
      <c r="AY13" s="9" t="s">
        <v>148</v>
      </c>
      <c r="AZ13" s="13">
        <f>IFERROR(SUMIF('2022 Bud CapEx'!$AP$72:$AP$83,'2180 Deprec'!$AY13,'2022 Bud CapEx'!$AQ$72:$AQ$83),0)</f>
        <v>0</v>
      </c>
      <c r="BA13" s="13">
        <f t="shared" ref="BA13" si="18">AZ13-BB13</f>
        <v>0</v>
      </c>
      <c r="BB13" s="13">
        <f t="shared" ref="BB13" si="19">AZ13</f>
        <v>0</v>
      </c>
      <c r="BC13" s="13">
        <f>IFERROR(SUMIF('2022 Bud CapEx'!$AP$72:$AP$83,'2180 Deprec'!$AY13,'2022 Bud CapEx'!$AS$72:$AS$83),0)</f>
        <v>0</v>
      </c>
      <c r="BD13" s="13">
        <v>0</v>
      </c>
      <c r="BE13" s="13">
        <f t="shared" ref="BE13" si="20">BC13</f>
        <v>0</v>
      </c>
      <c r="BF13" s="13">
        <f>IFERROR(SUMIF('2022 Bud CapEx'!$AP$72:$AP$83,'2180 Deprec'!$AY13,'2022 Bud CapEx'!$AU$72:$AU$83),0)</f>
        <v>0</v>
      </c>
      <c r="BG13" s="9"/>
      <c r="BH13" s="9" t="s">
        <v>148</v>
      </c>
      <c r="BI13" s="13">
        <f t="shared" ref="BI13" si="21">B13+AQ13+AZ13</f>
        <v>349200.73</v>
      </c>
      <c r="BJ13" s="13">
        <f t="shared" ref="BJ13" si="22">C13+AR13+BA13</f>
        <v>0</v>
      </c>
      <c r="BK13" s="13">
        <f t="shared" ref="BK13" si="23">D13+AS13+BB13</f>
        <v>349200.73</v>
      </c>
      <c r="BL13" s="13">
        <f t="shared" ref="BL13" si="24">E13+AT13+BC13</f>
        <v>34920.072999999997</v>
      </c>
      <c r="BM13" s="13">
        <f t="shared" ref="BM13" si="25">F13+AU13+BD13</f>
        <v>104760.21899999998</v>
      </c>
      <c r="BN13" s="13">
        <f t="shared" ref="BN13" si="26">G13+AV13+BE13</f>
        <v>139680.29199999999</v>
      </c>
      <c r="BO13" s="13">
        <f t="shared" ref="BO13" si="27">H13+AW13+BF13</f>
        <v>209520.43799999999</v>
      </c>
      <c r="BP13" s="9"/>
      <c r="BQ13" s="9"/>
    </row>
    <row r="14" spans="1:69">
      <c r="B14" s="13"/>
      <c r="C14" s="13"/>
      <c r="D14" s="13"/>
      <c r="E14" s="13"/>
      <c r="F14" s="13"/>
      <c r="G14" s="13"/>
      <c r="H14" s="13"/>
      <c r="J14" s="13"/>
      <c r="K14" s="13"/>
      <c r="L14" s="13"/>
      <c r="M14" s="13"/>
      <c r="N14" s="100"/>
      <c r="O14" s="13"/>
      <c r="P14" s="13"/>
      <c r="Q14" s="13"/>
      <c r="R14" s="13"/>
      <c r="S14" s="13"/>
      <c r="T14" s="13"/>
      <c r="U14" s="13"/>
      <c r="W14" s="100"/>
      <c r="X14" s="13"/>
      <c r="Y14" s="13"/>
      <c r="Z14" s="13"/>
      <c r="AA14" s="13"/>
      <c r="AF14" s="13"/>
      <c r="AG14" s="13"/>
      <c r="AH14" s="13"/>
      <c r="AI14" s="13"/>
      <c r="AJ14" s="13"/>
      <c r="AK14" s="13"/>
      <c r="AL14" s="13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13"/>
      <c r="BD14" s="13"/>
      <c r="BE14" s="13"/>
      <c r="BF14" s="13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</row>
    <row r="15" spans="1:69">
      <c r="A15" s="17" t="s">
        <v>150</v>
      </c>
      <c r="B15" s="13">
        <f>'2180 Trucks'!N192</f>
        <v>4579380.2260694774</v>
      </c>
      <c r="C15" s="13">
        <f>B15-D15</f>
        <v>0</v>
      </c>
      <c r="D15" s="13">
        <f>'2180 Trucks'!O192</f>
        <v>4579380.2260694774</v>
      </c>
      <c r="E15" s="13">
        <f>'2180 Trucks'!S192</f>
        <v>434250.37099999993</v>
      </c>
      <c r="F15" s="13">
        <f>'2180 Trucks'!T192</f>
        <v>1089231.4460694774</v>
      </c>
      <c r="G15" s="13">
        <f>'2180 Trucks'!U192</f>
        <v>1523481.8170694774</v>
      </c>
      <c r="H15" s="13">
        <f>'2180 Trucks'!W192</f>
        <v>3055898.409</v>
      </c>
      <c r="J15" s="13"/>
      <c r="K15" s="13"/>
      <c r="L15" s="13"/>
      <c r="M15" s="13"/>
      <c r="N15" s="100"/>
      <c r="O15" s="13"/>
      <c r="P15" s="13"/>
      <c r="Q15" s="13"/>
      <c r="R15" s="13"/>
      <c r="S15" s="13"/>
      <c r="T15" s="13"/>
      <c r="U15" s="13"/>
      <c r="V15" s="110"/>
      <c r="W15" s="100"/>
      <c r="X15" s="13"/>
      <c r="Y15" s="13"/>
      <c r="Z15" s="13"/>
      <c r="AA15" s="13"/>
      <c r="AB15" s="110"/>
      <c r="AC15" s="110"/>
      <c r="AF15" s="13"/>
      <c r="AG15" s="13"/>
      <c r="AH15" s="13"/>
      <c r="AI15" s="13"/>
      <c r="AJ15" s="13"/>
      <c r="AK15" s="13"/>
      <c r="AL15" s="13"/>
      <c r="AM15" s="110"/>
      <c r="AP15" s="17" t="s">
        <v>150</v>
      </c>
      <c r="AQ15" s="13">
        <f>IFERROR(VLOOKUP($AP15,'FAR Dep Summary'!$A$21:$F$34,2,FALSE),0)</f>
        <v>0</v>
      </c>
      <c r="AR15" s="13">
        <f t="shared" ref="AR15" si="28">AQ15-AS15</f>
        <v>0</v>
      </c>
      <c r="AS15" s="13">
        <f t="shared" ref="AS15" si="29">AQ15</f>
        <v>0</v>
      </c>
      <c r="AT15" s="13">
        <f>IFERROR(VLOOKUP($AP15,'FAR Dep Summary'!$A$21:$F$34,3,FALSE),0)</f>
        <v>0</v>
      </c>
      <c r="AU15" s="13">
        <f>IFERROR(VLOOKUP($AP15,'FAR Dep Summary'!$A$21:$F$34,4,FALSE),0)</f>
        <v>0</v>
      </c>
      <c r="AV15" s="13">
        <f>IFERROR(VLOOKUP($AP15,'FAR Dep Summary'!$A$21:$F$34,5,FALSE),0)</f>
        <v>0</v>
      </c>
      <c r="AW15" s="13">
        <f>IFERROR(VLOOKUP($AP15,'FAR Dep Summary'!$A$21:$F$34,6,FALSE),0)</f>
        <v>0</v>
      </c>
      <c r="AX15" s="9"/>
      <c r="AY15" s="9" t="s">
        <v>150</v>
      </c>
      <c r="AZ15" s="13">
        <f>IFERROR(SUMIF('2022 Bud CapEx'!$AP$72:$AP$83,'2180 Deprec'!$AY15,'2022 Bud CapEx'!$AQ$72:$AQ$83),0)</f>
        <v>0</v>
      </c>
      <c r="BA15" s="13">
        <f t="shared" ref="BA15" si="30">AZ15-BB15</f>
        <v>0</v>
      </c>
      <c r="BB15" s="13">
        <f t="shared" ref="BB15" si="31">AZ15</f>
        <v>0</v>
      </c>
      <c r="BC15" s="13">
        <f>IFERROR(SUMIF('2022 Bud CapEx'!$AP$72:$AP$83,'2180 Deprec'!$AY15,'2022 Bud CapEx'!$AS$72:$AS$83),0)</f>
        <v>0</v>
      </c>
      <c r="BD15" s="13">
        <v>0</v>
      </c>
      <c r="BE15" s="13">
        <f t="shared" ref="BE15" si="32">BC15</f>
        <v>0</v>
      </c>
      <c r="BF15" s="13">
        <f>IFERROR(SUMIF('2022 Bud CapEx'!$AP$72:$AP$83,'2180 Deprec'!$AY15,'2022 Bud CapEx'!$AU$72:$AU$83),0)</f>
        <v>0</v>
      </c>
      <c r="BG15" s="9"/>
      <c r="BH15" s="9" t="s">
        <v>150</v>
      </c>
      <c r="BI15" s="13">
        <f t="shared" ref="BI15" si="33">B15+AQ15+AZ15</f>
        <v>4579380.2260694774</v>
      </c>
      <c r="BJ15" s="13">
        <f t="shared" ref="BJ15" si="34">C15+AR15+BA15</f>
        <v>0</v>
      </c>
      <c r="BK15" s="13">
        <f t="shared" ref="BK15" si="35">D15+AS15+BB15</f>
        <v>4579380.2260694774</v>
      </c>
      <c r="BL15" s="13">
        <f t="shared" ref="BL15" si="36">E15+AT15+BC15</f>
        <v>434250.37099999993</v>
      </c>
      <c r="BM15" s="13">
        <f t="shared" ref="BM15" si="37">F15+AU15+BD15</f>
        <v>1089231.4460694774</v>
      </c>
      <c r="BN15" s="13">
        <f t="shared" ref="BN15" si="38">G15+AV15+BE15</f>
        <v>1523481.8170694774</v>
      </c>
      <c r="BO15" s="13">
        <f t="shared" ref="BO15" si="39">H15+AW15+BF15</f>
        <v>3055898.409</v>
      </c>
      <c r="BP15" s="9"/>
      <c r="BQ15" s="9"/>
    </row>
    <row r="16" spans="1:69">
      <c r="B16" s="13"/>
      <c r="C16" s="13"/>
      <c r="D16" s="13"/>
      <c r="E16" s="13"/>
      <c r="F16" s="13"/>
      <c r="G16" s="13"/>
      <c r="H16" s="13"/>
      <c r="J16" s="13"/>
      <c r="K16" s="13"/>
      <c r="L16" s="13"/>
      <c r="M16" s="13"/>
      <c r="N16" s="100"/>
      <c r="O16" s="13"/>
      <c r="P16" s="13"/>
      <c r="Q16" s="13"/>
      <c r="R16" s="13"/>
      <c r="S16" s="13"/>
      <c r="T16" s="13"/>
      <c r="U16" s="13"/>
      <c r="W16" s="100"/>
      <c r="X16" s="13"/>
      <c r="Y16" s="13"/>
      <c r="Z16" s="13"/>
      <c r="AA16" s="13"/>
      <c r="AF16" s="13"/>
      <c r="AG16" s="13"/>
      <c r="AH16" s="13"/>
      <c r="AI16" s="13"/>
      <c r="AJ16" s="13"/>
      <c r="AK16" s="13"/>
      <c r="AL16" s="13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13"/>
      <c r="BD16" s="13"/>
      <c r="BE16" s="13"/>
      <c r="BF16" s="13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>
      <c r="A17" s="17" t="s">
        <v>173</v>
      </c>
      <c r="B17" s="13">
        <f>'2180 Trucks'!N246</f>
        <v>6747454.8989025503</v>
      </c>
      <c r="C17" s="13">
        <f>B17-D17</f>
        <v>25391.937999999151</v>
      </c>
      <c r="D17" s="13">
        <f>'2180 Trucks'!O246</f>
        <v>6722062.9609025512</v>
      </c>
      <c r="E17" s="13">
        <f>'2180 Trucks'!S246</f>
        <v>401910.97600000002</v>
      </c>
      <c r="F17" s="13">
        <f>'2180 Trucks'!T246</f>
        <v>4968624.8529025503</v>
      </c>
      <c r="G17" s="13">
        <f>'2180 Trucks'!U246</f>
        <v>5370535.828902551</v>
      </c>
      <c r="H17" s="13">
        <f>'2180 Trucks'!W246</f>
        <v>1376919.07</v>
      </c>
      <c r="J17" s="13"/>
      <c r="K17" s="13"/>
      <c r="L17" s="13"/>
      <c r="M17" s="13"/>
      <c r="N17" s="100"/>
      <c r="O17" s="13"/>
      <c r="P17" s="13"/>
      <c r="Q17" s="13"/>
      <c r="R17" s="13"/>
      <c r="S17" s="13"/>
      <c r="T17" s="13"/>
      <c r="U17" s="13"/>
      <c r="V17" s="110"/>
      <c r="W17" s="100"/>
      <c r="X17" s="13"/>
      <c r="Y17" s="13"/>
      <c r="Z17" s="13"/>
      <c r="AA17" s="13"/>
      <c r="AB17" s="110"/>
      <c r="AC17" s="110"/>
      <c r="AF17" s="13"/>
      <c r="AG17" s="13"/>
      <c r="AH17" s="13"/>
      <c r="AI17" s="13"/>
      <c r="AJ17" s="13"/>
      <c r="AK17" s="13"/>
      <c r="AL17" s="13"/>
      <c r="AM17" s="110"/>
      <c r="AP17" s="17" t="s">
        <v>173</v>
      </c>
      <c r="AQ17" s="13">
        <f>IFERROR(VLOOKUP($AP17,'FAR Dep Summary'!$A$21:$F$34,2,FALSE),0)</f>
        <v>0</v>
      </c>
      <c r="AR17" s="13">
        <f t="shared" ref="AR17" si="40">AQ17-AS17</f>
        <v>0</v>
      </c>
      <c r="AS17" s="13">
        <f t="shared" ref="AS17" si="41">AQ17</f>
        <v>0</v>
      </c>
      <c r="AT17" s="13">
        <f>IFERROR(VLOOKUP($AP17,'FAR Dep Summary'!$A$21:$F$34,3,FALSE),0)</f>
        <v>0</v>
      </c>
      <c r="AU17" s="13">
        <f>IFERROR(VLOOKUP($AP17,'FAR Dep Summary'!$A$21:$F$34,4,FALSE),0)</f>
        <v>0</v>
      </c>
      <c r="AV17" s="13">
        <f>IFERROR(VLOOKUP($AP17,'FAR Dep Summary'!$A$21:$F$34,5,FALSE),0)</f>
        <v>0</v>
      </c>
      <c r="AW17" s="13">
        <f>IFERROR(VLOOKUP($AP17,'FAR Dep Summary'!$A$21:$F$34,6,FALSE),0)</f>
        <v>0</v>
      </c>
      <c r="AX17" s="9"/>
      <c r="AY17" s="9" t="s">
        <v>173</v>
      </c>
      <c r="AZ17" s="13">
        <f>IFERROR(SUMIF('2022 Bud CapEx'!$AP$72:$AP$83,'2180 Deprec'!$AY17,'2022 Bud CapEx'!$AQ$72:$AQ$83),0)</f>
        <v>435832</v>
      </c>
      <c r="BA17" s="13">
        <f t="shared" ref="BA17" si="42">AZ17-BB17</f>
        <v>0</v>
      </c>
      <c r="BB17" s="13">
        <f t="shared" ref="BB17" si="43">AZ17</f>
        <v>435832</v>
      </c>
      <c r="BC17" s="13">
        <f>IFERROR(SUMIF('2022 Bud CapEx'!$AP$72:$AP$83,'2180 Deprec'!$AY17,'2022 Bud CapEx'!$AS$72:$AS$83),0)</f>
        <v>43583.199999999997</v>
      </c>
      <c r="BD17" s="13">
        <v>0</v>
      </c>
      <c r="BE17" s="13">
        <f t="shared" ref="BE17" si="44">BC17</f>
        <v>43583.199999999997</v>
      </c>
      <c r="BF17" s="13">
        <f>IFERROR(SUMIF('2022 Bud CapEx'!$AP$72:$AP$83,'2180 Deprec'!$AY17,'2022 Bud CapEx'!$AU$72:$AU$83),0)</f>
        <v>392248.8</v>
      </c>
      <c r="BG17" s="9"/>
      <c r="BH17" s="9" t="s">
        <v>173</v>
      </c>
      <c r="BI17" s="13">
        <f t="shared" ref="BI17" si="45">B17+AQ17+AZ17</f>
        <v>7183286.8989025503</v>
      </c>
      <c r="BJ17" s="13">
        <f t="shared" ref="BJ17" si="46">C17+AR17+BA17</f>
        <v>25391.937999999151</v>
      </c>
      <c r="BK17" s="13">
        <f t="shared" ref="BK17" si="47">D17+AS17+BB17</f>
        <v>7157894.9609025512</v>
      </c>
      <c r="BL17" s="13">
        <f t="shared" ref="BL17" si="48">E17+AT17+BC17</f>
        <v>445494.17600000004</v>
      </c>
      <c r="BM17" s="13">
        <f t="shared" ref="BM17" si="49">F17+AU17+BD17</f>
        <v>4968624.8529025503</v>
      </c>
      <c r="BN17" s="13">
        <f t="shared" ref="BN17" si="50">G17+AV17+BE17</f>
        <v>5414119.0289025512</v>
      </c>
      <c r="BO17" s="13">
        <f t="shared" ref="BO17" si="51">H17+AW17+BF17</f>
        <v>1769167.87</v>
      </c>
      <c r="BP17" s="9"/>
      <c r="BQ17" s="9"/>
    </row>
    <row r="18" spans="1:69">
      <c r="B18" s="13"/>
      <c r="C18" s="13"/>
      <c r="D18" s="13"/>
      <c r="E18" s="13"/>
      <c r="F18" s="13"/>
      <c r="G18" s="13"/>
      <c r="H18" s="13"/>
      <c r="J18" s="13"/>
      <c r="K18" s="13"/>
      <c r="L18" s="13"/>
      <c r="M18" s="13"/>
      <c r="N18" s="100"/>
      <c r="O18" s="13"/>
      <c r="P18" s="13"/>
      <c r="Q18" s="13"/>
      <c r="R18" s="13"/>
      <c r="S18" s="13"/>
      <c r="T18" s="13"/>
      <c r="U18" s="13"/>
      <c r="W18" s="100"/>
      <c r="X18" s="13"/>
      <c r="Y18" s="13"/>
      <c r="Z18" s="13"/>
      <c r="AA18" s="13"/>
      <c r="AF18" s="13"/>
      <c r="AG18" s="13"/>
      <c r="AH18" s="13"/>
      <c r="AI18" s="13"/>
      <c r="AJ18" s="13"/>
      <c r="AK18" s="13"/>
      <c r="AL18" s="13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13"/>
      <c r="BD18" s="13"/>
      <c r="BE18" s="13"/>
      <c r="BF18" s="13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</row>
    <row r="19" spans="1:69">
      <c r="A19" s="17" t="s">
        <v>215</v>
      </c>
      <c r="B19" s="13">
        <f>'2180 Trucks'!N253</f>
        <v>632842.55000000005</v>
      </c>
      <c r="C19" s="13">
        <f>B19-D19</f>
        <v>0</v>
      </c>
      <c r="D19" s="13">
        <f>'2180 Trucks'!O253</f>
        <v>632842.55000000005</v>
      </c>
      <c r="E19" s="13">
        <f>'2180 Trucks'!S253</f>
        <v>63284.25499999999</v>
      </c>
      <c r="F19" s="13">
        <f>'2180 Trucks'!T253</f>
        <v>372102.43999999994</v>
      </c>
      <c r="G19" s="13">
        <f>'2180 Trucks'!U253</f>
        <v>435386.69500000001</v>
      </c>
      <c r="H19" s="13">
        <f>'2180 Trucks'!W253</f>
        <v>197455.85499999998</v>
      </c>
      <c r="J19" s="13"/>
      <c r="K19" s="13"/>
      <c r="L19" s="13"/>
      <c r="M19" s="13"/>
      <c r="N19" s="100"/>
      <c r="O19" s="13"/>
      <c r="P19" s="13"/>
      <c r="Q19" s="13"/>
      <c r="R19" s="13"/>
      <c r="S19" s="13"/>
      <c r="T19" s="13"/>
      <c r="U19" s="13"/>
      <c r="V19" s="110"/>
      <c r="W19" s="100"/>
      <c r="X19" s="13"/>
      <c r="Y19" s="13"/>
      <c r="Z19" s="13"/>
      <c r="AA19" s="13"/>
      <c r="AB19" s="110"/>
      <c r="AC19" s="110"/>
      <c r="AF19" s="13"/>
      <c r="AG19" s="13"/>
      <c r="AH19" s="13"/>
      <c r="AI19" s="13"/>
      <c r="AJ19" s="13"/>
      <c r="AK19" s="13"/>
      <c r="AL19" s="13"/>
      <c r="AM19" s="110"/>
      <c r="AP19" s="17" t="s">
        <v>215</v>
      </c>
      <c r="AQ19" s="13">
        <f>IFERROR(VLOOKUP($AP19,'FAR Dep Summary'!$A$21:$F$34,2,FALSE),0)</f>
        <v>0</v>
      </c>
      <c r="AR19" s="13">
        <f t="shared" ref="AR19" si="52">AQ19-AS19</f>
        <v>0</v>
      </c>
      <c r="AS19" s="13">
        <f t="shared" ref="AS19" si="53">AQ19</f>
        <v>0</v>
      </c>
      <c r="AT19" s="13">
        <f>IFERROR(VLOOKUP($AP19,'FAR Dep Summary'!$A$21:$F$34,3,FALSE),0)</f>
        <v>0</v>
      </c>
      <c r="AU19" s="13">
        <f>IFERROR(VLOOKUP($AP19,'FAR Dep Summary'!$A$21:$F$34,4,FALSE),0)</f>
        <v>0</v>
      </c>
      <c r="AV19" s="13">
        <f>IFERROR(VLOOKUP($AP19,'FAR Dep Summary'!$A$21:$F$34,5,FALSE),0)</f>
        <v>0</v>
      </c>
      <c r="AW19" s="13">
        <f>IFERROR(VLOOKUP($AP19,'FAR Dep Summary'!$A$21:$F$34,6,FALSE),0)</f>
        <v>0</v>
      </c>
      <c r="AX19" s="9"/>
      <c r="AY19" s="9" t="s">
        <v>215</v>
      </c>
      <c r="AZ19" s="13">
        <f>IFERROR(SUMIF('2022 Bud CapEx'!$AP$72:$AP$83,'2180 Deprec'!$AY19,'2022 Bud CapEx'!$AQ$72:$AQ$83),0)</f>
        <v>0</v>
      </c>
      <c r="BA19" s="13">
        <f t="shared" ref="BA19" si="54">AZ19-BB19</f>
        <v>0</v>
      </c>
      <c r="BB19" s="13">
        <f t="shared" ref="BB19" si="55">AZ19</f>
        <v>0</v>
      </c>
      <c r="BC19" s="13">
        <f>IFERROR(SUMIF('2022 Bud CapEx'!$AP$72:$AP$83,'2180 Deprec'!$AY19,'2022 Bud CapEx'!$AS$72:$AS$83),0)</f>
        <v>0</v>
      </c>
      <c r="BD19" s="13">
        <v>0</v>
      </c>
      <c r="BE19" s="13">
        <f t="shared" ref="BE19" si="56">BC19</f>
        <v>0</v>
      </c>
      <c r="BF19" s="13">
        <f>IFERROR(SUMIF('2022 Bud CapEx'!$AP$72:$AP$83,'2180 Deprec'!$AY19,'2022 Bud CapEx'!$AU$72:$AU$83),0)</f>
        <v>0</v>
      </c>
      <c r="BG19" s="9"/>
      <c r="BH19" s="9" t="s">
        <v>215</v>
      </c>
      <c r="BI19" s="13">
        <f t="shared" ref="BI19" si="57">B19+AQ19+AZ19</f>
        <v>632842.55000000005</v>
      </c>
      <c r="BJ19" s="13">
        <f t="shared" ref="BJ19" si="58">C19+AR19+BA19</f>
        <v>0</v>
      </c>
      <c r="BK19" s="13">
        <f t="shared" ref="BK19" si="59">D19+AS19+BB19</f>
        <v>632842.55000000005</v>
      </c>
      <c r="BL19" s="13">
        <f t="shared" ref="BL19" si="60">E19+AT19+BC19</f>
        <v>63284.25499999999</v>
      </c>
      <c r="BM19" s="13">
        <f t="shared" ref="BM19" si="61">F19+AU19+BD19</f>
        <v>372102.43999999994</v>
      </c>
      <c r="BN19" s="13">
        <f t="shared" ref="BN19" si="62">G19+AV19+BE19</f>
        <v>435386.69500000001</v>
      </c>
      <c r="BO19" s="13">
        <f t="shared" ref="BO19" si="63">H19+AW19+BF19</f>
        <v>197455.85499999998</v>
      </c>
      <c r="BP19" s="9"/>
      <c r="BQ19" s="9"/>
    </row>
    <row r="20" spans="1:69">
      <c r="B20" s="13"/>
      <c r="C20" s="13"/>
      <c r="D20" s="13"/>
      <c r="E20" s="13"/>
      <c r="F20" s="13"/>
      <c r="G20" s="13"/>
      <c r="H20" s="13"/>
      <c r="J20" s="13"/>
      <c r="K20" s="13"/>
      <c r="L20" s="13"/>
      <c r="M20" s="13"/>
      <c r="N20" s="100"/>
      <c r="O20" s="13"/>
      <c r="P20" s="13"/>
      <c r="Q20" s="13"/>
      <c r="R20" s="13"/>
      <c r="S20" s="13"/>
      <c r="T20" s="13"/>
      <c r="U20" s="13"/>
      <c r="W20" s="100"/>
      <c r="X20" s="13"/>
      <c r="Y20" s="13"/>
      <c r="Z20" s="13"/>
      <c r="AA20" s="13"/>
      <c r="AF20" s="13"/>
      <c r="AG20" s="13"/>
      <c r="AH20" s="13"/>
      <c r="AI20" s="13"/>
      <c r="AJ20" s="13"/>
      <c r="AK20" s="13"/>
      <c r="AL20" s="13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13"/>
      <c r="BD20" s="13"/>
      <c r="BE20" s="13"/>
      <c r="BF20" s="13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</row>
    <row r="21" spans="1:69">
      <c r="A21" s="17" t="s">
        <v>220</v>
      </c>
      <c r="B21" s="13">
        <f>'2180 Trucks'!N266</f>
        <v>666788.16000455373</v>
      </c>
      <c r="C21" s="13">
        <f>B21-D21</f>
        <v>0</v>
      </c>
      <c r="D21" s="13">
        <f>'2180 Trucks'!O266</f>
        <v>666788.16000455373</v>
      </c>
      <c r="E21" s="13">
        <f>'2180 Trucks'!S266</f>
        <v>33762.652000000002</v>
      </c>
      <c r="F21" s="13">
        <f>'2180 Trucks'!T266</f>
        <v>497974.90000455373</v>
      </c>
      <c r="G21" s="13">
        <f>'2180 Trucks'!U266</f>
        <v>531737.55200455373</v>
      </c>
      <c r="H21" s="13">
        <f>'2180 Trucks'!W266</f>
        <v>135050.60800000001</v>
      </c>
      <c r="J21" s="13"/>
      <c r="K21" s="13"/>
      <c r="L21" s="13"/>
      <c r="M21" s="13"/>
      <c r="N21" s="100"/>
      <c r="O21" s="13"/>
      <c r="P21" s="13"/>
      <c r="Q21" s="13"/>
      <c r="R21" s="13"/>
      <c r="S21" s="13"/>
      <c r="T21" s="13"/>
      <c r="U21" s="13"/>
      <c r="V21" s="110"/>
      <c r="W21" s="100"/>
      <c r="X21" s="13"/>
      <c r="Y21" s="13"/>
      <c r="Z21" s="13"/>
      <c r="AA21" s="13"/>
      <c r="AB21" s="110"/>
      <c r="AC21" s="110"/>
      <c r="AF21" s="13"/>
      <c r="AG21" s="13"/>
      <c r="AH21" s="13"/>
      <c r="AI21" s="13"/>
      <c r="AJ21" s="13"/>
      <c r="AK21" s="13"/>
      <c r="AL21" s="13"/>
      <c r="AM21" s="110"/>
      <c r="AP21" s="17" t="s">
        <v>220</v>
      </c>
      <c r="AQ21" s="13">
        <f>IFERROR(VLOOKUP($AP21,'FAR Dep Summary'!$A$21:$F$34,2,FALSE),0)</f>
        <v>96059.94</v>
      </c>
      <c r="AR21" s="13">
        <f t="shared" ref="AR21" si="64">AQ21-AS21</f>
        <v>0</v>
      </c>
      <c r="AS21" s="13">
        <f t="shared" ref="AS21" si="65">AQ21</f>
        <v>96059.94</v>
      </c>
      <c r="AT21" s="13">
        <f>IFERROR(VLOOKUP($AP21,'FAR Dep Summary'!$A$21:$F$34,3,FALSE),0)</f>
        <v>13722.848571428571</v>
      </c>
      <c r="AU21" s="13">
        <f>IFERROR(VLOOKUP($AP21,'FAR Dep Summary'!$A$21:$F$34,4,FALSE),0)</f>
        <v>0</v>
      </c>
      <c r="AV21" s="13">
        <f>IFERROR(VLOOKUP($AP21,'FAR Dep Summary'!$A$21:$F$34,5,FALSE),0)</f>
        <v>13722.848571428571</v>
      </c>
      <c r="AW21" s="13">
        <f>IFERROR(VLOOKUP($AP21,'FAR Dep Summary'!$A$21:$F$34,6,FALSE),0)</f>
        <v>82337.091428571439</v>
      </c>
      <c r="AX21" s="9"/>
      <c r="AY21" s="9" t="s">
        <v>220</v>
      </c>
      <c r="AZ21" s="13">
        <f>IFERROR(SUMIF('2022 Bud CapEx'!$AP$72:$AP$83,'2180 Deprec'!$AY21,'2022 Bud CapEx'!$AQ$72:$AQ$83),0)</f>
        <v>435832</v>
      </c>
      <c r="BA21" s="13">
        <f t="shared" ref="BA21" si="66">AZ21-BB21</f>
        <v>0</v>
      </c>
      <c r="BB21" s="13">
        <f t="shared" ref="BB21" si="67">AZ21</f>
        <v>435832</v>
      </c>
      <c r="BC21" s="13">
        <f>IFERROR(SUMIF('2022 Bud CapEx'!$AP$72:$AP$83,'2180 Deprec'!$AY21,'2022 Bud CapEx'!$AS$72:$AS$83),0)</f>
        <v>43583.199999999997</v>
      </c>
      <c r="BD21" s="13">
        <v>0</v>
      </c>
      <c r="BE21" s="13">
        <f t="shared" ref="BE21" si="68">BC21</f>
        <v>43583.199999999997</v>
      </c>
      <c r="BF21" s="13">
        <f>IFERROR(SUMIF('2022 Bud CapEx'!$AP$72:$AP$83,'2180 Deprec'!$AY21,'2022 Bud CapEx'!$AU$72:$AU$83),0)</f>
        <v>392248.8</v>
      </c>
      <c r="BG21" s="9"/>
      <c r="BH21" s="9" t="s">
        <v>220</v>
      </c>
      <c r="BI21" s="13">
        <f t="shared" ref="BI21" si="69">B21+AQ21+AZ21</f>
        <v>1198680.1000045538</v>
      </c>
      <c r="BJ21" s="13">
        <f t="shared" ref="BJ21" si="70">C21+AR21+BA21</f>
        <v>0</v>
      </c>
      <c r="BK21" s="13">
        <f t="shared" ref="BK21" si="71">D21+AS21+BB21</f>
        <v>1198680.1000045538</v>
      </c>
      <c r="BL21" s="13">
        <f t="shared" ref="BL21" si="72">E21+AT21+BC21</f>
        <v>91068.700571428577</v>
      </c>
      <c r="BM21" s="13">
        <f t="shared" ref="BM21" si="73">F21+AU21+BD21</f>
        <v>497974.90000455373</v>
      </c>
      <c r="BN21" s="13">
        <f t="shared" ref="BN21" si="74">G21+AV21+BE21</f>
        <v>589043.60057598224</v>
      </c>
      <c r="BO21" s="13">
        <f t="shared" ref="BO21" si="75">H21+AW21+BF21</f>
        <v>609636.49942857143</v>
      </c>
      <c r="BP21" s="9"/>
      <c r="BQ21" s="9"/>
    </row>
    <row r="22" spans="1:69">
      <c r="B22" s="13"/>
      <c r="C22" s="13"/>
      <c r="D22" s="13"/>
      <c r="E22" s="13"/>
      <c r="F22" s="13"/>
      <c r="G22" s="13"/>
      <c r="H22" s="13"/>
      <c r="J22" s="13"/>
      <c r="K22" s="13"/>
      <c r="L22" s="13"/>
      <c r="M22" s="13"/>
      <c r="N22" s="100"/>
      <c r="O22" s="13"/>
      <c r="P22" s="13"/>
      <c r="Q22" s="13"/>
      <c r="R22" s="13"/>
      <c r="S22" s="13"/>
      <c r="T22" s="13"/>
      <c r="U22" s="13"/>
      <c r="W22" s="100"/>
      <c r="X22" s="13"/>
      <c r="Y22" s="13"/>
      <c r="Z22" s="13"/>
      <c r="AA22" s="13"/>
      <c r="AF22" s="13"/>
      <c r="AG22" s="13"/>
      <c r="AH22" s="13"/>
      <c r="AI22" s="13"/>
      <c r="AJ22" s="13"/>
      <c r="AK22" s="13"/>
      <c r="AL22" s="13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13"/>
      <c r="BD22" s="13"/>
      <c r="BE22" s="13"/>
      <c r="BF22" s="13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</row>
    <row r="23" spans="1:69">
      <c r="A23" s="17" t="s">
        <v>227</v>
      </c>
      <c r="B23" s="13">
        <f>'2180 Trucks'!N281</f>
        <v>1313038.4400000002</v>
      </c>
      <c r="C23" s="13">
        <f>B23-D23</f>
        <v>0</v>
      </c>
      <c r="D23" s="13">
        <f>'2180 Trucks'!O281</f>
        <v>1313038.4400000002</v>
      </c>
      <c r="E23" s="13">
        <f>'2180 Trucks'!S281</f>
        <v>31712.175000000003</v>
      </c>
      <c r="F23" s="13">
        <f>'2180 Trucks'!T281</f>
        <v>1122765.3900000001</v>
      </c>
      <c r="G23" s="13">
        <f>'2180 Trucks'!U281</f>
        <v>1154477.5650000002</v>
      </c>
      <c r="H23" s="13">
        <f>'2180 Trucks'!W281</f>
        <v>158560.875</v>
      </c>
      <c r="J23" s="13"/>
      <c r="K23" s="13"/>
      <c r="L23" s="13"/>
      <c r="M23" s="13"/>
      <c r="N23" s="100"/>
      <c r="O23" s="13"/>
      <c r="P23" s="13"/>
      <c r="Q23" s="13"/>
      <c r="R23" s="13"/>
      <c r="S23" s="13"/>
      <c r="T23" s="13"/>
      <c r="U23" s="13"/>
      <c r="V23" s="110"/>
      <c r="W23" s="100"/>
      <c r="X23" s="13"/>
      <c r="Y23" s="13"/>
      <c r="Z23" s="13"/>
      <c r="AA23" s="13"/>
      <c r="AB23" s="110"/>
      <c r="AC23" s="110"/>
      <c r="AF23" s="13"/>
      <c r="AG23" s="13"/>
      <c r="AH23" s="13"/>
      <c r="AI23" s="13"/>
      <c r="AJ23" s="13"/>
      <c r="AK23" s="13"/>
      <c r="AL23" s="13"/>
      <c r="AM23" s="110"/>
      <c r="AP23" s="17" t="s">
        <v>227</v>
      </c>
      <c r="AQ23" s="13">
        <f>IFERROR(VLOOKUP($AP23,'FAR Dep Summary'!$A$21:$F$34,2,FALSE),0)</f>
        <v>373893.89</v>
      </c>
      <c r="AR23" s="13">
        <f t="shared" ref="AR23" si="76">AQ23-AS23</f>
        <v>0</v>
      </c>
      <c r="AS23" s="13">
        <f t="shared" ref="AS23" si="77">AQ23</f>
        <v>373893.89</v>
      </c>
      <c r="AT23" s="13">
        <f>IFERROR(VLOOKUP($AP23,'FAR Dep Summary'!$A$21:$F$34,3,FALSE),0)</f>
        <v>37389.389000000003</v>
      </c>
      <c r="AU23" s="13">
        <f>IFERROR(VLOOKUP($AP23,'FAR Dep Summary'!$A$21:$F$34,4,FALSE),0)</f>
        <v>0</v>
      </c>
      <c r="AV23" s="13">
        <f>IFERROR(VLOOKUP($AP23,'FAR Dep Summary'!$A$21:$F$34,5,FALSE),0)</f>
        <v>37389.389000000003</v>
      </c>
      <c r="AW23" s="13">
        <f>IFERROR(VLOOKUP($AP23,'FAR Dep Summary'!$A$21:$F$34,6,FALSE),0)</f>
        <v>336504.50099999999</v>
      </c>
      <c r="AX23" s="9"/>
      <c r="AY23" s="9" t="s">
        <v>227</v>
      </c>
      <c r="AZ23" s="13">
        <f>IFERROR(SUMIF('2022 Bud CapEx'!$AP$72:$AP$83,'2180 Deprec'!$AY23,'2022 Bud CapEx'!$AQ$72:$AQ$83),0)</f>
        <v>0</v>
      </c>
      <c r="BA23" s="13">
        <f t="shared" ref="BA23" si="78">AZ23-BB23</f>
        <v>0</v>
      </c>
      <c r="BB23" s="13">
        <f t="shared" ref="BB23" si="79">AZ23</f>
        <v>0</v>
      </c>
      <c r="BC23" s="13">
        <f>IFERROR(SUMIF('2022 Bud CapEx'!$AP$72:$AP$83,'2180 Deprec'!$AY23,'2022 Bud CapEx'!$AS$72:$AS$83),0)</f>
        <v>0</v>
      </c>
      <c r="BD23" s="13">
        <v>0</v>
      </c>
      <c r="BE23" s="13">
        <f t="shared" ref="BE23" si="80">BC23</f>
        <v>0</v>
      </c>
      <c r="BF23" s="13">
        <f>IFERROR(SUMIF('2022 Bud CapEx'!$AP$72:$AP$83,'2180 Deprec'!$AY23,'2022 Bud CapEx'!$AU$72:$AU$83),0)</f>
        <v>0</v>
      </c>
      <c r="BG23" s="9"/>
      <c r="BH23" s="9" t="s">
        <v>227</v>
      </c>
      <c r="BI23" s="13">
        <f t="shared" ref="BI23" si="81">B23+AQ23+AZ23</f>
        <v>1686932.33</v>
      </c>
      <c r="BJ23" s="13">
        <f t="shared" ref="BJ23" si="82">C23+AR23+BA23</f>
        <v>0</v>
      </c>
      <c r="BK23" s="13">
        <f t="shared" ref="BK23" si="83">D23+AS23+BB23</f>
        <v>1686932.33</v>
      </c>
      <c r="BL23" s="13">
        <f t="shared" ref="BL23" si="84">E23+AT23+BC23</f>
        <v>69101.564000000013</v>
      </c>
      <c r="BM23" s="13">
        <f t="shared" ref="BM23" si="85">F23+AU23+BD23</f>
        <v>1122765.3900000001</v>
      </c>
      <c r="BN23" s="13">
        <f t="shared" ref="BN23" si="86">G23+AV23+BE23</f>
        <v>1191866.9540000001</v>
      </c>
      <c r="BO23" s="13">
        <f t="shared" ref="BO23" si="87">H23+AW23+BF23</f>
        <v>495065.37599999999</v>
      </c>
      <c r="BP23" s="9"/>
      <c r="BQ23" s="9"/>
    </row>
    <row r="24" spans="1:69">
      <c r="B24" s="13"/>
      <c r="C24" s="13"/>
      <c r="D24" s="13"/>
      <c r="E24" s="13"/>
      <c r="F24" s="13"/>
      <c r="G24" s="13"/>
      <c r="H24" s="13"/>
      <c r="J24" s="13"/>
      <c r="K24" s="13"/>
      <c r="L24" s="13"/>
      <c r="M24" s="13"/>
      <c r="N24" s="100"/>
      <c r="O24" s="13"/>
      <c r="P24" s="13"/>
      <c r="Q24" s="13"/>
      <c r="R24" s="13"/>
      <c r="S24" s="13"/>
      <c r="T24" s="13"/>
      <c r="U24" s="13"/>
      <c r="W24" s="100"/>
      <c r="X24" s="13"/>
      <c r="Y24" s="13"/>
      <c r="Z24" s="13"/>
      <c r="AA24" s="13"/>
      <c r="AF24" s="13"/>
      <c r="AG24" s="13"/>
      <c r="AH24" s="13"/>
      <c r="AI24" s="13"/>
      <c r="AJ24" s="13"/>
      <c r="AK24" s="13"/>
      <c r="AL24" s="13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13"/>
      <c r="BD24" s="13"/>
      <c r="BE24" s="13"/>
      <c r="BF24" s="13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</row>
    <row r="25" spans="1:69">
      <c r="A25" s="17" t="s">
        <v>245</v>
      </c>
      <c r="B25" s="13">
        <f>'2180 Trucks'!N291</f>
        <v>145674.21000000002</v>
      </c>
      <c r="C25" s="13">
        <f>B25-D25</f>
        <v>0</v>
      </c>
      <c r="D25" s="13">
        <f>'2180 Trucks'!O291</f>
        <v>145674.21000000002</v>
      </c>
      <c r="E25" s="13">
        <f>'2180 Trucks'!S291</f>
        <v>7091.9870000000001</v>
      </c>
      <c r="F25" s="13">
        <f>'2180 Trucks'!T291</f>
        <v>104436.70199999999</v>
      </c>
      <c r="G25" s="13">
        <f>'2180 Trucks'!U291</f>
        <v>111528.68900000001</v>
      </c>
      <c r="H25" s="13">
        <f>'2180 Trucks'!W291</f>
        <v>34145.521000000001</v>
      </c>
      <c r="J25" s="13"/>
      <c r="K25" s="13"/>
      <c r="L25" s="13"/>
      <c r="M25" s="13"/>
      <c r="N25" s="100"/>
      <c r="O25" s="13"/>
      <c r="P25" s="13"/>
      <c r="Q25" s="13"/>
      <c r="R25" s="13"/>
      <c r="S25" s="13"/>
      <c r="T25" s="13"/>
      <c r="U25" s="13"/>
      <c r="V25" s="110"/>
      <c r="W25" s="100"/>
      <c r="X25" s="13"/>
      <c r="Y25" s="13"/>
      <c r="Z25" s="13"/>
      <c r="AA25" s="13"/>
      <c r="AB25" s="110"/>
      <c r="AC25" s="110"/>
      <c r="AF25" s="13"/>
      <c r="AG25" s="13"/>
      <c r="AH25" s="13"/>
      <c r="AI25" s="13"/>
      <c r="AJ25" s="13"/>
      <c r="AK25" s="13"/>
      <c r="AL25" s="13"/>
      <c r="AM25" s="110"/>
      <c r="AP25" s="17" t="s">
        <v>245</v>
      </c>
      <c r="AQ25" s="13">
        <f>IFERROR(VLOOKUP($AP25,'FAR Dep Summary'!$A$21:$F$34,2,FALSE),0)</f>
        <v>0</v>
      </c>
      <c r="AR25" s="13">
        <f t="shared" ref="AR25" si="88">AQ25-AS25</f>
        <v>0</v>
      </c>
      <c r="AS25" s="13">
        <f t="shared" ref="AS25" si="89">AQ25</f>
        <v>0</v>
      </c>
      <c r="AT25" s="13">
        <f>IFERROR(VLOOKUP($AP25,'FAR Dep Summary'!$A$21:$F$34,3,FALSE),0)</f>
        <v>0</v>
      </c>
      <c r="AU25" s="13">
        <f>IFERROR(VLOOKUP($AP25,'FAR Dep Summary'!$A$21:$F$34,4,FALSE),0)</f>
        <v>0</v>
      </c>
      <c r="AV25" s="13">
        <f>IFERROR(VLOOKUP($AP25,'FAR Dep Summary'!$A$21:$F$34,5,FALSE),0)</f>
        <v>0</v>
      </c>
      <c r="AW25" s="13">
        <f>IFERROR(VLOOKUP($AP25,'FAR Dep Summary'!$A$21:$F$34,6,FALSE),0)</f>
        <v>0</v>
      </c>
      <c r="AX25" s="9"/>
      <c r="AY25" s="9" t="s">
        <v>245</v>
      </c>
      <c r="AZ25" s="13">
        <f>IFERROR(SUMIF('2022 Bud CapEx'!$AP$72:$AP$83,'2180 Deprec'!$AY25,'2022 Bud CapEx'!$AQ$72:$AQ$83),0)</f>
        <v>0</v>
      </c>
      <c r="BA25" s="13">
        <f t="shared" ref="BA25" si="90">AZ25-BB25</f>
        <v>0</v>
      </c>
      <c r="BB25" s="13">
        <f t="shared" ref="BB25" si="91">AZ25</f>
        <v>0</v>
      </c>
      <c r="BC25" s="13">
        <f>IFERROR(SUMIF('2022 Bud CapEx'!$AP$72:$AP$83,'2180 Deprec'!$AY25,'2022 Bud CapEx'!$AS$72:$AS$83),0)</f>
        <v>0</v>
      </c>
      <c r="BD25" s="13">
        <v>0</v>
      </c>
      <c r="BE25" s="13">
        <f t="shared" ref="BE25" si="92">BC25</f>
        <v>0</v>
      </c>
      <c r="BF25" s="13">
        <f>IFERROR(SUMIF('2022 Bud CapEx'!$AP$72:$AP$83,'2180 Deprec'!$AY25,'2022 Bud CapEx'!$AU$72:$AU$83),0)</f>
        <v>0</v>
      </c>
      <c r="BG25" s="9"/>
      <c r="BH25" s="9" t="s">
        <v>245</v>
      </c>
      <c r="BI25" s="13">
        <f t="shared" ref="BI25" si="93">B25+AQ25+AZ25</f>
        <v>145674.21000000002</v>
      </c>
      <c r="BJ25" s="13">
        <f t="shared" ref="BJ25" si="94">C25+AR25+BA25</f>
        <v>0</v>
      </c>
      <c r="BK25" s="13">
        <f t="shared" ref="BK25" si="95">D25+AS25+BB25</f>
        <v>145674.21000000002</v>
      </c>
      <c r="BL25" s="13">
        <f t="shared" ref="BL25" si="96">E25+AT25+BC25</f>
        <v>7091.9870000000001</v>
      </c>
      <c r="BM25" s="13">
        <f t="shared" ref="BM25" si="97">F25+AU25+BD25</f>
        <v>104436.70199999999</v>
      </c>
      <c r="BN25" s="13">
        <f t="shared" ref="BN25" si="98">G25+AV25+BE25</f>
        <v>111528.68900000001</v>
      </c>
      <c r="BO25" s="13">
        <f t="shared" ref="BO25" si="99">H25+AW25+BF25</f>
        <v>34145.521000000001</v>
      </c>
      <c r="BP25" s="9"/>
      <c r="BQ25" s="9"/>
    </row>
    <row r="26" spans="1:69">
      <c r="B26" s="13"/>
      <c r="C26" s="13"/>
      <c r="D26" s="13"/>
      <c r="E26" s="13"/>
      <c r="F26" s="13"/>
      <c r="G26" s="13"/>
      <c r="H26" s="13"/>
      <c r="J26" s="13"/>
      <c r="K26" s="13"/>
      <c r="L26" s="13"/>
      <c r="M26" s="13"/>
      <c r="N26" s="100"/>
      <c r="O26" s="13"/>
      <c r="P26" s="13"/>
      <c r="Q26" s="13"/>
      <c r="R26" s="13"/>
      <c r="S26" s="13"/>
      <c r="T26" s="13"/>
      <c r="U26" s="13"/>
      <c r="W26" s="100"/>
      <c r="X26" s="13"/>
      <c r="Y26" s="13"/>
      <c r="Z26" s="13"/>
      <c r="AA26" s="13"/>
      <c r="AF26" s="13"/>
      <c r="AG26" s="13"/>
      <c r="AH26" s="13"/>
      <c r="AI26" s="13"/>
      <c r="AJ26" s="13"/>
      <c r="AK26" s="13"/>
      <c r="AL26" s="13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13"/>
      <c r="BD26" s="13"/>
      <c r="BE26" s="13"/>
      <c r="BF26" s="13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</row>
    <row r="27" spans="1:69">
      <c r="A27" s="17" t="s">
        <v>253</v>
      </c>
      <c r="B27" s="13">
        <f>'2180 Trucks'!N308</f>
        <v>649249.68999999994</v>
      </c>
      <c r="C27" s="13">
        <f>B27-D27</f>
        <v>49681.48499999987</v>
      </c>
      <c r="D27" s="13">
        <f>'2180 Trucks'!O308</f>
        <v>599568.20500000007</v>
      </c>
      <c r="E27" s="13">
        <f>'2180 Trucks'!S308</f>
        <v>31774.639999999999</v>
      </c>
      <c r="F27" s="13">
        <f>'2180 Trucks'!T308</f>
        <v>458601.85</v>
      </c>
      <c r="G27" s="13">
        <f>'2180 Trucks'!U308</f>
        <v>490376.49</v>
      </c>
      <c r="H27" s="13">
        <f>'2180 Trucks'!W308</f>
        <v>158873.20000000001</v>
      </c>
      <c r="J27" s="13"/>
      <c r="K27" s="13"/>
      <c r="L27" s="13"/>
      <c r="M27" s="13"/>
      <c r="N27" s="100"/>
      <c r="O27" s="13"/>
      <c r="P27" s="13"/>
      <c r="Q27" s="13"/>
      <c r="R27" s="13"/>
      <c r="S27" s="13"/>
      <c r="T27" s="13"/>
      <c r="U27" s="13"/>
      <c r="V27" s="110"/>
      <c r="W27" s="100"/>
      <c r="X27" s="13"/>
      <c r="Y27" s="13"/>
      <c r="Z27" s="13"/>
      <c r="AA27" s="13"/>
      <c r="AB27" s="110"/>
      <c r="AC27" s="110"/>
      <c r="AF27" s="13"/>
      <c r="AG27" s="13"/>
      <c r="AH27" s="13"/>
      <c r="AI27" s="13"/>
      <c r="AJ27" s="13"/>
      <c r="AK27" s="13"/>
      <c r="AL27" s="13"/>
      <c r="AM27" s="110"/>
      <c r="AP27" s="17" t="s">
        <v>253</v>
      </c>
      <c r="AQ27" s="13">
        <f>IFERROR(VLOOKUP($AP27,'FAR Dep Summary'!$A$21:$F$34,2,FALSE),0)</f>
        <v>0</v>
      </c>
      <c r="AR27" s="13">
        <f t="shared" ref="AR27" si="100">AQ27-AS27</f>
        <v>0</v>
      </c>
      <c r="AS27" s="13">
        <f t="shared" ref="AS27" si="101">AQ27</f>
        <v>0</v>
      </c>
      <c r="AT27" s="13">
        <f>IFERROR(VLOOKUP($AP27,'FAR Dep Summary'!$A$21:$F$34,3,FALSE),0)</f>
        <v>0</v>
      </c>
      <c r="AU27" s="13">
        <f>IFERROR(VLOOKUP($AP27,'FAR Dep Summary'!$A$21:$F$34,4,FALSE),0)</f>
        <v>0</v>
      </c>
      <c r="AV27" s="13">
        <f>IFERROR(VLOOKUP($AP27,'FAR Dep Summary'!$A$21:$F$34,5,FALSE),0)</f>
        <v>0</v>
      </c>
      <c r="AW27" s="13">
        <f>IFERROR(VLOOKUP($AP27,'FAR Dep Summary'!$A$21:$F$34,6,FALSE),0)</f>
        <v>0</v>
      </c>
      <c r="AX27" s="9"/>
      <c r="AY27" s="9" t="s">
        <v>253</v>
      </c>
      <c r="AZ27" s="13">
        <f>IFERROR(SUMIF('2022 Bud CapEx'!$AP$72:$AP$83,'2180 Deprec'!$AY27,'2022 Bud CapEx'!$AQ$72:$AQ$83),0)</f>
        <v>0</v>
      </c>
      <c r="BA27" s="13">
        <f t="shared" ref="BA27" si="102">AZ27-BB27</f>
        <v>0</v>
      </c>
      <c r="BB27" s="13">
        <f t="shared" ref="BB27" si="103">AZ27</f>
        <v>0</v>
      </c>
      <c r="BC27" s="13">
        <f>IFERROR(SUMIF('2022 Bud CapEx'!$AP$72:$AP$83,'2180 Deprec'!$AY27,'2022 Bud CapEx'!$AS$72:$AS$83),0)</f>
        <v>0</v>
      </c>
      <c r="BD27" s="13">
        <v>0</v>
      </c>
      <c r="BE27" s="13">
        <f t="shared" ref="BE27" si="104">BC27</f>
        <v>0</v>
      </c>
      <c r="BF27" s="13">
        <f>IFERROR(SUMIF('2022 Bud CapEx'!$AP$72:$AP$83,'2180 Deprec'!$AY27,'2022 Bud CapEx'!$AU$72:$AU$83),0)</f>
        <v>0</v>
      </c>
      <c r="BG27" s="9"/>
      <c r="BH27" s="9" t="s">
        <v>253</v>
      </c>
      <c r="BI27" s="13">
        <f t="shared" ref="BI27" si="105">B27+AQ27+AZ27</f>
        <v>649249.68999999994</v>
      </c>
      <c r="BJ27" s="13">
        <f t="shared" ref="BJ27" si="106">C27+AR27+BA27</f>
        <v>49681.48499999987</v>
      </c>
      <c r="BK27" s="13">
        <f t="shared" ref="BK27" si="107">D27+AS27+BB27</f>
        <v>599568.20500000007</v>
      </c>
      <c r="BL27" s="13">
        <f t="shared" ref="BL27" si="108">E27+AT27+BC27</f>
        <v>31774.639999999999</v>
      </c>
      <c r="BM27" s="13">
        <f t="shared" ref="BM27" si="109">F27+AU27+BD27</f>
        <v>458601.85</v>
      </c>
      <c r="BN27" s="13">
        <f t="shared" ref="BN27" si="110">G27+AV27+BE27</f>
        <v>490376.49</v>
      </c>
      <c r="BO27" s="13">
        <f t="shared" ref="BO27" si="111">H27+AW27+BF27</f>
        <v>158873.20000000001</v>
      </c>
      <c r="BP27" s="9"/>
      <c r="BQ27" s="9"/>
    </row>
    <row r="28" spans="1:69">
      <c r="B28" s="13"/>
      <c r="C28" s="13"/>
      <c r="D28" s="13"/>
      <c r="E28" s="13"/>
      <c r="F28" s="13"/>
      <c r="G28" s="13"/>
      <c r="H28" s="13"/>
      <c r="J28" s="13"/>
      <c r="K28" s="13"/>
      <c r="L28" s="13"/>
      <c r="M28" s="13"/>
      <c r="N28" s="100"/>
      <c r="O28" s="13"/>
      <c r="P28" s="13"/>
      <c r="Q28" s="13"/>
      <c r="R28" s="13"/>
      <c r="S28" s="13"/>
      <c r="T28" s="13"/>
      <c r="U28" s="13"/>
      <c r="W28" s="100"/>
      <c r="X28" s="13"/>
      <c r="Y28" s="13"/>
      <c r="Z28" s="13"/>
      <c r="AA28" s="13"/>
      <c r="AF28" s="13"/>
      <c r="AG28" s="13"/>
      <c r="AH28" s="13"/>
      <c r="AI28" s="13"/>
      <c r="AJ28" s="13"/>
      <c r="AK28" s="13"/>
      <c r="AL28" s="13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13"/>
      <c r="BD28" s="13"/>
      <c r="BE28" s="13"/>
      <c r="BF28" s="13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</row>
    <row r="29" spans="1:69">
      <c r="A29" s="17" t="s">
        <v>3452</v>
      </c>
      <c r="B29" s="13">
        <f>'2180 Trucks'!N321</f>
        <v>285421.51</v>
      </c>
      <c r="C29" s="13">
        <f>B29-D29</f>
        <v>47765.10560000001</v>
      </c>
      <c r="D29" s="13">
        <f>'2180 Trucks'!O321</f>
        <v>237656.4044</v>
      </c>
      <c r="E29" s="13">
        <f>'2180 Trucks'!S321</f>
        <v>0</v>
      </c>
      <c r="F29" s="13">
        <f>'2180 Trucks'!T321</f>
        <v>285421.51</v>
      </c>
      <c r="G29" s="13">
        <f>'2180 Trucks'!U321</f>
        <v>285421.51</v>
      </c>
      <c r="H29" s="13">
        <f>'2180 Trucks'!W321</f>
        <v>0</v>
      </c>
      <c r="J29" s="13"/>
      <c r="K29" s="13"/>
      <c r="L29" s="13"/>
      <c r="M29" s="13"/>
      <c r="N29" s="100"/>
      <c r="O29" s="13"/>
      <c r="P29" s="13"/>
      <c r="Q29" s="13"/>
      <c r="R29" s="13"/>
      <c r="S29" s="13"/>
      <c r="T29" s="13"/>
      <c r="U29" s="13"/>
      <c r="V29" s="110"/>
      <c r="W29" s="100"/>
      <c r="X29" s="13"/>
      <c r="Y29" s="13"/>
      <c r="Z29" s="13"/>
      <c r="AA29" s="13"/>
      <c r="AB29" s="110"/>
      <c r="AC29" s="110"/>
      <c r="AF29" s="13"/>
      <c r="AG29" s="13"/>
      <c r="AH29" s="13"/>
      <c r="AI29" s="13"/>
      <c r="AJ29" s="13"/>
      <c r="AK29" s="13"/>
      <c r="AL29" s="13"/>
      <c r="AM29" s="110"/>
      <c r="AP29" s="17" t="s">
        <v>3452</v>
      </c>
      <c r="AQ29" s="13">
        <f>IFERROR(VLOOKUP($AP29,'FAR Dep Summary'!$A$21:$F$34,2,FALSE),0)</f>
        <v>0</v>
      </c>
      <c r="AR29" s="13">
        <f t="shared" ref="AR29" si="112">AQ29-AS29</f>
        <v>0</v>
      </c>
      <c r="AS29" s="13">
        <f t="shared" ref="AS29" si="113">AQ29</f>
        <v>0</v>
      </c>
      <c r="AT29" s="13">
        <f>IFERROR(VLOOKUP($AP29,'FAR Dep Summary'!$A$21:$F$34,3,FALSE),0)</f>
        <v>0</v>
      </c>
      <c r="AU29" s="13">
        <f>IFERROR(VLOOKUP($AP29,'FAR Dep Summary'!$A$21:$F$34,4,FALSE),0)</f>
        <v>0</v>
      </c>
      <c r="AV29" s="13">
        <f>IFERROR(VLOOKUP($AP29,'FAR Dep Summary'!$A$21:$F$34,5,FALSE),0)</f>
        <v>0</v>
      </c>
      <c r="AW29" s="13">
        <f>IFERROR(VLOOKUP($AP29,'FAR Dep Summary'!$A$21:$F$34,6,FALSE),0)</f>
        <v>0</v>
      </c>
      <c r="AX29" s="9"/>
      <c r="AY29" s="9" t="s">
        <v>3452</v>
      </c>
      <c r="AZ29" s="13">
        <f>IFERROR(SUMIF('2022 Bud CapEx'!$AP$72:$AP$83,'2180 Deprec'!$AY29,'2022 Bud CapEx'!$AQ$72:$AQ$83),0)</f>
        <v>0</v>
      </c>
      <c r="BA29" s="13">
        <f t="shared" ref="BA29" si="114">AZ29-BB29</f>
        <v>0</v>
      </c>
      <c r="BB29" s="13">
        <f t="shared" ref="BB29" si="115">AZ29</f>
        <v>0</v>
      </c>
      <c r="BC29" s="13">
        <f>IFERROR(SUMIF('2022 Bud CapEx'!$AP$72:$AP$83,'2180 Deprec'!$AY29,'2022 Bud CapEx'!$AS$72:$AS$83),0)</f>
        <v>0</v>
      </c>
      <c r="BD29" s="13">
        <v>0</v>
      </c>
      <c r="BE29" s="13">
        <f t="shared" ref="BE29" si="116">BC29</f>
        <v>0</v>
      </c>
      <c r="BF29" s="13">
        <f>IFERROR(SUMIF('2022 Bud CapEx'!$AP$72:$AP$83,'2180 Deprec'!$AY29,'2022 Bud CapEx'!$AU$72:$AU$83),0)</f>
        <v>0</v>
      </c>
      <c r="BG29" s="9"/>
      <c r="BH29" s="9" t="s">
        <v>3452</v>
      </c>
      <c r="BI29" s="13">
        <f t="shared" ref="BI29" si="117">B29+AQ29+AZ29</f>
        <v>285421.51</v>
      </c>
      <c r="BJ29" s="13">
        <f t="shared" ref="BJ29" si="118">C29+AR29+BA29</f>
        <v>47765.10560000001</v>
      </c>
      <c r="BK29" s="13">
        <f t="shared" ref="BK29" si="119">D29+AS29+BB29</f>
        <v>237656.4044</v>
      </c>
      <c r="BL29" s="13">
        <f t="shared" ref="BL29" si="120">E29+AT29+BC29</f>
        <v>0</v>
      </c>
      <c r="BM29" s="13">
        <f t="shared" ref="BM29" si="121">F29+AU29+BD29</f>
        <v>285421.51</v>
      </c>
      <c r="BN29" s="13">
        <f t="shared" ref="BN29" si="122">G29+AV29+BE29</f>
        <v>285421.51</v>
      </c>
      <c r="BO29" s="13">
        <f t="shared" ref="BO29" si="123">H29+AW29+BF29</f>
        <v>0</v>
      </c>
      <c r="BP29" s="9"/>
      <c r="BQ29" s="9"/>
    </row>
    <row r="30" spans="1:69">
      <c r="B30" s="13"/>
      <c r="C30" s="13"/>
      <c r="D30" s="13"/>
      <c r="E30" s="13"/>
      <c r="F30" s="13"/>
      <c r="G30" s="13"/>
      <c r="H30" s="13"/>
      <c r="J30" s="13"/>
      <c r="K30" s="13"/>
      <c r="L30" s="13"/>
      <c r="M30" s="13"/>
      <c r="N30" s="100"/>
      <c r="O30" s="13"/>
      <c r="P30" s="13"/>
      <c r="Q30" s="13"/>
      <c r="R30" s="13"/>
      <c r="S30" s="13"/>
      <c r="T30" s="13"/>
      <c r="U30" s="13"/>
      <c r="W30" s="100"/>
      <c r="X30" s="13"/>
      <c r="Y30" s="13"/>
      <c r="Z30" s="13"/>
      <c r="AA30" s="13"/>
      <c r="AF30" s="13"/>
      <c r="AG30" s="13"/>
      <c r="AH30" s="13"/>
      <c r="AI30" s="13"/>
      <c r="AJ30" s="13"/>
      <c r="AK30" s="13"/>
      <c r="AL30" s="13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13"/>
      <c r="BD30" s="13"/>
      <c r="BE30" s="13"/>
      <c r="BF30" s="13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</row>
    <row r="31" spans="1:69">
      <c r="A31" s="17" t="s">
        <v>279</v>
      </c>
      <c r="B31" s="13">
        <f>'2180 Trucks'!N364</f>
        <v>882782.36999999988</v>
      </c>
      <c r="C31" s="13">
        <f>B31-D31</f>
        <v>0</v>
      </c>
      <c r="D31" s="13">
        <f>'2180 Trucks'!O364</f>
        <v>882782.36999999988</v>
      </c>
      <c r="E31" s="13">
        <f>'2180 Trucks'!S364</f>
        <v>0</v>
      </c>
      <c r="F31" s="13">
        <f>'2180 Trucks'!T364</f>
        <v>882782.36999999988</v>
      </c>
      <c r="G31" s="13">
        <f>'2180 Trucks'!U364</f>
        <v>882782.36999999988</v>
      </c>
      <c r="H31" s="13">
        <f>'2180 Trucks'!W364</f>
        <v>0</v>
      </c>
      <c r="J31" s="13"/>
      <c r="K31" s="13"/>
      <c r="L31" s="13"/>
      <c r="M31" s="13"/>
      <c r="N31" s="100"/>
      <c r="O31" s="13"/>
      <c r="P31" s="13"/>
      <c r="Q31" s="13"/>
      <c r="R31" s="13"/>
      <c r="S31" s="13"/>
      <c r="T31" s="13"/>
      <c r="U31" s="13"/>
      <c r="V31" s="110"/>
      <c r="W31" s="100"/>
      <c r="X31" s="13"/>
      <c r="Y31" s="13"/>
      <c r="Z31" s="13"/>
      <c r="AA31" s="13"/>
      <c r="AB31" s="110"/>
      <c r="AC31" s="110"/>
      <c r="AF31" s="13"/>
      <c r="AG31" s="13"/>
      <c r="AH31" s="13"/>
      <c r="AI31" s="13"/>
      <c r="AJ31" s="13"/>
      <c r="AK31" s="13"/>
      <c r="AL31" s="13"/>
      <c r="AM31" s="110"/>
      <c r="AP31" s="17" t="s">
        <v>279</v>
      </c>
      <c r="AQ31" s="13">
        <f>IFERROR(VLOOKUP($AP31,'FAR Dep Summary'!$A$21:$F$34,2,FALSE),0)</f>
        <v>0</v>
      </c>
      <c r="AR31" s="13">
        <f t="shared" ref="AR31" si="124">AQ31-AS31</f>
        <v>0</v>
      </c>
      <c r="AS31" s="13">
        <f t="shared" ref="AS31" si="125">AQ31</f>
        <v>0</v>
      </c>
      <c r="AT31" s="13">
        <f>IFERROR(VLOOKUP($AP31,'FAR Dep Summary'!$A$21:$F$34,3,FALSE),0)</f>
        <v>0</v>
      </c>
      <c r="AU31" s="13">
        <f>IFERROR(VLOOKUP($AP31,'FAR Dep Summary'!$A$21:$F$34,4,FALSE),0)</f>
        <v>0</v>
      </c>
      <c r="AV31" s="13">
        <f>IFERROR(VLOOKUP($AP31,'FAR Dep Summary'!$A$21:$F$34,5,FALSE),0)</f>
        <v>0</v>
      </c>
      <c r="AW31" s="13">
        <f>IFERROR(VLOOKUP($AP31,'FAR Dep Summary'!$A$21:$F$34,6,FALSE),0)</f>
        <v>0</v>
      </c>
      <c r="AX31" s="9"/>
      <c r="AY31" s="9" t="s">
        <v>279</v>
      </c>
      <c r="AZ31" s="13">
        <f>IFERROR(SUMIF('2022 Bud CapEx'!$AP$72:$AP$83,'2180 Deprec'!$AY31,'2022 Bud CapEx'!$AQ$72:$AQ$83),0)</f>
        <v>0</v>
      </c>
      <c r="BA31" s="13">
        <f t="shared" ref="BA31" si="126">AZ31-BB31</f>
        <v>0</v>
      </c>
      <c r="BB31" s="13">
        <f t="shared" ref="BB31" si="127">AZ31</f>
        <v>0</v>
      </c>
      <c r="BC31" s="13">
        <f>IFERROR(SUMIF('2022 Bud CapEx'!$AP$72:$AP$83,'2180 Deprec'!$AY31,'2022 Bud CapEx'!$AS$72:$AS$83),0)</f>
        <v>0</v>
      </c>
      <c r="BD31" s="13">
        <v>0</v>
      </c>
      <c r="BE31" s="13">
        <f t="shared" ref="BE31" si="128">BC31</f>
        <v>0</v>
      </c>
      <c r="BF31" s="13">
        <f>IFERROR(SUMIF('2022 Bud CapEx'!$AP$72:$AP$83,'2180 Deprec'!$AY31,'2022 Bud CapEx'!$AU$72:$AU$83),0)</f>
        <v>0</v>
      </c>
      <c r="BG31" s="9"/>
      <c r="BH31" s="9" t="s">
        <v>279</v>
      </c>
      <c r="BI31" s="13">
        <f t="shared" ref="BI31" si="129">B31+AQ31+AZ31</f>
        <v>882782.36999999988</v>
      </c>
      <c r="BJ31" s="13">
        <f t="shared" ref="BJ31" si="130">C31+AR31+BA31</f>
        <v>0</v>
      </c>
      <c r="BK31" s="13">
        <f t="shared" ref="BK31" si="131">D31+AS31+BB31</f>
        <v>882782.36999999988</v>
      </c>
      <c r="BL31" s="13">
        <f t="shared" ref="BL31" si="132">E31+AT31+BC31</f>
        <v>0</v>
      </c>
      <c r="BM31" s="13">
        <f t="shared" ref="BM31" si="133">F31+AU31+BD31</f>
        <v>882782.36999999988</v>
      </c>
      <c r="BN31" s="13">
        <f t="shared" ref="BN31" si="134">G31+AV31+BE31</f>
        <v>882782.36999999988</v>
      </c>
      <c r="BO31" s="13">
        <f t="shared" ref="BO31" si="135">H31+AW31+BF31</f>
        <v>0</v>
      </c>
      <c r="BP31" s="9"/>
      <c r="BQ31" s="9"/>
    </row>
    <row r="32" spans="1:69">
      <c r="B32" s="13"/>
      <c r="C32" s="13"/>
      <c r="D32" s="13"/>
      <c r="E32" s="13"/>
      <c r="F32" s="13"/>
      <c r="G32" s="13"/>
      <c r="H32" s="13"/>
      <c r="J32" s="13"/>
      <c r="K32" s="13"/>
      <c r="L32" s="13"/>
      <c r="M32" s="13"/>
      <c r="N32" s="100"/>
      <c r="O32" s="13"/>
      <c r="P32" s="13"/>
      <c r="Q32" s="13"/>
      <c r="R32" s="13"/>
      <c r="S32" s="13"/>
      <c r="T32" s="13"/>
      <c r="U32" s="13"/>
      <c r="W32" s="100"/>
      <c r="X32" s="13"/>
      <c r="Y32" s="13"/>
      <c r="Z32" s="13"/>
      <c r="AA32" s="13"/>
      <c r="AF32" s="13"/>
      <c r="AG32" s="13"/>
      <c r="AH32" s="13"/>
      <c r="AI32" s="13"/>
      <c r="AJ32" s="13"/>
      <c r="AK32" s="13"/>
      <c r="AL32" s="13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13"/>
      <c r="BD32" s="13"/>
      <c r="BE32" s="13"/>
      <c r="BF32" s="13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</row>
    <row r="33" spans="1:69">
      <c r="A33" s="17" t="s">
        <v>13</v>
      </c>
      <c r="B33" s="13">
        <f>'2180 Trucks'!N385</f>
        <v>646239.38</v>
      </c>
      <c r="C33" s="13">
        <f>B33-D33</f>
        <v>0</v>
      </c>
      <c r="D33" s="13">
        <f>'2180 Trucks'!O385</f>
        <v>646239.38</v>
      </c>
      <c r="E33" s="13">
        <f>'2180 Trucks'!S385</f>
        <v>37173.760000000002</v>
      </c>
      <c r="F33" s="13">
        <f>'2180 Trucks'!T385</f>
        <v>482299.45700000005</v>
      </c>
      <c r="G33" s="13">
        <f>'2180 Trucks'!U385</f>
        <v>519473.21700000006</v>
      </c>
      <c r="H33" s="13">
        <f>'2180 Trucks'!W385</f>
        <v>126766.163</v>
      </c>
      <c r="J33" s="13"/>
      <c r="K33" s="13"/>
      <c r="L33" s="13"/>
      <c r="M33" s="13"/>
      <c r="N33" s="100"/>
      <c r="O33" s="13"/>
      <c r="P33" s="13"/>
      <c r="Q33" s="13"/>
      <c r="R33" s="13"/>
      <c r="S33" s="13"/>
      <c r="T33" s="13"/>
      <c r="U33" s="13"/>
      <c r="V33" s="110"/>
      <c r="W33" s="100"/>
      <c r="X33" s="13"/>
      <c r="Y33" s="13"/>
      <c r="Z33" s="13"/>
      <c r="AA33" s="13"/>
      <c r="AB33" s="110"/>
      <c r="AC33" s="110"/>
      <c r="AF33" s="13"/>
      <c r="AG33" s="13"/>
      <c r="AH33" s="13"/>
      <c r="AI33" s="13"/>
      <c r="AJ33" s="13"/>
      <c r="AK33" s="13"/>
      <c r="AL33" s="13"/>
      <c r="AM33" s="110"/>
      <c r="AP33" s="17" t="s">
        <v>13</v>
      </c>
      <c r="AQ33" s="13">
        <f>IFERROR(VLOOKUP($AP33,'FAR Dep Summary'!$A$21:$F$34,2,FALSE),0)</f>
        <v>0</v>
      </c>
      <c r="AR33" s="13">
        <f t="shared" ref="AR33" si="136">AQ33-AS33</f>
        <v>0</v>
      </c>
      <c r="AS33" s="13">
        <f t="shared" ref="AS33" si="137">AQ33</f>
        <v>0</v>
      </c>
      <c r="AT33" s="13">
        <f>IFERROR(VLOOKUP($AP33,'FAR Dep Summary'!$A$21:$F$34,3,FALSE),0)</f>
        <v>0</v>
      </c>
      <c r="AU33" s="13">
        <f>IFERROR(VLOOKUP($AP33,'FAR Dep Summary'!$A$21:$F$34,4,FALSE),0)</f>
        <v>0</v>
      </c>
      <c r="AV33" s="13">
        <f>IFERROR(VLOOKUP($AP33,'FAR Dep Summary'!$A$21:$F$34,5,FALSE),0)</f>
        <v>0</v>
      </c>
      <c r="AW33" s="13">
        <f>IFERROR(VLOOKUP($AP33,'FAR Dep Summary'!$A$21:$F$34,6,FALSE),0)</f>
        <v>0</v>
      </c>
      <c r="AX33" s="9"/>
      <c r="AY33" s="9" t="s">
        <v>13</v>
      </c>
      <c r="AZ33" s="13">
        <f>IFERROR(SUMIF('2022 Bud CapEx'!$AP$72:$AP$83,'2180 Deprec'!$AY33,'2022 Bud CapEx'!$AQ$72:$AQ$83),0)</f>
        <v>0</v>
      </c>
      <c r="BA33" s="13">
        <f t="shared" ref="BA33" si="138">AZ33-BB33</f>
        <v>0</v>
      </c>
      <c r="BB33" s="13">
        <f t="shared" ref="BB33" si="139">AZ33</f>
        <v>0</v>
      </c>
      <c r="BC33" s="13">
        <f>IFERROR(SUMIF('2022 Bud CapEx'!$AP$72:$AP$83,'2180 Deprec'!$AY33,'2022 Bud CapEx'!$AS$72:$AS$83),0)</f>
        <v>0</v>
      </c>
      <c r="BD33" s="13">
        <v>0</v>
      </c>
      <c r="BE33" s="13">
        <f t="shared" ref="BE33" si="140">BC33</f>
        <v>0</v>
      </c>
      <c r="BF33" s="13">
        <f>IFERROR(SUMIF('2022 Bud CapEx'!$AP$72:$AP$83,'2180 Deprec'!$AY33,'2022 Bud CapEx'!$AU$72:$AU$83),0)</f>
        <v>0</v>
      </c>
      <c r="BG33" s="9"/>
      <c r="BH33" s="9" t="s">
        <v>13</v>
      </c>
      <c r="BI33" s="13">
        <f t="shared" ref="BI33" si="141">B33+AQ33+AZ33</f>
        <v>646239.38</v>
      </c>
      <c r="BJ33" s="13">
        <f t="shared" ref="BJ33" si="142">C33+AR33+BA33</f>
        <v>0</v>
      </c>
      <c r="BK33" s="13">
        <f t="shared" ref="BK33" si="143">D33+AS33+BB33</f>
        <v>646239.38</v>
      </c>
      <c r="BL33" s="13">
        <f t="shared" ref="BL33" si="144">E33+AT33+BC33</f>
        <v>37173.760000000002</v>
      </c>
      <c r="BM33" s="13">
        <f t="shared" ref="BM33" si="145">F33+AU33+BD33</f>
        <v>482299.45700000005</v>
      </c>
      <c r="BN33" s="13">
        <f t="shared" ref="BN33" si="146">G33+AV33+BE33</f>
        <v>519473.21700000006</v>
      </c>
      <c r="BO33" s="13">
        <f t="shared" ref="BO33" si="147">H33+AW33+BF33</f>
        <v>126766.163</v>
      </c>
      <c r="BP33" s="9"/>
      <c r="BQ33" s="9"/>
    </row>
    <row r="34" spans="1:69">
      <c r="B34" s="13"/>
      <c r="C34" s="13"/>
      <c r="D34" s="13"/>
      <c r="E34" s="13"/>
      <c r="F34" s="13"/>
      <c r="G34" s="13"/>
      <c r="H34" s="13"/>
      <c r="J34" s="13"/>
      <c r="K34" s="13"/>
      <c r="L34" s="13"/>
      <c r="M34" s="13"/>
      <c r="N34" s="100"/>
      <c r="O34" s="13"/>
      <c r="P34" s="13"/>
      <c r="Q34" s="13"/>
      <c r="R34" s="13"/>
      <c r="S34" s="13"/>
      <c r="T34" s="13"/>
      <c r="U34" s="13"/>
      <c r="W34" s="100"/>
      <c r="X34" s="13"/>
      <c r="Y34" s="13"/>
      <c r="Z34" s="13"/>
      <c r="AA34" s="13"/>
      <c r="AF34" s="13"/>
      <c r="AG34" s="13"/>
      <c r="AH34" s="13"/>
      <c r="AI34" s="13"/>
      <c r="AJ34" s="13"/>
      <c r="AK34" s="13"/>
      <c r="AL34" s="13"/>
      <c r="AQ34" s="13"/>
      <c r="AR34" s="13"/>
      <c r="AS34" s="13"/>
      <c r="AT34" s="13"/>
      <c r="AU34" s="13"/>
      <c r="AV34" s="13"/>
      <c r="AW34" s="13"/>
      <c r="AX34" s="9"/>
      <c r="AY34" s="9"/>
      <c r="AZ34" s="13"/>
      <c r="BA34" s="13"/>
      <c r="BB34" s="13"/>
      <c r="BC34" s="13"/>
      <c r="BD34" s="13"/>
      <c r="BE34" s="13"/>
      <c r="BF34" s="13"/>
      <c r="BG34" s="9"/>
      <c r="BH34" s="9"/>
      <c r="BI34" s="13"/>
      <c r="BJ34" s="13"/>
      <c r="BK34" s="13"/>
      <c r="BL34" s="13"/>
      <c r="BM34" s="13"/>
      <c r="BN34" s="13"/>
      <c r="BO34" s="13"/>
      <c r="BP34" s="9"/>
      <c r="BQ34" s="9"/>
    </row>
    <row r="35" spans="1:69">
      <c r="A35" s="5" t="s">
        <v>14</v>
      </c>
      <c r="B35" s="150">
        <f>SUM(B9:B34)</f>
        <v>35240217.165714309</v>
      </c>
      <c r="C35" s="150">
        <f t="shared" ref="C35:H35" si="148">SUM(C9:C34)</f>
        <v>122838.52859999903</v>
      </c>
      <c r="D35" s="150">
        <f t="shared" si="148"/>
        <v>35117378.637114309</v>
      </c>
      <c r="E35" s="150">
        <f t="shared" si="148"/>
        <v>2793791.1666666651</v>
      </c>
      <c r="F35" s="150">
        <f t="shared" si="148"/>
        <v>15252298.804714283</v>
      </c>
      <c r="G35" s="150">
        <f t="shared" si="148"/>
        <v>18046089.971380953</v>
      </c>
      <c r="H35" s="150">
        <f t="shared" si="148"/>
        <v>17194127.194333334</v>
      </c>
      <c r="I35" s="11"/>
      <c r="J35" s="150"/>
      <c r="K35" s="150"/>
      <c r="L35" s="150"/>
      <c r="M35" s="13"/>
      <c r="N35" s="101"/>
      <c r="O35" s="150"/>
      <c r="P35" s="150"/>
      <c r="Q35" s="150"/>
      <c r="R35" s="13"/>
      <c r="S35" s="150"/>
      <c r="T35" s="150"/>
      <c r="U35" s="150"/>
      <c r="V35" s="110"/>
      <c r="W35" s="101"/>
      <c r="X35" s="150"/>
      <c r="Y35" s="150"/>
      <c r="Z35" s="150"/>
      <c r="AA35" s="13"/>
      <c r="AF35" s="150"/>
      <c r="AG35" s="150"/>
      <c r="AH35" s="150"/>
      <c r="AI35" s="13"/>
      <c r="AJ35" s="150"/>
      <c r="AK35" s="150"/>
      <c r="AL35" s="150"/>
      <c r="AM35" s="110"/>
      <c r="AP35" s="5" t="s">
        <v>14</v>
      </c>
      <c r="AQ35" s="150">
        <f>SUM(AQ9:AQ34)</f>
        <v>622426.56000000006</v>
      </c>
      <c r="AR35" s="150">
        <f t="shared" ref="AR35:AW35" si="149">SUM(AR9:AR34)</f>
        <v>0</v>
      </c>
      <c r="AS35" s="150">
        <f t="shared" si="149"/>
        <v>622426.56000000006</v>
      </c>
      <c r="AT35" s="150">
        <f t="shared" si="149"/>
        <v>66359.510571428575</v>
      </c>
      <c r="AU35" s="150">
        <f t="shared" si="149"/>
        <v>0</v>
      </c>
      <c r="AV35" s="150">
        <f t="shared" si="149"/>
        <v>66359.510571428575</v>
      </c>
      <c r="AW35" s="150">
        <f t="shared" si="149"/>
        <v>556067.04942857148</v>
      </c>
      <c r="AX35" s="9"/>
      <c r="AY35" s="417" t="s">
        <v>14</v>
      </c>
      <c r="AZ35" s="150">
        <f>SUM(AZ8:AZ34)</f>
        <v>1651852</v>
      </c>
      <c r="BA35" s="150">
        <f t="shared" ref="BA35:BF35" si="150">SUM(BA8:BA34)</f>
        <v>0</v>
      </c>
      <c r="BB35" s="150">
        <f t="shared" si="150"/>
        <v>1651852</v>
      </c>
      <c r="BC35" s="150">
        <f t="shared" si="150"/>
        <v>165185.20000000001</v>
      </c>
      <c r="BD35" s="150">
        <f t="shared" si="150"/>
        <v>0</v>
      </c>
      <c r="BE35" s="150">
        <f t="shared" si="150"/>
        <v>165185.20000000001</v>
      </c>
      <c r="BF35" s="150">
        <f t="shared" si="150"/>
        <v>1486666.8</v>
      </c>
      <c r="BG35" s="9"/>
      <c r="BH35" s="417" t="s">
        <v>14</v>
      </c>
      <c r="BI35" s="150">
        <f>SUM(BI9:BI34)</f>
        <v>37514495.725714304</v>
      </c>
      <c r="BJ35" s="150">
        <f t="shared" ref="BJ35:BO35" si="151">SUM(BJ9:BJ34)</f>
        <v>122838.52859999903</v>
      </c>
      <c r="BK35" s="150">
        <f t="shared" si="151"/>
        <v>37391657.197114311</v>
      </c>
      <c r="BL35" s="150">
        <f t="shared" si="151"/>
        <v>3025335.8772380948</v>
      </c>
      <c r="BM35" s="150">
        <f t="shared" si="151"/>
        <v>15252298.804714283</v>
      </c>
      <c r="BN35" s="150">
        <f t="shared" si="151"/>
        <v>18277634.681952387</v>
      </c>
      <c r="BO35" s="150">
        <f t="shared" si="151"/>
        <v>19236861.043761902</v>
      </c>
      <c r="BP35" s="9"/>
      <c r="BQ35" s="9"/>
    </row>
    <row r="36" spans="1:69">
      <c r="B36" s="13">
        <f>B35-'2180 Trucks'!N387</f>
        <v>0</v>
      </c>
      <c r="C36" s="13"/>
      <c r="D36" s="13">
        <f>D35-'2180 Trucks'!O387</f>
        <v>0</v>
      </c>
      <c r="E36" s="13">
        <f>E35-'2180 Trucks'!S387</f>
        <v>0</v>
      </c>
      <c r="F36" s="13">
        <f>F35-'2180 Trucks'!T387</f>
        <v>0</v>
      </c>
      <c r="G36" s="13">
        <f>G35-'2180 Trucks'!U387</f>
        <v>0</v>
      </c>
      <c r="H36" s="13">
        <f>H35-'2180 Trucks'!W387</f>
        <v>0</v>
      </c>
      <c r="J36" s="13"/>
      <c r="K36" s="13"/>
      <c r="L36" s="13"/>
      <c r="M36" s="13"/>
      <c r="N36" s="100"/>
      <c r="O36" s="13"/>
      <c r="P36" s="13"/>
      <c r="Q36" s="13"/>
      <c r="R36" s="13"/>
      <c r="S36" s="13"/>
      <c r="T36" s="13"/>
      <c r="U36" s="13"/>
      <c r="W36" s="100"/>
      <c r="X36" s="13"/>
      <c r="Y36" s="13"/>
      <c r="Z36" s="13"/>
      <c r="AA36" s="13"/>
      <c r="AF36" s="13"/>
      <c r="AG36" s="13"/>
      <c r="AH36" s="13"/>
      <c r="AI36" s="13"/>
      <c r="AJ36" s="13"/>
      <c r="AK36" s="13"/>
      <c r="AL36" s="13"/>
      <c r="AQ36" s="13"/>
      <c r="AR36" s="13"/>
      <c r="AS36" s="13"/>
      <c r="AT36" s="13"/>
      <c r="AU36" s="13"/>
      <c r="AV36" s="13"/>
      <c r="AW36" s="13"/>
      <c r="AX36" s="9"/>
      <c r="AY36" s="9"/>
      <c r="AZ36" s="13"/>
      <c r="BA36" s="13"/>
      <c r="BB36" s="13"/>
      <c r="BC36" s="13"/>
      <c r="BD36" s="13"/>
      <c r="BE36" s="13"/>
      <c r="BF36" s="13"/>
      <c r="BG36" s="9"/>
      <c r="BH36" s="9"/>
      <c r="BI36" s="13"/>
      <c r="BJ36" s="13"/>
      <c r="BK36" s="13"/>
      <c r="BL36" s="13"/>
      <c r="BM36" s="13"/>
      <c r="BN36" s="13"/>
      <c r="BO36" s="13"/>
      <c r="BP36" s="9"/>
      <c r="BQ36" s="9"/>
    </row>
    <row r="37" spans="1:69">
      <c r="A37" s="2" t="s">
        <v>15</v>
      </c>
      <c r="B37" s="13"/>
      <c r="C37" s="13"/>
      <c r="D37" s="13"/>
      <c r="E37" s="13"/>
      <c r="F37" s="13"/>
      <c r="G37" s="13"/>
      <c r="H37" s="13"/>
      <c r="J37" s="13"/>
      <c r="K37" s="13"/>
      <c r="L37" s="13"/>
      <c r="M37" s="13"/>
      <c r="N37" s="100"/>
      <c r="O37" s="13"/>
      <c r="P37" s="13"/>
      <c r="Q37" s="13"/>
      <c r="R37" s="13"/>
      <c r="S37" s="13"/>
      <c r="T37" s="13"/>
      <c r="U37" s="13"/>
      <c r="W37" s="100"/>
      <c r="X37" s="13"/>
      <c r="Y37" s="13"/>
      <c r="Z37" s="13"/>
      <c r="AA37" s="13"/>
      <c r="AF37" s="13"/>
      <c r="AG37" s="13"/>
      <c r="AH37" s="13"/>
      <c r="AI37" s="13"/>
      <c r="AJ37" s="13"/>
      <c r="AK37" s="13"/>
      <c r="AL37" s="13"/>
      <c r="AP37" s="2" t="s">
        <v>15</v>
      </c>
      <c r="AQ37" s="9"/>
      <c r="AR37" s="9"/>
      <c r="AS37" s="9"/>
      <c r="AT37" s="9"/>
      <c r="AU37" s="9"/>
      <c r="AV37" s="9"/>
      <c r="AW37" s="9"/>
      <c r="AX37" s="9"/>
      <c r="AY37" s="142" t="s">
        <v>15</v>
      </c>
      <c r="AZ37" s="9"/>
      <c r="BA37" s="9"/>
      <c r="BB37" s="9"/>
      <c r="BC37" s="13"/>
      <c r="BD37" s="13"/>
      <c r="BE37" s="13"/>
      <c r="BF37" s="13"/>
      <c r="BG37" s="9"/>
      <c r="BH37" s="142" t="s">
        <v>15</v>
      </c>
      <c r="BI37" s="9"/>
      <c r="BJ37" s="9"/>
      <c r="BK37" s="9"/>
      <c r="BL37" s="9"/>
      <c r="BM37" s="9"/>
      <c r="BN37" s="9"/>
      <c r="BO37" s="9"/>
      <c r="BP37" s="9"/>
      <c r="BQ37" s="9"/>
    </row>
    <row r="38" spans="1:69">
      <c r="A38" s="17" t="s">
        <v>16</v>
      </c>
      <c r="B38" s="13">
        <f>'2180 Cont, DB'!N194</f>
        <v>1971651.1289999997</v>
      </c>
      <c r="C38" s="13">
        <f>B38-D38</f>
        <v>0</v>
      </c>
      <c r="D38" s="13">
        <f>'2180 Cont, DB'!O194</f>
        <v>1971651.1289999997</v>
      </c>
      <c r="E38" s="13">
        <f>'2180 Cont, DB'!S194</f>
        <v>123004.57354761905</v>
      </c>
      <c r="F38" s="13">
        <f>'2180 Cont, DB'!T194</f>
        <v>1242434.1204761902</v>
      </c>
      <c r="G38" s="13">
        <f>'2180 Cont, DB'!U194</f>
        <v>1365438.6940238108</v>
      </c>
      <c r="H38" s="13">
        <f>'2180 Cont, DB'!W194</f>
        <v>606212.43497619033</v>
      </c>
      <c r="J38" s="13"/>
      <c r="K38" s="13"/>
      <c r="L38" s="13"/>
      <c r="M38" s="13"/>
      <c r="N38" s="100"/>
      <c r="O38" s="13"/>
      <c r="P38" s="13"/>
      <c r="Q38" s="13"/>
      <c r="R38" s="13"/>
      <c r="S38" s="13"/>
      <c r="T38" s="13"/>
      <c r="U38" s="13"/>
      <c r="V38" s="110"/>
      <c r="W38" s="100"/>
      <c r="X38" s="13"/>
      <c r="Y38" s="13"/>
      <c r="Z38" s="13"/>
      <c r="AA38" s="13"/>
      <c r="AB38" s="110"/>
      <c r="AC38" s="110"/>
      <c r="AF38" s="13"/>
      <c r="AG38" s="13"/>
      <c r="AH38" s="13"/>
      <c r="AI38" s="13"/>
      <c r="AJ38" s="13"/>
      <c r="AK38" s="13"/>
      <c r="AL38" s="13"/>
      <c r="AM38" s="110"/>
      <c r="AP38" s="17" t="s">
        <v>16</v>
      </c>
      <c r="AQ38" s="13">
        <f>IFERROR(VLOOKUP($AP38,'FAR Dep Summary'!$A$21:$F$34,2,FALSE),0)</f>
        <v>173519.33999999997</v>
      </c>
      <c r="AR38" s="13">
        <f t="shared" ref="AR38" si="152">AQ38-AS38</f>
        <v>0</v>
      </c>
      <c r="AS38" s="13">
        <f t="shared" ref="AS38" si="153">AQ38</f>
        <v>173519.33999999997</v>
      </c>
      <c r="AT38" s="13">
        <f>IFERROR(VLOOKUP($AP38,'FAR Dep Summary'!$A$21:$F$34,3,FALSE),0)</f>
        <v>14459.945000000002</v>
      </c>
      <c r="AU38" s="13">
        <f>IFERROR(VLOOKUP($AP38,'FAR Dep Summary'!$A$21:$F$34,4,FALSE),0)</f>
        <v>0</v>
      </c>
      <c r="AV38" s="13">
        <f>IFERROR(VLOOKUP($AP38,'FAR Dep Summary'!$A$21:$F$34,5,FALSE),0)</f>
        <v>14459.945000000002</v>
      </c>
      <c r="AW38" s="13">
        <f>IFERROR(VLOOKUP($AP38,'FAR Dep Summary'!$A$21:$F$34,6,FALSE),0)</f>
        <v>159059.39500000002</v>
      </c>
      <c r="AX38" s="9"/>
      <c r="AY38" s="9" t="s">
        <v>16</v>
      </c>
      <c r="AZ38" s="13">
        <f>IFERROR(SUMIF('2022 Bud CapEx'!$AP$72:$AP$83,'2180 Deprec'!$AY38,'2022 Bud CapEx'!$AQ$72:$AQ$83),0)</f>
        <v>0</v>
      </c>
      <c r="BA38" s="13">
        <f t="shared" ref="BA38" si="154">AZ38-BB38</f>
        <v>0</v>
      </c>
      <c r="BB38" s="13">
        <f t="shared" ref="BB38" si="155">AZ38</f>
        <v>0</v>
      </c>
      <c r="BC38" s="13">
        <f>IFERROR(SUMIF('2022 Bud CapEx'!$AP$72:$AP$83,'2180 Deprec'!$AY38,'2022 Bud CapEx'!$AS$72:$AS$83),0)</f>
        <v>0</v>
      </c>
      <c r="BD38" s="13">
        <v>0</v>
      </c>
      <c r="BE38" s="13">
        <f t="shared" ref="BE38" si="156">BC38</f>
        <v>0</v>
      </c>
      <c r="BF38" s="13">
        <f>IFERROR(SUMIF('2022 Bud CapEx'!$AP$72:$AP$83,'2180 Deprec'!$AY38,'2022 Bud CapEx'!$AU$72:$AU$83),0)</f>
        <v>0</v>
      </c>
      <c r="BG38" s="9"/>
      <c r="BH38" s="9" t="s">
        <v>16</v>
      </c>
      <c r="BI38" s="13">
        <f t="shared" ref="BI38" si="157">B38+AQ38+AZ38</f>
        <v>2145170.4689999996</v>
      </c>
      <c r="BJ38" s="13">
        <f t="shared" ref="BJ38" si="158">C38+AR38+BA38</f>
        <v>0</v>
      </c>
      <c r="BK38" s="13">
        <f t="shared" ref="BK38" si="159">D38+AS38+BB38</f>
        <v>2145170.4689999996</v>
      </c>
      <c r="BL38" s="13">
        <f t="shared" ref="BL38" si="160">E38+AT38+BC38</f>
        <v>137464.51854761905</v>
      </c>
      <c r="BM38" s="13">
        <f t="shared" ref="BM38" si="161">F38+AU38+BD38</f>
        <v>1242434.1204761902</v>
      </c>
      <c r="BN38" s="13">
        <f t="shared" ref="BN38" si="162">G38+AV38+BE38</f>
        <v>1379898.6390238109</v>
      </c>
      <c r="BO38" s="13">
        <f t="shared" ref="BO38" si="163">H38+AW38+BF38</f>
        <v>765271.82997619035</v>
      </c>
      <c r="BP38" s="9"/>
      <c r="BQ38" s="9"/>
    </row>
    <row r="39" spans="1:69">
      <c r="B39" s="13"/>
      <c r="C39" s="13"/>
      <c r="D39" s="13"/>
      <c r="E39" s="13"/>
      <c r="F39" s="13"/>
      <c r="G39" s="13"/>
      <c r="H39" s="13"/>
      <c r="J39" s="13"/>
      <c r="K39" s="13"/>
      <c r="L39" s="13"/>
      <c r="M39" s="13"/>
      <c r="N39" s="100"/>
      <c r="O39" s="13"/>
      <c r="P39" s="13"/>
      <c r="Q39" s="13"/>
      <c r="R39" s="13"/>
      <c r="S39" s="13"/>
      <c r="T39" s="13"/>
      <c r="U39" s="13"/>
      <c r="W39" s="100"/>
      <c r="X39" s="13"/>
      <c r="Y39" s="13"/>
      <c r="Z39" s="13"/>
      <c r="AA39" s="13"/>
      <c r="AF39" s="13"/>
      <c r="AG39" s="13"/>
      <c r="AH39" s="13"/>
      <c r="AI39" s="13"/>
      <c r="AJ39" s="13"/>
      <c r="AK39" s="13"/>
      <c r="AL39" s="13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13"/>
      <c r="BD39" s="13"/>
      <c r="BE39" s="13"/>
      <c r="BF39" s="13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</row>
    <row r="40" spans="1:69">
      <c r="A40" s="17" t="s">
        <v>17</v>
      </c>
      <c r="B40" s="13">
        <f>'2180 Cont, DB'!N248</f>
        <v>814858.91666666663</v>
      </c>
      <c r="C40" s="13">
        <f>B40-D40</f>
        <v>0</v>
      </c>
      <c r="D40" s="13">
        <f>'2180 Cont, DB'!O248</f>
        <v>814858.91666666663</v>
      </c>
      <c r="E40" s="13">
        <f>'2180 Cont, DB'!S248</f>
        <v>49756.062023809522</v>
      </c>
      <c r="F40" s="13">
        <f>'2180 Cont, DB'!T248</f>
        <v>534681.809047619</v>
      </c>
      <c r="G40" s="13">
        <f>'2180 Cont, DB'!U248</f>
        <v>584437.87107142864</v>
      </c>
      <c r="H40" s="13">
        <f>'2180 Cont, DB'!W248</f>
        <v>230421.04559523804</v>
      </c>
      <c r="J40" s="13"/>
      <c r="K40" s="13"/>
      <c r="L40" s="13"/>
      <c r="M40" s="13"/>
      <c r="N40" s="100"/>
      <c r="O40" s="13"/>
      <c r="P40" s="13"/>
      <c r="Q40" s="13"/>
      <c r="R40" s="13"/>
      <c r="S40" s="13"/>
      <c r="T40" s="13"/>
      <c r="U40" s="13"/>
      <c r="V40" s="110"/>
      <c r="W40" s="100"/>
      <c r="X40" s="13"/>
      <c r="Y40" s="13"/>
      <c r="Z40" s="13"/>
      <c r="AA40" s="13"/>
      <c r="AB40" s="110"/>
      <c r="AC40" s="110"/>
      <c r="AF40" s="13"/>
      <c r="AG40" s="13"/>
      <c r="AH40" s="13"/>
      <c r="AI40" s="13"/>
      <c r="AJ40" s="13"/>
      <c r="AK40" s="13"/>
      <c r="AL40" s="13"/>
      <c r="AM40" s="110"/>
      <c r="AP40" s="17" t="s">
        <v>17</v>
      </c>
      <c r="AQ40" s="13">
        <f>IFERROR(VLOOKUP($AP40,'FAR Dep Summary'!$A$21:$F$34,2,FALSE),0)</f>
        <v>0</v>
      </c>
      <c r="AR40" s="13">
        <f t="shared" ref="AR40" si="164">AQ40-AS40</f>
        <v>0</v>
      </c>
      <c r="AS40" s="13">
        <f t="shared" ref="AS40" si="165">AQ40</f>
        <v>0</v>
      </c>
      <c r="AT40" s="13">
        <f>IFERROR(VLOOKUP($AP40,'FAR Dep Summary'!$A$21:$F$34,3,FALSE),0)</f>
        <v>0</v>
      </c>
      <c r="AU40" s="13">
        <f>IFERROR(VLOOKUP($AP40,'FAR Dep Summary'!$A$21:$F$34,4,FALSE),0)</f>
        <v>0</v>
      </c>
      <c r="AV40" s="13">
        <f>IFERROR(VLOOKUP($AP40,'FAR Dep Summary'!$A$21:$F$34,5,FALSE),0)</f>
        <v>0</v>
      </c>
      <c r="AW40" s="13">
        <f>IFERROR(VLOOKUP($AP40,'FAR Dep Summary'!$A$21:$F$34,6,FALSE),0)</f>
        <v>0</v>
      </c>
      <c r="AX40" s="9"/>
      <c r="AY40" s="9" t="s">
        <v>17</v>
      </c>
      <c r="AZ40" s="13">
        <f>IFERROR(SUMIF('2022 Bud CapEx'!$AP$72:$AP$83,'2180 Deprec'!$AY40,'2022 Bud CapEx'!$AQ$72:$AQ$83),0)</f>
        <v>0</v>
      </c>
      <c r="BA40" s="13">
        <f t="shared" ref="BA40" si="166">AZ40-BB40</f>
        <v>0</v>
      </c>
      <c r="BB40" s="13">
        <f t="shared" ref="BB40" si="167">AZ40</f>
        <v>0</v>
      </c>
      <c r="BC40" s="13">
        <f>IFERROR(SUMIF('2022 Bud CapEx'!$AP$72:$AP$83,'2180 Deprec'!$AY40,'2022 Bud CapEx'!$AS$72:$AS$83),0)</f>
        <v>0</v>
      </c>
      <c r="BD40" s="13">
        <v>0</v>
      </c>
      <c r="BE40" s="13">
        <f t="shared" ref="BE40" si="168">BC40</f>
        <v>0</v>
      </c>
      <c r="BF40" s="13">
        <f>IFERROR(SUMIF('2022 Bud CapEx'!$AP$72:$AP$83,'2180 Deprec'!$AY40,'2022 Bud CapEx'!$AU$72:$AU$83),0)</f>
        <v>0</v>
      </c>
      <c r="BG40" s="9"/>
      <c r="BH40" s="9" t="s">
        <v>17</v>
      </c>
      <c r="BI40" s="13">
        <f t="shared" ref="BI40" si="169">B40+AQ40+AZ40</f>
        <v>814858.91666666663</v>
      </c>
      <c r="BJ40" s="13">
        <f t="shared" ref="BJ40" si="170">C40+AR40+BA40</f>
        <v>0</v>
      </c>
      <c r="BK40" s="13">
        <f t="shared" ref="BK40" si="171">D40+AS40+BB40</f>
        <v>814858.91666666663</v>
      </c>
      <c r="BL40" s="13">
        <f t="shared" ref="BL40" si="172">E40+AT40+BC40</f>
        <v>49756.062023809522</v>
      </c>
      <c r="BM40" s="13">
        <f t="shared" ref="BM40" si="173">F40+AU40+BD40</f>
        <v>534681.809047619</v>
      </c>
      <c r="BN40" s="13">
        <f t="shared" ref="BN40" si="174">G40+AV40+BE40</f>
        <v>584437.87107142864</v>
      </c>
      <c r="BO40" s="13">
        <f t="shared" ref="BO40" si="175">H40+AW40+BF40</f>
        <v>230421.04559523804</v>
      </c>
      <c r="BP40" s="9"/>
      <c r="BQ40" s="9"/>
    </row>
    <row r="41" spans="1:69">
      <c r="B41" s="13"/>
      <c r="C41" s="13"/>
      <c r="D41" s="13"/>
      <c r="E41" s="13"/>
      <c r="F41" s="13"/>
      <c r="G41" s="13"/>
      <c r="H41" s="13"/>
      <c r="J41" s="13"/>
      <c r="K41" s="13"/>
      <c r="L41" s="13"/>
      <c r="M41" s="13"/>
      <c r="N41" s="100"/>
      <c r="O41" s="13"/>
      <c r="P41" s="13"/>
      <c r="Q41" s="13"/>
      <c r="R41" s="13"/>
      <c r="S41" s="13"/>
      <c r="T41" s="13"/>
      <c r="U41" s="13"/>
      <c r="W41" s="100"/>
      <c r="X41" s="13"/>
      <c r="Y41" s="13"/>
      <c r="Z41" s="13"/>
      <c r="AA41" s="13"/>
      <c r="AF41" s="13"/>
      <c r="AG41" s="13"/>
      <c r="AH41" s="13"/>
      <c r="AI41" s="13"/>
      <c r="AJ41" s="13"/>
      <c r="AK41" s="13"/>
      <c r="AL41" s="13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13"/>
      <c r="BD41" s="13"/>
      <c r="BE41" s="13"/>
      <c r="BF41" s="13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</row>
    <row r="42" spans="1:69">
      <c r="A42" s="17" t="s">
        <v>3401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J42" s="13"/>
      <c r="K42" s="13"/>
      <c r="L42" s="13"/>
      <c r="M42" s="13"/>
      <c r="N42" s="100"/>
      <c r="O42" s="13"/>
      <c r="P42" s="13"/>
      <c r="Q42" s="13"/>
      <c r="R42" s="13"/>
      <c r="S42" s="13"/>
      <c r="T42" s="13"/>
      <c r="U42" s="13"/>
      <c r="W42" s="100"/>
      <c r="X42" s="13"/>
      <c r="Y42" s="13"/>
      <c r="Z42" s="13"/>
      <c r="AA42" s="13"/>
      <c r="AF42" s="13"/>
      <c r="AG42" s="13"/>
      <c r="AH42" s="13"/>
      <c r="AI42" s="13"/>
      <c r="AJ42" s="13"/>
      <c r="AK42" s="13"/>
      <c r="AL42" s="13"/>
      <c r="AP42" s="17" t="s">
        <v>3401</v>
      </c>
      <c r="AQ42" s="13">
        <f>IFERROR(VLOOKUP($AP42,'FAR Dep Summary'!$A$21:$F$34,2,FALSE),0)</f>
        <v>295736.69</v>
      </c>
      <c r="AR42" s="13">
        <f t="shared" ref="AR42" si="176">AQ42-AS42</f>
        <v>0</v>
      </c>
      <c r="AS42" s="13">
        <f t="shared" ref="AS42" si="177">AQ42</f>
        <v>295736.69</v>
      </c>
      <c r="AT42" s="13">
        <f>IFERROR(VLOOKUP($AP42,'FAR Dep Summary'!$A$21:$F$34,3,FALSE),0)</f>
        <v>9898.4208333333336</v>
      </c>
      <c r="AU42" s="13">
        <f>IFERROR(VLOOKUP($AP42,'FAR Dep Summary'!$A$21:$F$34,4,FALSE),0)</f>
        <v>176955.64</v>
      </c>
      <c r="AV42" s="13">
        <f>IFERROR(VLOOKUP($AP42,'FAR Dep Summary'!$A$21:$F$34,5,FALSE),0)</f>
        <v>186854.06083333335</v>
      </c>
      <c r="AW42" s="13">
        <f>IFERROR(VLOOKUP($AP42,'FAR Dep Summary'!$A$21:$F$34,6,FALSE),0)</f>
        <v>108882.62916666667</v>
      </c>
      <c r="AX42" s="9"/>
      <c r="AY42" s="9" t="s">
        <v>3401</v>
      </c>
      <c r="AZ42" s="13">
        <f>IFERROR(SUMIF('2022 Bud CapEx'!$AP$72:$AP$83,'2180 Deprec'!$AY42,'2022 Bud CapEx'!$AQ$72:$AQ$83),0)</f>
        <v>694467</v>
      </c>
      <c r="BA42" s="13">
        <f t="shared" ref="BA42" si="178">AZ42-BB42</f>
        <v>0</v>
      </c>
      <c r="BB42" s="13">
        <f t="shared" ref="BB42" si="179">AZ42</f>
        <v>694467</v>
      </c>
      <c r="BC42" s="13">
        <f>IFERROR(SUMIF('2022 Bud CapEx'!$AP$72:$AP$83,'2180 Deprec'!$AY42,'2022 Bud CapEx'!$AS$72:$AS$83),0)</f>
        <v>99209.571428571435</v>
      </c>
      <c r="BD42" s="13">
        <v>0</v>
      </c>
      <c r="BE42" s="13">
        <f t="shared" ref="BE42" si="180">BC42</f>
        <v>99209.571428571435</v>
      </c>
      <c r="BF42" s="13">
        <f>IFERROR(SUMIF('2022 Bud CapEx'!$AP$72:$AP$83,'2180 Deprec'!$AY42,'2022 Bud CapEx'!$AU$72:$AU$83),0)</f>
        <v>595257.42857142852</v>
      </c>
      <c r="BG42" s="9"/>
      <c r="BH42" s="9" t="s">
        <v>3401</v>
      </c>
      <c r="BI42" s="13">
        <f t="shared" ref="BI42" si="181">B42+AQ42+AZ42</f>
        <v>990203.69</v>
      </c>
      <c r="BJ42" s="13">
        <f t="shared" ref="BJ42" si="182">C42+AR42+BA42</f>
        <v>0</v>
      </c>
      <c r="BK42" s="13">
        <f t="shared" ref="BK42" si="183">D42+AS42+BB42</f>
        <v>990203.69</v>
      </c>
      <c r="BL42" s="13">
        <f t="shared" ref="BL42" si="184">E42+AT42+BC42</f>
        <v>109107.99226190477</v>
      </c>
      <c r="BM42" s="13">
        <f t="shared" ref="BM42" si="185">F42+AU42+BD42</f>
        <v>176955.64</v>
      </c>
      <c r="BN42" s="13">
        <f t="shared" ref="BN42" si="186">G42+AV42+BE42</f>
        <v>286063.63226190477</v>
      </c>
      <c r="BO42" s="13">
        <f t="shared" ref="BO42" si="187">H42+AW42+BF42</f>
        <v>704140.05773809517</v>
      </c>
      <c r="BP42" s="9"/>
      <c r="BQ42" s="9"/>
    </row>
    <row r="43" spans="1:69">
      <c r="B43" s="13"/>
      <c r="C43" s="13"/>
      <c r="D43" s="13"/>
      <c r="E43" s="13"/>
      <c r="F43" s="13"/>
      <c r="G43" s="13"/>
      <c r="H43" s="13"/>
      <c r="J43" s="13"/>
      <c r="K43" s="13"/>
      <c r="L43" s="13"/>
      <c r="M43" s="13"/>
      <c r="N43" s="100"/>
      <c r="O43" s="13"/>
      <c r="P43" s="13"/>
      <c r="Q43" s="13"/>
      <c r="R43" s="13"/>
      <c r="S43" s="13"/>
      <c r="T43" s="13"/>
      <c r="U43" s="13"/>
      <c r="W43" s="100"/>
      <c r="X43" s="13"/>
      <c r="Y43" s="13"/>
      <c r="Z43" s="13"/>
      <c r="AA43" s="13"/>
      <c r="AF43" s="13"/>
      <c r="AG43" s="13"/>
      <c r="AH43" s="13"/>
      <c r="AI43" s="13"/>
      <c r="AJ43" s="13"/>
      <c r="AK43" s="13"/>
      <c r="AL43" s="13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13"/>
      <c r="BD43" s="13"/>
      <c r="BE43" s="13"/>
      <c r="BF43" s="13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</row>
    <row r="44" spans="1:69">
      <c r="A44" s="17" t="s">
        <v>18</v>
      </c>
      <c r="B44" s="13">
        <f>'2180 Cont, DB'!N417</f>
        <v>3789748.1399999987</v>
      </c>
      <c r="C44" s="13">
        <f>B44-D44</f>
        <v>0</v>
      </c>
      <c r="D44" s="13">
        <f>'2180 Cont, DB'!O417</f>
        <v>3789748.1399999987</v>
      </c>
      <c r="E44" s="13">
        <f>'2180 Cont, DB'!S417</f>
        <v>131334.61523228002</v>
      </c>
      <c r="F44" s="13">
        <f>'2180 Cont, DB'!T417</f>
        <v>2846728.0126942894</v>
      </c>
      <c r="G44" s="13">
        <f>'2180 Cont, DB'!U417</f>
        <v>2978062.6279265694</v>
      </c>
      <c r="H44" s="13">
        <f>'2180 Cont, DB'!W417</f>
        <v>811685.51207343035</v>
      </c>
      <c r="J44" s="13"/>
      <c r="K44" s="13"/>
      <c r="L44" s="13"/>
      <c r="M44" s="13"/>
      <c r="N44" s="100"/>
      <c r="O44" s="13"/>
      <c r="P44" s="13"/>
      <c r="Q44" s="13"/>
      <c r="R44" s="13"/>
      <c r="S44" s="13"/>
      <c r="T44" s="13"/>
      <c r="U44" s="13"/>
      <c r="V44" s="110"/>
      <c r="W44" s="100"/>
      <c r="X44" s="13"/>
      <c r="Y44" s="13"/>
      <c r="Z44" s="13"/>
      <c r="AA44" s="13"/>
      <c r="AB44" s="110"/>
      <c r="AC44" s="110"/>
      <c r="AF44" s="13"/>
      <c r="AG44" s="13"/>
      <c r="AH44" s="13"/>
      <c r="AI44" s="13"/>
      <c r="AJ44" s="13"/>
      <c r="AK44" s="13"/>
      <c r="AL44" s="13"/>
      <c r="AM44" s="110"/>
      <c r="AP44" s="17" t="s">
        <v>18</v>
      </c>
      <c r="AQ44" s="13">
        <f>IFERROR(VLOOKUP($AP44,'FAR Dep Summary'!$A$21:$F$34,2,FALSE),0)</f>
        <v>26160</v>
      </c>
      <c r="AR44" s="13">
        <f t="shared" ref="AR44" si="188">AQ44-AS44</f>
        <v>0</v>
      </c>
      <c r="AS44" s="13">
        <f t="shared" ref="AS44" si="189">AQ44</f>
        <v>26160</v>
      </c>
      <c r="AT44" s="13">
        <f>IFERROR(VLOOKUP($AP44,'FAR Dep Summary'!$A$21:$F$34,3,FALSE),0)</f>
        <v>2180</v>
      </c>
      <c r="AU44" s="13">
        <f>IFERROR(VLOOKUP($AP44,'FAR Dep Summary'!$A$21:$F$34,4,FALSE),0)</f>
        <v>0</v>
      </c>
      <c r="AV44" s="13">
        <f>IFERROR(VLOOKUP($AP44,'FAR Dep Summary'!$A$21:$F$34,5,FALSE),0)</f>
        <v>2180</v>
      </c>
      <c r="AW44" s="13">
        <f>IFERROR(VLOOKUP($AP44,'FAR Dep Summary'!$A$21:$F$34,6,FALSE),0)</f>
        <v>23980</v>
      </c>
      <c r="AX44" s="9"/>
      <c r="AY44" s="9" t="s">
        <v>18</v>
      </c>
      <c r="AZ44" s="13">
        <f>IFERROR(SUMIF('2022 Bud CapEx'!$AP$72:$AP$83,'2180 Deprec'!$AY44,'2022 Bud CapEx'!$AQ$72:$AQ$83),0)</f>
        <v>0</v>
      </c>
      <c r="BA44" s="13">
        <f t="shared" ref="BA44" si="190">AZ44-BB44</f>
        <v>0</v>
      </c>
      <c r="BB44" s="13">
        <f t="shared" ref="BB44" si="191">AZ44</f>
        <v>0</v>
      </c>
      <c r="BC44" s="13">
        <f>IFERROR(SUMIF('2022 Bud CapEx'!$AP$72:$AP$83,'2180 Deprec'!$AY44,'2022 Bud CapEx'!$AS$72:$AS$83),0)</f>
        <v>0</v>
      </c>
      <c r="BD44" s="13">
        <v>0</v>
      </c>
      <c r="BE44" s="13">
        <f t="shared" ref="BE44" si="192">BC44</f>
        <v>0</v>
      </c>
      <c r="BF44" s="13">
        <f>IFERROR(SUMIF('2022 Bud CapEx'!$AP$72:$AP$83,'2180 Deprec'!$AY44,'2022 Bud CapEx'!$AU$72:$AU$83),0)</f>
        <v>0</v>
      </c>
      <c r="BG44" s="9"/>
      <c r="BH44" s="9" t="s">
        <v>18</v>
      </c>
      <c r="BI44" s="13">
        <f t="shared" ref="BI44" si="193">B44+AQ44+AZ44</f>
        <v>3815908.1399999987</v>
      </c>
      <c r="BJ44" s="13">
        <f t="shared" ref="BJ44" si="194">C44+AR44+BA44</f>
        <v>0</v>
      </c>
      <c r="BK44" s="13">
        <f t="shared" ref="BK44" si="195">D44+AS44+BB44</f>
        <v>3815908.1399999987</v>
      </c>
      <c r="BL44" s="13">
        <f t="shared" ref="BL44" si="196">E44+AT44+BC44</f>
        <v>133514.61523228002</v>
      </c>
      <c r="BM44" s="13">
        <f t="shared" ref="BM44" si="197">F44+AU44+BD44</f>
        <v>2846728.0126942894</v>
      </c>
      <c r="BN44" s="13">
        <f t="shared" ref="BN44" si="198">G44+AV44+BE44</f>
        <v>2980242.6279265694</v>
      </c>
      <c r="BO44" s="13">
        <f t="shared" ref="BO44" si="199">H44+AW44+BF44</f>
        <v>835665.51207343035</v>
      </c>
      <c r="BP44" s="9"/>
      <c r="BQ44" s="9"/>
    </row>
    <row r="45" spans="1:69">
      <c r="B45" s="13"/>
      <c r="C45" s="13"/>
      <c r="D45" s="13"/>
      <c r="E45" s="13"/>
      <c r="F45" s="13"/>
      <c r="G45" s="13"/>
      <c r="H45" s="13"/>
      <c r="J45" s="13"/>
      <c r="K45" s="13"/>
      <c r="L45" s="13"/>
      <c r="M45" s="13"/>
      <c r="N45" s="100"/>
      <c r="O45" s="13"/>
      <c r="P45" s="13"/>
      <c r="Q45" s="13"/>
      <c r="R45" s="13"/>
      <c r="S45" s="13"/>
      <c r="T45" s="13"/>
      <c r="U45" s="13"/>
      <c r="W45" s="100"/>
      <c r="X45" s="13"/>
      <c r="Y45" s="13"/>
      <c r="Z45" s="13"/>
      <c r="AA45" s="13"/>
      <c r="AF45" s="13"/>
      <c r="AG45" s="13"/>
      <c r="AH45" s="13"/>
      <c r="AI45" s="13"/>
      <c r="AJ45" s="13"/>
      <c r="AK45" s="13"/>
      <c r="AL45" s="13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13"/>
      <c r="BD45" s="13"/>
      <c r="BE45" s="13"/>
      <c r="BF45" s="13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</row>
    <row r="46" spans="1:69">
      <c r="A46" s="17" t="s">
        <v>19</v>
      </c>
      <c r="B46" s="13">
        <f>'2180 Cont, DB'!N557</f>
        <v>4090020.0030000019</v>
      </c>
      <c r="C46" s="13">
        <f>B46-D46</f>
        <v>0</v>
      </c>
      <c r="D46" s="13">
        <f>'2180 Cont, DB'!O557</f>
        <v>4090020.0030000019</v>
      </c>
      <c r="E46" s="13">
        <f>'2180 Cont, DB'!S557</f>
        <v>267484.61857142858</v>
      </c>
      <c r="F46" s="13">
        <f>'2180 Cont, DB'!T557</f>
        <v>3020086.1287142858</v>
      </c>
      <c r="G46" s="13">
        <f>'2180 Cont, DB'!U557</f>
        <v>3287570.7472857153</v>
      </c>
      <c r="H46" s="13">
        <f>'2180 Cont, DB'!W557</f>
        <v>802449.25571428565</v>
      </c>
      <c r="J46" s="13"/>
      <c r="K46" s="13"/>
      <c r="L46" s="13"/>
      <c r="M46" s="13"/>
      <c r="N46" s="100"/>
      <c r="O46" s="13"/>
      <c r="P46" s="13"/>
      <c r="Q46" s="13"/>
      <c r="R46" s="13"/>
      <c r="S46" s="13"/>
      <c r="T46" s="13"/>
      <c r="U46" s="13"/>
      <c r="V46" s="110"/>
      <c r="W46" s="100"/>
      <c r="X46" s="13"/>
      <c r="Y46" s="13"/>
      <c r="Z46" s="13"/>
      <c r="AA46" s="13"/>
      <c r="AB46" s="110"/>
      <c r="AC46" s="110"/>
      <c r="AF46" s="13"/>
      <c r="AG46" s="13"/>
      <c r="AH46" s="13"/>
      <c r="AI46" s="13"/>
      <c r="AJ46" s="13"/>
      <c r="AK46" s="13"/>
      <c r="AL46" s="13"/>
      <c r="AM46" s="110"/>
      <c r="AP46" s="17" t="s">
        <v>19</v>
      </c>
      <c r="AQ46" s="13">
        <f>IFERROR(VLOOKUP($AP46,'FAR Dep Summary'!$A$21:$F$34,2,FALSE),0)</f>
        <v>96059.94</v>
      </c>
      <c r="AR46" s="13">
        <f t="shared" ref="AR46" si="200">AQ46-AS46</f>
        <v>0</v>
      </c>
      <c r="AS46" s="13">
        <f t="shared" ref="AS46" si="201">AQ46</f>
        <v>96059.94</v>
      </c>
      <c r="AT46" s="13">
        <f>IFERROR(VLOOKUP($AP46,'FAR Dep Summary'!$A$21:$F$34,3,FALSE),0)</f>
        <v>13722.848571428571</v>
      </c>
      <c r="AU46" s="13">
        <f>IFERROR(VLOOKUP($AP46,'FAR Dep Summary'!$A$21:$F$34,4,FALSE),0)</f>
        <v>0</v>
      </c>
      <c r="AV46" s="13">
        <f>IFERROR(VLOOKUP($AP46,'FAR Dep Summary'!$A$21:$F$34,5,FALSE),0)</f>
        <v>13722.848571428571</v>
      </c>
      <c r="AW46" s="13">
        <f>IFERROR(VLOOKUP($AP46,'FAR Dep Summary'!$A$21:$F$34,6,FALSE),0)</f>
        <v>82337.091428571439</v>
      </c>
      <c r="AX46" s="9"/>
      <c r="AY46" s="9" t="s">
        <v>19</v>
      </c>
      <c r="AZ46" s="13">
        <f>IFERROR(SUMIF('2022 Bud CapEx'!$AP$72:$AP$83,'2180 Deprec'!$AY46,'2022 Bud CapEx'!$AQ$72:$AQ$83),0)</f>
        <v>0</v>
      </c>
      <c r="BA46" s="13">
        <f t="shared" ref="BA46" si="202">AZ46-BB46</f>
        <v>0</v>
      </c>
      <c r="BB46" s="13">
        <f t="shared" ref="BB46" si="203">AZ46</f>
        <v>0</v>
      </c>
      <c r="BC46" s="13">
        <f>IFERROR(SUMIF('2022 Bud CapEx'!$AP$72:$AP$83,'2180 Deprec'!$AY46,'2022 Bud CapEx'!$AS$72:$AS$83),0)</f>
        <v>0</v>
      </c>
      <c r="BD46" s="13">
        <v>0</v>
      </c>
      <c r="BE46" s="13">
        <f t="shared" ref="BE46" si="204">BC46</f>
        <v>0</v>
      </c>
      <c r="BF46" s="13">
        <f>IFERROR(SUMIF('2022 Bud CapEx'!$AP$72:$AP$83,'2180 Deprec'!$AY46,'2022 Bud CapEx'!$AU$72:$AU$83),0)</f>
        <v>0</v>
      </c>
      <c r="BG46" s="9"/>
      <c r="BH46" s="9" t="s">
        <v>19</v>
      </c>
      <c r="BI46" s="13">
        <f t="shared" ref="BI46" si="205">B46+AQ46+AZ46</f>
        <v>4186079.9430000018</v>
      </c>
      <c r="BJ46" s="13">
        <f t="shared" ref="BJ46" si="206">C46+AR46+BA46</f>
        <v>0</v>
      </c>
      <c r="BK46" s="13">
        <f t="shared" ref="BK46" si="207">D46+AS46+BB46</f>
        <v>4186079.9430000018</v>
      </c>
      <c r="BL46" s="13">
        <f t="shared" ref="BL46" si="208">E46+AT46+BC46</f>
        <v>281207.46714285715</v>
      </c>
      <c r="BM46" s="13">
        <f t="shared" ref="BM46" si="209">F46+AU46+BD46</f>
        <v>3020086.1287142858</v>
      </c>
      <c r="BN46" s="13">
        <f t="shared" ref="BN46" si="210">G46+AV46+BE46</f>
        <v>3301293.5958571439</v>
      </c>
      <c r="BO46" s="13">
        <f t="shared" ref="BO46" si="211">H46+AW46+BF46</f>
        <v>884786.34714285703</v>
      </c>
      <c r="BP46" s="9"/>
      <c r="BQ46" s="9"/>
    </row>
    <row r="47" spans="1:69">
      <c r="B47" s="13"/>
      <c r="C47" s="13"/>
      <c r="D47" s="13"/>
      <c r="E47" s="13"/>
      <c r="F47" s="13"/>
      <c r="G47" s="13"/>
      <c r="H47" s="13"/>
      <c r="J47" s="13"/>
      <c r="K47" s="13"/>
      <c r="L47" s="13"/>
      <c r="M47" s="13"/>
      <c r="N47" s="100"/>
      <c r="O47" s="13"/>
      <c r="P47" s="13"/>
      <c r="Q47" s="13"/>
      <c r="R47" s="13"/>
      <c r="S47" s="13"/>
      <c r="T47" s="13"/>
      <c r="U47" s="13"/>
      <c r="W47" s="100"/>
      <c r="X47" s="13"/>
      <c r="Y47" s="13"/>
      <c r="Z47" s="13"/>
      <c r="AA47" s="13"/>
      <c r="AF47" s="13"/>
      <c r="AG47" s="13"/>
      <c r="AH47" s="13"/>
      <c r="AI47" s="13"/>
      <c r="AJ47" s="13"/>
      <c r="AK47" s="13"/>
      <c r="AL47" s="13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13"/>
      <c r="BD47" s="13"/>
      <c r="BE47" s="13"/>
      <c r="BF47" s="13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</row>
    <row r="48" spans="1:69">
      <c r="A48" s="17" t="s">
        <v>20</v>
      </c>
      <c r="B48" s="13">
        <f>'2180 Cont, DB'!N563</f>
        <v>165208.34</v>
      </c>
      <c r="C48" s="13">
        <f>B48-D48</f>
        <v>0</v>
      </c>
      <c r="D48" s="13">
        <f>'2180 Cont, DB'!O563</f>
        <v>165208.34</v>
      </c>
      <c r="E48" s="13">
        <f>'2180 Cont, DB'!S563</f>
        <v>669.78</v>
      </c>
      <c r="F48" s="13">
        <f>'2180 Cont, DB'!T563</f>
        <v>163199</v>
      </c>
      <c r="G48" s="13">
        <f>'2180 Cont, DB'!U563</f>
        <v>163868.78</v>
      </c>
      <c r="H48" s="13">
        <f>'2180 Cont, DB'!W563</f>
        <v>1339.5600000000004</v>
      </c>
      <c r="J48" s="13"/>
      <c r="K48" s="13"/>
      <c r="L48" s="13"/>
      <c r="M48" s="13"/>
      <c r="N48" s="100"/>
      <c r="O48" s="13"/>
      <c r="P48" s="13"/>
      <c r="Q48" s="13"/>
      <c r="R48" s="13"/>
      <c r="S48" s="13"/>
      <c r="T48" s="13"/>
      <c r="U48" s="13"/>
      <c r="V48" s="110"/>
      <c r="W48" s="100"/>
      <c r="X48" s="13"/>
      <c r="Y48" s="13"/>
      <c r="Z48" s="13"/>
      <c r="AA48" s="13"/>
      <c r="AB48" s="110"/>
      <c r="AC48" s="110"/>
      <c r="AF48" s="13"/>
      <c r="AG48" s="13"/>
      <c r="AH48" s="13"/>
      <c r="AI48" s="13"/>
      <c r="AJ48" s="13"/>
      <c r="AK48" s="13"/>
      <c r="AL48" s="13"/>
      <c r="AM48" s="110"/>
      <c r="AP48" s="17" t="s">
        <v>20</v>
      </c>
      <c r="AQ48" s="13">
        <f>IFERROR(VLOOKUP($AP48,'FAR Dep Summary'!$A$21:$F$34,2,FALSE),0)</f>
        <v>0</v>
      </c>
      <c r="AR48" s="13">
        <f t="shared" ref="AR48" si="212">AQ48-AS48</f>
        <v>0</v>
      </c>
      <c r="AS48" s="13">
        <f t="shared" ref="AS48" si="213">AQ48</f>
        <v>0</v>
      </c>
      <c r="AT48" s="13">
        <f>IFERROR(VLOOKUP($AP48,'FAR Dep Summary'!$A$21:$F$34,3,FALSE),0)</f>
        <v>0</v>
      </c>
      <c r="AU48" s="13">
        <f>IFERROR(VLOOKUP($AP48,'FAR Dep Summary'!$A$21:$F$34,4,FALSE),0)</f>
        <v>0</v>
      </c>
      <c r="AV48" s="13">
        <f>IFERROR(VLOOKUP($AP48,'FAR Dep Summary'!$A$21:$F$34,5,FALSE),0)</f>
        <v>0</v>
      </c>
      <c r="AW48" s="13">
        <f>IFERROR(VLOOKUP($AP48,'FAR Dep Summary'!$A$21:$F$34,6,FALSE),0)</f>
        <v>0</v>
      </c>
      <c r="AX48" s="9"/>
      <c r="AY48" s="9" t="s">
        <v>20</v>
      </c>
      <c r="AZ48" s="13">
        <f>IFERROR(SUMIF('2022 Bud CapEx'!$AP$72:$AP$83,'2180 Deprec'!$AY48,'2022 Bud CapEx'!$AQ$72:$AQ$83),0)</f>
        <v>0</v>
      </c>
      <c r="BA48" s="13">
        <f t="shared" ref="BA48" si="214">AZ48-BB48</f>
        <v>0</v>
      </c>
      <c r="BB48" s="13">
        <f t="shared" ref="BB48" si="215">AZ48</f>
        <v>0</v>
      </c>
      <c r="BC48" s="13">
        <f>IFERROR(SUMIF('2022 Bud CapEx'!$AP$72:$AP$83,'2180 Deprec'!$AY48,'2022 Bud CapEx'!$AS$72:$AS$83),0)</f>
        <v>0</v>
      </c>
      <c r="BD48" s="13">
        <v>0</v>
      </c>
      <c r="BE48" s="13">
        <f t="shared" ref="BE48" si="216">BC48</f>
        <v>0</v>
      </c>
      <c r="BF48" s="13">
        <f>IFERROR(SUMIF('2022 Bud CapEx'!$AP$72:$AP$83,'2180 Deprec'!$AY48,'2022 Bud CapEx'!$AU$72:$AU$83),0)</f>
        <v>0</v>
      </c>
      <c r="BG48" s="9"/>
      <c r="BH48" s="9" t="s">
        <v>20</v>
      </c>
      <c r="BI48" s="13">
        <f t="shared" ref="BI48" si="217">B48+AQ48+AZ48</f>
        <v>165208.34</v>
      </c>
      <c r="BJ48" s="13">
        <f t="shared" ref="BJ48" si="218">C48+AR48+BA48</f>
        <v>0</v>
      </c>
      <c r="BK48" s="13">
        <f t="shared" ref="BK48" si="219">D48+AS48+BB48</f>
        <v>165208.34</v>
      </c>
      <c r="BL48" s="13">
        <f t="shared" ref="BL48" si="220">E48+AT48+BC48</f>
        <v>669.78</v>
      </c>
      <c r="BM48" s="13">
        <f t="shared" ref="BM48" si="221">F48+AU48+BD48</f>
        <v>163199</v>
      </c>
      <c r="BN48" s="13">
        <f t="shared" ref="BN48" si="222">G48+AV48+BE48</f>
        <v>163868.78</v>
      </c>
      <c r="BO48" s="13">
        <f t="shared" ref="BO48" si="223">H48+AW48+BF48</f>
        <v>1339.5600000000004</v>
      </c>
      <c r="BP48" s="9"/>
      <c r="BQ48" s="9"/>
    </row>
    <row r="49" spans="1:69">
      <c r="B49" s="13"/>
      <c r="C49" s="13"/>
      <c r="D49" s="13"/>
      <c r="E49" s="13"/>
      <c r="F49" s="13"/>
      <c r="G49" s="13"/>
      <c r="H49" s="13"/>
      <c r="J49" s="13"/>
      <c r="K49" s="13"/>
      <c r="L49" s="13"/>
      <c r="M49" s="13"/>
      <c r="N49" s="100"/>
      <c r="O49" s="13"/>
      <c r="P49" s="13"/>
      <c r="Q49" s="13"/>
      <c r="R49" s="13"/>
      <c r="S49" s="13"/>
      <c r="T49" s="13"/>
      <c r="U49" s="13"/>
      <c r="W49" s="100"/>
      <c r="X49" s="13"/>
      <c r="Y49" s="13"/>
      <c r="Z49" s="13"/>
      <c r="AA49" s="13"/>
      <c r="AF49" s="13"/>
      <c r="AG49" s="13"/>
      <c r="AH49" s="13"/>
      <c r="AI49" s="13"/>
      <c r="AJ49" s="13"/>
      <c r="AK49" s="13"/>
      <c r="AL49" s="13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13"/>
      <c r="BD49" s="13"/>
      <c r="BE49" s="13"/>
      <c r="BF49" s="13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</row>
    <row r="50" spans="1:69">
      <c r="A50" s="17" t="s">
        <v>21</v>
      </c>
      <c r="B50" s="13">
        <f>'2180 Cont, DB'!N635</f>
        <v>4125374.9199999971</v>
      </c>
      <c r="C50" s="13">
        <f>B50-D50</f>
        <v>0</v>
      </c>
      <c r="D50" s="13">
        <f>'2180 Cont, DB'!O635</f>
        <v>4125374.9199999971</v>
      </c>
      <c r="E50" s="13">
        <f>'2180 Cont, DB'!S635</f>
        <v>122151.5247556391</v>
      </c>
      <c r="F50" s="13">
        <f>'2180 Cont, DB'!T635</f>
        <v>3629284.2337969909</v>
      </c>
      <c r="G50" s="13">
        <f>'2180 Cont, DB'!U635</f>
        <v>3751435.7585526295</v>
      </c>
      <c r="H50" s="13">
        <f>'2180 Cont, DB'!W635</f>
        <v>373939.16144736833</v>
      </c>
      <c r="J50" s="13"/>
      <c r="K50" s="13"/>
      <c r="L50" s="13"/>
      <c r="M50" s="13"/>
      <c r="N50" s="100"/>
      <c r="O50" s="13"/>
      <c r="P50" s="13"/>
      <c r="Q50" s="13"/>
      <c r="R50" s="13"/>
      <c r="S50" s="13"/>
      <c r="T50" s="13"/>
      <c r="U50" s="13"/>
      <c r="V50" s="110"/>
      <c r="W50" s="100"/>
      <c r="X50" s="13"/>
      <c r="Y50" s="13"/>
      <c r="Z50" s="13"/>
      <c r="AA50" s="13"/>
      <c r="AB50" s="110"/>
      <c r="AC50" s="110"/>
      <c r="AF50" s="13"/>
      <c r="AG50" s="13"/>
      <c r="AH50" s="13"/>
      <c r="AI50" s="13"/>
      <c r="AJ50" s="13"/>
      <c r="AK50" s="13"/>
      <c r="AL50" s="13"/>
      <c r="AM50" s="110"/>
      <c r="AP50" s="17" t="s">
        <v>21</v>
      </c>
      <c r="AQ50" s="13">
        <f>IFERROR(VLOOKUP($AP50,'FAR Dep Summary'!$A$21:$F$34,2,FALSE),0)</f>
        <v>96059.94</v>
      </c>
      <c r="AR50" s="13">
        <f t="shared" ref="AR50" si="224">AQ50-AS50</f>
        <v>0</v>
      </c>
      <c r="AS50" s="13">
        <f t="shared" ref="AS50" si="225">AQ50</f>
        <v>96059.94</v>
      </c>
      <c r="AT50" s="13">
        <f>IFERROR(VLOOKUP($AP50,'FAR Dep Summary'!$A$21:$F$34,3,FALSE),0)</f>
        <v>13722.848571428571</v>
      </c>
      <c r="AU50" s="13">
        <f>IFERROR(VLOOKUP($AP50,'FAR Dep Summary'!$A$21:$F$34,4,FALSE),0)</f>
        <v>0</v>
      </c>
      <c r="AV50" s="13">
        <f>IFERROR(VLOOKUP($AP50,'FAR Dep Summary'!$A$21:$F$34,5,FALSE),0)</f>
        <v>13722.848571428571</v>
      </c>
      <c r="AW50" s="13">
        <f>IFERROR(VLOOKUP($AP50,'FAR Dep Summary'!$A$21:$F$34,6,FALSE),0)</f>
        <v>82337.091428571439</v>
      </c>
      <c r="AX50" s="9"/>
      <c r="AY50" s="9" t="s">
        <v>21</v>
      </c>
      <c r="AZ50" s="13">
        <f>IFERROR(SUMIF('2022 Bud CapEx'!$AP$72:$AP$83,'2180 Deprec'!$AY50,'2022 Bud CapEx'!$AQ$72:$AQ$83),0)</f>
        <v>0</v>
      </c>
      <c r="BA50" s="13">
        <f t="shared" ref="BA50" si="226">AZ50-BB50</f>
        <v>0</v>
      </c>
      <c r="BB50" s="13">
        <f t="shared" ref="BB50" si="227">AZ50</f>
        <v>0</v>
      </c>
      <c r="BC50" s="13">
        <f>IFERROR(SUMIF('2022 Bud CapEx'!$AP$72:$AP$83,'2180 Deprec'!$AY50,'2022 Bud CapEx'!$AS$72:$AS$83),0)</f>
        <v>0</v>
      </c>
      <c r="BD50" s="13">
        <v>0</v>
      </c>
      <c r="BE50" s="13">
        <f t="shared" ref="BE50" si="228">BC50</f>
        <v>0</v>
      </c>
      <c r="BF50" s="13">
        <f>IFERROR(SUMIF('2022 Bud CapEx'!$AP$72:$AP$83,'2180 Deprec'!$AY50,'2022 Bud CapEx'!$AU$72:$AU$83),0)</f>
        <v>0</v>
      </c>
      <c r="BG50" s="9"/>
      <c r="BH50" s="9" t="s">
        <v>21</v>
      </c>
      <c r="BI50" s="13">
        <f t="shared" ref="BI50" si="229">B50+AQ50+AZ50</f>
        <v>4221434.8599999975</v>
      </c>
      <c r="BJ50" s="13">
        <f t="shared" ref="BJ50" si="230">C50+AR50+BA50</f>
        <v>0</v>
      </c>
      <c r="BK50" s="13">
        <f t="shared" ref="BK50" si="231">D50+AS50+BB50</f>
        <v>4221434.8599999975</v>
      </c>
      <c r="BL50" s="13">
        <f t="shared" ref="BL50" si="232">E50+AT50+BC50</f>
        <v>135874.37332706767</v>
      </c>
      <c r="BM50" s="13">
        <f t="shared" ref="BM50" si="233">F50+AU50+BD50</f>
        <v>3629284.2337969909</v>
      </c>
      <c r="BN50" s="13">
        <f t="shared" ref="BN50" si="234">G50+AV50+BE50</f>
        <v>3765158.6071240581</v>
      </c>
      <c r="BO50" s="13">
        <f t="shared" ref="BO50" si="235">H50+AW50+BF50</f>
        <v>456276.25287593977</v>
      </c>
      <c r="BP50" s="9"/>
      <c r="BQ50" s="9"/>
    </row>
    <row r="51" spans="1:69">
      <c r="B51" s="13"/>
      <c r="C51" s="13"/>
      <c r="D51" s="13"/>
      <c r="E51" s="13"/>
      <c r="F51" s="13"/>
      <c r="G51" s="13"/>
      <c r="H51" s="13"/>
      <c r="J51" s="13"/>
      <c r="K51" s="13"/>
      <c r="L51" s="13"/>
      <c r="M51" s="13"/>
      <c r="N51" s="100"/>
      <c r="O51" s="13"/>
      <c r="P51" s="13"/>
      <c r="Q51" s="13"/>
      <c r="R51" s="13"/>
      <c r="S51" s="13"/>
      <c r="T51" s="13"/>
      <c r="U51" s="13"/>
      <c r="W51" s="100"/>
      <c r="X51" s="13"/>
      <c r="Y51" s="13"/>
      <c r="Z51" s="13"/>
      <c r="AA51" s="13"/>
      <c r="AF51" s="13"/>
      <c r="AG51" s="13"/>
      <c r="AH51" s="13"/>
      <c r="AI51" s="13"/>
      <c r="AJ51" s="13"/>
      <c r="AK51" s="13"/>
      <c r="AL51" s="13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13"/>
      <c r="BD51" s="13"/>
      <c r="BE51" s="13"/>
      <c r="BF51" s="13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</row>
    <row r="52" spans="1:69">
      <c r="A52" s="17" t="s">
        <v>3451</v>
      </c>
      <c r="B52" s="13">
        <f>'2180 Cont, DB'!N724</f>
        <v>2385928.52</v>
      </c>
      <c r="C52" s="13">
        <f>B52-D52</f>
        <v>0</v>
      </c>
      <c r="D52" s="13">
        <f>'2180 Cont, DB'!O724</f>
        <v>2385928.52</v>
      </c>
      <c r="E52" s="13">
        <f>'2180 Cont, DB'!S724</f>
        <v>164767.90857142856</v>
      </c>
      <c r="F52" s="13">
        <f>'2180 Cont, DB'!T724</f>
        <v>1675256.34</v>
      </c>
      <c r="G52" s="13">
        <f>'2180 Cont, DB'!U724</f>
        <v>1840024.2485714285</v>
      </c>
      <c r="H52" s="13">
        <f>'2180 Cont, DB'!W724</f>
        <v>545904.2714285712</v>
      </c>
      <c r="J52" s="13"/>
      <c r="K52" s="13"/>
      <c r="L52" s="13"/>
      <c r="M52" s="13"/>
      <c r="N52" s="100"/>
      <c r="O52" s="13"/>
      <c r="P52" s="13"/>
      <c r="Q52" s="13"/>
      <c r="R52" s="13"/>
      <c r="S52" s="13"/>
      <c r="T52" s="13"/>
      <c r="U52" s="13"/>
      <c r="V52" s="110"/>
      <c r="W52" s="100"/>
      <c r="X52" s="13"/>
      <c r="Y52" s="13"/>
      <c r="Z52" s="13"/>
      <c r="AA52" s="13"/>
      <c r="AB52" s="110"/>
      <c r="AC52" s="110"/>
      <c r="AF52" s="13"/>
      <c r="AG52" s="13"/>
      <c r="AH52" s="13"/>
      <c r="AI52" s="13"/>
      <c r="AJ52" s="13"/>
      <c r="AK52" s="13"/>
      <c r="AL52" s="13"/>
      <c r="AM52" s="110"/>
      <c r="AP52" s="17" t="s">
        <v>3451</v>
      </c>
      <c r="AQ52" s="13">
        <f>IFERROR(VLOOKUP($AP52,'FAR Dep Summary'!$A$21:$F$34,2,FALSE),0)</f>
        <v>0</v>
      </c>
      <c r="AR52" s="13">
        <f t="shared" ref="AR52" si="236">AQ52-AS52</f>
        <v>0</v>
      </c>
      <c r="AS52" s="13">
        <f t="shared" ref="AS52" si="237">AQ52</f>
        <v>0</v>
      </c>
      <c r="AT52" s="13">
        <f>IFERROR(VLOOKUP($AP52,'FAR Dep Summary'!$A$21:$F$34,3,FALSE),0)</f>
        <v>0</v>
      </c>
      <c r="AU52" s="13">
        <f>IFERROR(VLOOKUP($AP52,'FAR Dep Summary'!$A$21:$F$34,4,FALSE),0)</f>
        <v>0</v>
      </c>
      <c r="AV52" s="13">
        <f>IFERROR(VLOOKUP($AP52,'FAR Dep Summary'!$A$21:$F$34,5,FALSE),0)</f>
        <v>0</v>
      </c>
      <c r="AW52" s="13">
        <f>IFERROR(VLOOKUP($AP52,'FAR Dep Summary'!$A$21:$F$34,6,FALSE),0)</f>
        <v>0</v>
      </c>
      <c r="AX52" s="9"/>
      <c r="AY52" s="9" t="s">
        <v>3451</v>
      </c>
      <c r="AZ52" s="13">
        <f>IFERROR(SUMIF('2022 Bud CapEx'!$AP$72:$AP$83,'2180 Deprec'!$AY52,'2022 Bud CapEx'!$AQ$72:$AQ$83),0)</f>
        <v>0</v>
      </c>
      <c r="BA52" s="13">
        <f t="shared" ref="BA52" si="238">AZ52-BB52</f>
        <v>0</v>
      </c>
      <c r="BB52" s="13">
        <f t="shared" ref="BB52" si="239">AZ52</f>
        <v>0</v>
      </c>
      <c r="BC52" s="13">
        <f>IFERROR(SUMIF('2022 Bud CapEx'!$AP$72:$AP$83,'2180 Deprec'!$AY52,'2022 Bud CapEx'!$AS$72:$AS$83),0)</f>
        <v>0</v>
      </c>
      <c r="BD52" s="13">
        <v>0</v>
      </c>
      <c r="BE52" s="13">
        <f t="shared" ref="BE52" si="240">BC52</f>
        <v>0</v>
      </c>
      <c r="BF52" s="13">
        <f>IFERROR(SUMIF('2022 Bud CapEx'!$AP$72:$AP$83,'2180 Deprec'!$AY52,'2022 Bud CapEx'!$AU$72:$AU$83),0)</f>
        <v>0</v>
      </c>
      <c r="BG52" s="9"/>
      <c r="BH52" s="9" t="s">
        <v>3451</v>
      </c>
      <c r="BI52" s="13">
        <f t="shared" ref="BI52" si="241">B52+AQ52+AZ52</f>
        <v>2385928.52</v>
      </c>
      <c r="BJ52" s="13">
        <f t="shared" ref="BJ52" si="242">C52+AR52+BA52</f>
        <v>0</v>
      </c>
      <c r="BK52" s="13">
        <f t="shared" ref="BK52" si="243">D52+AS52+BB52</f>
        <v>2385928.52</v>
      </c>
      <c r="BL52" s="13">
        <f t="shared" ref="BL52" si="244">E52+AT52+BC52</f>
        <v>164767.90857142856</v>
      </c>
      <c r="BM52" s="13">
        <f t="shared" ref="BM52" si="245">F52+AU52+BD52</f>
        <v>1675256.34</v>
      </c>
      <c r="BN52" s="13">
        <f t="shared" ref="BN52" si="246">G52+AV52+BE52</f>
        <v>1840024.2485714285</v>
      </c>
      <c r="BO52" s="13">
        <f t="shared" ref="BO52" si="247">H52+AW52+BF52</f>
        <v>545904.2714285712</v>
      </c>
      <c r="BP52" s="9"/>
      <c r="BQ52" s="9"/>
    </row>
    <row r="53" spans="1:69">
      <c r="B53" s="13"/>
      <c r="C53" s="13"/>
      <c r="D53" s="13"/>
      <c r="E53" s="13"/>
      <c r="F53" s="13"/>
      <c r="G53" s="13"/>
      <c r="H53" s="13"/>
      <c r="J53" s="13"/>
      <c r="K53" s="13"/>
      <c r="L53" s="13"/>
      <c r="M53" s="13"/>
      <c r="N53" s="100"/>
      <c r="O53" s="13"/>
      <c r="P53" s="13"/>
      <c r="Q53" s="13"/>
      <c r="R53" s="13"/>
      <c r="S53" s="13"/>
      <c r="T53" s="13"/>
      <c r="U53" s="13"/>
      <c r="W53" s="100"/>
      <c r="X53" s="13"/>
      <c r="Y53" s="13"/>
      <c r="Z53" s="13"/>
      <c r="AA53" s="13"/>
      <c r="AF53" s="13"/>
      <c r="AG53" s="13"/>
      <c r="AH53" s="13"/>
      <c r="AI53" s="13"/>
      <c r="AJ53" s="13"/>
      <c r="AK53" s="13"/>
      <c r="AL53" s="13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13"/>
      <c r="BD53" s="13"/>
      <c r="BE53" s="13"/>
      <c r="BF53" s="13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</row>
    <row r="54" spans="1:69">
      <c r="A54" s="17" t="s">
        <v>23</v>
      </c>
      <c r="B54" s="13">
        <f>'2180 Cont, DB'!N763</f>
        <v>475820.76</v>
      </c>
      <c r="C54" s="13">
        <f>B54-D54</f>
        <v>0</v>
      </c>
      <c r="D54" s="13">
        <f>'2180 Cont, DB'!O763</f>
        <v>475820.76</v>
      </c>
      <c r="E54" s="13">
        <f>'2180 Cont, DB'!S763</f>
        <v>3956.6583333333338</v>
      </c>
      <c r="F54" s="13">
        <f>'2180 Cont, DB'!T763</f>
        <v>448356.39833333337</v>
      </c>
      <c r="G54" s="13">
        <f>'2180 Cont, DB'!U763</f>
        <v>452313.05666666676</v>
      </c>
      <c r="H54" s="13">
        <f>'2180 Cont, DB'!W763</f>
        <v>23507.703333333331</v>
      </c>
      <c r="J54" s="13"/>
      <c r="K54" s="13"/>
      <c r="L54" s="13"/>
      <c r="M54" s="13"/>
      <c r="N54" s="100"/>
      <c r="O54" s="197"/>
      <c r="P54" s="197"/>
      <c r="Q54" s="13"/>
      <c r="R54" s="13"/>
      <c r="S54" s="13"/>
      <c r="T54" s="13"/>
      <c r="U54" s="13"/>
      <c r="V54" s="110"/>
      <c r="W54" s="100"/>
      <c r="X54" s="197"/>
      <c r="Y54" s="197"/>
      <c r="Z54" s="13"/>
      <c r="AA54" s="13"/>
      <c r="AB54" s="110"/>
      <c r="AC54" s="110"/>
      <c r="AF54" s="13"/>
      <c r="AG54" s="13"/>
      <c r="AH54" s="13"/>
      <c r="AI54" s="13"/>
      <c r="AJ54" s="13"/>
      <c r="AK54" s="13"/>
      <c r="AL54" s="13"/>
      <c r="AM54" s="110"/>
      <c r="AP54" s="17" t="s">
        <v>23</v>
      </c>
      <c r="AQ54" s="13">
        <f>IFERROR(VLOOKUP($AP54,'FAR Dep Summary'!$A$21:$F$34,2,FALSE),0)</f>
        <v>0</v>
      </c>
      <c r="AR54" s="13">
        <f t="shared" ref="AR54" si="248">AQ54-AS54</f>
        <v>0</v>
      </c>
      <c r="AS54" s="13">
        <f t="shared" ref="AS54" si="249">AQ54</f>
        <v>0</v>
      </c>
      <c r="AT54" s="13">
        <f>IFERROR(VLOOKUP($AP54,'FAR Dep Summary'!$A$21:$F$34,3,FALSE),0)</f>
        <v>0</v>
      </c>
      <c r="AU54" s="13">
        <f>IFERROR(VLOOKUP($AP54,'FAR Dep Summary'!$A$21:$F$34,4,FALSE),0)</f>
        <v>0</v>
      </c>
      <c r="AV54" s="13">
        <f>IFERROR(VLOOKUP($AP54,'FAR Dep Summary'!$A$21:$F$34,5,FALSE),0)</f>
        <v>0</v>
      </c>
      <c r="AW54" s="13">
        <f>IFERROR(VLOOKUP($AP54,'FAR Dep Summary'!$A$21:$F$34,6,FALSE),0)</f>
        <v>0</v>
      </c>
      <c r="AX54" s="9"/>
      <c r="AY54" s="9" t="s">
        <v>23</v>
      </c>
      <c r="AZ54" s="13">
        <f>IFERROR(SUMIF('2022 Bud CapEx'!$AP$72:$AP$83,'2180 Deprec'!$AY54,'2022 Bud CapEx'!$AQ$72:$AQ$83),0)</f>
        <v>0</v>
      </c>
      <c r="BA54" s="13">
        <f t="shared" ref="BA54" si="250">AZ54-BB54</f>
        <v>0</v>
      </c>
      <c r="BB54" s="13">
        <f t="shared" ref="BB54" si="251">AZ54</f>
        <v>0</v>
      </c>
      <c r="BC54" s="13">
        <f>IFERROR(SUMIF('2022 Bud CapEx'!$AP$72:$AP$83,'2180 Deprec'!$AY54,'2022 Bud CapEx'!$AS$72:$AS$83),0)</f>
        <v>0</v>
      </c>
      <c r="BD54" s="13">
        <v>0</v>
      </c>
      <c r="BE54" s="13">
        <f t="shared" ref="BE54" si="252">BC54</f>
        <v>0</v>
      </c>
      <c r="BF54" s="13">
        <f>IFERROR(SUMIF('2022 Bud CapEx'!$AP$72:$AP$83,'2180 Deprec'!$AY54,'2022 Bud CapEx'!$AU$72:$AU$83),0)</f>
        <v>0</v>
      </c>
      <c r="BG54" s="9"/>
      <c r="BH54" s="9" t="s">
        <v>23</v>
      </c>
      <c r="BI54" s="13">
        <f t="shared" ref="BI54" si="253">B54+AQ54+AZ54</f>
        <v>475820.76</v>
      </c>
      <c r="BJ54" s="13">
        <f t="shared" ref="BJ54" si="254">C54+AR54+BA54</f>
        <v>0</v>
      </c>
      <c r="BK54" s="13">
        <f t="shared" ref="BK54" si="255">D54+AS54+BB54</f>
        <v>475820.76</v>
      </c>
      <c r="BL54" s="13">
        <f t="shared" ref="BL54" si="256">E54+AT54+BC54</f>
        <v>3956.6583333333338</v>
      </c>
      <c r="BM54" s="13">
        <f t="shared" ref="BM54" si="257">F54+AU54+BD54</f>
        <v>448356.39833333337</v>
      </c>
      <c r="BN54" s="13">
        <f t="shared" ref="BN54" si="258">G54+AV54+BE54</f>
        <v>452313.05666666676</v>
      </c>
      <c r="BO54" s="13">
        <f t="shared" ref="BO54" si="259">H54+AW54+BF54</f>
        <v>23507.703333333331</v>
      </c>
      <c r="BP54" s="9"/>
      <c r="BQ54" s="9"/>
    </row>
    <row r="55" spans="1:69">
      <c r="B55" s="13"/>
      <c r="C55" s="13"/>
      <c r="D55" s="13"/>
      <c r="E55" s="13"/>
      <c r="F55" s="13"/>
      <c r="G55" s="13"/>
      <c r="H55" s="13"/>
      <c r="J55" s="13"/>
      <c r="K55" s="13"/>
      <c r="L55" s="13"/>
      <c r="M55" s="13"/>
      <c r="N55" s="100"/>
      <c r="O55" s="13"/>
      <c r="P55" s="13"/>
      <c r="Q55" s="13"/>
      <c r="R55" s="13"/>
      <c r="S55" s="13"/>
      <c r="T55" s="13"/>
      <c r="U55" s="13"/>
      <c r="W55" s="100"/>
      <c r="X55" s="13"/>
      <c r="Y55" s="13"/>
      <c r="Z55" s="13"/>
      <c r="AA55" s="13"/>
      <c r="AF55" s="13"/>
      <c r="AG55" s="13"/>
      <c r="AH55" s="13"/>
      <c r="AI55" s="13"/>
      <c r="AJ55" s="13"/>
      <c r="AK55" s="13"/>
      <c r="AL55" s="13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13"/>
      <c r="BD55" s="13"/>
      <c r="BE55" s="13"/>
      <c r="BF55" s="13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</row>
    <row r="56" spans="1:69">
      <c r="A56" s="17" t="s">
        <v>24</v>
      </c>
      <c r="B56" s="13">
        <f>'2180 Cont, DB'!N776</f>
        <v>247823.08</v>
      </c>
      <c r="C56" s="13">
        <f>B56-D56</f>
        <v>0</v>
      </c>
      <c r="D56" s="13">
        <f>'2180 Cont, DB'!O776</f>
        <v>247823.08</v>
      </c>
      <c r="E56" s="13">
        <f>'2180 Cont, DB'!S776</f>
        <v>0</v>
      </c>
      <c r="F56" s="13">
        <f>'2180 Cont, DB'!T776</f>
        <v>247823.08</v>
      </c>
      <c r="G56" s="13">
        <f>'2180 Cont, DB'!U776</f>
        <v>247823.08</v>
      </c>
      <c r="H56" s="13">
        <f>'2180 Cont, DB'!W776</f>
        <v>0</v>
      </c>
      <c r="J56" s="13"/>
      <c r="K56" s="13"/>
      <c r="L56" s="13"/>
      <c r="M56" s="13"/>
      <c r="N56" s="100"/>
      <c r="O56" s="13"/>
      <c r="P56" s="13"/>
      <c r="Q56" s="13"/>
      <c r="R56" s="13"/>
      <c r="S56" s="13"/>
      <c r="T56" s="13"/>
      <c r="U56" s="13"/>
      <c r="V56" s="110"/>
      <c r="W56" s="100"/>
      <c r="X56" s="13"/>
      <c r="Y56" s="13"/>
      <c r="Z56" s="13"/>
      <c r="AA56" s="13"/>
      <c r="AB56" s="110"/>
      <c r="AC56" s="110"/>
      <c r="AF56" s="13"/>
      <c r="AG56" s="13"/>
      <c r="AH56" s="13"/>
      <c r="AI56" s="13"/>
      <c r="AJ56" s="13"/>
      <c r="AK56" s="13"/>
      <c r="AL56" s="13"/>
      <c r="AM56" s="110"/>
      <c r="AP56" s="17" t="s">
        <v>24</v>
      </c>
      <c r="AQ56" s="13">
        <f>IFERROR(VLOOKUP($AP56,'FAR Dep Summary'!$A$21:$F$34,2,FALSE),0)</f>
        <v>0</v>
      </c>
      <c r="AR56" s="13">
        <f t="shared" ref="AR56" si="260">AQ56-AS56</f>
        <v>0</v>
      </c>
      <c r="AS56" s="13">
        <f t="shared" ref="AS56" si="261">AQ56</f>
        <v>0</v>
      </c>
      <c r="AT56" s="13">
        <f>IFERROR(VLOOKUP($AP56,'FAR Dep Summary'!$A$21:$F$34,3,FALSE),0)</f>
        <v>0</v>
      </c>
      <c r="AU56" s="13">
        <f>IFERROR(VLOOKUP($AP56,'FAR Dep Summary'!$A$21:$F$34,4,FALSE),0)</f>
        <v>0</v>
      </c>
      <c r="AV56" s="13">
        <f>IFERROR(VLOOKUP($AP56,'FAR Dep Summary'!$A$21:$F$34,5,FALSE),0)</f>
        <v>0</v>
      </c>
      <c r="AW56" s="13">
        <f>IFERROR(VLOOKUP($AP56,'FAR Dep Summary'!$A$21:$F$34,6,FALSE),0)</f>
        <v>0</v>
      </c>
      <c r="AX56" s="9"/>
      <c r="AY56" s="9" t="s">
        <v>24</v>
      </c>
      <c r="AZ56" s="13">
        <f>IFERROR(SUMIF('2022 Bud CapEx'!$AP$72:$AP$83,'2180 Deprec'!$AY56,'2022 Bud CapEx'!$AQ$72:$AQ$83),0)</f>
        <v>0</v>
      </c>
      <c r="BA56" s="13">
        <f t="shared" ref="BA56" si="262">AZ56-BB56</f>
        <v>0</v>
      </c>
      <c r="BB56" s="13">
        <f t="shared" ref="BB56" si="263">AZ56</f>
        <v>0</v>
      </c>
      <c r="BC56" s="13">
        <f>IFERROR(SUMIF('2022 Bud CapEx'!$AP$72:$AP$83,'2180 Deprec'!$AY56,'2022 Bud CapEx'!$AS$72:$AS$83),0)</f>
        <v>0</v>
      </c>
      <c r="BD56" s="13">
        <v>0</v>
      </c>
      <c r="BE56" s="13">
        <f t="shared" ref="BE56" si="264">BC56</f>
        <v>0</v>
      </c>
      <c r="BF56" s="13">
        <f>IFERROR(SUMIF('2022 Bud CapEx'!$AP$72:$AP$83,'2180 Deprec'!$AY56,'2022 Bud CapEx'!$AU$72:$AU$83),0)</f>
        <v>0</v>
      </c>
      <c r="BG56" s="9"/>
      <c r="BH56" s="9" t="s">
        <v>24</v>
      </c>
      <c r="BI56" s="13">
        <f t="shared" ref="BI56" si="265">B56+AQ56+AZ56</f>
        <v>247823.08</v>
      </c>
      <c r="BJ56" s="13">
        <f t="shared" ref="BJ56" si="266">C56+AR56+BA56</f>
        <v>0</v>
      </c>
      <c r="BK56" s="13">
        <f t="shared" ref="BK56" si="267">D56+AS56+BB56</f>
        <v>247823.08</v>
      </c>
      <c r="BL56" s="13">
        <f t="shared" ref="BL56" si="268">E56+AT56+BC56</f>
        <v>0</v>
      </c>
      <c r="BM56" s="13">
        <f t="shared" ref="BM56" si="269">F56+AU56+BD56</f>
        <v>247823.08</v>
      </c>
      <c r="BN56" s="13">
        <f t="shared" ref="BN56" si="270">G56+AV56+BE56</f>
        <v>247823.08</v>
      </c>
      <c r="BO56" s="13">
        <f t="shared" ref="BO56" si="271">H56+AW56+BF56</f>
        <v>0</v>
      </c>
      <c r="BP56" s="9"/>
      <c r="BQ56" s="9"/>
    </row>
    <row r="57" spans="1:69">
      <c r="B57" s="13"/>
      <c r="C57" s="13"/>
      <c r="D57" s="13"/>
      <c r="E57" s="13"/>
      <c r="F57" s="13"/>
      <c r="G57" s="13"/>
      <c r="H57" s="13"/>
      <c r="J57" s="13"/>
      <c r="K57" s="13"/>
      <c r="L57" s="13"/>
      <c r="M57" s="13"/>
      <c r="N57" s="100"/>
      <c r="O57" s="13"/>
      <c r="P57" s="13"/>
      <c r="Q57" s="13"/>
      <c r="R57" s="13"/>
      <c r="S57" s="13"/>
      <c r="T57" s="13"/>
      <c r="U57" s="13"/>
      <c r="W57" s="100"/>
      <c r="X57" s="13"/>
      <c r="Y57" s="13"/>
      <c r="Z57" s="13"/>
      <c r="AA57" s="13"/>
      <c r="AF57" s="13"/>
      <c r="AG57" s="13"/>
      <c r="AH57" s="13"/>
      <c r="AI57" s="13"/>
      <c r="AJ57" s="13"/>
      <c r="AK57" s="13"/>
      <c r="AL57" s="13"/>
      <c r="AQ57" s="13"/>
      <c r="AR57" s="13"/>
      <c r="AS57" s="13"/>
      <c r="AT57" s="13"/>
      <c r="AU57" s="13"/>
      <c r="AV57" s="13"/>
      <c r="AW57" s="13"/>
      <c r="AX57" s="9"/>
      <c r="AY57" s="9"/>
      <c r="AZ57" s="13"/>
      <c r="BA57" s="13"/>
      <c r="BB57" s="13"/>
      <c r="BC57" s="13"/>
      <c r="BD57" s="13"/>
      <c r="BE57" s="13"/>
      <c r="BF57" s="13"/>
      <c r="BG57" s="9"/>
      <c r="BH57" s="9"/>
      <c r="BI57" s="13"/>
      <c r="BJ57" s="13"/>
      <c r="BK57" s="13"/>
      <c r="BL57" s="13"/>
      <c r="BM57" s="13"/>
      <c r="BN57" s="13"/>
      <c r="BO57" s="13"/>
      <c r="BP57" s="9"/>
      <c r="BQ57" s="9"/>
    </row>
    <row r="58" spans="1:69">
      <c r="A58" s="5" t="s">
        <v>25</v>
      </c>
      <c r="B58" s="150">
        <f>SUM(B38:B57)</f>
        <v>18066433.808666665</v>
      </c>
      <c r="C58" s="150">
        <f t="shared" ref="C58:H58" si="272">SUM(C38:C57)</f>
        <v>0</v>
      </c>
      <c r="D58" s="150">
        <f t="shared" si="272"/>
        <v>18066433.808666665</v>
      </c>
      <c r="E58" s="150">
        <f t="shared" si="272"/>
        <v>863125.74103553814</v>
      </c>
      <c r="F58" s="150">
        <f t="shared" si="272"/>
        <v>13807849.123062709</v>
      </c>
      <c r="G58" s="150">
        <f t="shared" si="272"/>
        <v>14670974.864098251</v>
      </c>
      <c r="H58" s="150">
        <f t="shared" si="272"/>
        <v>3395458.944568417</v>
      </c>
      <c r="J58" s="150"/>
      <c r="K58" s="150"/>
      <c r="L58" s="150"/>
      <c r="M58" s="13"/>
      <c r="N58" s="101"/>
      <c r="O58" s="150"/>
      <c r="P58" s="150"/>
      <c r="Q58" s="150"/>
      <c r="R58" s="13"/>
      <c r="S58" s="150"/>
      <c r="T58" s="150"/>
      <c r="U58" s="150"/>
      <c r="W58" s="101"/>
      <c r="X58" s="150"/>
      <c r="Y58" s="150"/>
      <c r="Z58" s="150"/>
      <c r="AA58" s="13"/>
      <c r="AF58" s="150"/>
      <c r="AG58" s="150"/>
      <c r="AH58" s="150"/>
      <c r="AI58" s="13"/>
      <c r="AJ58" s="150"/>
      <c r="AK58" s="150"/>
      <c r="AL58" s="150"/>
      <c r="AM58" s="110"/>
      <c r="AP58" s="5" t="s">
        <v>25</v>
      </c>
      <c r="AQ58" s="150">
        <f>SUM(AQ38:AQ57)</f>
        <v>687535.90999999992</v>
      </c>
      <c r="AR58" s="150">
        <f t="shared" ref="AR58:AW58" si="273">SUM(AR38:AR57)</f>
        <v>0</v>
      </c>
      <c r="AS58" s="150">
        <f t="shared" si="273"/>
        <v>687535.90999999992</v>
      </c>
      <c r="AT58" s="150">
        <f t="shared" si="273"/>
        <v>53984.062976190478</v>
      </c>
      <c r="AU58" s="150">
        <f t="shared" si="273"/>
        <v>176955.64</v>
      </c>
      <c r="AV58" s="150">
        <f t="shared" si="273"/>
        <v>230939.70297619049</v>
      </c>
      <c r="AW58" s="150">
        <f t="shared" si="273"/>
        <v>456596.20702380955</v>
      </c>
      <c r="AX58" s="9"/>
      <c r="AY58" s="417" t="s">
        <v>25</v>
      </c>
      <c r="AZ58" s="150">
        <f>SUM(AZ37:AZ57)</f>
        <v>694467</v>
      </c>
      <c r="BA58" s="150">
        <f t="shared" ref="BA58:BF58" si="274">SUM(BA38:BA57)</f>
        <v>0</v>
      </c>
      <c r="BB58" s="150">
        <f t="shared" si="274"/>
        <v>694467</v>
      </c>
      <c r="BC58" s="150">
        <f t="shared" si="274"/>
        <v>99209.571428571435</v>
      </c>
      <c r="BD58" s="150">
        <f t="shared" si="274"/>
        <v>0</v>
      </c>
      <c r="BE58" s="150">
        <f t="shared" si="274"/>
        <v>99209.571428571435</v>
      </c>
      <c r="BF58" s="150">
        <f t="shared" si="274"/>
        <v>595257.42857142852</v>
      </c>
      <c r="BG58" s="9"/>
      <c r="BH58" s="417" t="s">
        <v>25</v>
      </c>
      <c r="BI58" s="150">
        <f>SUM(BI38:BI57)</f>
        <v>19448436.718666665</v>
      </c>
      <c r="BJ58" s="150">
        <f t="shared" ref="BJ58:BO58" si="275">SUM(BJ38:BJ57)</f>
        <v>0</v>
      </c>
      <c r="BK58" s="150">
        <f t="shared" si="275"/>
        <v>19448436.718666665</v>
      </c>
      <c r="BL58" s="150">
        <f t="shared" si="275"/>
        <v>1016319.3754403001</v>
      </c>
      <c r="BM58" s="150">
        <f t="shared" si="275"/>
        <v>13984804.76306271</v>
      </c>
      <c r="BN58" s="150">
        <f t="shared" si="275"/>
        <v>15001124.138503011</v>
      </c>
      <c r="BO58" s="150">
        <f t="shared" si="275"/>
        <v>4447312.5801636549</v>
      </c>
      <c r="BP58" s="9"/>
      <c r="BQ58" s="9"/>
    </row>
    <row r="59" spans="1:69">
      <c r="B59" s="13">
        <f>B58-'2180 Cont, DB'!N779</f>
        <v>0</v>
      </c>
      <c r="C59" s="13"/>
      <c r="D59" s="13">
        <f>D58-'2180 Cont, DB'!O779</f>
        <v>0</v>
      </c>
      <c r="E59" s="13">
        <f>E58-'2180 Cont, DB'!S779</f>
        <v>0</v>
      </c>
      <c r="F59" s="13">
        <f>F58-'2180 Cont, DB'!T779</f>
        <v>0</v>
      </c>
      <c r="G59" s="13">
        <f>G58-'2180 Cont, DB'!U779</f>
        <v>0</v>
      </c>
      <c r="H59" s="13">
        <f>H58-'2180 Cont, DB'!W779</f>
        <v>0</v>
      </c>
      <c r="J59" s="13"/>
      <c r="K59" s="13"/>
      <c r="L59" s="13"/>
      <c r="M59" s="13"/>
      <c r="N59" s="100"/>
      <c r="O59" s="13"/>
      <c r="P59" s="13"/>
      <c r="Q59" s="13"/>
      <c r="R59" s="13"/>
      <c r="S59" s="13"/>
      <c r="T59" s="13"/>
      <c r="U59" s="13"/>
      <c r="W59" s="100"/>
      <c r="X59" s="13"/>
      <c r="Y59" s="13"/>
      <c r="Z59" s="13"/>
      <c r="AA59" s="13"/>
      <c r="AF59" s="13"/>
      <c r="AG59" s="13"/>
      <c r="AH59" s="13"/>
      <c r="AI59" s="13"/>
      <c r="AJ59" s="13"/>
      <c r="AK59" s="13"/>
      <c r="AL59" s="13"/>
      <c r="AQ59" s="13"/>
      <c r="AR59" s="13"/>
      <c r="AS59" s="13"/>
      <c r="AT59" s="13"/>
      <c r="AU59" s="13"/>
      <c r="AV59" s="13"/>
      <c r="AW59" s="13"/>
      <c r="AX59" s="9"/>
      <c r="AY59" s="9"/>
      <c r="AZ59" s="13"/>
      <c r="BA59" s="13"/>
      <c r="BB59" s="13"/>
      <c r="BC59" s="13"/>
      <c r="BD59" s="13"/>
      <c r="BE59" s="13"/>
      <c r="BF59" s="13"/>
      <c r="BG59" s="9"/>
      <c r="BH59" s="9"/>
      <c r="BI59" s="13"/>
      <c r="BJ59" s="13"/>
      <c r="BK59" s="13"/>
      <c r="BL59" s="13"/>
      <c r="BM59" s="13"/>
      <c r="BN59" s="13"/>
      <c r="BO59" s="13"/>
      <c r="BP59" s="9"/>
      <c r="BQ59" s="9"/>
    </row>
    <row r="60" spans="1:69" ht="33.75">
      <c r="B60" s="13"/>
      <c r="C60" s="13"/>
      <c r="D60" s="13"/>
      <c r="E60" s="13"/>
      <c r="F60" s="13"/>
      <c r="G60" s="13"/>
      <c r="H60" s="13"/>
      <c r="I60" s="255" t="s">
        <v>3206</v>
      </c>
      <c r="J60" s="13"/>
      <c r="K60" s="13"/>
      <c r="L60" s="13"/>
      <c r="M60" s="13"/>
      <c r="N60" s="100"/>
      <c r="O60" s="13"/>
      <c r="P60" s="13"/>
      <c r="Q60" s="13"/>
      <c r="R60" s="13"/>
      <c r="S60" s="13"/>
      <c r="T60" s="13"/>
      <c r="U60" s="13"/>
      <c r="W60" s="100"/>
      <c r="X60" s="13"/>
      <c r="Y60" s="13"/>
      <c r="Z60" s="13"/>
      <c r="AA60" s="13"/>
      <c r="AF60" s="13"/>
      <c r="AG60" s="13"/>
      <c r="AH60" s="13"/>
      <c r="AI60" s="13"/>
      <c r="AJ60" s="13"/>
      <c r="AK60" s="13"/>
      <c r="AL60" s="13"/>
      <c r="AQ60" s="13"/>
      <c r="AR60" s="13"/>
      <c r="AS60" s="13"/>
      <c r="AT60" s="13"/>
      <c r="AU60" s="13"/>
      <c r="AV60" s="13"/>
      <c r="AW60" s="13"/>
      <c r="AX60" s="418" t="s">
        <v>3206</v>
      </c>
      <c r="AY60" s="9"/>
      <c r="AZ60" s="13"/>
      <c r="BA60" s="13"/>
      <c r="BB60" s="13"/>
      <c r="BC60" s="13"/>
      <c r="BD60" s="13"/>
      <c r="BE60" s="13"/>
      <c r="BF60" s="13"/>
      <c r="BG60" s="418" t="s">
        <v>3208</v>
      </c>
      <c r="BH60" s="9"/>
      <c r="BI60" s="13"/>
      <c r="BJ60" s="13"/>
      <c r="BK60" s="13"/>
      <c r="BL60" s="13"/>
      <c r="BM60" s="13"/>
      <c r="BN60" s="13"/>
      <c r="BO60" s="13"/>
      <c r="BP60" s="9"/>
      <c r="BQ60" s="9"/>
    </row>
    <row r="61" spans="1:69">
      <c r="A61" s="2" t="s">
        <v>5</v>
      </c>
      <c r="B61" s="13"/>
      <c r="C61" s="13"/>
      <c r="D61" s="13"/>
      <c r="E61" s="13"/>
      <c r="F61" s="13"/>
      <c r="G61" s="13"/>
      <c r="H61" s="13"/>
      <c r="J61" s="13"/>
      <c r="K61" s="13"/>
      <c r="L61" s="13"/>
      <c r="M61" s="13"/>
      <c r="N61" s="100"/>
      <c r="O61" s="13"/>
      <c r="P61" s="13"/>
      <c r="Q61" s="13"/>
      <c r="R61" s="13"/>
      <c r="S61" s="13"/>
      <c r="T61" s="13"/>
      <c r="U61" s="13"/>
      <c r="W61" s="100"/>
      <c r="X61" s="13"/>
      <c r="Y61" s="13"/>
      <c r="Z61" s="13"/>
      <c r="AA61" s="13"/>
      <c r="AF61" s="13"/>
      <c r="AG61" s="13"/>
      <c r="AH61" s="13"/>
      <c r="AI61" s="13"/>
      <c r="AJ61" s="13"/>
      <c r="AK61" s="13"/>
      <c r="AL61" s="13"/>
      <c r="AP61" s="2" t="s">
        <v>5</v>
      </c>
      <c r="AQ61" s="13"/>
      <c r="AR61" s="13"/>
      <c r="AS61" s="13"/>
      <c r="AT61" s="13"/>
      <c r="AU61" s="13"/>
      <c r="AV61" s="13"/>
      <c r="AW61" s="13"/>
      <c r="AX61" s="9"/>
      <c r="AY61" s="142" t="s">
        <v>5</v>
      </c>
      <c r="AZ61" s="13"/>
      <c r="BA61" s="13"/>
      <c r="BB61" s="13"/>
      <c r="BC61" s="13"/>
      <c r="BD61" s="13"/>
      <c r="BE61" s="13"/>
      <c r="BF61" s="13"/>
      <c r="BG61" s="9"/>
      <c r="BH61" s="142" t="s">
        <v>5</v>
      </c>
      <c r="BI61" s="13"/>
      <c r="BJ61" s="13"/>
      <c r="BK61" s="13"/>
      <c r="BL61" s="13"/>
      <c r="BM61" s="13"/>
      <c r="BN61" s="13"/>
      <c r="BO61" s="13"/>
      <c r="BP61" s="9"/>
      <c r="BQ61" s="9"/>
    </row>
    <row r="62" spans="1:69">
      <c r="B62" s="13"/>
      <c r="C62" s="13"/>
      <c r="D62" s="13"/>
      <c r="E62" s="13"/>
      <c r="F62" s="13"/>
      <c r="G62" s="13"/>
      <c r="H62" s="13"/>
      <c r="J62" s="13"/>
      <c r="K62" s="13"/>
      <c r="L62" s="13"/>
      <c r="M62" s="13"/>
      <c r="N62" s="100"/>
      <c r="O62" s="13"/>
      <c r="P62" s="13"/>
      <c r="Q62" s="13"/>
      <c r="R62" s="13"/>
      <c r="S62" s="13"/>
      <c r="T62" s="13"/>
      <c r="U62" s="13"/>
      <c r="W62" s="100"/>
      <c r="X62" s="13"/>
      <c r="Y62" s="13"/>
      <c r="Z62" s="13"/>
      <c r="AA62" s="13"/>
      <c r="AF62" s="13"/>
      <c r="AG62" s="13"/>
      <c r="AH62" s="13"/>
      <c r="AI62" s="13"/>
      <c r="AJ62" s="13"/>
      <c r="AK62" s="13"/>
      <c r="AL62" s="13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13"/>
      <c r="BD62" s="13"/>
      <c r="BE62" s="13"/>
      <c r="BF62" s="13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</row>
    <row r="63" spans="1:69">
      <c r="A63" s="17" t="s">
        <v>26</v>
      </c>
      <c r="B63" s="13">
        <f>'2180 Other'!N41</f>
        <v>449313.53</v>
      </c>
      <c r="C63" s="13">
        <f>B63-D63</f>
        <v>10512.166335000016</v>
      </c>
      <c r="D63" s="13">
        <f>'2180 Other'!O41</f>
        <v>438801.36366500001</v>
      </c>
      <c r="E63" s="13">
        <f>'2180 Other'!S41</f>
        <v>0</v>
      </c>
      <c r="F63" s="13">
        <f>'2180 Other'!T41</f>
        <v>449313.53</v>
      </c>
      <c r="G63" s="13">
        <f>'2180 Other'!U41</f>
        <v>449313.53</v>
      </c>
      <c r="H63" s="13">
        <f>'2180 Other'!W41</f>
        <v>0</v>
      </c>
      <c r="J63" s="13"/>
      <c r="K63" s="13"/>
      <c r="L63" s="13"/>
      <c r="M63" s="13"/>
      <c r="N63" s="100"/>
      <c r="O63" s="13"/>
      <c r="P63" s="13"/>
      <c r="Q63" s="13"/>
      <c r="R63" s="13"/>
      <c r="S63" s="13"/>
      <c r="T63" s="13"/>
      <c r="U63" s="13"/>
      <c r="V63" s="110"/>
      <c r="W63" s="100"/>
      <c r="X63" s="13"/>
      <c r="Y63" s="13"/>
      <c r="Z63" s="13"/>
      <c r="AA63" s="13"/>
      <c r="AB63" s="110"/>
      <c r="AC63" s="110"/>
      <c r="AF63" s="13"/>
      <c r="AG63" s="13"/>
      <c r="AH63" s="13"/>
      <c r="AI63" s="13"/>
      <c r="AJ63" s="13"/>
      <c r="AK63" s="13"/>
      <c r="AL63" s="13"/>
      <c r="AM63" s="110"/>
      <c r="AP63" s="17" t="s">
        <v>26</v>
      </c>
      <c r="AQ63" s="13">
        <f>IFERROR(VLOOKUP($AP63,'FAR Dep Summary'!$A$21:$F$34,2,FALSE),0)</f>
        <v>21985.68</v>
      </c>
      <c r="AR63" s="13">
        <f t="shared" ref="AR63" si="276">AQ63-AS63</f>
        <v>0</v>
      </c>
      <c r="AS63" s="13">
        <f t="shared" ref="AS63" si="277">AQ63</f>
        <v>21985.68</v>
      </c>
      <c r="AT63" s="13">
        <f>IFERROR(VLOOKUP($AP63,'FAR Dep Summary'!$A$21:$F$34,3,FALSE),0)</f>
        <v>4397.1360000000004</v>
      </c>
      <c r="AU63" s="13">
        <f>IFERROR(VLOOKUP($AP63,'FAR Dep Summary'!$A$21:$F$34,4,FALSE),0)</f>
        <v>0</v>
      </c>
      <c r="AV63" s="13">
        <f>IFERROR(VLOOKUP($AP63,'FAR Dep Summary'!$A$21:$F$34,5,FALSE),0)</f>
        <v>4397.1360000000004</v>
      </c>
      <c r="AW63" s="13">
        <f>IFERROR(VLOOKUP($AP63,'FAR Dep Summary'!$A$21:$F$34,6,FALSE),0)</f>
        <v>17588.544000000002</v>
      </c>
      <c r="AX63" s="9"/>
      <c r="AY63" s="9" t="s">
        <v>26</v>
      </c>
      <c r="AZ63" s="13">
        <f>IFERROR(SUMIF('2022 Bud CapEx'!$AP$72:$AP$83,'2180 Deprec'!$AY63,'2022 Bud CapEx'!$AQ$72:$AQ$83),0)</f>
        <v>279650.64</v>
      </c>
      <c r="BA63" s="13">
        <f t="shared" ref="BA63" si="278">AZ63-BB63</f>
        <v>0</v>
      </c>
      <c r="BB63" s="13">
        <f t="shared" ref="BB63" si="279">AZ63</f>
        <v>279650.64</v>
      </c>
      <c r="BC63" s="13">
        <f>IFERROR(SUMIF('2022 Bud CapEx'!$AP$72:$AP$83,'2180 Deprec'!$AY63,'2022 Bud CapEx'!$AS$72:$AS$83),0)</f>
        <v>48945.128000000004</v>
      </c>
      <c r="BD63" s="13">
        <v>0</v>
      </c>
      <c r="BE63" s="13">
        <f t="shared" ref="BE63" si="280">BC63</f>
        <v>48945.128000000004</v>
      </c>
      <c r="BF63" s="13">
        <f>IFERROR(SUMIF('2022 Bud CapEx'!$AP$72:$AP$83,'2180 Deprec'!$AY63,'2022 Bud CapEx'!$AU$72:$AU$83),0)</f>
        <v>230705.51200000002</v>
      </c>
      <c r="BG63" s="9"/>
      <c r="BH63" s="9" t="s">
        <v>26</v>
      </c>
      <c r="BI63" s="13">
        <f t="shared" ref="BI63" si="281">B63+AQ63+AZ63</f>
        <v>750949.85000000009</v>
      </c>
      <c r="BJ63" s="13">
        <f t="shared" ref="BJ63" si="282">C63+AR63+BA63</f>
        <v>10512.166335000016</v>
      </c>
      <c r="BK63" s="13">
        <f t="shared" ref="BK63" si="283">D63+AS63+BB63</f>
        <v>740437.68366500002</v>
      </c>
      <c r="BL63" s="13">
        <f t="shared" ref="BL63" si="284">E63+AT63+BC63</f>
        <v>53342.264000000003</v>
      </c>
      <c r="BM63" s="13">
        <f t="shared" ref="BM63" si="285">F63+AU63+BD63</f>
        <v>449313.53</v>
      </c>
      <c r="BN63" s="13">
        <f t="shared" ref="BN63" si="286">G63+AV63+BE63</f>
        <v>502655.79400000005</v>
      </c>
      <c r="BO63" s="13">
        <f t="shared" ref="BO63" si="287">H63+AW63+BF63</f>
        <v>248294.05600000001</v>
      </c>
      <c r="BP63" s="9"/>
      <c r="BQ63" s="9"/>
    </row>
    <row r="64" spans="1:69">
      <c r="B64" s="13"/>
      <c r="C64" s="13"/>
      <c r="D64" s="13"/>
      <c r="E64" s="13"/>
      <c r="F64" s="13"/>
      <c r="G64" s="13"/>
      <c r="H64" s="13"/>
      <c r="J64" s="13"/>
      <c r="K64" s="13"/>
      <c r="L64" s="13"/>
      <c r="M64" s="13"/>
      <c r="N64" s="100"/>
      <c r="O64" s="13"/>
      <c r="P64" s="13"/>
      <c r="Q64" s="13"/>
      <c r="R64" s="13"/>
      <c r="S64" s="13"/>
      <c r="T64" s="13"/>
      <c r="U64" s="13"/>
      <c r="W64" s="100"/>
      <c r="X64" s="13"/>
      <c r="Y64" s="13"/>
      <c r="Z64" s="13"/>
      <c r="AA64" s="13"/>
      <c r="AF64" s="13"/>
      <c r="AG64" s="13"/>
      <c r="AH64" s="13"/>
      <c r="AI64" s="13"/>
      <c r="AJ64" s="13"/>
      <c r="AK64" s="13"/>
      <c r="AL64" s="13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13"/>
      <c r="BD64" s="13"/>
      <c r="BE64" s="13"/>
      <c r="BF64" s="13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</row>
    <row r="65" spans="1:69">
      <c r="A65" s="17" t="s">
        <v>27</v>
      </c>
      <c r="B65" s="13">
        <f>'2180 Other'!N65</f>
        <v>491708.41</v>
      </c>
      <c r="C65" s="13">
        <f>B65-D65</f>
        <v>0</v>
      </c>
      <c r="D65" s="13">
        <f>'2180 Other'!O65</f>
        <v>491708.41</v>
      </c>
      <c r="E65" s="13">
        <f>'2180 Other'!S65</f>
        <v>43872.321142857138</v>
      </c>
      <c r="F65" s="13">
        <f>'2180 Other'!T65</f>
        <v>317040.36085714283</v>
      </c>
      <c r="G65" s="13">
        <f>'2180 Other'!U65</f>
        <v>360912.68200000009</v>
      </c>
      <c r="H65" s="13">
        <f>'2180 Other'!W65</f>
        <v>130795.728</v>
      </c>
      <c r="J65" s="13"/>
      <c r="K65" s="13"/>
      <c r="L65" s="13"/>
      <c r="M65" s="13"/>
      <c r="N65" s="100"/>
      <c r="O65" s="13"/>
      <c r="P65" s="13"/>
      <c r="Q65" s="13"/>
      <c r="R65" s="13"/>
      <c r="S65" s="13"/>
      <c r="T65" s="13"/>
      <c r="U65" s="13"/>
      <c r="V65" s="110"/>
      <c r="W65" s="100"/>
      <c r="X65" s="13"/>
      <c r="Y65" s="13"/>
      <c r="Z65" s="13"/>
      <c r="AA65" s="13"/>
      <c r="AB65" s="110"/>
      <c r="AC65" s="110"/>
      <c r="AF65" s="13"/>
      <c r="AG65" s="13"/>
      <c r="AH65" s="13"/>
      <c r="AI65" s="13"/>
      <c r="AJ65" s="13"/>
      <c r="AK65" s="13"/>
      <c r="AL65" s="13"/>
      <c r="AM65" s="110"/>
      <c r="AP65" s="17" t="s">
        <v>27</v>
      </c>
      <c r="AQ65" s="13">
        <f>IFERROR(VLOOKUP($AP65,'FAR Dep Summary'!$A$21:$F$34,2,FALSE),0)</f>
        <v>54274.180000000008</v>
      </c>
      <c r="AR65" s="13">
        <f t="shared" ref="AR65" si="288">AQ65-AS65</f>
        <v>0</v>
      </c>
      <c r="AS65" s="13">
        <f t="shared" ref="AS65" si="289">AQ65</f>
        <v>54274.180000000008</v>
      </c>
      <c r="AT65" s="13">
        <f>IFERROR(VLOOKUP($AP65,'FAR Dep Summary'!$A$21:$F$34,3,FALSE),0)</f>
        <v>10854.835999999999</v>
      </c>
      <c r="AU65" s="13">
        <f>IFERROR(VLOOKUP($AP65,'FAR Dep Summary'!$A$21:$F$34,4,FALSE),0)</f>
        <v>0</v>
      </c>
      <c r="AV65" s="13">
        <f>IFERROR(VLOOKUP($AP65,'FAR Dep Summary'!$A$21:$F$34,5,FALSE),0)</f>
        <v>10854.835999999999</v>
      </c>
      <c r="AW65" s="13">
        <f>IFERROR(VLOOKUP($AP65,'FAR Dep Summary'!$A$21:$F$34,6,FALSE),0)</f>
        <v>43419.343999999997</v>
      </c>
      <c r="AX65" s="9"/>
      <c r="AY65" s="9" t="s">
        <v>27</v>
      </c>
      <c r="AZ65" s="13">
        <f>IFERROR(SUMIF('2022 Bud CapEx'!$AP$72:$AP$83,'2180 Deprec'!$AY65,'2022 Bud CapEx'!$AQ$72:$AQ$83),0)</f>
        <v>0</v>
      </c>
      <c r="BA65" s="13">
        <f t="shared" ref="BA65" si="290">AZ65-BB65</f>
        <v>0</v>
      </c>
      <c r="BB65" s="13">
        <f t="shared" ref="BB65" si="291">AZ65</f>
        <v>0</v>
      </c>
      <c r="BC65" s="13">
        <f>IFERROR(SUMIF('2022 Bud CapEx'!$AP$72:$AP$83,'2180 Deprec'!$AY65,'2022 Bud CapEx'!$AS$72:$AS$83),0)</f>
        <v>0</v>
      </c>
      <c r="BD65" s="13">
        <v>0</v>
      </c>
      <c r="BE65" s="13">
        <f t="shared" ref="BE65" si="292">BC65</f>
        <v>0</v>
      </c>
      <c r="BF65" s="13">
        <f>IFERROR(SUMIF('2022 Bud CapEx'!$AP$72:$AP$83,'2180 Deprec'!$AY65,'2022 Bud CapEx'!$AU$72:$AU$83),0)</f>
        <v>0</v>
      </c>
      <c r="BG65" s="9"/>
      <c r="BH65" s="9" t="s">
        <v>27</v>
      </c>
      <c r="BI65" s="13">
        <f t="shared" ref="BI65" si="293">B65+AQ65+AZ65</f>
        <v>545982.59</v>
      </c>
      <c r="BJ65" s="13">
        <f t="shared" ref="BJ65" si="294">C65+AR65+BA65</f>
        <v>0</v>
      </c>
      <c r="BK65" s="13">
        <f t="shared" ref="BK65" si="295">D65+AS65+BB65</f>
        <v>545982.59</v>
      </c>
      <c r="BL65" s="13">
        <f t="shared" ref="BL65" si="296">E65+AT65+BC65</f>
        <v>54727.157142857133</v>
      </c>
      <c r="BM65" s="13">
        <f t="shared" ref="BM65" si="297">F65+AU65+BD65</f>
        <v>317040.36085714283</v>
      </c>
      <c r="BN65" s="13">
        <f t="shared" ref="BN65" si="298">G65+AV65+BE65</f>
        <v>371767.5180000001</v>
      </c>
      <c r="BO65" s="13">
        <f t="shared" ref="BO65" si="299">H65+AW65+BF65</f>
        <v>174215.07199999999</v>
      </c>
      <c r="BP65" s="9"/>
      <c r="BQ65" s="9"/>
    </row>
    <row r="66" spans="1:69">
      <c r="B66" s="13"/>
      <c r="C66" s="13"/>
      <c r="D66" s="13"/>
      <c r="E66" s="13"/>
      <c r="F66" s="13"/>
      <c r="G66" s="13"/>
      <c r="H66" s="13"/>
      <c r="J66" s="13"/>
      <c r="K66" s="13"/>
      <c r="L66" s="13"/>
      <c r="M66" s="13"/>
      <c r="N66" s="100"/>
      <c r="O66" s="13"/>
      <c r="P66" s="13"/>
      <c r="Q66" s="13"/>
      <c r="R66" s="13"/>
      <c r="S66" s="13"/>
      <c r="T66" s="13"/>
      <c r="U66" s="13"/>
      <c r="W66" s="100"/>
      <c r="X66" s="13"/>
      <c r="Y66" s="13"/>
      <c r="Z66" s="13"/>
      <c r="AA66" s="13"/>
      <c r="AF66" s="13"/>
      <c r="AG66" s="13"/>
      <c r="AH66" s="13"/>
      <c r="AI66" s="13"/>
      <c r="AJ66" s="13"/>
      <c r="AK66" s="13"/>
      <c r="AL66" s="13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13"/>
      <c r="BD66" s="13"/>
      <c r="BE66" s="13"/>
      <c r="BF66" s="13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</row>
    <row r="67" spans="1:69">
      <c r="A67" s="17" t="s">
        <v>28</v>
      </c>
      <c r="B67" s="13">
        <f>'2180 Other'!N128</f>
        <v>1131890.8300000008</v>
      </c>
      <c r="C67" s="13">
        <f>B67-D67</f>
        <v>0</v>
      </c>
      <c r="D67" s="13">
        <f>'2180 Other'!O128</f>
        <v>1131890.8300000008</v>
      </c>
      <c r="E67" s="13">
        <f>'2180 Other'!S128</f>
        <v>6863.6766666666645</v>
      </c>
      <c r="F67" s="13">
        <f>'2180 Other'!T128</f>
        <v>1112875.6033333337</v>
      </c>
      <c r="G67" s="13">
        <f>'2180 Other'!U128</f>
        <v>1119739.2800000003</v>
      </c>
      <c r="H67" s="13">
        <f>'2180 Other'!W128</f>
        <v>12151.549999999994</v>
      </c>
      <c r="J67" s="13"/>
      <c r="K67" s="13"/>
      <c r="L67" s="13"/>
      <c r="M67" s="13"/>
      <c r="N67" s="100"/>
      <c r="O67" s="13"/>
      <c r="P67" s="13"/>
      <c r="Q67" s="13"/>
      <c r="R67" s="13"/>
      <c r="S67" s="13"/>
      <c r="T67" s="13"/>
      <c r="U67" s="13"/>
      <c r="V67" s="110"/>
      <c r="W67" s="100"/>
      <c r="X67" s="13"/>
      <c r="Y67" s="13"/>
      <c r="Z67" s="13"/>
      <c r="AA67" s="13"/>
      <c r="AB67" s="110"/>
      <c r="AC67" s="110"/>
      <c r="AF67" s="13"/>
      <c r="AG67" s="13"/>
      <c r="AH67" s="13"/>
      <c r="AI67" s="13"/>
      <c r="AJ67" s="13"/>
      <c r="AK67" s="13"/>
      <c r="AL67" s="13"/>
      <c r="AM67" s="110"/>
      <c r="AP67" s="17" t="s">
        <v>28</v>
      </c>
      <c r="AQ67" s="13">
        <f>IFERROR(VLOOKUP($AP67,'FAR Dep Summary'!$A$21:$F$34,2,FALSE),0)</f>
        <v>9749.869999999999</v>
      </c>
      <c r="AR67" s="13">
        <f t="shared" ref="AR67" si="300">AQ67-AS67</f>
        <v>0</v>
      </c>
      <c r="AS67" s="13">
        <f t="shared" ref="AS67" si="301">AQ67</f>
        <v>9749.869999999999</v>
      </c>
      <c r="AT67" s="13">
        <f>IFERROR(VLOOKUP($AP67,'FAR Dep Summary'!$A$21:$F$34,3,FALSE),0)</f>
        <v>3249.9566666666669</v>
      </c>
      <c r="AU67" s="13">
        <f>IFERROR(VLOOKUP($AP67,'FAR Dep Summary'!$A$21:$F$34,4,FALSE),0)</f>
        <v>0</v>
      </c>
      <c r="AV67" s="13">
        <f>IFERROR(VLOOKUP($AP67,'FAR Dep Summary'!$A$21:$F$34,5,FALSE),0)</f>
        <v>3249.9566666666669</v>
      </c>
      <c r="AW67" s="13">
        <f>IFERROR(VLOOKUP($AP67,'FAR Dep Summary'!$A$21:$F$34,6,FALSE),0)</f>
        <v>6499.913333333332</v>
      </c>
      <c r="AX67" s="9"/>
      <c r="AY67" s="9" t="s">
        <v>28</v>
      </c>
      <c r="AZ67" s="13">
        <f>IFERROR(SUMIF('2022 Bud CapEx'!$AP$72:$AP$83,'2180 Deprec'!$AY67,'2022 Bud CapEx'!$AQ$72:$AQ$83),0)</f>
        <v>0</v>
      </c>
      <c r="BA67" s="13">
        <f t="shared" ref="BA67" si="302">AZ67-BB67</f>
        <v>0</v>
      </c>
      <c r="BB67" s="13">
        <f t="shared" ref="BB67" si="303">AZ67</f>
        <v>0</v>
      </c>
      <c r="BC67" s="13">
        <f>IFERROR(SUMIF('2022 Bud CapEx'!$AP$72:$AP$83,'2180 Deprec'!$AY67,'2022 Bud CapEx'!$AS$72:$AS$83),0)</f>
        <v>0</v>
      </c>
      <c r="BD67" s="13">
        <v>0</v>
      </c>
      <c r="BE67" s="13">
        <f t="shared" ref="BE67" si="304">BC67</f>
        <v>0</v>
      </c>
      <c r="BF67" s="13">
        <f>IFERROR(SUMIF('2022 Bud CapEx'!$AP$72:$AP$83,'2180 Deprec'!$AY67,'2022 Bud CapEx'!$AU$72:$AU$83),0)</f>
        <v>0</v>
      </c>
      <c r="BG67" s="9"/>
      <c r="BH67" s="9" t="s">
        <v>28</v>
      </c>
      <c r="BI67" s="13">
        <f t="shared" ref="BI67" si="305">B67+AQ67+AZ67</f>
        <v>1141640.7000000009</v>
      </c>
      <c r="BJ67" s="13">
        <f t="shared" ref="BJ67" si="306">C67+AR67+BA67</f>
        <v>0</v>
      </c>
      <c r="BK67" s="13">
        <f t="shared" ref="BK67" si="307">D67+AS67+BB67</f>
        <v>1141640.7000000009</v>
      </c>
      <c r="BL67" s="13">
        <f t="shared" ref="BL67" si="308">E67+AT67+BC67</f>
        <v>10113.633333333331</v>
      </c>
      <c r="BM67" s="13">
        <f t="shared" ref="BM67" si="309">F67+AU67+BD67</f>
        <v>1112875.6033333337</v>
      </c>
      <c r="BN67" s="13">
        <f t="shared" ref="BN67" si="310">G67+AV67+BE67</f>
        <v>1122989.236666667</v>
      </c>
      <c r="BO67" s="13">
        <f t="shared" ref="BO67" si="311">H67+AW67+BF67</f>
        <v>18651.463333333326</v>
      </c>
      <c r="BP67" s="9"/>
      <c r="BQ67" s="9"/>
    </row>
    <row r="68" spans="1:69">
      <c r="B68" s="13"/>
      <c r="C68" s="13"/>
      <c r="D68" s="13"/>
      <c r="E68" s="13"/>
      <c r="F68" s="13"/>
      <c r="G68" s="13"/>
      <c r="H68" s="13"/>
      <c r="J68" s="13"/>
      <c r="K68" s="13"/>
      <c r="L68" s="13"/>
      <c r="M68" s="13"/>
      <c r="N68" s="100"/>
      <c r="O68" s="13"/>
      <c r="P68" s="13"/>
      <c r="Q68" s="13"/>
      <c r="R68" s="13"/>
      <c r="S68" s="13"/>
      <c r="T68" s="13"/>
      <c r="U68" s="13"/>
      <c r="W68" s="100"/>
      <c r="X68" s="13"/>
      <c r="Y68" s="13"/>
      <c r="Z68" s="13"/>
      <c r="AA68" s="13"/>
      <c r="AF68" s="13"/>
      <c r="AG68" s="13"/>
      <c r="AH68" s="13"/>
      <c r="AI68" s="13"/>
      <c r="AJ68" s="13"/>
      <c r="AK68" s="13"/>
      <c r="AL68" s="13"/>
      <c r="AQ68" s="13"/>
      <c r="AR68" s="13"/>
      <c r="AS68" s="13"/>
      <c r="AT68" s="13"/>
      <c r="AU68" s="13"/>
      <c r="AV68" s="13"/>
      <c r="AW68" s="13"/>
      <c r="AX68" s="9"/>
      <c r="AY68" s="9"/>
      <c r="AZ68" s="13"/>
      <c r="BA68" s="13"/>
      <c r="BB68" s="13"/>
      <c r="BC68" s="13"/>
      <c r="BD68" s="13"/>
      <c r="BE68" s="13"/>
      <c r="BF68" s="13"/>
      <c r="BG68" s="9"/>
      <c r="BH68" s="9"/>
      <c r="BI68" s="13"/>
      <c r="BJ68" s="13"/>
      <c r="BK68" s="13"/>
      <c r="BL68" s="13"/>
      <c r="BM68" s="13"/>
      <c r="BN68" s="13"/>
      <c r="BO68" s="13"/>
      <c r="BP68" s="9"/>
      <c r="BQ68" s="9"/>
    </row>
    <row r="69" spans="1:69">
      <c r="A69" s="5" t="s">
        <v>29</v>
      </c>
      <c r="B69" s="150">
        <f>SUM(B63:B68)</f>
        <v>2072912.7700000007</v>
      </c>
      <c r="C69" s="150">
        <f t="shared" ref="C69:H69" si="312">SUM(C63:C68)</f>
        <v>10512.166335000016</v>
      </c>
      <c r="D69" s="150">
        <f t="shared" si="312"/>
        <v>2062400.6036650008</v>
      </c>
      <c r="E69" s="150">
        <f t="shared" si="312"/>
        <v>50735.997809523804</v>
      </c>
      <c r="F69" s="150">
        <f t="shared" si="312"/>
        <v>1879229.4941904766</v>
      </c>
      <c r="G69" s="150">
        <f t="shared" si="312"/>
        <v>1929965.4920000003</v>
      </c>
      <c r="H69" s="150">
        <f t="shared" si="312"/>
        <v>142947.27799999999</v>
      </c>
      <c r="J69" s="150"/>
      <c r="K69" s="150"/>
      <c r="L69" s="150"/>
      <c r="M69" s="13"/>
      <c r="N69" s="101"/>
      <c r="O69" s="150"/>
      <c r="P69" s="150"/>
      <c r="Q69" s="150"/>
      <c r="R69" s="13"/>
      <c r="S69" s="150"/>
      <c r="T69" s="150"/>
      <c r="U69" s="150"/>
      <c r="W69" s="101"/>
      <c r="X69" s="150"/>
      <c r="Y69" s="150"/>
      <c r="Z69" s="150"/>
      <c r="AA69" s="13"/>
      <c r="AF69" s="150"/>
      <c r="AG69" s="150"/>
      <c r="AH69" s="150"/>
      <c r="AI69" s="13"/>
      <c r="AJ69" s="150"/>
      <c r="AK69" s="150"/>
      <c r="AL69" s="150"/>
      <c r="AM69" s="110"/>
      <c r="AP69" s="5" t="s">
        <v>29</v>
      </c>
      <c r="AQ69" s="150">
        <f>SUM(AQ63:AQ68)</f>
        <v>86009.73000000001</v>
      </c>
      <c r="AR69" s="150">
        <f t="shared" ref="AR69:AW69" si="313">SUM(AR63:AR68)</f>
        <v>0</v>
      </c>
      <c r="AS69" s="150">
        <f t="shared" si="313"/>
        <v>86009.73000000001</v>
      </c>
      <c r="AT69" s="150">
        <f t="shared" si="313"/>
        <v>18501.928666666667</v>
      </c>
      <c r="AU69" s="150">
        <f t="shared" si="313"/>
        <v>0</v>
      </c>
      <c r="AV69" s="150">
        <f t="shared" si="313"/>
        <v>18501.928666666667</v>
      </c>
      <c r="AW69" s="150">
        <f t="shared" si="313"/>
        <v>67507.801333333337</v>
      </c>
      <c r="AX69" s="9"/>
      <c r="AY69" s="417" t="s">
        <v>29</v>
      </c>
      <c r="AZ69" s="150">
        <f>SUM(AZ63:AZ68)</f>
        <v>279650.64</v>
      </c>
      <c r="BA69" s="150">
        <f t="shared" ref="BA69:BF69" si="314">SUM(BA63:BA68)</f>
        <v>0</v>
      </c>
      <c r="BB69" s="150">
        <f t="shared" si="314"/>
        <v>279650.64</v>
      </c>
      <c r="BC69" s="150">
        <f t="shared" si="314"/>
        <v>48945.128000000004</v>
      </c>
      <c r="BD69" s="150">
        <f t="shared" si="314"/>
        <v>0</v>
      </c>
      <c r="BE69" s="150">
        <f t="shared" si="314"/>
        <v>48945.128000000004</v>
      </c>
      <c r="BF69" s="150">
        <f t="shared" si="314"/>
        <v>230705.51200000002</v>
      </c>
      <c r="BG69" s="9"/>
      <c r="BH69" s="417" t="s">
        <v>29</v>
      </c>
      <c r="BI69" s="150">
        <f>SUM(BI63:BI68)</f>
        <v>2438573.1400000006</v>
      </c>
      <c r="BJ69" s="150">
        <f t="shared" ref="BJ69:BO69" si="315">SUM(BJ63:BJ68)</f>
        <v>10512.166335000016</v>
      </c>
      <c r="BK69" s="150">
        <f t="shared" si="315"/>
        <v>2428060.9736650009</v>
      </c>
      <c r="BL69" s="150">
        <f t="shared" si="315"/>
        <v>118183.05447619047</v>
      </c>
      <c r="BM69" s="150">
        <f t="shared" si="315"/>
        <v>1879229.4941904766</v>
      </c>
      <c r="BN69" s="150">
        <f t="shared" si="315"/>
        <v>1997412.5486666672</v>
      </c>
      <c r="BO69" s="150">
        <f t="shared" si="315"/>
        <v>441160.59133333334</v>
      </c>
      <c r="BP69" s="9"/>
      <c r="BQ69" s="9"/>
    </row>
    <row r="70" spans="1:69">
      <c r="B70" s="13"/>
      <c r="C70" s="13"/>
      <c r="D70" s="13"/>
      <c r="E70" s="13"/>
      <c r="F70" s="13"/>
      <c r="G70" s="13"/>
      <c r="H70" s="13"/>
      <c r="J70" s="13"/>
      <c r="K70" s="13"/>
      <c r="L70" s="13"/>
      <c r="M70" s="13"/>
      <c r="N70" s="100"/>
      <c r="O70" s="13"/>
      <c r="P70" s="13"/>
      <c r="Q70" s="13"/>
      <c r="R70" s="13"/>
      <c r="S70" s="13"/>
      <c r="T70" s="13"/>
      <c r="U70" s="13"/>
      <c r="W70" s="100"/>
      <c r="X70" s="13"/>
      <c r="Y70" s="13"/>
      <c r="Z70" s="13"/>
      <c r="AA70" s="13"/>
      <c r="AF70" s="13"/>
      <c r="AG70" s="13"/>
      <c r="AH70" s="13"/>
      <c r="AI70" s="13"/>
      <c r="AJ70" s="13"/>
      <c r="AK70" s="13"/>
      <c r="AL70" s="13"/>
      <c r="AQ70" s="13"/>
      <c r="AR70" s="13"/>
      <c r="AS70" s="13"/>
      <c r="AT70" s="13"/>
      <c r="AU70" s="13"/>
      <c r="AV70" s="13"/>
      <c r="AW70" s="13"/>
      <c r="AX70" s="9"/>
      <c r="AY70" s="9"/>
      <c r="AZ70" s="13"/>
      <c r="BA70" s="13"/>
      <c r="BB70" s="13"/>
      <c r="BC70" s="13"/>
      <c r="BD70" s="13"/>
      <c r="BE70" s="13"/>
      <c r="BF70" s="13"/>
      <c r="BG70" s="9"/>
      <c r="BH70" s="9"/>
      <c r="BI70" s="13"/>
      <c r="BJ70" s="13"/>
      <c r="BK70" s="13"/>
      <c r="BL70" s="13"/>
      <c r="BM70" s="13"/>
      <c r="BN70" s="13"/>
      <c r="BO70" s="13"/>
      <c r="BP70" s="9"/>
      <c r="BQ70" s="9"/>
    </row>
    <row r="71" spans="1:69">
      <c r="A71" s="2" t="s">
        <v>30</v>
      </c>
      <c r="B71" s="13"/>
      <c r="C71" s="13"/>
      <c r="D71" s="13"/>
      <c r="E71" s="13"/>
      <c r="F71" s="13"/>
      <c r="G71" s="13"/>
      <c r="H71" s="13"/>
      <c r="J71" s="13"/>
      <c r="K71" s="13"/>
      <c r="L71" s="13"/>
      <c r="M71" s="13"/>
      <c r="N71" s="100"/>
      <c r="O71" s="13"/>
      <c r="P71" s="13"/>
      <c r="Q71" s="13"/>
      <c r="R71" s="13"/>
      <c r="S71" s="13"/>
      <c r="T71" s="13"/>
      <c r="U71" s="13"/>
      <c r="W71" s="100"/>
      <c r="X71" s="13"/>
      <c r="Y71" s="13"/>
      <c r="Z71" s="13"/>
      <c r="AA71" s="13"/>
      <c r="AF71" s="13"/>
      <c r="AG71" s="13"/>
      <c r="AH71" s="13"/>
      <c r="AI71" s="13"/>
      <c r="AJ71" s="13"/>
      <c r="AK71" s="13"/>
      <c r="AL71" s="13"/>
      <c r="AP71" s="2" t="s">
        <v>30</v>
      </c>
      <c r="AQ71" s="13"/>
      <c r="AR71" s="13"/>
      <c r="AS71" s="13"/>
      <c r="AT71" s="13"/>
      <c r="AU71" s="13"/>
      <c r="AV71" s="13"/>
      <c r="AW71" s="13"/>
      <c r="AX71" s="9"/>
      <c r="AY71" s="142" t="s">
        <v>30</v>
      </c>
      <c r="AZ71" s="13"/>
      <c r="BA71" s="13"/>
      <c r="BB71" s="13"/>
      <c r="BC71" s="13"/>
      <c r="BD71" s="13"/>
      <c r="BE71" s="13"/>
      <c r="BF71" s="13"/>
      <c r="BG71" s="9"/>
      <c r="BH71" s="142" t="s">
        <v>30</v>
      </c>
      <c r="BI71" s="13"/>
      <c r="BJ71" s="13"/>
      <c r="BK71" s="13"/>
      <c r="BL71" s="13"/>
      <c r="BM71" s="13"/>
      <c r="BN71" s="13"/>
      <c r="BO71" s="13"/>
      <c r="BP71" s="9"/>
      <c r="BQ71" s="9"/>
    </row>
    <row r="72" spans="1:69">
      <c r="B72" s="13"/>
      <c r="C72" s="13"/>
      <c r="D72" s="13"/>
      <c r="E72" s="13"/>
      <c r="F72" s="13"/>
      <c r="G72" s="13"/>
      <c r="H72" s="13"/>
      <c r="J72" s="13"/>
      <c r="K72" s="13"/>
      <c r="L72" s="13"/>
      <c r="M72" s="13"/>
      <c r="N72" s="100"/>
      <c r="O72" s="13"/>
      <c r="P72" s="13"/>
      <c r="Q72" s="13"/>
      <c r="R72" s="13"/>
      <c r="S72" s="13"/>
      <c r="T72" s="13"/>
      <c r="U72" s="13"/>
      <c r="W72" s="100"/>
      <c r="X72" s="13"/>
      <c r="Y72" s="13"/>
      <c r="Z72" s="13"/>
      <c r="AA72" s="13"/>
      <c r="AF72" s="13"/>
      <c r="AG72" s="13"/>
      <c r="AH72" s="13"/>
      <c r="AI72" s="13"/>
      <c r="AJ72" s="13"/>
      <c r="AK72" s="13"/>
      <c r="AL72" s="13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13"/>
      <c r="BD72" s="13"/>
      <c r="BE72" s="13"/>
      <c r="BF72" s="13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</row>
    <row r="73" spans="1:69">
      <c r="A73" s="17" t="s">
        <v>31</v>
      </c>
      <c r="B73" s="13">
        <f>'2180 Other'!N142</f>
        <v>547397.72000000009</v>
      </c>
      <c r="C73" s="13">
        <f>B73-D73</f>
        <v>0</v>
      </c>
      <c r="D73" s="13">
        <f>'2180 Other'!O142</f>
        <v>547397.72000000009</v>
      </c>
      <c r="E73" s="13">
        <f>'2180 Other'!S142</f>
        <v>28608.83415751921</v>
      </c>
      <c r="F73" s="13">
        <f>'2180 Other'!T142</f>
        <v>368406.45631503849</v>
      </c>
      <c r="G73" s="13">
        <f>'2180 Other'!U142</f>
        <v>397015.29047255765</v>
      </c>
      <c r="H73" s="13">
        <f>'2180 Other'!W142</f>
        <v>150382.42952744235</v>
      </c>
      <c r="J73" s="13"/>
      <c r="K73" s="13"/>
      <c r="L73" s="13"/>
      <c r="M73" s="13"/>
      <c r="N73" s="100"/>
      <c r="O73" s="13"/>
      <c r="P73" s="13"/>
      <c r="Q73" s="13"/>
      <c r="R73" s="13"/>
      <c r="S73" s="13"/>
      <c r="T73" s="13"/>
      <c r="U73" s="13"/>
      <c r="V73" s="110"/>
      <c r="W73" s="100"/>
      <c r="X73" s="13"/>
      <c r="Y73" s="13"/>
      <c r="Z73" s="13"/>
      <c r="AA73" s="13"/>
      <c r="AB73" s="110"/>
      <c r="AC73" s="110"/>
      <c r="AF73" s="13"/>
      <c r="AG73" s="13"/>
      <c r="AH73" s="13"/>
      <c r="AI73" s="13"/>
      <c r="AJ73" s="13"/>
      <c r="AK73" s="13"/>
      <c r="AL73" s="13"/>
      <c r="AM73" s="110"/>
      <c r="AP73" s="17" t="s">
        <v>31</v>
      </c>
      <c r="AQ73" s="13">
        <f>IFERROR(VLOOKUP($AP73,'FAR Dep Summary'!$A$21:$F$34,2,FALSE),0)</f>
        <v>70527.989999999991</v>
      </c>
      <c r="AR73" s="13">
        <f t="shared" ref="AR73" si="316">AQ73-AS73</f>
        <v>0</v>
      </c>
      <c r="AS73" s="13">
        <f t="shared" ref="AS73" si="317">AQ73</f>
        <v>70527.989999999991</v>
      </c>
      <c r="AT73" s="13">
        <f>IFERROR(VLOOKUP($AP73,'FAR Dep Summary'!$A$21:$F$34,3,FALSE),0)</f>
        <v>8815.9987499999988</v>
      </c>
      <c r="AU73" s="13">
        <f>IFERROR(VLOOKUP($AP73,'FAR Dep Summary'!$A$21:$F$34,4,FALSE),0)</f>
        <v>0</v>
      </c>
      <c r="AV73" s="13">
        <f>IFERROR(VLOOKUP($AP73,'FAR Dep Summary'!$A$21:$F$34,5,FALSE),0)</f>
        <v>8815.9987499999988</v>
      </c>
      <c r="AW73" s="13">
        <f>IFERROR(VLOOKUP($AP73,'FAR Dep Summary'!$A$21:$F$34,6,FALSE),0)</f>
        <v>61711.991249999999</v>
      </c>
      <c r="AX73" s="9"/>
      <c r="AY73" s="9" t="s">
        <v>31</v>
      </c>
      <c r="AZ73" s="13">
        <f>IFERROR(SUMIF('2022 Bud CapEx'!$AP$72:$AP$83,'2180 Deprec'!$AY73,'2022 Bud CapEx'!$AQ$72:$AQ$83),0)</f>
        <v>82000</v>
      </c>
      <c r="BA73" s="13">
        <f t="shared" ref="BA73" si="318">AZ73-BB73</f>
        <v>0</v>
      </c>
      <c r="BB73" s="13">
        <f t="shared" ref="BB73" si="319">AZ73</f>
        <v>82000</v>
      </c>
      <c r="BC73" s="13">
        <f>IFERROR(SUMIF('2022 Bud CapEx'!$AP$72:$AP$83,'2180 Deprec'!$AY73,'2022 Bud CapEx'!$AS$72:$AS$83),0)</f>
        <v>10250</v>
      </c>
      <c r="BD73" s="13">
        <v>0</v>
      </c>
      <c r="BE73" s="13">
        <f t="shared" ref="BE73" si="320">BC73</f>
        <v>10250</v>
      </c>
      <c r="BF73" s="13">
        <f>IFERROR(SUMIF('2022 Bud CapEx'!$AP$72:$AP$83,'2180 Deprec'!$AY73,'2022 Bud CapEx'!$AU$72:$AU$83),0)</f>
        <v>71750</v>
      </c>
      <c r="BG73" s="9"/>
      <c r="BH73" s="9" t="s">
        <v>31</v>
      </c>
      <c r="BI73" s="13">
        <f t="shared" ref="BI73" si="321">B73+AQ73+AZ73</f>
        <v>699925.71000000008</v>
      </c>
      <c r="BJ73" s="13">
        <f t="shared" ref="BJ73" si="322">C73+AR73+BA73</f>
        <v>0</v>
      </c>
      <c r="BK73" s="13">
        <f t="shared" ref="BK73" si="323">D73+AS73+BB73</f>
        <v>699925.71000000008</v>
      </c>
      <c r="BL73" s="13">
        <f t="shared" ref="BL73" si="324">E73+AT73+BC73</f>
        <v>47674.832907519209</v>
      </c>
      <c r="BM73" s="13">
        <f t="shared" ref="BM73" si="325">F73+AU73+BD73</f>
        <v>368406.45631503849</v>
      </c>
      <c r="BN73" s="13">
        <f t="shared" ref="BN73" si="326">G73+AV73+BE73</f>
        <v>416081.28922255768</v>
      </c>
      <c r="BO73" s="13">
        <f t="shared" ref="BO73" si="327">H73+AW73+BF73</f>
        <v>283844.42077744234</v>
      </c>
      <c r="BP73" s="9"/>
      <c r="BQ73" s="9"/>
    </row>
    <row r="74" spans="1:69">
      <c r="B74" s="13"/>
      <c r="C74" s="13"/>
      <c r="D74" s="13"/>
      <c r="E74" s="13"/>
      <c r="F74" s="13"/>
      <c r="G74" s="13"/>
      <c r="H74" s="13"/>
      <c r="J74" s="13"/>
      <c r="K74" s="13"/>
      <c r="L74" s="13"/>
      <c r="M74" s="13"/>
      <c r="N74" s="100"/>
      <c r="O74" s="13"/>
      <c r="P74" s="13"/>
      <c r="Q74" s="13"/>
      <c r="R74" s="13"/>
      <c r="S74" s="13"/>
      <c r="T74" s="13"/>
      <c r="U74" s="13"/>
      <c r="W74" s="100"/>
      <c r="X74" s="13"/>
      <c r="Y74" s="13"/>
      <c r="Z74" s="13"/>
      <c r="AA74" s="13"/>
      <c r="AF74" s="13"/>
      <c r="AG74" s="13"/>
      <c r="AH74" s="13"/>
      <c r="AI74" s="13"/>
      <c r="AJ74" s="13"/>
      <c r="AK74" s="13"/>
      <c r="AL74" s="13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13"/>
      <c r="BD74" s="13"/>
      <c r="BE74" s="13"/>
      <c r="BF74" s="13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</row>
    <row r="75" spans="1:69">
      <c r="A75" s="17" t="s">
        <v>32</v>
      </c>
      <c r="B75" s="13">
        <f>'2180 Other'!N151</f>
        <v>7433998.1899999976</v>
      </c>
      <c r="C75" s="13">
        <f>B75-D75</f>
        <v>0</v>
      </c>
      <c r="D75" s="13">
        <f>'2180 Other'!O151</f>
        <v>7433998.1899999976</v>
      </c>
      <c r="E75" s="13">
        <f>'2180 Other'!S151</f>
        <v>403655.51931503823</v>
      </c>
      <c r="F75" s="13">
        <f>'2180 Other'!T151</f>
        <v>3716999.0949999988</v>
      </c>
      <c r="G75" s="13">
        <f>'2180 Other'!U151</f>
        <v>4088699.0044999984</v>
      </c>
      <c r="H75" s="13">
        <f>'2180 Other'!W151</f>
        <v>3345299.1854999987</v>
      </c>
      <c r="J75" s="13"/>
      <c r="K75" s="13"/>
      <c r="L75" s="13"/>
      <c r="M75" s="13"/>
      <c r="N75" s="100"/>
      <c r="O75" s="13"/>
      <c r="P75" s="13"/>
      <c r="Q75" s="13"/>
      <c r="R75" s="13"/>
      <c r="S75" s="13"/>
      <c r="T75" s="13"/>
      <c r="U75" s="13"/>
      <c r="V75" s="110"/>
      <c r="W75" s="100"/>
      <c r="X75" s="13"/>
      <c r="Y75" s="13"/>
      <c r="Z75" s="13"/>
      <c r="AA75" s="13"/>
      <c r="AB75" s="110"/>
      <c r="AC75" s="110"/>
      <c r="AF75" s="13"/>
      <c r="AG75" s="13"/>
      <c r="AH75" s="13"/>
      <c r="AI75" s="13"/>
      <c r="AJ75" s="13"/>
      <c r="AK75" s="13"/>
      <c r="AL75" s="13"/>
      <c r="AM75" s="110"/>
      <c r="AP75" s="17" t="s">
        <v>32</v>
      </c>
      <c r="AQ75" s="13">
        <f>IFERROR(VLOOKUP($AP75,'FAR Dep Summary'!$A$21:$F$34,2,FALSE),0)</f>
        <v>0</v>
      </c>
      <c r="AR75" s="13">
        <f t="shared" ref="AR75" si="328">AQ75-AS75</f>
        <v>0</v>
      </c>
      <c r="AS75" s="13">
        <f t="shared" ref="AS75" si="329">AQ75</f>
        <v>0</v>
      </c>
      <c r="AT75" s="13">
        <f>IFERROR(VLOOKUP($AP75,'FAR Dep Summary'!$A$21:$F$34,3,FALSE),0)</f>
        <v>0</v>
      </c>
      <c r="AU75" s="13">
        <f>IFERROR(VLOOKUP($AP75,'FAR Dep Summary'!$A$21:$F$34,4,FALSE),0)</f>
        <v>0</v>
      </c>
      <c r="AV75" s="13">
        <f>IFERROR(VLOOKUP($AP75,'FAR Dep Summary'!$A$21:$F$34,5,FALSE),0)</f>
        <v>0</v>
      </c>
      <c r="AW75" s="13">
        <f>IFERROR(VLOOKUP($AP75,'FAR Dep Summary'!$A$21:$F$34,6,FALSE),0)</f>
        <v>0</v>
      </c>
      <c r="AX75" s="9"/>
      <c r="AY75" s="9" t="s">
        <v>32</v>
      </c>
      <c r="AZ75" s="13">
        <f>IFERROR(SUMIF('2022 Bud CapEx'!$AP$72:$AP$83,'2180 Deprec'!$AY75,'2022 Bud CapEx'!$AQ$72:$AQ$83),0)</f>
        <v>85000</v>
      </c>
      <c r="BA75" s="13">
        <f t="shared" ref="BA75" si="330">AZ75-BB75</f>
        <v>0</v>
      </c>
      <c r="BB75" s="13">
        <f t="shared" ref="BB75" si="331">AZ75</f>
        <v>85000</v>
      </c>
      <c r="BC75" s="13">
        <f>IFERROR(SUMIF('2022 Bud CapEx'!$AP$72:$AP$83,'2180 Deprec'!$AY75,'2022 Bud CapEx'!$AS$72:$AS$83),0)</f>
        <v>8500</v>
      </c>
      <c r="BD75" s="13">
        <v>0</v>
      </c>
      <c r="BE75" s="13">
        <f t="shared" ref="BE75" si="332">BC75</f>
        <v>8500</v>
      </c>
      <c r="BF75" s="13">
        <f>IFERROR(SUMIF('2022 Bud CapEx'!$AP$72:$AP$83,'2180 Deprec'!$AY75,'2022 Bud CapEx'!$AU$72:$AU$83),0)</f>
        <v>76500</v>
      </c>
      <c r="BG75" s="9"/>
      <c r="BH75" s="9" t="s">
        <v>32</v>
      </c>
      <c r="BI75" s="13">
        <f t="shared" ref="BI75" si="333">B75+AQ75+AZ75</f>
        <v>7518998.1899999976</v>
      </c>
      <c r="BJ75" s="13">
        <f t="shared" ref="BJ75" si="334">C75+AR75+BA75</f>
        <v>0</v>
      </c>
      <c r="BK75" s="13">
        <f t="shared" ref="BK75" si="335">D75+AS75+BB75</f>
        <v>7518998.1899999976</v>
      </c>
      <c r="BL75" s="13">
        <f t="shared" ref="BL75" si="336">E75+AT75+BC75</f>
        <v>412155.51931503823</v>
      </c>
      <c r="BM75" s="13">
        <f t="shared" ref="BM75" si="337">F75+AU75+BD75</f>
        <v>3716999.0949999988</v>
      </c>
      <c r="BN75" s="13">
        <f t="shared" ref="BN75" si="338">G75+AV75+BE75</f>
        <v>4097199.0044999984</v>
      </c>
      <c r="BO75" s="13">
        <f t="shared" ref="BO75" si="339">H75+AW75+BF75</f>
        <v>3421799.1854999987</v>
      </c>
      <c r="BP75" s="9"/>
      <c r="BQ75" s="9"/>
    </row>
    <row r="76" spans="1:69">
      <c r="B76" s="13"/>
      <c r="C76" s="13"/>
      <c r="D76" s="13"/>
      <c r="E76" s="13"/>
      <c r="F76" s="13"/>
      <c r="G76" s="13"/>
      <c r="H76" s="13"/>
      <c r="J76" s="13"/>
      <c r="K76" s="13"/>
      <c r="L76" s="13"/>
      <c r="M76" s="13"/>
      <c r="N76" s="100"/>
      <c r="O76" s="13"/>
      <c r="P76" s="13"/>
      <c r="Q76" s="13"/>
      <c r="R76" s="13"/>
      <c r="S76" s="13"/>
      <c r="T76" s="13"/>
      <c r="U76" s="13"/>
      <c r="W76" s="100"/>
      <c r="X76" s="13"/>
      <c r="Y76" s="13"/>
      <c r="Z76" s="13"/>
      <c r="AA76" s="13"/>
      <c r="AF76" s="13"/>
      <c r="AG76" s="13"/>
      <c r="AH76" s="13"/>
      <c r="AI76" s="13"/>
      <c r="AJ76" s="13"/>
      <c r="AK76" s="13"/>
      <c r="AL76" s="13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13"/>
      <c r="BD76" s="13"/>
      <c r="BE76" s="13"/>
      <c r="BF76" s="13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</row>
    <row r="77" spans="1:69">
      <c r="A77" s="17" t="s">
        <v>33</v>
      </c>
      <c r="B77" s="13">
        <f>'2180 Other'!N160</f>
        <v>164726.66</v>
      </c>
      <c r="C77" s="13">
        <f>B77-D77</f>
        <v>0</v>
      </c>
      <c r="D77" s="13">
        <f>'2180 Other'!O160</f>
        <v>164726.66</v>
      </c>
      <c r="E77" s="13">
        <f>'2180 Other'!S160</f>
        <v>9930.7780000000002</v>
      </c>
      <c r="F77" s="13">
        <f>'2180 Other'!T160</f>
        <v>144865.10399999999</v>
      </c>
      <c r="G77" s="13">
        <f>'2180 Other'!U160</f>
        <v>154795.88200000001</v>
      </c>
      <c r="H77" s="13">
        <f>'2180 Other'!W160</f>
        <v>9930.7779999999912</v>
      </c>
      <c r="J77" s="13"/>
      <c r="K77" s="13"/>
      <c r="L77" s="13"/>
      <c r="M77" s="13"/>
      <c r="N77" s="100"/>
      <c r="O77" s="13"/>
      <c r="P77" s="13"/>
      <c r="Q77" s="13"/>
      <c r="R77" s="13"/>
      <c r="S77" s="13"/>
      <c r="T77" s="13"/>
      <c r="U77" s="13"/>
      <c r="V77" s="110"/>
      <c r="W77" s="100"/>
      <c r="X77" s="13"/>
      <c r="Y77" s="13"/>
      <c r="Z77" s="13"/>
      <c r="AA77" s="13"/>
      <c r="AB77" s="110"/>
      <c r="AC77" s="110"/>
      <c r="AF77" s="13"/>
      <c r="AG77" s="13"/>
      <c r="AH77" s="13"/>
      <c r="AI77" s="13"/>
      <c r="AJ77" s="13"/>
      <c r="AK77" s="13"/>
      <c r="AL77" s="13"/>
      <c r="AM77" s="110"/>
      <c r="AP77" s="17" t="s">
        <v>33</v>
      </c>
      <c r="AQ77" s="13">
        <f>IFERROR(VLOOKUP($AP77,'FAR Dep Summary'!$A$21:$F$34,2,FALSE),0)</f>
        <v>71206.179999999993</v>
      </c>
      <c r="AR77" s="13">
        <f t="shared" ref="AR77" si="340">AQ77-AS77</f>
        <v>0</v>
      </c>
      <c r="AS77" s="13">
        <f t="shared" ref="AS77" si="341">AQ77</f>
        <v>71206.179999999993</v>
      </c>
      <c r="AT77" s="13">
        <f>IFERROR(VLOOKUP($AP77,'FAR Dep Summary'!$A$21:$F$34,3,FALSE),0)</f>
        <v>14413.861212121214</v>
      </c>
      <c r="AU77" s="13">
        <f>IFERROR(VLOOKUP($AP77,'FAR Dep Summary'!$A$21:$F$34,4,FALSE),0)</f>
        <v>0</v>
      </c>
      <c r="AV77" s="13">
        <f>IFERROR(VLOOKUP($AP77,'FAR Dep Summary'!$A$21:$F$34,5,FALSE),0)</f>
        <v>14413.861212121214</v>
      </c>
      <c r="AW77" s="13">
        <f>IFERROR(VLOOKUP($AP77,'FAR Dep Summary'!$A$21:$F$34,6,FALSE),0)</f>
        <v>56792.318787878787</v>
      </c>
      <c r="AX77" s="9"/>
      <c r="AY77" s="9" t="s">
        <v>33</v>
      </c>
      <c r="AZ77" s="13">
        <f>IFERROR(SUMIF('2022 Bud CapEx'!$AP$72:$AP$83,'2180 Deprec'!$AY77,'2022 Bud CapEx'!$AQ$72:$AQ$83),0)</f>
        <v>430638</v>
      </c>
      <c r="BA77" s="13">
        <f t="shared" ref="BA77" si="342">AZ77-BB77</f>
        <v>0</v>
      </c>
      <c r="BB77" s="13">
        <f t="shared" ref="BB77" si="343">AZ77</f>
        <v>430638</v>
      </c>
      <c r="BC77" s="13">
        <f>IFERROR(SUMIF('2022 Bud CapEx'!$AP$72:$AP$83,'2180 Deprec'!$AY77,'2022 Bud CapEx'!$AS$72:$AS$83),0)</f>
        <v>46334.238095238092</v>
      </c>
      <c r="BD77" s="13">
        <v>0</v>
      </c>
      <c r="BE77" s="13">
        <f t="shared" ref="BE77" si="344">BC77</f>
        <v>46334.238095238092</v>
      </c>
      <c r="BF77" s="13">
        <f>IFERROR(SUMIF('2022 Bud CapEx'!$AP$72:$AP$83,'2180 Deprec'!$AY77,'2022 Bud CapEx'!$AU$72:$AU$83),0)</f>
        <v>384303.76190476189</v>
      </c>
      <c r="BG77" s="9"/>
      <c r="BH77" s="9" t="s">
        <v>33</v>
      </c>
      <c r="BI77" s="13">
        <f t="shared" ref="BI77" si="345">B77+AQ77+AZ77</f>
        <v>666570.84</v>
      </c>
      <c r="BJ77" s="13">
        <f t="shared" ref="BJ77" si="346">C77+AR77+BA77</f>
        <v>0</v>
      </c>
      <c r="BK77" s="13">
        <f t="shared" ref="BK77" si="347">D77+AS77+BB77</f>
        <v>666570.84</v>
      </c>
      <c r="BL77" s="13">
        <f t="shared" ref="BL77" si="348">E77+AT77+BC77</f>
        <v>70678.877307359304</v>
      </c>
      <c r="BM77" s="13">
        <f t="shared" ref="BM77" si="349">F77+AU77+BD77</f>
        <v>144865.10399999999</v>
      </c>
      <c r="BN77" s="13">
        <f t="shared" ref="BN77" si="350">G77+AV77+BE77</f>
        <v>215543.9813073593</v>
      </c>
      <c r="BO77" s="13">
        <f t="shared" ref="BO77" si="351">H77+AW77+BF77</f>
        <v>451026.85869264067</v>
      </c>
      <c r="BP77" s="9"/>
      <c r="BQ77" s="9"/>
    </row>
    <row r="78" spans="1:69">
      <c r="B78" s="13"/>
      <c r="C78" s="13"/>
      <c r="D78" s="13"/>
      <c r="E78" s="13"/>
      <c r="F78" s="13"/>
      <c r="G78" s="13"/>
      <c r="H78" s="13"/>
      <c r="J78" s="13"/>
      <c r="K78" s="13"/>
      <c r="L78" s="13"/>
      <c r="M78" s="13"/>
      <c r="N78" s="100"/>
      <c r="O78" s="13"/>
      <c r="P78" s="13"/>
      <c r="Q78" s="13"/>
      <c r="R78" s="13"/>
      <c r="S78" s="13"/>
      <c r="T78" s="13"/>
      <c r="U78" s="13"/>
      <c r="W78" s="100"/>
      <c r="X78" s="13"/>
      <c r="Y78" s="13"/>
      <c r="Z78" s="13"/>
      <c r="AA78" s="13"/>
      <c r="AF78" s="13"/>
      <c r="AG78" s="13"/>
      <c r="AH78" s="13"/>
      <c r="AI78" s="13"/>
      <c r="AJ78" s="13"/>
      <c r="AK78" s="13"/>
      <c r="AL78" s="13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13"/>
      <c r="BD78" s="13"/>
      <c r="BE78" s="13"/>
      <c r="BF78" s="13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</row>
    <row r="79" spans="1:69">
      <c r="A79" s="17" t="s">
        <v>34</v>
      </c>
      <c r="B79" s="13">
        <f>'2180 Other'!N162</f>
        <v>9148000</v>
      </c>
      <c r="C79" s="13"/>
      <c r="D79" s="13"/>
      <c r="E79" s="13"/>
      <c r="F79" s="13"/>
      <c r="G79" s="13"/>
      <c r="H79" s="13">
        <f>'2180 Other'!W162</f>
        <v>9148000</v>
      </c>
      <c r="J79" s="13"/>
      <c r="K79" s="13"/>
      <c r="L79" s="13"/>
      <c r="M79" s="13"/>
      <c r="N79" s="100"/>
      <c r="O79" s="13"/>
      <c r="P79" s="13"/>
      <c r="Q79" s="13"/>
      <c r="R79" s="13"/>
      <c r="S79" s="13"/>
      <c r="T79" s="13"/>
      <c r="U79" s="13"/>
      <c r="V79" s="110"/>
      <c r="W79" s="100"/>
      <c r="X79" s="13"/>
      <c r="Y79" s="13"/>
      <c r="Z79" s="13"/>
      <c r="AA79" s="13"/>
      <c r="AB79" s="110"/>
      <c r="AC79" s="110"/>
      <c r="AF79" s="13"/>
      <c r="AG79" s="13"/>
      <c r="AH79" s="13"/>
      <c r="AI79" s="13"/>
      <c r="AJ79" s="13"/>
      <c r="AK79" s="13"/>
      <c r="AL79" s="13"/>
      <c r="AM79" s="110"/>
      <c r="AP79" s="17" t="s">
        <v>34</v>
      </c>
      <c r="AQ79" s="13">
        <f>IFERROR(VLOOKUP($AP79,'FAR Dep Summary'!$A$21:$F$34,2,FALSE),0)</f>
        <v>0</v>
      </c>
      <c r="AR79" s="13">
        <f t="shared" ref="AR79" si="352">AQ79-AS79</f>
        <v>0</v>
      </c>
      <c r="AS79" s="13">
        <f t="shared" ref="AS79" si="353">AQ79</f>
        <v>0</v>
      </c>
      <c r="AT79" s="13">
        <f>IFERROR(VLOOKUP($AP79,'FAR Dep Summary'!$A$21:$F$34,3,FALSE),0)</f>
        <v>0</v>
      </c>
      <c r="AU79" s="13">
        <f>IFERROR(VLOOKUP($AP79,'FAR Dep Summary'!$A$21:$F$34,4,FALSE),0)</f>
        <v>0</v>
      </c>
      <c r="AV79" s="13">
        <f>IFERROR(VLOOKUP($AP79,'FAR Dep Summary'!$A$21:$F$34,5,FALSE),0)</f>
        <v>0</v>
      </c>
      <c r="AW79" s="13">
        <f>IFERROR(VLOOKUP($AP79,'FAR Dep Summary'!$A$21:$F$34,6,FALSE),0)</f>
        <v>0</v>
      </c>
      <c r="AX79" s="9"/>
      <c r="AY79" s="9" t="s">
        <v>34</v>
      </c>
      <c r="AZ79" s="13">
        <f>IFERROR(SUMIF('2022 Bud CapEx'!$AP$72:$AP$83,'2180 Deprec'!$AY79,'2022 Bud CapEx'!$AQ$72:$AQ$83),0)</f>
        <v>0</v>
      </c>
      <c r="BA79" s="13">
        <f t="shared" ref="BA79" si="354">AZ79-BB79</f>
        <v>0</v>
      </c>
      <c r="BB79" s="13">
        <f t="shared" ref="BB79" si="355">AZ79</f>
        <v>0</v>
      </c>
      <c r="BC79" s="13">
        <f>IFERROR(SUMIF('2022 Bud CapEx'!$AP$72:$AP$83,'2180 Deprec'!$AY79,'2022 Bud CapEx'!$AS$72:$AS$83),0)</f>
        <v>0</v>
      </c>
      <c r="BD79" s="13">
        <v>0</v>
      </c>
      <c r="BE79" s="13">
        <f t="shared" ref="BE79" si="356">BC79</f>
        <v>0</v>
      </c>
      <c r="BF79" s="13">
        <f>IFERROR(SUMIF('2022 Bud CapEx'!$AP$72:$AP$83,'2180 Deprec'!$AY79,'2022 Bud CapEx'!$AU$72:$AU$83),0)</f>
        <v>0</v>
      </c>
      <c r="BG79" s="9"/>
      <c r="BH79" s="9" t="s">
        <v>34</v>
      </c>
      <c r="BI79" s="13">
        <f t="shared" ref="BI79" si="357">B79+AQ79+AZ79</f>
        <v>9148000</v>
      </c>
      <c r="BJ79" s="13">
        <f t="shared" ref="BJ79" si="358">C79+AR79+BA79</f>
        <v>0</v>
      </c>
      <c r="BK79" s="13">
        <f t="shared" ref="BK79" si="359">D79+AS79+BB79</f>
        <v>0</v>
      </c>
      <c r="BL79" s="13">
        <f t="shared" ref="BL79" si="360">E79+AT79+BC79</f>
        <v>0</v>
      </c>
      <c r="BM79" s="13">
        <f t="shared" ref="BM79" si="361">F79+AU79+BD79</f>
        <v>0</v>
      </c>
      <c r="BN79" s="13">
        <f t="shared" ref="BN79" si="362">G79+AV79+BE79</f>
        <v>0</v>
      </c>
      <c r="BO79" s="13">
        <f t="shared" ref="BO79" si="363">H79+AW79+BF79</f>
        <v>9148000</v>
      </c>
      <c r="BP79" s="9"/>
      <c r="BQ79" s="9"/>
    </row>
    <row r="80" spans="1:69">
      <c r="B80" s="13"/>
      <c r="C80" s="13"/>
      <c r="D80" s="13"/>
      <c r="E80" s="13"/>
      <c r="F80" s="13"/>
      <c r="G80" s="13"/>
      <c r="H80" s="13"/>
      <c r="J80" s="13"/>
      <c r="K80" s="13"/>
      <c r="L80" s="13"/>
      <c r="M80" s="13"/>
      <c r="N80" s="100"/>
      <c r="O80" s="13"/>
      <c r="P80" s="13"/>
      <c r="Q80" s="13"/>
      <c r="R80" s="13"/>
      <c r="S80" s="13"/>
      <c r="T80" s="13"/>
      <c r="U80" s="13"/>
      <c r="W80" s="100"/>
      <c r="X80" s="13"/>
      <c r="Y80" s="13"/>
      <c r="Z80" s="13"/>
      <c r="AA80" s="13"/>
      <c r="AF80" s="13"/>
      <c r="AG80" s="13"/>
      <c r="AH80" s="13"/>
      <c r="AI80" s="13"/>
      <c r="AJ80" s="13"/>
      <c r="AK80" s="13"/>
      <c r="AL80" s="13"/>
      <c r="AQ80" s="13"/>
      <c r="AR80" s="13"/>
      <c r="AS80" s="13"/>
      <c r="AT80" s="13"/>
      <c r="AU80" s="13"/>
      <c r="AV80" s="13"/>
      <c r="AW80" s="13"/>
      <c r="AX80" s="9"/>
      <c r="AY80" s="9"/>
      <c r="AZ80" s="13"/>
      <c r="BA80" s="13"/>
      <c r="BB80" s="13"/>
      <c r="BC80" s="13"/>
      <c r="BD80" s="13"/>
      <c r="BE80" s="13"/>
      <c r="BF80" s="13"/>
      <c r="BG80" s="9"/>
      <c r="BH80" s="9"/>
      <c r="BI80" s="13"/>
      <c r="BJ80" s="13"/>
      <c r="BK80" s="13"/>
      <c r="BL80" s="13"/>
      <c r="BM80" s="13"/>
      <c r="BN80" s="13"/>
      <c r="BO80" s="13"/>
      <c r="BP80" s="9"/>
      <c r="BQ80" s="9"/>
    </row>
    <row r="81" spans="1:69">
      <c r="B81" s="13"/>
      <c r="C81" s="13"/>
      <c r="D81" s="13"/>
      <c r="E81" s="13"/>
      <c r="F81" s="13"/>
      <c r="G81" s="13"/>
      <c r="H81" s="13"/>
      <c r="J81" s="13"/>
      <c r="K81" s="13"/>
      <c r="L81" s="13"/>
      <c r="M81" s="13"/>
      <c r="N81" s="100"/>
      <c r="O81" s="13"/>
      <c r="P81" s="13"/>
      <c r="Q81" s="13"/>
      <c r="R81" s="13"/>
      <c r="S81" s="13"/>
      <c r="T81" s="13"/>
      <c r="U81" s="13"/>
      <c r="W81" s="100"/>
      <c r="X81" s="13"/>
      <c r="Y81" s="13"/>
      <c r="Z81" s="13"/>
      <c r="AA81" s="13"/>
      <c r="AF81" s="13"/>
      <c r="AG81" s="13"/>
      <c r="AH81" s="13"/>
      <c r="AI81" s="13"/>
      <c r="AJ81" s="13"/>
      <c r="AK81" s="13"/>
      <c r="AL81" s="13"/>
      <c r="AM81" s="110"/>
      <c r="AQ81" s="13"/>
      <c r="AR81" s="13"/>
      <c r="AS81" s="13"/>
      <c r="AT81" s="13"/>
      <c r="AU81" s="13"/>
      <c r="AV81" s="13"/>
      <c r="AW81" s="13"/>
      <c r="AX81" s="9"/>
      <c r="AY81" s="9"/>
      <c r="AZ81" s="13"/>
      <c r="BA81" s="13"/>
      <c r="BB81" s="13"/>
      <c r="BC81" s="13"/>
      <c r="BD81" s="13"/>
      <c r="BE81" s="13"/>
      <c r="BF81" s="13"/>
      <c r="BG81" s="9"/>
      <c r="BH81" s="9"/>
      <c r="BI81" s="13"/>
      <c r="BJ81" s="13"/>
      <c r="BK81" s="13"/>
      <c r="BL81" s="13"/>
      <c r="BM81" s="13"/>
      <c r="BN81" s="13"/>
      <c r="BO81" s="13"/>
      <c r="BP81" s="9"/>
      <c r="BQ81" s="9"/>
    </row>
    <row r="82" spans="1:69">
      <c r="A82" s="5" t="s">
        <v>35</v>
      </c>
      <c r="B82" s="150">
        <f>SUM(B72:B81)</f>
        <v>17294122.569999997</v>
      </c>
      <c r="C82" s="150">
        <f t="shared" ref="C82:H82" si="364">SUM(C72:C81)</f>
        <v>0</v>
      </c>
      <c r="D82" s="150">
        <f t="shared" si="364"/>
        <v>8146122.5699999975</v>
      </c>
      <c r="E82" s="150">
        <f t="shared" si="364"/>
        <v>442195.13147255743</v>
      </c>
      <c r="F82" s="150">
        <f t="shared" si="364"/>
        <v>4230270.6553150378</v>
      </c>
      <c r="G82" s="150">
        <f t="shared" si="364"/>
        <v>4640510.1769725559</v>
      </c>
      <c r="H82" s="150">
        <f t="shared" si="364"/>
        <v>12653612.393027442</v>
      </c>
      <c r="J82" s="150"/>
      <c r="K82" s="150"/>
      <c r="L82" s="150"/>
      <c r="M82" s="13"/>
      <c r="N82" s="101"/>
      <c r="O82" s="150"/>
      <c r="P82" s="150"/>
      <c r="Q82" s="150"/>
      <c r="R82" s="13"/>
      <c r="S82" s="150"/>
      <c r="T82" s="150"/>
      <c r="U82" s="150"/>
      <c r="W82" s="101"/>
      <c r="X82" s="150"/>
      <c r="Y82" s="150"/>
      <c r="Z82" s="150"/>
      <c r="AA82" s="13"/>
      <c r="AF82" s="150"/>
      <c r="AG82" s="150"/>
      <c r="AH82" s="150"/>
      <c r="AI82" s="13"/>
      <c r="AJ82" s="150"/>
      <c r="AK82" s="150"/>
      <c r="AL82" s="150"/>
      <c r="AM82" s="110"/>
      <c r="AP82" s="5" t="s">
        <v>35</v>
      </c>
      <c r="AQ82" s="150">
        <f>SUM(AQ72:AQ81)</f>
        <v>141734.16999999998</v>
      </c>
      <c r="AR82" s="150">
        <f t="shared" ref="AR82:AW82" si="365">SUM(AR72:AR81)</f>
        <v>0</v>
      </c>
      <c r="AS82" s="150">
        <f t="shared" si="365"/>
        <v>141734.16999999998</v>
      </c>
      <c r="AT82" s="150">
        <f t="shared" si="365"/>
        <v>23229.859962121212</v>
      </c>
      <c r="AU82" s="150">
        <f t="shared" si="365"/>
        <v>0</v>
      </c>
      <c r="AV82" s="150">
        <f t="shared" si="365"/>
        <v>23229.859962121212</v>
      </c>
      <c r="AW82" s="150">
        <f t="shared" si="365"/>
        <v>118504.31003787878</v>
      </c>
      <c r="AX82" s="9"/>
      <c r="AY82" s="417" t="s">
        <v>35</v>
      </c>
      <c r="AZ82" s="150">
        <f>SUM(AZ72:AZ81)</f>
        <v>597638</v>
      </c>
      <c r="BA82" s="150">
        <f t="shared" ref="BA82:BF82" si="366">SUM(BA72:BA81)</f>
        <v>0</v>
      </c>
      <c r="BB82" s="150">
        <f t="shared" si="366"/>
        <v>597638</v>
      </c>
      <c r="BC82" s="150">
        <f t="shared" si="366"/>
        <v>65084.238095238092</v>
      </c>
      <c r="BD82" s="150">
        <f t="shared" si="366"/>
        <v>0</v>
      </c>
      <c r="BE82" s="150">
        <f t="shared" si="366"/>
        <v>65084.238095238092</v>
      </c>
      <c r="BF82" s="150">
        <f t="shared" si="366"/>
        <v>532553.76190476189</v>
      </c>
      <c r="BG82" s="9"/>
      <c r="BH82" s="417" t="s">
        <v>35</v>
      </c>
      <c r="BI82" s="150">
        <f>SUM(BI72:BI81)</f>
        <v>18033494.739999998</v>
      </c>
      <c r="BJ82" s="150">
        <f t="shared" ref="BJ82:BO82" si="367">SUM(BJ72:BJ81)</f>
        <v>0</v>
      </c>
      <c r="BK82" s="150">
        <f t="shared" si="367"/>
        <v>8885494.7399999984</v>
      </c>
      <c r="BL82" s="150">
        <f t="shared" si="367"/>
        <v>530509.22952991677</v>
      </c>
      <c r="BM82" s="150">
        <f t="shared" si="367"/>
        <v>4230270.6553150378</v>
      </c>
      <c r="BN82" s="150">
        <f t="shared" si="367"/>
        <v>4728824.2750299154</v>
      </c>
      <c r="BO82" s="150">
        <f t="shared" si="367"/>
        <v>13304670.464970082</v>
      </c>
      <c r="BP82" s="9"/>
      <c r="BQ82" s="9"/>
    </row>
    <row r="83" spans="1:69">
      <c r="B83" s="13">
        <f>B69+B82-'2180 Other'!N164</f>
        <v>0</v>
      </c>
      <c r="C83" s="13"/>
      <c r="D83" s="13">
        <f>D69+D82-'2180 Other'!O164</f>
        <v>0</v>
      </c>
      <c r="E83" s="13">
        <f>E69+E82-'2180 Other'!S164</f>
        <v>0</v>
      </c>
      <c r="F83" s="13">
        <f>F69+F82-'2180 Other'!T164</f>
        <v>0</v>
      </c>
      <c r="G83" s="13">
        <f>G69+G82-'2180 Other'!U164</f>
        <v>0</v>
      </c>
      <c r="H83" s="13">
        <v>0</v>
      </c>
      <c r="J83" s="13"/>
      <c r="K83" s="13"/>
      <c r="L83" s="13"/>
      <c r="M83" s="13"/>
      <c r="N83" s="100"/>
      <c r="O83" s="13"/>
      <c r="P83" s="13"/>
      <c r="Q83" s="13"/>
      <c r="R83" s="13"/>
      <c r="S83" s="13"/>
      <c r="T83" s="13"/>
      <c r="U83" s="13"/>
      <c r="W83" s="100"/>
      <c r="X83" s="13"/>
      <c r="Y83" s="13"/>
      <c r="Z83" s="13"/>
      <c r="AA83" s="13"/>
      <c r="AF83" s="13"/>
      <c r="AG83" s="13"/>
      <c r="AH83" s="13"/>
      <c r="AI83" s="13"/>
      <c r="AJ83" s="13"/>
      <c r="AK83" s="13"/>
      <c r="AL83" s="13"/>
      <c r="AQ83" s="13"/>
      <c r="AR83" s="13"/>
      <c r="AS83" s="13"/>
      <c r="AT83" s="13"/>
      <c r="AU83" s="13"/>
      <c r="AV83" s="13"/>
      <c r="AW83" s="13"/>
      <c r="AX83" s="9"/>
      <c r="AY83" s="9"/>
      <c r="AZ83" s="13"/>
      <c r="BA83" s="13"/>
      <c r="BB83" s="13"/>
      <c r="BC83" s="13"/>
      <c r="BD83" s="13"/>
      <c r="BE83" s="13"/>
      <c r="BF83" s="13"/>
      <c r="BG83" s="9"/>
      <c r="BH83" s="9"/>
      <c r="BI83" s="13"/>
      <c r="BJ83" s="13"/>
      <c r="BK83" s="13"/>
      <c r="BL83" s="13"/>
      <c r="BM83" s="13"/>
      <c r="BN83" s="13"/>
      <c r="BO83" s="13"/>
      <c r="BP83" s="9"/>
      <c r="BQ83" s="9"/>
    </row>
    <row r="84" spans="1:69" ht="15.75" thickBot="1">
      <c r="A84" s="7" t="s">
        <v>36</v>
      </c>
      <c r="B84" s="198">
        <f>SUM(B82,B69,B58,B35)</f>
        <v>72673686.314380974</v>
      </c>
      <c r="C84" s="198">
        <f t="shared" ref="C84:H84" si="368">SUM(C82,C69,C58,C35)</f>
        <v>133350.69493499905</v>
      </c>
      <c r="D84" s="198">
        <f t="shared" si="368"/>
        <v>63392335.619445972</v>
      </c>
      <c r="E84" s="198">
        <f t="shared" si="368"/>
        <v>4149848.0369842844</v>
      </c>
      <c r="F84" s="198">
        <f t="shared" si="368"/>
        <v>35169648.077282511</v>
      </c>
      <c r="G84" s="198">
        <f t="shared" si="368"/>
        <v>39287540.504451759</v>
      </c>
      <c r="H84" s="198">
        <f t="shared" si="368"/>
        <v>33386145.809929192</v>
      </c>
      <c r="J84" s="198"/>
      <c r="K84" s="198"/>
      <c r="L84" s="198"/>
      <c r="M84" s="13"/>
      <c r="N84" s="101"/>
      <c r="O84" s="150"/>
      <c r="P84" s="150"/>
      <c r="Q84" s="150"/>
      <c r="R84" s="13"/>
      <c r="S84" s="198"/>
      <c r="T84" s="198"/>
      <c r="U84" s="198"/>
      <c r="V84" s="110"/>
      <c r="W84" s="101"/>
      <c r="X84" s="150"/>
      <c r="Y84" s="150"/>
      <c r="Z84" s="150"/>
      <c r="AA84" s="13"/>
      <c r="AF84" s="198"/>
      <c r="AG84" s="198"/>
      <c r="AH84" s="198"/>
      <c r="AI84" s="13"/>
      <c r="AJ84" s="198"/>
      <c r="AK84" s="198"/>
      <c r="AL84" s="198"/>
      <c r="AM84" s="110"/>
      <c r="AP84" s="7" t="s">
        <v>36</v>
      </c>
      <c r="AQ84" s="198">
        <f>SUM(AQ82,AQ69,AQ58,AQ35)</f>
        <v>1537706.37</v>
      </c>
      <c r="AR84" s="198">
        <f t="shared" ref="AR84:AW84" si="369">SUM(AR82,AR69,AR58,AR35)</f>
        <v>0</v>
      </c>
      <c r="AS84" s="198">
        <f t="shared" si="369"/>
        <v>1537706.37</v>
      </c>
      <c r="AT84" s="198">
        <f t="shared" si="369"/>
        <v>162075.36217640692</v>
      </c>
      <c r="AU84" s="198">
        <f t="shared" si="369"/>
        <v>176955.64</v>
      </c>
      <c r="AV84" s="198">
        <f t="shared" si="369"/>
        <v>339031.00217640691</v>
      </c>
      <c r="AW84" s="198">
        <f t="shared" si="369"/>
        <v>1198675.3678235931</v>
      </c>
      <c r="AX84" s="9"/>
      <c r="AY84" s="419" t="s">
        <v>36</v>
      </c>
      <c r="AZ84" s="198">
        <f>SUM(AZ82,AZ69,AZ58,AZ35)</f>
        <v>3223607.64</v>
      </c>
      <c r="BA84" s="198">
        <f t="shared" ref="BA84:BF84" si="370">SUM(BA82,BA69,BA58,BA35)</f>
        <v>0</v>
      </c>
      <c r="BB84" s="198">
        <f t="shared" si="370"/>
        <v>3223607.64</v>
      </c>
      <c r="BC84" s="198">
        <f t="shared" si="370"/>
        <v>378424.13752380956</v>
      </c>
      <c r="BD84" s="198">
        <f t="shared" si="370"/>
        <v>0</v>
      </c>
      <c r="BE84" s="198">
        <f t="shared" si="370"/>
        <v>378424.13752380956</v>
      </c>
      <c r="BF84" s="198">
        <f t="shared" si="370"/>
        <v>2845183.5024761902</v>
      </c>
      <c r="BG84" s="9"/>
      <c r="BH84" s="419" t="s">
        <v>36</v>
      </c>
      <c r="BI84" s="198">
        <f>SUM(BI82,BI69,BI58,BI35)</f>
        <v>77435000.324380964</v>
      </c>
      <c r="BJ84" s="198">
        <f t="shared" ref="BJ84:BO84" si="371">SUM(BJ82,BJ69,BJ58,BJ35)</f>
        <v>133350.69493499905</v>
      </c>
      <c r="BK84" s="198">
        <f t="shared" si="371"/>
        <v>68153649.62944597</v>
      </c>
      <c r="BL84" s="198">
        <f t="shared" si="371"/>
        <v>4690347.5366845019</v>
      </c>
      <c r="BM84" s="198">
        <f t="shared" si="371"/>
        <v>35346603.717282511</v>
      </c>
      <c r="BN84" s="198">
        <f t="shared" si="371"/>
        <v>40004995.644151986</v>
      </c>
      <c r="BO84" s="198">
        <f t="shared" si="371"/>
        <v>37430004.680228971</v>
      </c>
      <c r="BP84" s="9"/>
      <c r="BQ84" s="9"/>
    </row>
    <row r="85" spans="1:69">
      <c r="A85" s="254" t="s">
        <v>1363</v>
      </c>
      <c r="B85" s="260">
        <f>B84-SUM('2180 Trucks'!N387,'2180 Cont, DB'!N779,'2180 Other'!N164)</f>
        <v>0</v>
      </c>
      <c r="C85" s="13"/>
      <c r="D85" s="260">
        <f>D84-SUM('2180 Trucks'!O387,'2180 Cont, DB'!O779,'2180 Other'!O164)</f>
        <v>0</v>
      </c>
      <c r="E85" s="260">
        <f>E84-SUM('2180 Trucks'!S387,'2180 Cont, DB'!S779,'2180 Other'!S164)</f>
        <v>0</v>
      </c>
      <c r="F85" s="260">
        <f>F84-SUM('2180 Trucks'!T387,'2180 Cont, DB'!T779,'2180 Other'!T164)</f>
        <v>0</v>
      </c>
      <c r="G85" s="260">
        <f>G84-SUM('2180 Trucks'!U387,'2180 Cont, DB'!U779,'2180 Other'!U164)</f>
        <v>0</v>
      </c>
      <c r="H85" s="260">
        <f>H84-SUM('2180 Trucks'!W387,'2180 Cont, DB'!W779,'2180 Other'!W164)</f>
        <v>0</v>
      </c>
      <c r="AP85" s="254" t="s">
        <v>1363</v>
      </c>
      <c r="AQ85" s="390">
        <f>AQ84-'FAR Dep Summary'!B34</f>
        <v>0</v>
      </c>
      <c r="AS85" s="110"/>
      <c r="AT85" s="110">
        <f>AT84-'FAR Dep Summary'!C34</f>
        <v>0</v>
      </c>
      <c r="AU85" s="110">
        <f>AU84-'FAR Dep Summary'!D34</f>
        <v>0</v>
      </c>
      <c r="AV85" s="110">
        <f>AV84-'FAR Dep Summary'!E34</f>
        <v>0</v>
      </c>
      <c r="AW85" s="110">
        <f>AW84-'FAR Dep Summary'!F34</f>
        <v>0</v>
      </c>
      <c r="AX85" s="9"/>
      <c r="AY85" s="420" t="s">
        <v>1363</v>
      </c>
      <c r="AZ85" s="110">
        <f>AZ84-'2022 Bud CapEx'!AQ87</f>
        <v>0</v>
      </c>
      <c r="BA85" s="9"/>
      <c r="BB85" s="9"/>
      <c r="BC85" s="110">
        <f>BC84-'2022 Bud CapEx'!AS84</f>
        <v>0</v>
      </c>
      <c r="BD85" s="9"/>
      <c r="BE85" s="9"/>
      <c r="BF85" s="110">
        <f>BF84-'2022 Bud CapEx'!AU84</f>
        <v>0</v>
      </c>
      <c r="BG85" s="9"/>
      <c r="BH85" s="420" t="s">
        <v>1363</v>
      </c>
      <c r="BI85" s="110">
        <f>BI84-B84-AQ84-AZ84</f>
        <v>-9.7788870334625244E-9</v>
      </c>
      <c r="BJ85" s="110">
        <f t="shared" ref="BJ85:BO85" si="372">BJ84-C84-AR84-BA84</f>
        <v>0</v>
      </c>
      <c r="BK85" s="110">
        <f t="shared" si="372"/>
        <v>0</v>
      </c>
      <c r="BL85" s="110">
        <f t="shared" si="372"/>
        <v>1.0477378964424133E-9</v>
      </c>
      <c r="BM85" s="110">
        <f t="shared" si="372"/>
        <v>5.8207660913467407E-10</v>
      </c>
      <c r="BN85" s="110">
        <f t="shared" si="372"/>
        <v>1.0011717677116394E-8</v>
      </c>
      <c r="BO85" s="110">
        <f t="shared" si="372"/>
        <v>-4.6566128730773926E-9</v>
      </c>
      <c r="BP85" s="9"/>
      <c r="BQ85" s="9"/>
    </row>
    <row r="86" spans="1:69">
      <c r="B86" s="13"/>
      <c r="C86" s="13"/>
      <c r="D86" s="13"/>
      <c r="E86" s="13"/>
      <c r="F86" s="13"/>
      <c r="G86" s="13"/>
      <c r="H86" s="13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</row>
    <row r="87" spans="1:69">
      <c r="B87" s="9"/>
      <c r="C87" s="9"/>
      <c r="D87" s="9"/>
      <c r="E87" s="9"/>
      <c r="F87" s="9"/>
      <c r="G87" s="9"/>
      <c r="H87" s="9"/>
      <c r="Y87" s="110"/>
    </row>
    <row r="88" spans="1:69" ht="15.75" thickBot="1">
      <c r="O88" s="197"/>
      <c r="X88" s="197"/>
      <c r="AF88" s="198"/>
      <c r="AG88" s="198"/>
      <c r="AH88" s="198"/>
      <c r="AI88" s="13"/>
      <c r="AJ88" s="198"/>
      <c r="AK88" s="198"/>
      <c r="AL88" s="198"/>
    </row>
    <row r="89" spans="1:69">
      <c r="O89" s="199"/>
      <c r="S89" s="122"/>
      <c r="X89" s="197"/>
    </row>
    <row r="90" spans="1:69">
      <c r="A90" s="17" t="s">
        <v>1311</v>
      </c>
    </row>
    <row r="91" spans="1:69">
      <c r="AF91" s="110"/>
      <c r="AG91" s="110"/>
      <c r="AH91" s="110"/>
      <c r="AI91" s="110"/>
      <c r="AJ91" s="110"/>
      <c r="AK91" s="110"/>
      <c r="AL91" s="110"/>
    </row>
    <row r="92" spans="1:69">
      <c r="A92" s="17" t="s">
        <v>1312</v>
      </c>
      <c r="B92" s="17" t="s">
        <v>1313</v>
      </c>
      <c r="C92" s="17" t="s">
        <v>1314</v>
      </c>
      <c r="D92" s="17" t="s">
        <v>1315</v>
      </c>
      <c r="E92" s="17" t="s">
        <v>37</v>
      </c>
    </row>
    <row r="93" spans="1:69">
      <c r="AF93" s="124"/>
      <c r="AG93" s="124"/>
      <c r="AH93" s="124"/>
      <c r="AI93" s="124"/>
      <c r="AJ93" s="124"/>
      <c r="AK93" s="124"/>
      <c r="AL93" s="124"/>
    </row>
    <row r="94" spans="1:69">
      <c r="A94" s="17">
        <v>40543</v>
      </c>
      <c r="B94" s="17" t="s">
        <v>1316</v>
      </c>
      <c r="C94" s="113">
        <v>215463.51</v>
      </c>
      <c r="D94" s="113">
        <v>215463.51</v>
      </c>
      <c r="E94" s="113">
        <v>0</v>
      </c>
      <c r="AF94" s="116"/>
      <c r="AG94" s="116"/>
      <c r="AH94" s="116"/>
      <c r="AJ94" s="116"/>
      <c r="AK94" s="116"/>
      <c r="AL94" s="116"/>
    </row>
    <row r="95" spans="1:69">
      <c r="A95" s="17" t="s">
        <v>1317</v>
      </c>
      <c r="B95" s="17" t="s">
        <v>1316</v>
      </c>
      <c r="C95" s="113">
        <v>8361678.0499999989</v>
      </c>
      <c r="D95" s="113">
        <v>8361678.0499999998</v>
      </c>
      <c r="E95" s="113">
        <v>0</v>
      </c>
    </row>
    <row r="96" spans="1:69">
      <c r="A96" s="17" t="s">
        <v>1318</v>
      </c>
      <c r="B96" s="17" t="s">
        <v>1316</v>
      </c>
      <c r="C96" s="113">
        <v>439319.28</v>
      </c>
      <c r="D96" s="113">
        <v>25990271.054000042</v>
      </c>
      <c r="E96" s="113">
        <v>-25550951.774000041</v>
      </c>
    </row>
    <row r="97" spans="1:5">
      <c r="A97" s="17" t="s">
        <v>1319</v>
      </c>
      <c r="C97" s="113"/>
      <c r="D97" s="113"/>
      <c r="E97" s="113"/>
    </row>
    <row r="98" spans="1:5">
      <c r="A98" s="17" t="s">
        <v>1320</v>
      </c>
      <c r="B98" s="17" t="s">
        <v>1316</v>
      </c>
      <c r="C98" s="113">
        <v>0</v>
      </c>
      <c r="D98" s="113">
        <v>29237.14</v>
      </c>
      <c r="E98" s="113">
        <v>-29237.14</v>
      </c>
    </row>
    <row r="99" spans="1:5">
      <c r="A99" s="17" t="s">
        <v>1321</v>
      </c>
      <c r="B99" s="17" t="s">
        <v>1316</v>
      </c>
      <c r="C99" s="113">
        <v>307822.57</v>
      </c>
      <c r="D99" s="113">
        <v>307822.57</v>
      </c>
      <c r="E99" s="113">
        <v>0</v>
      </c>
    </row>
    <row r="100" spans="1:5">
      <c r="A100" s="17" t="s">
        <v>1322</v>
      </c>
      <c r="B100" s="17" t="s">
        <v>1323</v>
      </c>
      <c r="C100" s="113">
        <v>1741396.86</v>
      </c>
      <c r="D100" s="113">
        <v>1741396.86</v>
      </c>
      <c r="E100" s="113">
        <v>0</v>
      </c>
    </row>
    <row r="101" spans="1:5">
      <c r="A101" s="17" t="s">
        <v>1324</v>
      </c>
      <c r="B101" s="17" t="s">
        <v>1325</v>
      </c>
      <c r="C101" s="113">
        <v>397573.79</v>
      </c>
      <c r="D101" s="113">
        <v>395168.86</v>
      </c>
      <c r="E101" s="113">
        <v>2404.929999999993</v>
      </c>
    </row>
    <row r="102" spans="1:5">
      <c r="A102" s="17" t="s">
        <v>1326</v>
      </c>
      <c r="B102" s="17" t="s">
        <v>1327</v>
      </c>
      <c r="C102" s="113">
        <v>1835925.44</v>
      </c>
      <c r="D102" s="113">
        <v>1835925.4400000002</v>
      </c>
      <c r="E102" s="113">
        <v>0</v>
      </c>
    </row>
    <row r="103" spans="1:5">
      <c r="C103" s="113"/>
      <c r="D103" s="113"/>
      <c r="E103" s="113"/>
    </row>
    <row r="104" spans="1:5">
      <c r="A104" s="17" t="s">
        <v>1328</v>
      </c>
      <c r="B104" s="17" t="s">
        <v>1329</v>
      </c>
      <c r="C104" s="113">
        <v>2997268.96</v>
      </c>
      <c r="D104" s="113">
        <v>2997268.96</v>
      </c>
      <c r="E104" s="113">
        <v>0</v>
      </c>
    </row>
    <row r="105" spans="1:5">
      <c r="C105" s="113"/>
      <c r="D105" s="113"/>
      <c r="E105" s="113"/>
    </row>
    <row r="106" spans="1:5">
      <c r="A106" s="17" t="s">
        <v>1330</v>
      </c>
      <c r="B106" s="17" t="s">
        <v>1327</v>
      </c>
      <c r="C106" s="113">
        <v>1265112.3799999999</v>
      </c>
      <c r="D106" s="113">
        <v>1265112.3799999999</v>
      </c>
      <c r="E106" s="113">
        <v>0</v>
      </c>
    </row>
    <row r="107" spans="1:5">
      <c r="C107" s="113"/>
      <c r="D107" s="113"/>
      <c r="E107" s="113"/>
    </row>
    <row r="108" spans="1:5">
      <c r="A108" s="17" t="s">
        <v>1331</v>
      </c>
      <c r="B108" s="17" t="s">
        <v>1327</v>
      </c>
      <c r="C108" s="113">
        <v>889658.47</v>
      </c>
      <c r="D108" s="113">
        <v>889658.47000000009</v>
      </c>
      <c r="E108" s="113">
        <v>0</v>
      </c>
    </row>
    <row r="109" spans="1:5">
      <c r="A109" s="17" t="s">
        <v>1332</v>
      </c>
      <c r="B109" s="17" t="s">
        <v>1329</v>
      </c>
      <c r="C109" s="113">
        <v>1197082.69</v>
      </c>
      <c r="D109" s="113">
        <v>1197082.69</v>
      </c>
      <c r="E109" s="113">
        <v>0</v>
      </c>
    </row>
    <row r="110" spans="1:5">
      <c r="A110" s="17" t="s">
        <v>1333</v>
      </c>
      <c r="B110" s="17" t="s">
        <v>1329</v>
      </c>
      <c r="C110" s="113">
        <v>2266773.0199999996</v>
      </c>
      <c r="D110" s="113">
        <v>2266773.02</v>
      </c>
      <c r="E110" s="113">
        <v>0</v>
      </c>
    </row>
    <row r="111" spans="1:5">
      <c r="A111" s="17" t="s">
        <v>1334</v>
      </c>
      <c r="B111" s="17" t="s">
        <v>1335</v>
      </c>
      <c r="C111" s="113">
        <v>1018385.24</v>
      </c>
      <c r="D111" s="113">
        <v>50035373.930333309</v>
      </c>
      <c r="E111" s="113">
        <v>-49016988.690333307</v>
      </c>
    </row>
    <row r="112" spans="1:5">
      <c r="C112" s="113"/>
      <c r="D112" s="113"/>
      <c r="E112" s="113"/>
    </row>
    <row r="113" spans="1:23">
      <c r="A113" s="17" t="s">
        <v>1336</v>
      </c>
      <c r="B113" s="17" t="s">
        <v>1337</v>
      </c>
      <c r="C113" s="113">
        <v>3018455.3</v>
      </c>
      <c r="D113" s="113">
        <v>3018455.3</v>
      </c>
      <c r="E113" s="113">
        <v>0</v>
      </c>
    </row>
    <row r="114" spans="1:23">
      <c r="A114" s="17" t="s">
        <v>1338</v>
      </c>
      <c r="B114" s="17" t="s">
        <v>1337</v>
      </c>
      <c r="C114" s="113">
        <v>3708859.73</v>
      </c>
      <c r="D114" s="113">
        <v>3708859.7299999995</v>
      </c>
      <c r="E114" s="113">
        <v>0</v>
      </c>
    </row>
    <row r="115" spans="1:23">
      <c r="C115" s="113"/>
      <c r="D115" s="113"/>
      <c r="E115" s="113"/>
    </row>
    <row r="116" spans="1:23">
      <c r="A116" s="17" t="s">
        <v>1339</v>
      </c>
      <c r="B116" s="17" t="s">
        <v>1340</v>
      </c>
      <c r="C116" s="113">
        <v>1764321.4199999992</v>
      </c>
      <c r="D116" s="113">
        <v>1764321.419999999</v>
      </c>
      <c r="E116" s="113">
        <v>0</v>
      </c>
    </row>
    <row r="117" spans="1:23">
      <c r="C117" s="113"/>
      <c r="D117" s="113"/>
      <c r="E117" s="113"/>
    </row>
    <row r="118" spans="1:23">
      <c r="A118" s="17" t="s">
        <v>1341</v>
      </c>
      <c r="B118" s="17" t="s">
        <v>1340</v>
      </c>
      <c r="C118" s="113"/>
      <c r="D118" s="113"/>
      <c r="E118" s="113">
        <v>0</v>
      </c>
    </row>
    <row r="119" spans="1:23">
      <c r="C119" s="113"/>
      <c r="D119" s="113"/>
      <c r="E119" s="113"/>
    </row>
    <row r="120" spans="1:23">
      <c r="A120" s="17" t="s">
        <v>1342</v>
      </c>
      <c r="B120" s="17" t="s">
        <v>1337</v>
      </c>
      <c r="C120" s="113">
        <v>1751901.74</v>
      </c>
      <c r="D120" s="113" t="e">
        <v>#REF!</v>
      </c>
      <c r="E120" s="113" t="e">
        <v>#REF!</v>
      </c>
    </row>
    <row r="122" spans="1:23" s="9" customFormat="1">
      <c r="A122" s="9" t="s">
        <v>1343</v>
      </c>
      <c r="B122" s="9" t="s">
        <v>1344</v>
      </c>
      <c r="C122" s="124">
        <v>5993498.1399999997</v>
      </c>
      <c r="D122" s="124">
        <f>+SUM('2180 Trucks'!N94:N132,'2180 Trucks'!N177:N190,'2180 Cont, DB'!N244:N246,'2180 Cont, DB'!N542:N550,'2180 Cont, DB'!N627:N630,'2180 Cont, DB'!N712:N718,'2180 Cont, DB'!N759:N761,'2180 Other'!N37,'2180 Other'!N60:N62,'2180 Other'!N114:N121)</f>
        <v>5997858.4900000021</v>
      </c>
      <c r="E122" s="116">
        <f>C122-D122</f>
        <v>-4360.3500000024214</v>
      </c>
      <c r="N122" s="99"/>
      <c r="W122" s="99"/>
    </row>
    <row r="124" spans="1:23">
      <c r="A124" s="9" t="s">
        <v>1347</v>
      </c>
      <c r="B124" s="9" t="s">
        <v>1348</v>
      </c>
      <c r="C124" s="116">
        <f>[42]Assets!$N$7</f>
        <v>824740.02999999991</v>
      </c>
      <c r="D124" s="116">
        <f>'2180 Trucks'!F5</f>
        <v>824740.0299999998</v>
      </c>
      <c r="E124" s="116">
        <f>C124-D124</f>
        <v>0</v>
      </c>
    </row>
  </sheetData>
  <mergeCells count="14">
    <mergeCell ref="K6:K7"/>
    <mergeCell ref="L6:L7"/>
    <mergeCell ref="T6:T7"/>
    <mergeCell ref="U6:U7"/>
    <mergeCell ref="J5:L5"/>
    <mergeCell ref="O5:P5"/>
    <mergeCell ref="A4:H4"/>
    <mergeCell ref="AP4:AW4"/>
    <mergeCell ref="AY4:BF4"/>
    <mergeCell ref="BH4:BO4"/>
    <mergeCell ref="S5:U5"/>
    <mergeCell ref="AF5:AH5"/>
    <mergeCell ref="AJ5:AL5"/>
    <mergeCell ref="X5:Y5"/>
  </mergeCells>
  <pageMargins left="0.25" right="0.25" top="0.75" bottom="0.75" header="0.3" footer="0.3"/>
  <pageSetup scale="55" pageOrder="overThenDown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</sheetPr>
  <dimension ref="A1:BQ573"/>
  <sheetViews>
    <sheetView view="pageBreakPreview" zoomScale="60" zoomScaleNormal="100" workbookViewId="0">
      <pane ySplit="11" topLeftCell="A12" activePane="bottomLeft" state="frozen"/>
      <selection activeCell="AS6" sqref="AS6:BQ86"/>
      <selection pane="bottomLeft" activeCell="AS6" sqref="AS6:BQ86"/>
    </sheetView>
  </sheetViews>
  <sheetFormatPr defaultRowHeight="15" outlineLevelRow="1"/>
  <cols>
    <col min="1" max="1" width="8.28515625" style="17" customWidth="1"/>
    <col min="2" max="2" width="6" style="17" customWidth="1"/>
    <col min="3" max="3" width="8.5703125" style="17" customWidth="1"/>
    <col min="4" max="4" width="51.140625" style="17" customWidth="1"/>
    <col min="5" max="6" width="9.42578125" style="17" customWidth="1"/>
    <col min="7" max="8" width="6.85546875" style="17" customWidth="1"/>
    <col min="9" max="9" width="7.85546875" style="17" customWidth="1"/>
    <col min="10" max="10" width="4" style="17" customWidth="1"/>
    <col min="11" max="11" width="6.42578125" style="17" customWidth="1"/>
    <col min="12" max="12" width="10.42578125" style="17" customWidth="1"/>
    <col min="13" max="13" width="10.7109375" style="10" customWidth="1"/>
    <col min="14" max="14" width="12.42578125" style="17" customWidth="1"/>
    <col min="15" max="23" width="13.7109375" style="17" customWidth="1"/>
    <col min="24" max="16384" width="9.140625" style="17"/>
  </cols>
  <sheetData>
    <row r="1" spans="1:69" s="9" customFormat="1">
      <c r="A1" s="125" t="str">
        <f>'2180 Deprec'!A1</f>
        <v>Pierce County Refuse</v>
      </c>
      <c r="D1" s="170" t="s">
        <v>39</v>
      </c>
      <c r="J1" s="15" t="s">
        <v>40</v>
      </c>
      <c r="M1" s="114"/>
      <c r="S1" s="253"/>
      <c r="T1" s="9" t="s">
        <v>41</v>
      </c>
    </row>
    <row r="2" spans="1:69" s="9" customFormat="1">
      <c r="A2" s="125" t="s">
        <v>42</v>
      </c>
      <c r="D2" s="170" t="s">
        <v>43</v>
      </c>
      <c r="J2" s="9" t="s">
        <v>44</v>
      </c>
      <c r="M2" s="114"/>
      <c r="O2" s="9">
        <v>9</v>
      </c>
      <c r="P2" s="9" t="s">
        <v>45</v>
      </c>
      <c r="S2" s="253"/>
      <c r="T2" s="9" t="s">
        <v>46</v>
      </c>
    </row>
    <row r="3" spans="1:69" s="9" customFormat="1">
      <c r="A3" s="403">
        <f>'2180 Deprec'!A3</f>
        <v>44712</v>
      </c>
      <c r="B3" s="403"/>
      <c r="J3" s="9" t="s">
        <v>47</v>
      </c>
      <c r="M3" s="114"/>
      <c r="O3" s="123">
        <v>2021</v>
      </c>
      <c r="P3" s="9" t="s">
        <v>48</v>
      </c>
    </row>
    <row r="4" spans="1:69" s="9" customFormat="1" outlineLevel="1">
      <c r="E4" s="9" t="s">
        <v>1362</v>
      </c>
      <c r="F4" s="9" t="s">
        <v>36</v>
      </c>
      <c r="G4" s="9" t="s">
        <v>1363</v>
      </c>
      <c r="M4" s="114"/>
      <c r="O4" s="123">
        <v>2022</v>
      </c>
      <c r="P4" s="9" t="s">
        <v>49</v>
      </c>
    </row>
    <row r="5" spans="1:69" s="9" customFormat="1" outlineLevel="1">
      <c r="D5" s="414" t="s">
        <v>1380</v>
      </c>
      <c r="E5" s="110">
        <f>SUM(N121:N122,N127:N128,N130,N186,N188,N317:N319)</f>
        <v>29678.800000000003</v>
      </c>
      <c r="F5" s="110">
        <f>SUM(E5,'2180 Cont, DB'!B6,'2180 Other'!C6)</f>
        <v>824740.0299999998</v>
      </c>
      <c r="G5" s="110">
        <f>F5-[42]Assets!$N$7</f>
        <v>0</v>
      </c>
      <c r="M5" s="114"/>
      <c r="O5" s="114">
        <f>O4+(O2/12)</f>
        <v>2022.75</v>
      </c>
      <c r="P5" s="9" t="s">
        <v>50</v>
      </c>
    </row>
    <row r="6" spans="1:69" s="9" customFormat="1" ht="15" customHeight="1" outlineLevel="1">
      <c r="M6" s="114"/>
    </row>
    <row r="7" spans="1:69" s="9" customFormat="1" ht="12.75" customHeight="1" outlineLevel="1">
      <c r="K7" s="171" t="s">
        <v>1252</v>
      </c>
      <c r="M7" s="114"/>
    </row>
    <row r="8" spans="1:69" s="102" customFormat="1" outlineLevel="1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172"/>
      <c r="N8" s="392"/>
      <c r="O8" s="392"/>
      <c r="P8" s="392"/>
      <c r="Q8" s="392"/>
      <c r="R8" s="392"/>
      <c r="S8" s="392"/>
      <c r="T8" s="392" t="s">
        <v>2</v>
      </c>
      <c r="U8" s="392" t="s">
        <v>3</v>
      </c>
      <c r="V8" s="392"/>
      <c r="W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</row>
    <row r="9" spans="1:69" s="102" customFormat="1">
      <c r="A9" s="392"/>
      <c r="B9" s="392"/>
      <c r="C9" s="392"/>
      <c r="D9" s="392"/>
      <c r="E9" s="392"/>
      <c r="F9" s="392"/>
      <c r="G9" s="404" t="s">
        <v>51</v>
      </c>
      <c r="H9" s="404"/>
      <c r="I9" s="392" t="s">
        <v>52</v>
      </c>
      <c r="J9" s="392"/>
      <c r="K9" s="392"/>
      <c r="L9" s="392" t="s">
        <v>53</v>
      </c>
      <c r="M9" s="172" t="s">
        <v>54</v>
      </c>
      <c r="N9" s="392"/>
      <c r="O9" s="392"/>
      <c r="P9" s="392"/>
      <c r="Q9" s="392"/>
      <c r="R9" s="392"/>
      <c r="S9" s="392"/>
      <c r="T9" s="392" t="s">
        <v>55</v>
      </c>
      <c r="U9" s="392" t="s">
        <v>55</v>
      </c>
      <c r="V9" s="392"/>
      <c r="W9" s="392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2"/>
      <c r="BO9" s="392"/>
      <c r="BP9" s="392"/>
      <c r="BQ9" s="392"/>
    </row>
    <row r="10" spans="1:69" s="102" customFormat="1">
      <c r="A10" s="392"/>
      <c r="B10" s="392"/>
      <c r="C10" s="392"/>
      <c r="D10" s="392"/>
      <c r="E10" s="392"/>
      <c r="F10" s="392"/>
      <c r="G10" s="404" t="s">
        <v>56</v>
      </c>
      <c r="H10" s="404"/>
      <c r="I10" s="392" t="s">
        <v>7</v>
      </c>
      <c r="J10" s="392"/>
      <c r="K10" s="392" t="s">
        <v>57</v>
      </c>
      <c r="L10" s="392" t="s">
        <v>58</v>
      </c>
      <c r="M10" s="172" t="s">
        <v>58</v>
      </c>
      <c r="N10" s="392" t="s">
        <v>59</v>
      </c>
      <c r="O10" s="392" t="s">
        <v>8</v>
      </c>
      <c r="P10" s="392" t="s">
        <v>60</v>
      </c>
      <c r="Q10" s="392" t="s">
        <v>61</v>
      </c>
      <c r="R10" s="392" t="s">
        <v>1246</v>
      </c>
      <c r="S10" s="392" t="s">
        <v>9</v>
      </c>
      <c r="T10" s="392" t="s">
        <v>8</v>
      </c>
      <c r="U10" s="392" t="s">
        <v>8</v>
      </c>
      <c r="V10" s="392" t="s">
        <v>1247</v>
      </c>
      <c r="W10" s="392" t="s">
        <v>4</v>
      </c>
      <c r="AS10" s="392"/>
      <c r="AT10" s="392"/>
      <c r="AU10" s="392"/>
      <c r="AV10" s="392"/>
      <c r="AW10" s="392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2"/>
      <c r="BL10" s="392"/>
      <c r="BM10" s="392"/>
      <c r="BN10" s="392"/>
      <c r="BO10" s="392"/>
      <c r="BP10" s="392"/>
      <c r="BQ10" s="392"/>
    </row>
    <row r="11" spans="1:69" s="102" customFormat="1">
      <c r="A11" s="138" t="s">
        <v>62</v>
      </c>
      <c r="B11" s="138" t="s">
        <v>63</v>
      </c>
      <c r="C11" s="138" t="s">
        <v>64</v>
      </c>
      <c r="D11" s="138" t="s">
        <v>65</v>
      </c>
      <c r="E11" s="138" t="s">
        <v>66</v>
      </c>
      <c r="F11" s="138" t="s">
        <v>67</v>
      </c>
      <c r="G11" s="138" t="s">
        <v>53</v>
      </c>
      <c r="H11" s="138" t="s">
        <v>68</v>
      </c>
      <c r="I11" s="138" t="s">
        <v>69</v>
      </c>
      <c r="J11" s="138" t="s">
        <v>70</v>
      </c>
      <c r="K11" s="138" t="s">
        <v>71</v>
      </c>
      <c r="L11" s="138" t="s">
        <v>72</v>
      </c>
      <c r="M11" s="173" t="s">
        <v>72</v>
      </c>
      <c r="N11" s="138" t="s">
        <v>6</v>
      </c>
      <c r="O11" s="138" t="s">
        <v>6</v>
      </c>
      <c r="P11" s="138" t="s">
        <v>73</v>
      </c>
      <c r="Q11" s="138" t="s">
        <v>73</v>
      </c>
      <c r="R11" s="138" t="s">
        <v>1234</v>
      </c>
      <c r="S11" s="138" t="s">
        <v>73</v>
      </c>
      <c r="T11" s="174">
        <v>43831</v>
      </c>
      <c r="U11" s="174">
        <v>44196</v>
      </c>
      <c r="V11" s="174" t="s">
        <v>1232</v>
      </c>
      <c r="W11" s="138" t="s">
        <v>11</v>
      </c>
      <c r="AS11" s="392"/>
      <c r="AT11" s="392"/>
      <c r="AU11" s="392"/>
      <c r="AV11" s="392"/>
      <c r="AW11" s="392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2"/>
      <c r="BL11" s="392"/>
      <c r="BM11" s="392"/>
      <c r="BN11" s="392"/>
      <c r="BO11" s="392"/>
      <c r="BP11" s="392"/>
      <c r="BQ11" s="392"/>
    </row>
    <row r="12" spans="1:69" s="9" customFormat="1">
      <c r="M12" s="114"/>
    </row>
    <row r="13" spans="1:69" s="9" customFormat="1">
      <c r="B13" s="142" t="s">
        <v>74</v>
      </c>
      <c r="M13" s="114"/>
    </row>
    <row r="14" spans="1:69" s="9" customFormat="1">
      <c r="A14" s="9" t="s">
        <v>75</v>
      </c>
      <c r="B14" s="9" t="s">
        <v>76</v>
      </c>
      <c r="D14" s="9" t="s">
        <v>77</v>
      </c>
      <c r="G14" s="9">
        <v>1993</v>
      </c>
      <c r="H14" s="9">
        <v>6</v>
      </c>
      <c r="I14" s="9">
        <v>0</v>
      </c>
      <c r="J14" s="9" t="s">
        <v>78</v>
      </c>
      <c r="K14" s="9">
        <v>5</v>
      </c>
      <c r="L14" s="9">
        <f t="shared" ref="L14:L35" si="0">G14+K14</f>
        <v>1998</v>
      </c>
      <c r="M14" s="114">
        <f>+L14+(H14/12)</f>
        <v>1998.5</v>
      </c>
      <c r="N14" s="13">
        <v>3719</v>
      </c>
      <c r="O14" s="13">
        <f t="shared" ref="O14:O35" si="1">N14-N14*I14</f>
        <v>3719</v>
      </c>
      <c r="P14" s="13">
        <f t="shared" ref="P14:P35" si="2">O14/K14/12</f>
        <v>61.983333333333327</v>
      </c>
      <c r="Q14" s="13">
        <f>P14*12</f>
        <v>743.8</v>
      </c>
      <c r="R14" s="13">
        <v>0</v>
      </c>
      <c r="S14" s="13">
        <f t="shared" ref="S14:S41" si="3">+IF(M14&lt;=$O$5,0,IF(L14&gt;$O$4,Q14,(P14*H14)))</f>
        <v>0</v>
      </c>
      <c r="T14" s="13">
        <f t="shared" ref="T14:T41" si="4">+IF(S14=0,N14,IF($O$3-G14&lt;1,0,(($O$3-G14)*Q14)))</f>
        <v>3719</v>
      </c>
      <c r="U14" s="13">
        <f t="shared" ref="U14:U41" si="5">+IF(S14=0,T14,T14+S14)</f>
        <v>3719</v>
      </c>
      <c r="V14" s="13">
        <v>0</v>
      </c>
      <c r="W14" s="13">
        <f t="shared" ref="W14:W41" si="6">+N14-U14</f>
        <v>0</v>
      </c>
    </row>
    <row r="15" spans="1:69" s="9" customFormat="1">
      <c r="A15" s="9" t="s">
        <v>75</v>
      </c>
      <c r="C15" s="9">
        <v>11085</v>
      </c>
      <c r="D15" s="9" t="s">
        <v>81</v>
      </c>
      <c r="G15" s="9">
        <v>2004</v>
      </c>
      <c r="H15" s="9">
        <v>12</v>
      </c>
      <c r="I15" s="9">
        <v>0</v>
      </c>
      <c r="J15" s="9" t="s">
        <v>78</v>
      </c>
      <c r="K15" s="9">
        <v>5</v>
      </c>
      <c r="L15" s="9">
        <f t="shared" si="0"/>
        <v>2009</v>
      </c>
      <c r="M15" s="114">
        <f t="shared" ref="M15:M35" si="7">+L15+(H15/12)</f>
        <v>2010</v>
      </c>
      <c r="N15" s="13">
        <f>'2180 Trucks - Orig.'!O22</f>
        <v>61840.104000000007</v>
      </c>
      <c r="O15" s="13">
        <f t="shared" si="1"/>
        <v>61840.104000000007</v>
      </c>
      <c r="P15" s="13">
        <f t="shared" si="2"/>
        <v>1030.6684000000002</v>
      </c>
      <c r="Q15" s="13">
        <f t="shared" ref="Q15:Q35" si="8">P15*12</f>
        <v>12368.020800000002</v>
      </c>
      <c r="R15" s="13">
        <v>0</v>
      </c>
      <c r="S15" s="13">
        <f t="shared" si="3"/>
        <v>0</v>
      </c>
      <c r="T15" s="13">
        <f t="shared" si="4"/>
        <v>61840.104000000007</v>
      </c>
      <c r="U15" s="13">
        <f t="shared" si="5"/>
        <v>61840.104000000007</v>
      </c>
      <c r="V15" s="13">
        <v>0</v>
      </c>
      <c r="W15" s="13">
        <f t="shared" si="6"/>
        <v>0</v>
      </c>
    </row>
    <row r="16" spans="1:69" s="9" customFormat="1">
      <c r="A16" s="15"/>
      <c r="B16" s="15"/>
      <c r="C16" s="15"/>
      <c r="D16" s="15" t="s">
        <v>82</v>
      </c>
      <c r="E16" s="15"/>
      <c r="F16" s="15"/>
      <c r="G16" s="15">
        <v>2018</v>
      </c>
      <c r="H16" s="15">
        <v>12</v>
      </c>
      <c r="I16" s="15">
        <v>0</v>
      </c>
      <c r="J16" s="15" t="s">
        <v>78</v>
      </c>
      <c r="K16" s="15">
        <f>+IF(L15-$O$3&gt;=3,L15-$O$3,3)</f>
        <v>3</v>
      </c>
      <c r="L16" s="15">
        <f>G16+K16</f>
        <v>2021</v>
      </c>
      <c r="M16" s="145">
        <f>+L16+(H16/12)</f>
        <v>2022</v>
      </c>
      <c r="N16" s="16">
        <f>'2180 Trucks - Orig.'!N22-'2180 Trucks'!N15</f>
        <v>15460.025999999998</v>
      </c>
      <c r="O16" s="16">
        <f>N16-N16*I16</f>
        <v>15460.025999999998</v>
      </c>
      <c r="P16" s="16">
        <f>O16/K16/12</f>
        <v>429.44516666666664</v>
      </c>
      <c r="Q16" s="16">
        <f>P16*12</f>
        <v>5153.3419999999996</v>
      </c>
      <c r="R16" s="16">
        <v>5153.3419999999996</v>
      </c>
      <c r="S16" s="16">
        <f t="shared" si="3"/>
        <v>0</v>
      </c>
      <c r="T16" s="16">
        <f t="shared" si="4"/>
        <v>15460.025999999998</v>
      </c>
      <c r="U16" s="16">
        <f t="shared" si="5"/>
        <v>15460.025999999998</v>
      </c>
      <c r="V16" s="16">
        <v>10306.683999999997</v>
      </c>
      <c r="W16" s="16">
        <f t="shared" si="6"/>
        <v>0</v>
      </c>
    </row>
    <row r="17" spans="1:23" s="9" customFormat="1">
      <c r="A17" s="9" t="s">
        <v>75</v>
      </c>
      <c r="B17" s="9" t="s">
        <v>76</v>
      </c>
      <c r="C17" s="9">
        <v>1048</v>
      </c>
      <c r="D17" s="9" t="s">
        <v>83</v>
      </c>
      <c r="G17" s="9">
        <v>2006</v>
      </c>
      <c r="H17" s="9">
        <v>11</v>
      </c>
      <c r="I17" s="9">
        <v>0</v>
      </c>
      <c r="J17" s="9" t="s">
        <v>78</v>
      </c>
      <c r="K17" s="9">
        <v>7</v>
      </c>
      <c r="L17" s="9">
        <f>G17+K17</f>
        <v>2013</v>
      </c>
      <c r="M17" s="114">
        <f t="shared" si="7"/>
        <v>2013.9166666666667</v>
      </c>
      <c r="N17" s="13">
        <f>'2180 Trucks - Orig.'!O30</f>
        <v>101297.152</v>
      </c>
      <c r="O17" s="13">
        <f t="shared" si="1"/>
        <v>101297.152</v>
      </c>
      <c r="P17" s="13">
        <f t="shared" si="2"/>
        <v>1205.9184761904762</v>
      </c>
      <c r="Q17" s="13">
        <f t="shared" si="8"/>
        <v>14471.021714285715</v>
      </c>
      <c r="R17" s="13">
        <v>0</v>
      </c>
      <c r="S17" s="13">
        <f t="shared" si="3"/>
        <v>0</v>
      </c>
      <c r="T17" s="13">
        <f t="shared" si="4"/>
        <v>101297.152</v>
      </c>
      <c r="U17" s="13">
        <f t="shared" si="5"/>
        <v>101297.152</v>
      </c>
      <c r="V17" s="13">
        <v>0</v>
      </c>
      <c r="W17" s="13">
        <f t="shared" si="6"/>
        <v>0</v>
      </c>
    </row>
    <row r="18" spans="1:23" s="9" customFormat="1">
      <c r="A18" s="15"/>
      <c r="B18" s="15"/>
      <c r="C18" s="15"/>
      <c r="D18" s="15" t="s">
        <v>84</v>
      </c>
      <c r="E18" s="15"/>
      <c r="F18" s="15"/>
      <c r="G18" s="15">
        <v>2018</v>
      </c>
      <c r="H18" s="15">
        <v>12</v>
      </c>
      <c r="I18" s="15">
        <v>0</v>
      </c>
      <c r="J18" s="15" t="s">
        <v>78</v>
      </c>
      <c r="K18" s="15">
        <f>+IF(L17-$O$3&gt;=3,L17-$O$3,3)</f>
        <v>3</v>
      </c>
      <c r="L18" s="15">
        <f>G18+K18</f>
        <v>2021</v>
      </c>
      <c r="M18" s="145">
        <f>+L18+(H18/12)</f>
        <v>2022</v>
      </c>
      <c r="N18" s="16">
        <f>'2180 Trucks - Orig.'!N30-'2180 Trucks'!N17</f>
        <v>25324.288</v>
      </c>
      <c r="O18" s="16">
        <f>N18-N18*I18</f>
        <v>25324.288</v>
      </c>
      <c r="P18" s="16">
        <f>O18/K18/12</f>
        <v>703.4524444444445</v>
      </c>
      <c r="Q18" s="16">
        <f>P18*12</f>
        <v>8441.4293333333335</v>
      </c>
      <c r="R18" s="16">
        <v>8441.4293333333335</v>
      </c>
      <c r="S18" s="16">
        <f t="shared" si="3"/>
        <v>0</v>
      </c>
      <c r="T18" s="16">
        <f t="shared" si="4"/>
        <v>25324.288</v>
      </c>
      <c r="U18" s="16">
        <f t="shared" si="5"/>
        <v>25324.288</v>
      </c>
      <c r="V18" s="16">
        <v>16882.858666666667</v>
      </c>
      <c r="W18" s="16">
        <f t="shared" si="6"/>
        <v>0</v>
      </c>
    </row>
    <row r="19" spans="1:23" s="9" customFormat="1">
      <c r="A19" s="9" t="s">
        <v>75</v>
      </c>
      <c r="D19" s="9" t="s">
        <v>87</v>
      </c>
      <c r="E19" s="9" t="s">
        <v>88</v>
      </c>
      <c r="G19" s="9">
        <v>2006</v>
      </c>
      <c r="H19" s="9">
        <v>12</v>
      </c>
      <c r="I19" s="9">
        <v>0</v>
      </c>
      <c r="J19" s="9" t="s">
        <v>78</v>
      </c>
      <c r="K19" s="9">
        <v>5</v>
      </c>
      <c r="L19" s="9">
        <f t="shared" si="0"/>
        <v>2011</v>
      </c>
      <c r="M19" s="114">
        <f t="shared" si="7"/>
        <v>2012</v>
      </c>
      <c r="N19" s="13">
        <f>(9918.49+20060.36+141742.3)*18/36</f>
        <v>85860.574999999997</v>
      </c>
      <c r="O19" s="13">
        <f t="shared" si="1"/>
        <v>85860.574999999997</v>
      </c>
      <c r="P19" s="13">
        <f t="shared" si="2"/>
        <v>1431.0095833333332</v>
      </c>
      <c r="Q19" s="13">
        <f t="shared" si="8"/>
        <v>17172.114999999998</v>
      </c>
      <c r="R19" s="13">
        <v>0</v>
      </c>
      <c r="S19" s="13">
        <f t="shared" si="3"/>
        <v>0</v>
      </c>
      <c r="T19" s="13">
        <f t="shared" si="4"/>
        <v>85860.574999999997</v>
      </c>
      <c r="U19" s="13">
        <f t="shared" si="5"/>
        <v>85860.574999999997</v>
      </c>
      <c r="V19" s="13">
        <v>0</v>
      </c>
      <c r="W19" s="13">
        <f t="shared" si="6"/>
        <v>0</v>
      </c>
    </row>
    <row r="20" spans="1:23" s="9" customFormat="1">
      <c r="A20" s="9" t="s">
        <v>75</v>
      </c>
      <c r="C20" s="9">
        <v>1052</v>
      </c>
      <c r="D20" s="9" t="s">
        <v>89</v>
      </c>
      <c r="G20" s="9">
        <v>2007</v>
      </c>
      <c r="H20" s="9">
        <v>1</v>
      </c>
      <c r="I20" s="9">
        <v>0</v>
      </c>
      <c r="J20" s="9" t="s">
        <v>78</v>
      </c>
      <c r="K20" s="9">
        <v>7</v>
      </c>
      <c r="L20" s="9">
        <f t="shared" si="0"/>
        <v>2014</v>
      </c>
      <c r="M20" s="114">
        <f t="shared" si="7"/>
        <v>2014.0833333333333</v>
      </c>
      <c r="N20" s="13">
        <f>'2180 Trucks - Orig.'!O34</f>
        <v>3159.5520000000001</v>
      </c>
      <c r="O20" s="13">
        <f t="shared" si="1"/>
        <v>3159.5520000000001</v>
      </c>
      <c r="P20" s="13">
        <f t="shared" si="2"/>
        <v>37.613714285714288</v>
      </c>
      <c r="Q20" s="13">
        <f t="shared" si="8"/>
        <v>451.36457142857148</v>
      </c>
      <c r="R20" s="13">
        <v>0</v>
      </c>
      <c r="S20" s="13">
        <f t="shared" si="3"/>
        <v>0</v>
      </c>
      <c r="T20" s="13">
        <f t="shared" si="4"/>
        <v>3159.5520000000001</v>
      </c>
      <c r="U20" s="13">
        <f t="shared" si="5"/>
        <v>3159.5520000000001</v>
      </c>
      <c r="V20" s="13">
        <v>0</v>
      </c>
      <c r="W20" s="13">
        <f t="shared" si="6"/>
        <v>0</v>
      </c>
    </row>
    <row r="21" spans="1:23" s="9" customFormat="1">
      <c r="A21" s="15"/>
      <c r="B21" s="15"/>
      <c r="C21" s="15"/>
      <c r="D21" s="15" t="s">
        <v>90</v>
      </c>
      <c r="E21" s="15"/>
      <c r="F21" s="15"/>
      <c r="G21" s="15">
        <v>2018</v>
      </c>
      <c r="H21" s="15">
        <v>12</v>
      </c>
      <c r="I21" s="15">
        <v>0</v>
      </c>
      <c r="J21" s="15" t="s">
        <v>78</v>
      </c>
      <c r="K21" s="15">
        <f>+IF(L20-$O$3&gt;=3,L20-$O$3,3)</f>
        <v>3</v>
      </c>
      <c r="L21" s="15">
        <f t="shared" si="0"/>
        <v>2021</v>
      </c>
      <c r="M21" s="145">
        <f t="shared" si="7"/>
        <v>2022</v>
      </c>
      <c r="N21" s="16">
        <f>'2180 Trucks - Orig.'!N34-'2180 Trucks'!N20</f>
        <v>789.88799999999992</v>
      </c>
      <c r="O21" s="16">
        <f t="shared" si="1"/>
        <v>789.88799999999992</v>
      </c>
      <c r="P21" s="16">
        <f t="shared" si="2"/>
        <v>21.941333333333333</v>
      </c>
      <c r="Q21" s="16">
        <f t="shared" si="8"/>
        <v>263.29599999999999</v>
      </c>
      <c r="R21" s="16">
        <v>263.29599999999999</v>
      </c>
      <c r="S21" s="16">
        <f t="shared" si="3"/>
        <v>0</v>
      </c>
      <c r="T21" s="16">
        <f t="shared" si="4"/>
        <v>789.88799999999992</v>
      </c>
      <c r="U21" s="16">
        <f t="shared" si="5"/>
        <v>789.88799999999992</v>
      </c>
      <c r="V21" s="16">
        <v>526.59199999999987</v>
      </c>
      <c r="W21" s="16">
        <f t="shared" si="6"/>
        <v>0</v>
      </c>
    </row>
    <row r="22" spans="1:23" s="9" customFormat="1">
      <c r="A22" s="9" t="s">
        <v>75</v>
      </c>
      <c r="B22" s="9" t="s">
        <v>76</v>
      </c>
      <c r="C22" s="9">
        <v>1063</v>
      </c>
      <c r="D22" s="9" t="s">
        <v>91</v>
      </c>
      <c r="G22" s="9">
        <v>2007</v>
      </c>
      <c r="H22" s="9">
        <v>5</v>
      </c>
      <c r="I22" s="9">
        <v>0</v>
      </c>
      <c r="J22" s="9" t="s">
        <v>78</v>
      </c>
      <c r="K22" s="9">
        <v>7</v>
      </c>
      <c r="L22" s="9">
        <f t="shared" si="0"/>
        <v>2014</v>
      </c>
      <c r="M22" s="114">
        <f t="shared" si="7"/>
        <v>2014.4166666666667</v>
      </c>
      <c r="N22" s="13">
        <f>'2180 Trucks - Orig.'!O36</f>
        <v>101874.976</v>
      </c>
      <c r="O22" s="13">
        <f t="shared" si="1"/>
        <v>101874.976</v>
      </c>
      <c r="P22" s="13">
        <f t="shared" si="2"/>
        <v>1212.7973333333332</v>
      </c>
      <c r="Q22" s="13">
        <f t="shared" si="8"/>
        <v>14553.567999999999</v>
      </c>
      <c r="R22" s="13">
        <v>0</v>
      </c>
      <c r="S22" s="13">
        <f t="shared" si="3"/>
        <v>0</v>
      </c>
      <c r="T22" s="13">
        <f t="shared" si="4"/>
        <v>101874.976</v>
      </c>
      <c r="U22" s="13">
        <f t="shared" si="5"/>
        <v>101874.976</v>
      </c>
      <c r="V22" s="13">
        <v>0</v>
      </c>
      <c r="W22" s="13">
        <f t="shared" si="6"/>
        <v>0</v>
      </c>
    </row>
    <row r="23" spans="1:23" s="9" customFormat="1">
      <c r="A23" s="15"/>
      <c r="B23" s="15"/>
      <c r="C23" s="15"/>
      <c r="D23" s="15" t="s">
        <v>92</v>
      </c>
      <c r="E23" s="15"/>
      <c r="F23" s="15"/>
      <c r="G23" s="15">
        <v>2018</v>
      </c>
      <c r="H23" s="15">
        <v>12</v>
      </c>
      <c r="I23" s="15">
        <v>0</v>
      </c>
      <c r="J23" s="15" t="s">
        <v>78</v>
      </c>
      <c r="K23" s="15">
        <f>+IF(L22-$O$3&gt;=3,L22-$O$3,3)</f>
        <v>3</v>
      </c>
      <c r="L23" s="15">
        <f t="shared" si="0"/>
        <v>2021</v>
      </c>
      <c r="M23" s="145">
        <f t="shared" si="7"/>
        <v>2022</v>
      </c>
      <c r="N23" s="16">
        <f>'2180 Trucks - Orig.'!N36-'2180 Trucks'!N22</f>
        <v>25468.744000000006</v>
      </c>
      <c r="O23" s="16">
        <f t="shared" si="1"/>
        <v>25468.744000000006</v>
      </c>
      <c r="P23" s="16">
        <f t="shared" si="2"/>
        <v>707.46511111111124</v>
      </c>
      <c r="Q23" s="16">
        <f t="shared" si="8"/>
        <v>8489.5813333333354</v>
      </c>
      <c r="R23" s="16">
        <v>8489.5813333333354</v>
      </c>
      <c r="S23" s="16">
        <f t="shared" si="3"/>
        <v>0</v>
      </c>
      <c r="T23" s="16">
        <f t="shared" si="4"/>
        <v>25468.744000000006</v>
      </c>
      <c r="U23" s="16">
        <f t="shared" si="5"/>
        <v>25468.744000000006</v>
      </c>
      <c r="V23" s="16">
        <v>16979.162666666671</v>
      </c>
      <c r="W23" s="16">
        <f t="shared" si="6"/>
        <v>0</v>
      </c>
    </row>
    <row r="24" spans="1:23" s="9" customFormat="1">
      <c r="A24" s="9" t="s">
        <v>75</v>
      </c>
      <c r="B24" s="9" t="s">
        <v>76</v>
      </c>
      <c r="C24" s="9">
        <v>1066</v>
      </c>
      <c r="D24" s="9" t="s">
        <v>91</v>
      </c>
      <c r="G24" s="9">
        <v>2007</v>
      </c>
      <c r="H24" s="9">
        <v>5</v>
      </c>
      <c r="I24" s="9">
        <v>0</v>
      </c>
      <c r="J24" s="9" t="s">
        <v>78</v>
      </c>
      <c r="K24" s="9">
        <v>7</v>
      </c>
      <c r="L24" s="9">
        <f t="shared" si="0"/>
        <v>2014</v>
      </c>
      <c r="M24" s="114">
        <f t="shared" si="7"/>
        <v>2014.4166666666667</v>
      </c>
      <c r="N24" s="13">
        <f>'2180 Trucks - Orig.'!O38</f>
        <v>101874.976</v>
      </c>
      <c r="O24" s="13">
        <f t="shared" si="1"/>
        <v>101874.976</v>
      </c>
      <c r="P24" s="13">
        <f t="shared" si="2"/>
        <v>1212.7973333333332</v>
      </c>
      <c r="Q24" s="13">
        <f t="shared" si="8"/>
        <v>14553.567999999999</v>
      </c>
      <c r="R24" s="13">
        <v>0</v>
      </c>
      <c r="S24" s="13">
        <f t="shared" si="3"/>
        <v>0</v>
      </c>
      <c r="T24" s="13">
        <f t="shared" si="4"/>
        <v>101874.976</v>
      </c>
      <c r="U24" s="13">
        <f t="shared" si="5"/>
        <v>101874.976</v>
      </c>
      <c r="V24" s="13">
        <v>0</v>
      </c>
      <c r="W24" s="13">
        <f t="shared" si="6"/>
        <v>0</v>
      </c>
    </row>
    <row r="25" spans="1:23" s="9" customFormat="1">
      <c r="A25" s="15"/>
      <c r="B25" s="15"/>
      <c r="C25" s="15"/>
      <c r="D25" s="15" t="s">
        <v>92</v>
      </c>
      <c r="E25" s="15"/>
      <c r="F25" s="15"/>
      <c r="G25" s="15">
        <v>2018</v>
      </c>
      <c r="H25" s="15">
        <v>12</v>
      </c>
      <c r="I25" s="15">
        <v>0</v>
      </c>
      <c r="J25" s="15" t="s">
        <v>78</v>
      </c>
      <c r="K25" s="15">
        <f>+IF(L24-$O$3&gt;=3,L24-$O$3,3)</f>
        <v>3</v>
      </c>
      <c r="L25" s="15">
        <f t="shared" si="0"/>
        <v>2021</v>
      </c>
      <c r="M25" s="145">
        <f t="shared" si="7"/>
        <v>2022</v>
      </c>
      <c r="N25" s="16">
        <f>'2180 Trucks - Orig.'!N38-'2180 Trucks'!N24</f>
        <v>25468.744000000006</v>
      </c>
      <c r="O25" s="16">
        <f t="shared" si="1"/>
        <v>25468.744000000006</v>
      </c>
      <c r="P25" s="16">
        <f t="shared" si="2"/>
        <v>707.46511111111124</v>
      </c>
      <c r="Q25" s="16">
        <f t="shared" si="8"/>
        <v>8489.5813333333354</v>
      </c>
      <c r="R25" s="16">
        <v>8489.5813333333354</v>
      </c>
      <c r="S25" s="16">
        <f t="shared" si="3"/>
        <v>0</v>
      </c>
      <c r="T25" s="16">
        <f t="shared" si="4"/>
        <v>25468.744000000006</v>
      </c>
      <c r="U25" s="16">
        <f t="shared" si="5"/>
        <v>25468.744000000006</v>
      </c>
      <c r="V25" s="16">
        <v>16979.162666666671</v>
      </c>
      <c r="W25" s="16">
        <f t="shared" si="6"/>
        <v>0</v>
      </c>
    </row>
    <row r="26" spans="1:23" s="9" customFormat="1">
      <c r="A26" s="9" t="s">
        <v>75</v>
      </c>
      <c r="B26" s="9" t="s">
        <v>76</v>
      </c>
      <c r="C26" s="9">
        <v>1058</v>
      </c>
      <c r="D26" s="9" t="s">
        <v>91</v>
      </c>
      <c r="G26" s="9">
        <v>2007</v>
      </c>
      <c r="H26" s="9">
        <v>5</v>
      </c>
      <c r="I26" s="9">
        <v>0</v>
      </c>
      <c r="J26" s="9" t="s">
        <v>78</v>
      </c>
      <c r="K26" s="9">
        <v>7</v>
      </c>
      <c r="L26" s="9">
        <f t="shared" si="0"/>
        <v>2014</v>
      </c>
      <c r="M26" s="114">
        <f t="shared" si="7"/>
        <v>2014.4166666666667</v>
      </c>
      <c r="N26" s="13">
        <f>'2180 Trucks - Orig.'!O39</f>
        <v>101874.976</v>
      </c>
      <c r="O26" s="13">
        <f t="shared" si="1"/>
        <v>101874.976</v>
      </c>
      <c r="P26" s="13">
        <f t="shared" si="2"/>
        <v>1212.7973333333332</v>
      </c>
      <c r="Q26" s="13">
        <f t="shared" si="8"/>
        <v>14553.567999999999</v>
      </c>
      <c r="R26" s="13">
        <v>0</v>
      </c>
      <c r="S26" s="13">
        <f t="shared" si="3"/>
        <v>0</v>
      </c>
      <c r="T26" s="13">
        <f t="shared" si="4"/>
        <v>101874.976</v>
      </c>
      <c r="U26" s="13">
        <f t="shared" si="5"/>
        <v>101874.976</v>
      </c>
      <c r="V26" s="13">
        <v>0</v>
      </c>
      <c r="W26" s="13">
        <f t="shared" si="6"/>
        <v>0</v>
      </c>
    </row>
    <row r="27" spans="1:23" s="9" customFormat="1">
      <c r="A27" s="15"/>
      <c r="B27" s="15"/>
      <c r="C27" s="15"/>
      <c r="D27" s="15" t="s">
        <v>92</v>
      </c>
      <c r="E27" s="15"/>
      <c r="F27" s="15"/>
      <c r="G27" s="15">
        <v>2018</v>
      </c>
      <c r="H27" s="15">
        <v>12</v>
      </c>
      <c r="I27" s="15">
        <v>0</v>
      </c>
      <c r="J27" s="15" t="s">
        <v>78</v>
      </c>
      <c r="K27" s="15">
        <f>+IF(L26-$O$3&gt;=3,L26-$O$3,3)</f>
        <v>3</v>
      </c>
      <c r="L27" s="15">
        <f t="shared" si="0"/>
        <v>2021</v>
      </c>
      <c r="M27" s="145">
        <f t="shared" si="7"/>
        <v>2022</v>
      </c>
      <c r="N27" s="16">
        <f>'2180 Trucks - Orig.'!N39-'2180 Trucks'!N26</f>
        <v>25468.744000000006</v>
      </c>
      <c r="O27" s="16">
        <f t="shared" si="1"/>
        <v>25468.744000000006</v>
      </c>
      <c r="P27" s="16">
        <f t="shared" si="2"/>
        <v>707.46511111111124</v>
      </c>
      <c r="Q27" s="16">
        <f t="shared" si="8"/>
        <v>8489.5813333333354</v>
      </c>
      <c r="R27" s="16">
        <v>8489.5813333333354</v>
      </c>
      <c r="S27" s="16">
        <f t="shared" si="3"/>
        <v>0</v>
      </c>
      <c r="T27" s="16">
        <f t="shared" si="4"/>
        <v>25468.744000000006</v>
      </c>
      <c r="U27" s="16">
        <f t="shared" si="5"/>
        <v>25468.744000000006</v>
      </c>
      <c r="V27" s="16">
        <v>16979.162666666671</v>
      </c>
      <c r="W27" s="16">
        <f t="shared" si="6"/>
        <v>0</v>
      </c>
    </row>
    <row r="28" spans="1:23" s="9" customFormat="1">
      <c r="A28" s="9" t="s">
        <v>75</v>
      </c>
      <c r="B28" s="9" t="s">
        <v>76</v>
      </c>
      <c r="C28" s="9">
        <v>1064</v>
      </c>
      <c r="D28" s="9" t="s">
        <v>91</v>
      </c>
      <c r="G28" s="9">
        <v>2007</v>
      </c>
      <c r="H28" s="9">
        <v>7</v>
      </c>
      <c r="I28" s="9">
        <v>0</v>
      </c>
      <c r="J28" s="9" t="s">
        <v>78</v>
      </c>
      <c r="K28" s="9">
        <v>7</v>
      </c>
      <c r="L28" s="9">
        <f t="shared" si="0"/>
        <v>2014</v>
      </c>
      <c r="M28" s="114">
        <f t="shared" si="7"/>
        <v>2014.5833333333333</v>
      </c>
      <c r="N28" s="13">
        <f>'2180 Trucks - Orig.'!O40</f>
        <v>101874.976</v>
      </c>
      <c r="O28" s="13">
        <f t="shared" si="1"/>
        <v>101874.976</v>
      </c>
      <c r="P28" s="13">
        <f t="shared" si="2"/>
        <v>1212.7973333333332</v>
      </c>
      <c r="Q28" s="13">
        <f t="shared" si="8"/>
        <v>14553.567999999999</v>
      </c>
      <c r="R28" s="13">
        <v>0</v>
      </c>
      <c r="S28" s="13">
        <f t="shared" si="3"/>
        <v>0</v>
      </c>
      <c r="T28" s="13">
        <f t="shared" si="4"/>
        <v>101874.976</v>
      </c>
      <c r="U28" s="13">
        <f t="shared" si="5"/>
        <v>101874.976</v>
      </c>
      <c r="V28" s="13">
        <v>0</v>
      </c>
      <c r="W28" s="13">
        <f t="shared" si="6"/>
        <v>0</v>
      </c>
    </row>
    <row r="29" spans="1:23" s="9" customFormat="1">
      <c r="A29" s="15"/>
      <c r="B29" s="15"/>
      <c r="C29" s="15"/>
      <c r="D29" s="15" t="s">
        <v>92</v>
      </c>
      <c r="E29" s="15"/>
      <c r="F29" s="15"/>
      <c r="G29" s="15">
        <v>2018</v>
      </c>
      <c r="H29" s="15">
        <v>12</v>
      </c>
      <c r="I29" s="15">
        <v>0</v>
      </c>
      <c r="J29" s="15" t="s">
        <v>78</v>
      </c>
      <c r="K29" s="15">
        <f>+IF(L28-$O$3&gt;=3,L28-$O$3,3)</f>
        <v>3</v>
      </c>
      <c r="L29" s="15">
        <f t="shared" si="0"/>
        <v>2021</v>
      </c>
      <c r="M29" s="145">
        <f t="shared" si="7"/>
        <v>2022</v>
      </c>
      <c r="N29" s="16">
        <f>'2180 Trucks - Orig.'!N40-'2180 Trucks'!N28</f>
        <v>25468.744000000006</v>
      </c>
      <c r="O29" s="16">
        <f t="shared" si="1"/>
        <v>25468.744000000006</v>
      </c>
      <c r="P29" s="16">
        <f t="shared" si="2"/>
        <v>707.46511111111124</v>
      </c>
      <c r="Q29" s="16">
        <f t="shared" si="8"/>
        <v>8489.5813333333354</v>
      </c>
      <c r="R29" s="16">
        <v>8489.5813333333354</v>
      </c>
      <c r="S29" s="16">
        <f t="shared" si="3"/>
        <v>0</v>
      </c>
      <c r="T29" s="16">
        <f t="shared" si="4"/>
        <v>25468.744000000006</v>
      </c>
      <c r="U29" s="16">
        <f t="shared" si="5"/>
        <v>25468.744000000006</v>
      </c>
      <c r="V29" s="16">
        <v>16979.162666666671</v>
      </c>
      <c r="W29" s="16">
        <f t="shared" si="6"/>
        <v>0</v>
      </c>
    </row>
    <row r="30" spans="1:23" s="9" customFormat="1">
      <c r="B30" s="9" t="s">
        <v>93</v>
      </c>
      <c r="C30" s="9">
        <v>9578</v>
      </c>
      <c r="D30" s="9" t="s">
        <v>94</v>
      </c>
      <c r="G30" s="9">
        <v>2009</v>
      </c>
      <c r="H30" s="9">
        <v>7</v>
      </c>
      <c r="I30" s="9">
        <v>0</v>
      </c>
      <c r="J30" s="9" t="s">
        <v>78</v>
      </c>
      <c r="K30" s="9">
        <v>3</v>
      </c>
      <c r="L30" s="9">
        <f t="shared" si="0"/>
        <v>2012</v>
      </c>
      <c r="M30" s="114">
        <f t="shared" si="7"/>
        <v>2012.5833333333333</v>
      </c>
      <c r="N30" s="13">
        <v>6184.03</v>
      </c>
      <c r="O30" s="13">
        <f t="shared" si="1"/>
        <v>6184.03</v>
      </c>
      <c r="P30" s="13">
        <f t="shared" si="2"/>
        <v>171.7786111111111</v>
      </c>
      <c r="Q30" s="13">
        <f t="shared" si="8"/>
        <v>2061.3433333333332</v>
      </c>
      <c r="R30" s="13">
        <v>0</v>
      </c>
      <c r="S30" s="13">
        <f t="shared" si="3"/>
        <v>0</v>
      </c>
      <c r="T30" s="13">
        <f t="shared" si="4"/>
        <v>6184.03</v>
      </c>
      <c r="U30" s="13">
        <f t="shared" si="5"/>
        <v>6184.03</v>
      </c>
      <c r="V30" s="13">
        <v>0</v>
      </c>
      <c r="W30" s="13">
        <f t="shared" si="6"/>
        <v>0</v>
      </c>
    </row>
    <row r="31" spans="1:23" s="9" customFormat="1">
      <c r="A31" s="9" t="s">
        <v>75</v>
      </c>
      <c r="D31" s="9" t="s">
        <v>95</v>
      </c>
      <c r="E31" s="9" t="s">
        <v>96</v>
      </c>
      <c r="F31" s="9" t="s">
        <v>97</v>
      </c>
      <c r="G31" s="9">
        <v>2009</v>
      </c>
      <c r="H31" s="9">
        <v>7</v>
      </c>
      <c r="I31" s="9">
        <v>0</v>
      </c>
      <c r="J31" s="9" t="s">
        <v>78</v>
      </c>
      <c r="K31" s="9">
        <v>5</v>
      </c>
      <c r="L31" s="9">
        <f t="shared" si="0"/>
        <v>2014</v>
      </c>
      <c r="M31" s="114">
        <f t="shared" si="7"/>
        <v>2014.5833333333333</v>
      </c>
      <c r="N31" s="13">
        <f>(6722.48+38653.29+641.31+1194.22+14225.95)*38/61</f>
        <v>38272.385245901642</v>
      </c>
      <c r="O31" s="13">
        <f t="shared" si="1"/>
        <v>38272.385245901642</v>
      </c>
      <c r="P31" s="13">
        <f t="shared" si="2"/>
        <v>637.87308743169399</v>
      </c>
      <c r="Q31" s="13">
        <f t="shared" si="8"/>
        <v>7654.4770491803283</v>
      </c>
      <c r="R31" s="13">
        <v>0</v>
      </c>
      <c r="S31" s="13">
        <f t="shared" si="3"/>
        <v>0</v>
      </c>
      <c r="T31" s="13">
        <f t="shared" si="4"/>
        <v>38272.385245901642</v>
      </c>
      <c r="U31" s="13">
        <f t="shared" si="5"/>
        <v>38272.385245901642</v>
      </c>
      <c r="V31" s="13">
        <v>0</v>
      </c>
      <c r="W31" s="13">
        <f t="shared" si="6"/>
        <v>0</v>
      </c>
    </row>
    <row r="32" spans="1:23" s="9" customFormat="1">
      <c r="D32" s="9" t="s">
        <v>98</v>
      </c>
      <c r="E32" s="9" t="s">
        <v>99</v>
      </c>
      <c r="G32" s="9">
        <v>2009</v>
      </c>
      <c r="H32" s="9">
        <v>7</v>
      </c>
      <c r="I32" s="9">
        <v>0</v>
      </c>
      <c r="J32" s="9" t="s">
        <v>78</v>
      </c>
      <c r="K32" s="9">
        <v>5</v>
      </c>
      <c r="L32" s="9">
        <f t="shared" si="0"/>
        <v>2014</v>
      </c>
      <c r="M32" s="114">
        <f t="shared" si="7"/>
        <v>2014.5833333333333</v>
      </c>
      <c r="N32" s="13">
        <f>(34912.65+1078.65+10913.06)*18/46</f>
        <v>18353.88</v>
      </c>
      <c r="O32" s="13">
        <f t="shared" si="1"/>
        <v>18353.88</v>
      </c>
      <c r="P32" s="13">
        <f t="shared" si="2"/>
        <v>305.89800000000002</v>
      </c>
      <c r="Q32" s="13">
        <f t="shared" si="8"/>
        <v>3670.7760000000003</v>
      </c>
      <c r="R32" s="13">
        <v>0</v>
      </c>
      <c r="S32" s="13">
        <f t="shared" si="3"/>
        <v>0</v>
      </c>
      <c r="T32" s="13">
        <f t="shared" si="4"/>
        <v>18353.88</v>
      </c>
      <c r="U32" s="13">
        <f t="shared" si="5"/>
        <v>18353.88</v>
      </c>
      <c r="V32" s="13">
        <v>0</v>
      </c>
      <c r="W32" s="13">
        <f t="shared" si="6"/>
        <v>0</v>
      </c>
    </row>
    <row r="33" spans="1:23" s="9" customFormat="1">
      <c r="D33" s="9" t="s">
        <v>100</v>
      </c>
      <c r="E33" s="9">
        <v>75160</v>
      </c>
      <c r="F33" s="9" t="s">
        <v>97</v>
      </c>
      <c r="G33" s="9">
        <v>2010</v>
      </c>
      <c r="H33" s="9">
        <v>6</v>
      </c>
      <c r="I33" s="9">
        <v>0</v>
      </c>
      <c r="J33" s="9" t="s">
        <v>78</v>
      </c>
      <c r="K33" s="9">
        <v>5</v>
      </c>
      <c r="L33" s="9">
        <f t="shared" si="0"/>
        <v>2015</v>
      </c>
      <c r="M33" s="114">
        <f t="shared" si="7"/>
        <v>2015.5</v>
      </c>
      <c r="N33" s="13">
        <f>16772.32*38/61</f>
        <v>10448.330491803279</v>
      </c>
      <c r="O33" s="13">
        <f t="shared" si="1"/>
        <v>10448.330491803279</v>
      </c>
      <c r="P33" s="13">
        <f t="shared" si="2"/>
        <v>174.13884153005463</v>
      </c>
      <c r="Q33" s="13">
        <f t="shared" si="8"/>
        <v>2089.6660983606557</v>
      </c>
      <c r="R33" s="13">
        <v>0</v>
      </c>
      <c r="S33" s="13">
        <f t="shared" si="3"/>
        <v>0</v>
      </c>
      <c r="T33" s="13">
        <f t="shared" si="4"/>
        <v>10448.330491803279</v>
      </c>
      <c r="U33" s="13">
        <f t="shared" si="5"/>
        <v>10448.330491803279</v>
      </c>
      <c r="V33" s="13">
        <v>0</v>
      </c>
      <c r="W33" s="13">
        <f t="shared" si="6"/>
        <v>0</v>
      </c>
    </row>
    <row r="34" spans="1:23" s="9" customFormat="1">
      <c r="A34" s="9" t="s">
        <v>75</v>
      </c>
      <c r="B34" s="9" t="s">
        <v>101</v>
      </c>
      <c r="C34" s="9">
        <v>626</v>
      </c>
      <c r="D34" s="9" t="s">
        <v>102</v>
      </c>
      <c r="E34" s="9">
        <v>187421</v>
      </c>
      <c r="G34" s="9">
        <v>2012</v>
      </c>
      <c r="H34" s="9">
        <v>2</v>
      </c>
      <c r="I34" s="9">
        <v>0</v>
      </c>
      <c r="J34" s="9" t="s">
        <v>78</v>
      </c>
      <c r="K34" s="9">
        <v>10</v>
      </c>
      <c r="L34" s="9">
        <f t="shared" si="0"/>
        <v>2022</v>
      </c>
      <c r="M34" s="114">
        <f t="shared" si="7"/>
        <v>2022.1666666666667</v>
      </c>
      <c r="N34" s="13">
        <v>247726.06</v>
      </c>
      <c r="O34" s="13">
        <f t="shared" si="1"/>
        <v>247726.06</v>
      </c>
      <c r="P34" s="13">
        <f t="shared" si="2"/>
        <v>2064.3838333333333</v>
      </c>
      <c r="Q34" s="13">
        <f t="shared" si="8"/>
        <v>24772.606</v>
      </c>
      <c r="R34" s="13">
        <v>24772.606</v>
      </c>
      <c r="S34" s="13">
        <f t="shared" si="3"/>
        <v>0</v>
      </c>
      <c r="T34" s="13">
        <f t="shared" si="4"/>
        <v>247726.06</v>
      </c>
      <c r="U34" s="13">
        <f t="shared" si="5"/>
        <v>247726.06</v>
      </c>
      <c r="V34" s="13">
        <v>74317.817999999999</v>
      </c>
      <c r="W34" s="13">
        <f t="shared" si="6"/>
        <v>0</v>
      </c>
    </row>
    <row r="35" spans="1:23" s="9" customFormat="1">
      <c r="C35" s="9" t="s">
        <v>103</v>
      </c>
      <c r="D35" s="9" t="s">
        <v>104</v>
      </c>
      <c r="E35" s="9">
        <v>111005</v>
      </c>
      <c r="G35" s="9">
        <v>2014</v>
      </c>
      <c r="H35" s="9">
        <v>1</v>
      </c>
      <c r="I35" s="9">
        <v>0</v>
      </c>
      <c r="J35" s="9" t="s">
        <v>78</v>
      </c>
      <c r="K35" s="9">
        <v>5</v>
      </c>
      <c r="L35" s="9">
        <f t="shared" si="0"/>
        <v>2019</v>
      </c>
      <c r="M35" s="114">
        <f t="shared" si="7"/>
        <v>2019.0833333333333</v>
      </c>
      <c r="N35" s="13">
        <v>1223.43</v>
      </c>
      <c r="O35" s="13">
        <f t="shared" si="1"/>
        <v>1223.43</v>
      </c>
      <c r="P35" s="13">
        <f t="shared" si="2"/>
        <v>20.390499999999999</v>
      </c>
      <c r="Q35" s="13">
        <f t="shared" si="8"/>
        <v>244.68599999999998</v>
      </c>
      <c r="R35" s="13">
        <v>0</v>
      </c>
      <c r="S35" s="13">
        <f t="shared" si="3"/>
        <v>0</v>
      </c>
      <c r="T35" s="13">
        <f t="shared" si="4"/>
        <v>1223.43</v>
      </c>
      <c r="U35" s="13">
        <f t="shared" si="5"/>
        <v>1223.43</v>
      </c>
      <c r="V35" s="13">
        <v>0</v>
      </c>
      <c r="W35" s="13">
        <f t="shared" si="6"/>
        <v>0</v>
      </c>
    </row>
    <row r="36" spans="1:23" s="9" customFormat="1">
      <c r="A36" s="9" t="s">
        <v>75</v>
      </c>
      <c r="C36" s="9">
        <v>3644</v>
      </c>
      <c r="D36" s="9" t="s">
        <v>105</v>
      </c>
      <c r="E36" s="9" t="s">
        <v>106</v>
      </c>
      <c r="G36" s="9">
        <v>2015</v>
      </c>
      <c r="H36" s="9">
        <v>9</v>
      </c>
      <c r="I36" s="9">
        <v>0</v>
      </c>
      <c r="J36" s="9" t="s">
        <v>78</v>
      </c>
      <c r="K36" s="9">
        <v>10</v>
      </c>
      <c r="L36" s="9">
        <f>G36+K36</f>
        <v>2025</v>
      </c>
      <c r="M36" s="114">
        <f>+L36+(H36/12)</f>
        <v>2025.75</v>
      </c>
      <c r="N36" s="13">
        <f>341500.78+3252.04</f>
        <v>344752.82</v>
      </c>
      <c r="O36" s="13">
        <f>N36-N36*I36</f>
        <v>344752.82</v>
      </c>
      <c r="P36" s="13">
        <f>O36/K36/12</f>
        <v>2872.9401666666668</v>
      </c>
      <c r="Q36" s="13">
        <f>P36*12</f>
        <v>34475.281999999999</v>
      </c>
      <c r="R36" s="13">
        <v>49250.402857142857</v>
      </c>
      <c r="S36" s="13">
        <f t="shared" si="3"/>
        <v>34475.281999999999</v>
      </c>
      <c r="T36" s="13">
        <f t="shared" si="4"/>
        <v>206851.69199999998</v>
      </c>
      <c r="U36" s="13">
        <f t="shared" si="5"/>
        <v>241326.97399999999</v>
      </c>
      <c r="V36" s="13">
        <v>147751.20857142858</v>
      </c>
      <c r="W36" s="13">
        <f t="shared" si="6"/>
        <v>103425.84600000002</v>
      </c>
    </row>
    <row r="37" spans="1:23" s="9" customFormat="1">
      <c r="C37" s="9">
        <v>3649</v>
      </c>
      <c r="D37" s="9" t="s">
        <v>107</v>
      </c>
      <c r="E37" s="9">
        <v>128671</v>
      </c>
      <c r="G37" s="9">
        <v>2015</v>
      </c>
      <c r="H37" s="9">
        <v>12</v>
      </c>
      <c r="I37" s="9">
        <v>0</v>
      </c>
      <c r="J37" s="9" t="s">
        <v>78</v>
      </c>
      <c r="K37" s="9">
        <v>10</v>
      </c>
      <c r="L37" s="9">
        <f>G37+K37</f>
        <v>2025</v>
      </c>
      <c r="M37" s="114">
        <f t="shared" ref="M37:M53" si="9">+L37+(H37/12)</f>
        <v>2026</v>
      </c>
      <c r="N37" s="13">
        <v>335414.45</v>
      </c>
      <c r="O37" s="13">
        <f t="shared" ref="O37:O53" si="10">N37-N37*I37</f>
        <v>335414.45</v>
      </c>
      <c r="P37" s="13">
        <f t="shared" ref="P37:P53" si="11">O37/K37/12</f>
        <v>2795.1204166666666</v>
      </c>
      <c r="Q37" s="13">
        <f t="shared" ref="Q37:Q52" si="12">P37*12</f>
        <v>33541.445</v>
      </c>
      <c r="R37" s="13">
        <v>33541.445</v>
      </c>
      <c r="S37" s="13">
        <f t="shared" si="3"/>
        <v>33541.445</v>
      </c>
      <c r="T37" s="13">
        <f t="shared" si="4"/>
        <v>201248.66999999998</v>
      </c>
      <c r="U37" s="13">
        <f t="shared" si="5"/>
        <v>234790.11499999999</v>
      </c>
      <c r="V37" s="13">
        <v>201248.67</v>
      </c>
      <c r="W37" s="13">
        <f t="shared" si="6"/>
        <v>100624.33500000002</v>
      </c>
    </row>
    <row r="38" spans="1:23" s="9" customFormat="1">
      <c r="C38" s="9">
        <v>3649</v>
      </c>
      <c r="D38" s="9" t="s">
        <v>108</v>
      </c>
      <c r="E38" s="9">
        <v>128928</v>
      </c>
      <c r="F38" s="9">
        <v>128671</v>
      </c>
      <c r="G38" s="9">
        <v>2015</v>
      </c>
      <c r="H38" s="9">
        <v>12</v>
      </c>
      <c r="I38" s="9">
        <v>0</v>
      </c>
      <c r="J38" s="9" t="s">
        <v>78</v>
      </c>
      <c r="K38" s="9">
        <v>10</v>
      </c>
      <c r="L38" s="9">
        <f>G38+K38</f>
        <v>2025</v>
      </c>
      <c r="M38" s="114">
        <f t="shared" si="9"/>
        <v>2026</v>
      </c>
      <c r="N38" s="13">
        <v>969.39</v>
      </c>
      <c r="O38" s="13">
        <f t="shared" si="10"/>
        <v>969.39</v>
      </c>
      <c r="P38" s="13">
        <f t="shared" si="11"/>
        <v>8.0782499999999988</v>
      </c>
      <c r="Q38" s="13">
        <f t="shared" si="12"/>
        <v>96.938999999999993</v>
      </c>
      <c r="R38" s="13">
        <v>96.938999999999993</v>
      </c>
      <c r="S38" s="13">
        <f t="shared" si="3"/>
        <v>96.938999999999993</v>
      </c>
      <c r="T38" s="13">
        <f t="shared" si="4"/>
        <v>581.63400000000001</v>
      </c>
      <c r="U38" s="13">
        <f t="shared" si="5"/>
        <v>678.57299999999998</v>
      </c>
      <c r="V38" s="13">
        <v>581.63400000000001</v>
      </c>
      <c r="W38" s="13">
        <f t="shared" si="6"/>
        <v>290.81700000000001</v>
      </c>
    </row>
    <row r="39" spans="1:23" s="9" customFormat="1">
      <c r="C39" s="9">
        <v>3649</v>
      </c>
      <c r="D39" s="9" t="s">
        <v>109</v>
      </c>
      <c r="E39" s="9">
        <v>128671</v>
      </c>
      <c r="F39" s="9">
        <v>128671</v>
      </c>
      <c r="G39" s="9">
        <v>2015</v>
      </c>
      <c r="H39" s="9">
        <v>12</v>
      </c>
      <c r="I39" s="9">
        <v>0</v>
      </c>
      <c r="J39" s="9" t="s">
        <v>78</v>
      </c>
      <c r="K39" s="9">
        <v>10</v>
      </c>
      <c r="L39" s="9">
        <f>G39+K39</f>
        <v>2025</v>
      </c>
      <c r="M39" s="114">
        <f t="shared" si="9"/>
        <v>2026</v>
      </c>
      <c r="N39" s="13">
        <v>637.96</v>
      </c>
      <c r="O39" s="13">
        <f t="shared" si="10"/>
        <v>637.96</v>
      </c>
      <c r="P39" s="13">
        <f t="shared" si="11"/>
        <v>5.3163333333333336</v>
      </c>
      <c r="Q39" s="13">
        <f t="shared" si="12"/>
        <v>63.796000000000006</v>
      </c>
      <c r="R39" s="13">
        <v>63.796000000000006</v>
      </c>
      <c r="S39" s="13">
        <f t="shared" si="3"/>
        <v>63.796000000000006</v>
      </c>
      <c r="T39" s="13">
        <f t="shared" si="4"/>
        <v>382.77600000000007</v>
      </c>
      <c r="U39" s="13">
        <f t="shared" si="5"/>
        <v>446.57200000000006</v>
      </c>
      <c r="V39" s="13">
        <v>382.77600000000001</v>
      </c>
      <c r="W39" s="13">
        <f t="shared" si="6"/>
        <v>191.38799999999998</v>
      </c>
    </row>
    <row r="40" spans="1:23" s="9" customFormat="1">
      <c r="C40" s="9">
        <v>3649</v>
      </c>
      <c r="D40" s="9" t="s">
        <v>110</v>
      </c>
      <c r="E40" s="9">
        <v>130455</v>
      </c>
      <c r="F40" s="9">
        <v>128671</v>
      </c>
      <c r="G40" s="9">
        <v>2016</v>
      </c>
      <c r="H40" s="9">
        <v>1</v>
      </c>
      <c r="I40" s="9">
        <v>0</v>
      </c>
      <c r="J40" s="9" t="s">
        <v>78</v>
      </c>
      <c r="K40" s="9">
        <v>10</v>
      </c>
      <c r="L40" s="9">
        <f t="shared" ref="L40:L53" si="13">G40+K40</f>
        <v>2026</v>
      </c>
      <c r="M40" s="114">
        <f t="shared" si="9"/>
        <v>2026.0833333333333</v>
      </c>
      <c r="N40" s="13">
        <v>951.46</v>
      </c>
      <c r="O40" s="13">
        <f t="shared" si="10"/>
        <v>951.46</v>
      </c>
      <c r="P40" s="13">
        <f t="shared" si="11"/>
        <v>7.9288333333333334</v>
      </c>
      <c r="Q40" s="13">
        <f t="shared" si="12"/>
        <v>95.146000000000001</v>
      </c>
      <c r="R40" s="13">
        <v>95.146000000000001</v>
      </c>
      <c r="S40" s="13">
        <f t="shared" si="3"/>
        <v>95.146000000000001</v>
      </c>
      <c r="T40" s="13">
        <f t="shared" si="4"/>
        <v>475.73</v>
      </c>
      <c r="U40" s="13">
        <f t="shared" si="5"/>
        <v>570.87599999999998</v>
      </c>
      <c r="V40" s="13">
        <v>666.02200000000005</v>
      </c>
      <c r="W40" s="13">
        <f t="shared" si="6"/>
        <v>380.58400000000006</v>
      </c>
    </row>
    <row r="41" spans="1:23" s="9" customFormat="1">
      <c r="B41" s="9" t="s">
        <v>111</v>
      </c>
      <c r="C41" s="9">
        <v>3652</v>
      </c>
      <c r="D41" s="9" t="s">
        <v>107</v>
      </c>
      <c r="E41" s="9">
        <v>132078</v>
      </c>
      <c r="G41" s="9">
        <v>2016</v>
      </c>
      <c r="H41" s="9">
        <v>4</v>
      </c>
      <c r="I41" s="9">
        <v>0</v>
      </c>
      <c r="J41" s="9" t="s">
        <v>78</v>
      </c>
      <c r="K41" s="9">
        <v>10</v>
      </c>
      <c r="L41" s="9">
        <f t="shared" si="13"/>
        <v>2026</v>
      </c>
      <c r="M41" s="114">
        <f t="shared" si="9"/>
        <v>2026.3333333333333</v>
      </c>
      <c r="N41" s="13">
        <v>336680.5</v>
      </c>
      <c r="O41" s="13">
        <f t="shared" si="10"/>
        <v>336680.5</v>
      </c>
      <c r="P41" s="13">
        <f t="shared" si="11"/>
        <v>2805.6708333333336</v>
      </c>
      <c r="Q41" s="13">
        <f t="shared" si="12"/>
        <v>33668.050000000003</v>
      </c>
      <c r="R41" s="13">
        <v>33668.050000000003</v>
      </c>
      <c r="S41" s="13">
        <f t="shared" si="3"/>
        <v>33668.050000000003</v>
      </c>
      <c r="T41" s="13">
        <f t="shared" si="4"/>
        <v>168340.25</v>
      </c>
      <c r="U41" s="13">
        <f t="shared" si="5"/>
        <v>202008.3</v>
      </c>
      <c r="V41" s="13">
        <v>235676.34999999998</v>
      </c>
      <c r="W41" s="13">
        <f t="shared" si="6"/>
        <v>134672.20000000001</v>
      </c>
    </row>
    <row r="42" spans="1:23" s="9" customFormat="1">
      <c r="C42" s="9">
        <v>3658</v>
      </c>
      <c r="D42" s="9" t="s">
        <v>112</v>
      </c>
      <c r="E42" s="9">
        <v>185087</v>
      </c>
      <c r="F42" s="9">
        <v>185371</v>
      </c>
      <c r="G42" s="9">
        <v>2017</v>
      </c>
      <c r="H42" s="9">
        <v>8</v>
      </c>
      <c r="I42" s="9">
        <v>0</v>
      </c>
      <c r="J42" s="9" t="s">
        <v>78</v>
      </c>
      <c r="K42" s="9">
        <v>10</v>
      </c>
      <c r="L42" s="9">
        <f t="shared" si="13"/>
        <v>2027</v>
      </c>
      <c r="M42" s="114">
        <f t="shared" si="9"/>
        <v>2027.6666666666667</v>
      </c>
      <c r="N42" s="13">
        <v>256.86</v>
      </c>
      <c r="O42" s="13">
        <f t="shared" si="10"/>
        <v>256.86</v>
      </c>
      <c r="P42" s="13">
        <f t="shared" si="11"/>
        <v>2.1404999999999998</v>
      </c>
      <c r="Q42" s="13">
        <f t="shared" si="12"/>
        <v>25.686</v>
      </c>
      <c r="R42" s="13">
        <v>25.686</v>
      </c>
      <c r="S42" s="13">
        <f t="shared" ref="S42:S73" si="14">+IF(M42&lt;=$O$5,0,IF(L42&gt;$O$4,Q42,(P42*H42)))</f>
        <v>25.686</v>
      </c>
      <c r="T42" s="13">
        <f t="shared" ref="T42:T73" si="15">+IF(S42=0,N42,IF($O$3-G42&lt;1,0,(($O$3-G42)*Q42)))</f>
        <v>102.744</v>
      </c>
      <c r="U42" s="13">
        <f t="shared" ref="U42:U73" si="16">+IF(S42=0,T42,T42+S42)</f>
        <v>128.43</v>
      </c>
      <c r="V42" s="13">
        <v>205.488</v>
      </c>
      <c r="W42" s="13">
        <f t="shared" ref="W42:W73" si="17">+N42-U42</f>
        <v>128.43</v>
      </c>
    </row>
    <row r="43" spans="1:23" s="9" customFormat="1">
      <c r="C43" s="9">
        <v>3304</v>
      </c>
      <c r="D43" s="9" t="s">
        <v>113</v>
      </c>
      <c r="E43" s="9">
        <v>184364</v>
      </c>
      <c r="F43" s="9" t="s">
        <v>97</v>
      </c>
      <c r="G43" s="9">
        <v>2017</v>
      </c>
      <c r="H43" s="9">
        <v>7</v>
      </c>
      <c r="I43" s="9">
        <v>0</v>
      </c>
      <c r="J43" s="9" t="s">
        <v>78</v>
      </c>
      <c r="K43" s="9">
        <v>10</v>
      </c>
      <c r="L43" s="9">
        <f t="shared" si="13"/>
        <v>2027</v>
      </c>
      <c r="M43" s="114">
        <f t="shared" si="9"/>
        <v>2027.5833333333333</v>
      </c>
      <c r="N43" s="13">
        <v>143024.03</v>
      </c>
      <c r="O43" s="13">
        <f t="shared" si="10"/>
        <v>143024.03</v>
      </c>
      <c r="P43" s="13">
        <f t="shared" si="11"/>
        <v>1191.8669166666666</v>
      </c>
      <c r="Q43" s="13">
        <f t="shared" si="12"/>
        <v>14302.402999999998</v>
      </c>
      <c r="R43" s="13">
        <v>14302.402999999998</v>
      </c>
      <c r="S43" s="13">
        <f t="shared" si="14"/>
        <v>14302.402999999998</v>
      </c>
      <c r="T43" s="13">
        <f t="shared" si="15"/>
        <v>57209.611999999994</v>
      </c>
      <c r="U43" s="13">
        <f t="shared" si="16"/>
        <v>71512.014999999985</v>
      </c>
      <c r="V43" s="13">
        <v>114419.224</v>
      </c>
      <c r="W43" s="13">
        <f t="shared" si="17"/>
        <v>71512.015000000014</v>
      </c>
    </row>
    <row r="44" spans="1:23" s="9" customFormat="1">
      <c r="C44" s="9">
        <v>3304</v>
      </c>
      <c r="D44" s="9" t="s">
        <v>114</v>
      </c>
      <c r="E44" s="9">
        <v>184562</v>
      </c>
      <c r="F44" s="9">
        <v>184364</v>
      </c>
      <c r="G44" s="9">
        <v>2017</v>
      </c>
      <c r="H44" s="9">
        <v>7</v>
      </c>
      <c r="I44" s="9">
        <v>0</v>
      </c>
      <c r="J44" s="9" t="s">
        <v>78</v>
      </c>
      <c r="K44" s="9">
        <v>5</v>
      </c>
      <c r="L44" s="9">
        <f t="shared" si="13"/>
        <v>2022</v>
      </c>
      <c r="M44" s="114">
        <f t="shared" si="9"/>
        <v>2022.5833333333333</v>
      </c>
      <c r="N44" s="13">
        <v>346.44</v>
      </c>
      <c r="O44" s="13">
        <f t="shared" si="10"/>
        <v>346.44</v>
      </c>
      <c r="P44" s="13">
        <f t="shared" si="11"/>
        <v>5.774</v>
      </c>
      <c r="Q44" s="13">
        <f t="shared" si="12"/>
        <v>69.287999999999997</v>
      </c>
      <c r="R44" s="13">
        <v>69.287999999999997</v>
      </c>
      <c r="S44" s="13">
        <f t="shared" si="14"/>
        <v>0</v>
      </c>
      <c r="T44" s="13">
        <f t="shared" si="15"/>
        <v>346.44</v>
      </c>
      <c r="U44" s="13">
        <f t="shared" si="16"/>
        <v>346.44</v>
      </c>
      <c r="V44" s="13">
        <v>207.864</v>
      </c>
      <c r="W44" s="13">
        <f t="shared" si="17"/>
        <v>0</v>
      </c>
    </row>
    <row r="45" spans="1:23" s="9" customFormat="1">
      <c r="B45" s="9" t="s">
        <v>111</v>
      </c>
      <c r="C45" s="9">
        <v>3668</v>
      </c>
      <c r="D45" s="9" t="s">
        <v>115</v>
      </c>
      <c r="E45" s="9">
        <v>189848</v>
      </c>
      <c r="G45" s="9">
        <v>2017</v>
      </c>
      <c r="H45" s="9">
        <v>12</v>
      </c>
      <c r="I45" s="9">
        <v>0</v>
      </c>
      <c r="J45" s="9" t="s">
        <v>78</v>
      </c>
      <c r="K45" s="9">
        <v>10</v>
      </c>
      <c r="L45" s="9">
        <f t="shared" si="13"/>
        <v>2027</v>
      </c>
      <c r="M45" s="114">
        <f t="shared" si="9"/>
        <v>2028</v>
      </c>
      <c r="N45" s="13">
        <v>344877.62</v>
      </c>
      <c r="O45" s="13">
        <f t="shared" si="10"/>
        <v>344877.62</v>
      </c>
      <c r="P45" s="13">
        <f t="shared" si="11"/>
        <v>2873.9801666666667</v>
      </c>
      <c r="Q45" s="13">
        <f t="shared" si="12"/>
        <v>34487.762000000002</v>
      </c>
      <c r="R45" s="13">
        <v>34487.762000000002</v>
      </c>
      <c r="S45" s="13">
        <f t="shared" si="14"/>
        <v>34487.762000000002</v>
      </c>
      <c r="T45" s="13">
        <f t="shared" si="15"/>
        <v>137951.04800000001</v>
      </c>
      <c r="U45" s="13">
        <f t="shared" si="16"/>
        <v>172438.81</v>
      </c>
      <c r="V45" s="13">
        <v>275902.09600000002</v>
      </c>
      <c r="W45" s="13">
        <f t="shared" si="17"/>
        <v>172438.81</v>
      </c>
    </row>
    <row r="46" spans="1:23" s="9" customFormat="1">
      <c r="B46" s="9" t="s">
        <v>111</v>
      </c>
      <c r="C46" s="9">
        <v>3667</v>
      </c>
      <c r="D46" s="9" t="s">
        <v>115</v>
      </c>
      <c r="E46" s="9">
        <v>189847</v>
      </c>
      <c r="G46" s="9">
        <v>2017</v>
      </c>
      <c r="H46" s="9">
        <v>12</v>
      </c>
      <c r="I46" s="9">
        <v>0</v>
      </c>
      <c r="J46" s="9" t="s">
        <v>78</v>
      </c>
      <c r="K46" s="9">
        <v>10</v>
      </c>
      <c r="L46" s="9">
        <f t="shared" si="13"/>
        <v>2027</v>
      </c>
      <c r="M46" s="114">
        <f t="shared" si="9"/>
        <v>2028</v>
      </c>
      <c r="N46" s="13">
        <v>345348.48</v>
      </c>
      <c r="O46" s="13">
        <f t="shared" si="10"/>
        <v>345348.48</v>
      </c>
      <c r="P46" s="13">
        <f t="shared" si="11"/>
        <v>2877.904</v>
      </c>
      <c r="Q46" s="13">
        <f t="shared" si="12"/>
        <v>34534.847999999998</v>
      </c>
      <c r="R46" s="13">
        <v>34534.847999999998</v>
      </c>
      <c r="S46" s="13">
        <f t="shared" si="14"/>
        <v>34534.847999999998</v>
      </c>
      <c r="T46" s="13">
        <f t="shared" si="15"/>
        <v>138139.39199999999</v>
      </c>
      <c r="U46" s="13">
        <f t="shared" si="16"/>
        <v>172674.24</v>
      </c>
      <c r="V46" s="13">
        <v>276278.78399999999</v>
      </c>
      <c r="W46" s="13">
        <f t="shared" si="17"/>
        <v>172674.24</v>
      </c>
    </row>
    <row r="47" spans="1:23" s="9" customFormat="1">
      <c r="B47" s="9" t="s">
        <v>101</v>
      </c>
      <c r="C47" s="9">
        <v>1080</v>
      </c>
      <c r="D47" s="9" t="s">
        <v>116</v>
      </c>
      <c r="E47" s="9">
        <v>189845</v>
      </c>
      <c r="G47" s="9">
        <v>2017</v>
      </c>
      <c r="H47" s="9">
        <v>11</v>
      </c>
      <c r="I47" s="9">
        <v>0</v>
      </c>
      <c r="J47" s="9" t="s">
        <v>78</v>
      </c>
      <c r="K47" s="9">
        <v>10</v>
      </c>
      <c r="L47" s="9">
        <f t="shared" si="13"/>
        <v>2027</v>
      </c>
      <c r="M47" s="114">
        <f t="shared" si="9"/>
        <v>2027.9166666666667</v>
      </c>
      <c r="N47" s="13">
        <v>230038.72</v>
      </c>
      <c r="O47" s="13">
        <f t="shared" si="10"/>
        <v>230038.72</v>
      </c>
      <c r="P47" s="13">
        <f t="shared" si="11"/>
        <v>1916.9893333333332</v>
      </c>
      <c r="Q47" s="13">
        <f t="shared" si="12"/>
        <v>23003.871999999999</v>
      </c>
      <c r="R47" s="13">
        <v>23003.871999999999</v>
      </c>
      <c r="S47" s="13">
        <f t="shared" si="14"/>
        <v>23003.871999999999</v>
      </c>
      <c r="T47" s="13">
        <f t="shared" si="15"/>
        <v>92015.487999999998</v>
      </c>
      <c r="U47" s="13">
        <f t="shared" si="16"/>
        <v>115019.36</v>
      </c>
      <c r="V47" s="13">
        <v>184030.976</v>
      </c>
      <c r="W47" s="13">
        <f t="shared" si="17"/>
        <v>115019.36</v>
      </c>
    </row>
    <row r="48" spans="1:23" s="9" customFormat="1">
      <c r="B48" s="9" t="s">
        <v>117</v>
      </c>
      <c r="C48" s="9">
        <v>2049</v>
      </c>
      <c r="D48" s="9" t="s">
        <v>118</v>
      </c>
      <c r="E48" s="9">
        <v>189842</v>
      </c>
      <c r="G48" s="9">
        <v>2017</v>
      </c>
      <c r="H48" s="9">
        <v>11</v>
      </c>
      <c r="I48" s="9">
        <v>0</v>
      </c>
      <c r="J48" s="9" t="s">
        <v>78</v>
      </c>
      <c r="K48" s="9">
        <v>10</v>
      </c>
      <c r="L48" s="9">
        <f t="shared" si="13"/>
        <v>2027</v>
      </c>
      <c r="M48" s="114">
        <f t="shared" si="9"/>
        <v>2027.9166666666667</v>
      </c>
      <c r="N48" s="13">
        <v>318612.62</v>
      </c>
      <c r="O48" s="13">
        <f t="shared" si="10"/>
        <v>318612.62</v>
      </c>
      <c r="P48" s="13">
        <f t="shared" si="11"/>
        <v>2655.1051666666667</v>
      </c>
      <c r="Q48" s="13">
        <f t="shared" si="12"/>
        <v>31861.262000000002</v>
      </c>
      <c r="R48" s="13">
        <v>31861.262000000002</v>
      </c>
      <c r="S48" s="13">
        <f t="shared" si="14"/>
        <v>31861.262000000002</v>
      </c>
      <c r="T48" s="13">
        <f t="shared" si="15"/>
        <v>127445.04800000001</v>
      </c>
      <c r="U48" s="13">
        <f t="shared" si="16"/>
        <v>159306.31</v>
      </c>
      <c r="V48" s="13">
        <v>254890.09599999999</v>
      </c>
      <c r="W48" s="13">
        <f t="shared" si="17"/>
        <v>159306.31</v>
      </c>
    </row>
    <row r="49" spans="2:23" s="9" customFormat="1">
      <c r="B49" s="9" t="s">
        <v>101</v>
      </c>
      <c r="C49" s="9">
        <v>1081</v>
      </c>
      <c r="D49" s="9" t="s">
        <v>116</v>
      </c>
      <c r="E49" s="9" t="s">
        <v>119</v>
      </c>
      <c r="G49" s="9">
        <v>2017</v>
      </c>
      <c r="H49" s="9">
        <v>10</v>
      </c>
      <c r="I49" s="9">
        <v>0</v>
      </c>
      <c r="J49" s="9" t="s">
        <v>78</v>
      </c>
      <c r="K49" s="9">
        <v>10</v>
      </c>
      <c r="L49" s="9">
        <f t="shared" si="13"/>
        <v>2027</v>
      </c>
      <c r="M49" s="114">
        <f t="shared" si="9"/>
        <v>2027.8333333333333</v>
      </c>
      <c r="N49" s="13">
        <v>227561.93</v>
      </c>
      <c r="O49" s="13">
        <f t="shared" si="10"/>
        <v>227561.93</v>
      </c>
      <c r="P49" s="13">
        <f t="shared" si="11"/>
        <v>1896.3494166666667</v>
      </c>
      <c r="Q49" s="13">
        <f t="shared" si="12"/>
        <v>22756.192999999999</v>
      </c>
      <c r="R49" s="13">
        <v>22756.192999999999</v>
      </c>
      <c r="S49" s="13">
        <f t="shared" si="14"/>
        <v>22756.192999999999</v>
      </c>
      <c r="T49" s="13">
        <f t="shared" si="15"/>
        <v>91024.771999999997</v>
      </c>
      <c r="U49" s="13">
        <f t="shared" si="16"/>
        <v>113780.965</v>
      </c>
      <c r="V49" s="13">
        <v>182049.54399999999</v>
      </c>
      <c r="W49" s="13">
        <f t="shared" si="17"/>
        <v>113780.965</v>
      </c>
    </row>
    <row r="50" spans="2:23" s="9" customFormat="1">
      <c r="B50" s="9" t="s">
        <v>101</v>
      </c>
      <c r="C50" s="9">
        <v>1081</v>
      </c>
      <c r="D50" s="9" t="s">
        <v>120</v>
      </c>
      <c r="E50" s="9">
        <v>189409</v>
      </c>
      <c r="F50" s="9">
        <v>187603</v>
      </c>
      <c r="G50" s="9">
        <v>2017</v>
      </c>
      <c r="H50" s="9">
        <v>10</v>
      </c>
      <c r="I50" s="9">
        <v>0</v>
      </c>
      <c r="J50" s="9" t="s">
        <v>78</v>
      </c>
      <c r="K50" s="9">
        <v>5</v>
      </c>
      <c r="L50" s="9">
        <f t="shared" si="13"/>
        <v>2022</v>
      </c>
      <c r="M50" s="114">
        <f t="shared" si="9"/>
        <v>2022.8333333333333</v>
      </c>
      <c r="N50" s="13">
        <v>470.89</v>
      </c>
      <c r="O50" s="13">
        <f t="shared" si="10"/>
        <v>470.89</v>
      </c>
      <c r="P50" s="13">
        <f t="shared" si="11"/>
        <v>7.8481666666666667</v>
      </c>
      <c r="Q50" s="13">
        <f t="shared" si="12"/>
        <v>94.177999999999997</v>
      </c>
      <c r="R50" s="13">
        <v>94.177999999999997</v>
      </c>
      <c r="S50" s="13">
        <f t="shared" si="14"/>
        <v>78.481666666666669</v>
      </c>
      <c r="T50" s="13">
        <f t="shared" si="15"/>
        <v>376.71199999999999</v>
      </c>
      <c r="U50" s="13">
        <f t="shared" si="16"/>
        <v>455.19366666666667</v>
      </c>
      <c r="V50" s="13">
        <v>282.53399999999999</v>
      </c>
      <c r="W50" s="13">
        <f t="shared" si="17"/>
        <v>15.696333333333314</v>
      </c>
    </row>
    <row r="51" spans="2:23" s="9" customFormat="1">
      <c r="B51" s="9" t="s">
        <v>101</v>
      </c>
      <c r="C51" s="9">
        <v>1081</v>
      </c>
      <c r="D51" s="9" t="s">
        <v>121</v>
      </c>
      <c r="E51" s="9">
        <v>188505</v>
      </c>
      <c r="F51" s="9">
        <v>187603</v>
      </c>
      <c r="G51" s="9">
        <v>2017</v>
      </c>
      <c r="H51" s="9">
        <v>10</v>
      </c>
      <c r="I51" s="9">
        <v>0</v>
      </c>
      <c r="J51" s="9" t="s">
        <v>78</v>
      </c>
      <c r="K51" s="9">
        <v>5</v>
      </c>
      <c r="L51" s="9">
        <f t="shared" si="13"/>
        <v>2022</v>
      </c>
      <c r="M51" s="114">
        <f t="shared" si="9"/>
        <v>2022.8333333333333</v>
      </c>
      <c r="N51" s="13">
        <v>995.61</v>
      </c>
      <c r="O51" s="13">
        <f t="shared" si="10"/>
        <v>995.61</v>
      </c>
      <c r="P51" s="13">
        <f t="shared" si="11"/>
        <v>16.593500000000002</v>
      </c>
      <c r="Q51" s="13">
        <f t="shared" si="12"/>
        <v>199.12200000000001</v>
      </c>
      <c r="R51" s="13">
        <v>199.12200000000001</v>
      </c>
      <c r="S51" s="13">
        <f t="shared" si="14"/>
        <v>165.93500000000003</v>
      </c>
      <c r="T51" s="13">
        <f t="shared" si="15"/>
        <v>796.48800000000006</v>
      </c>
      <c r="U51" s="13">
        <f t="shared" si="16"/>
        <v>962.42300000000012</v>
      </c>
      <c r="V51" s="13">
        <v>597.36599999999999</v>
      </c>
      <c r="W51" s="13">
        <f t="shared" si="17"/>
        <v>33.186999999999898</v>
      </c>
    </row>
    <row r="52" spans="2:23" s="9" customFormat="1">
      <c r="B52" s="9" t="s">
        <v>111</v>
      </c>
      <c r="C52" s="9">
        <v>3667</v>
      </c>
      <c r="D52" s="9" t="s">
        <v>122</v>
      </c>
      <c r="E52" s="9">
        <v>191849</v>
      </c>
      <c r="F52" s="9">
        <v>189847</v>
      </c>
      <c r="G52" s="9">
        <v>2018</v>
      </c>
      <c r="H52" s="9">
        <v>1</v>
      </c>
      <c r="I52" s="9">
        <v>0</v>
      </c>
      <c r="J52" s="9" t="s">
        <v>78</v>
      </c>
      <c r="K52" s="9">
        <v>10</v>
      </c>
      <c r="L52" s="9">
        <f t="shared" si="13"/>
        <v>2028</v>
      </c>
      <c r="M52" s="114">
        <f t="shared" si="9"/>
        <v>2028.0833333333333</v>
      </c>
      <c r="N52" s="13">
        <v>1069.3900000000001</v>
      </c>
      <c r="O52" s="13">
        <f t="shared" si="10"/>
        <v>1069.3900000000001</v>
      </c>
      <c r="P52" s="13">
        <f t="shared" si="11"/>
        <v>8.9115833333333345</v>
      </c>
      <c r="Q52" s="13">
        <f t="shared" si="12"/>
        <v>106.93900000000002</v>
      </c>
      <c r="R52" s="13">
        <v>106.93900000000002</v>
      </c>
      <c r="S52" s="13">
        <f t="shared" si="14"/>
        <v>106.93900000000002</v>
      </c>
      <c r="T52" s="13">
        <f t="shared" si="15"/>
        <v>320.81700000000006</v>
      </c>
      <c r="U52" s="13">
        <f t="shared" si="16"/>
        <v>427.75600000000009</v>
      </c>
      <c r="V52" s="13">
        <v>962.45100000000002</v>
      </c>
      <c r="W52" s="13">
        <f t="shared" si="17"/>
        <v>641.63400000000001</v>
      </c>
    </row>
    <row r="53" spans="2:23" s="9" customFormat="1">
      <c r="B53" s="9" t="s">
        <v>111</v>
      </c>
      <c r="C53" s="9">
        <v>3668</v>
      </c>
      <c r="D53" s="9" t="s">
        <v>123</v>
      </c>
      <c r="E53" s="9">
        <v>191850</v>
      </c>
      <c r="F53" s="9">
        <v>189848</v>
      </c>
      <c r="G53" s="9">
        <v>2018</v>
      </c>
      <c r="H53" s="9">
        <v>1</v>
      </c>
      <c r="I53" s="9">
        <v>0</v>
      </c>
      <c r="J53" s="9" t="s">
        <v>78</v>
      </c>
      <c r="K53" s="9">
        <v>10</v>
      </c>
      <c r="L53" s="9">
        <f t="shared" si="13"/>
        <v>2028</v>
      </c>
      <c r="M53" s="114">
        <f t="shared" si="9"/>
        <v>2028.0833333333333</v>
      </c>
      <c r="N53" s="13">
        <v>1069.3900000000001</v>
      </c>
      <c r="O53" s="13">
        <f t="shared" si="10"/>
        <v>1069.3900000000001</v>
      </c>
      <c r="P53" s="13">
        <f t="shared" si="11"/>
        <v>8.9115833333333345</v>
      </c>
      <c r="Q53" s="13">
        <f>P53*12</f>
        <v>106.93900000000002</v>
      </c>
      <c r="R53" s="13">
        <v>106.93900000000002</v>
      </c>
      <c r="S53" s="13">
        <f t="shared" si="14"/>
        <v>106.93900000000002</v>
      </c>
      <c r="T53" s="13">
        <f t="shared" si="15"/>
        <v>320.81700000000006</v>
      </c>
      <c r="U53" s="13">
        <f t="shared" si="16"/>
        <v>427.75600000000009</v>
      </c>
      <c r="V53" s="13">
        <v>962.45100000000002</v>
      </c>
      <c r="W53" s="13">
        <f t="shared" si="17"/>
        <v>641.63400000000001</v>
      </c>
    </row>
    <row r="54" spans="2:23" s="9" customFormat="1">
      <c r="B54" s="9" t="s">
        <v>117</v>
      </c>
      <c r="C54" s="9">
        <v>2052</v>
      </c>
      <c r="D54" s="9" t="s">
        <v>124</v>
      </c>
      <c r="E54" s="9">
        <v>206402</v>
      </c>
      <c r="F54" s="9">
        <v>204185</v>
      </c>
      <c r="G54" s="9">
        <v>2018</v>
      </c>
      <c r="H54" s="9">
        <v>10</v>
      </c>
      <c r="I54" s="9">
        <v>0</v>
      </c>
      <c r="J54" s="9" t="s">
        <v>78</v>
      </c>
      <c r="K54" s="9">
        <v>10</v>
      </c>
      <c r="L54" s="9">
        <f>G54+K54</f>
        <v>2028</v>
      </c>
      <c r="M54" s="114">
        <f>+L54+(H54/12)</f>
        <v>2028.8333333333333</v>
      </c>
      <c r="N54" s="13">
        <v>576.75</v>
      </c>
      <c r="O54" s="13">
        <f>N54-N54*I54</f>
        <v>576.75</v>
      </c>
      <c r="P54" s="13">
        <f>O54/K54/12</f>
        <v>4.8062499999999995</v>
      </c>
      <c r="Q54" s="13">
        <f t="shared" ref="Q54:Q75" si="18">P54*12</f>
        <v>57.674999999999997</v>
      </c>
      <c r="R54" s="13">
        <v>57.674999999999997</v>
      </c>
      <c r="S54" s="13">
        <f t="shared" si="14"/>
        <v>57.674999999999997</v>
      </c>
      <c r="T54" s="13">
        <f t="shared" si="15"/>
        <v>173.02499999999998</v>
      </c>
      <c r="U54" s="13">
        <f t="shared" si="16"/>
        <v>230.7</v>
      </c>
      <c r="V54" s="13">
        <v>519.07500000000005</v>
      </c>
      <c r="W54" s="13">
        <f t="shared" si="17"/>
        <v>346.05</v>
      </c>
    </row>
    <row r="55" spans="2:23" s="9" customFormat="1">
      <c r="B55" s="9" t="s">
        <v>117</v>
      </c>
      <c r="C55" s="9">
        <v>2051</v>
      </c>
      <c r="D55" s="9" t="s">
        <v>124</v>
      </c>
      <c r="E55" s="9">
        <v>206401</v>
      </c>
      <c r="F55" s="9">
        <v>204190</v>
      </c>
      <c r="G55" s="9">
        <v>2018</v>
      </c>
      <c r="H55" s="9">
        <v>10</v>
      </c>
      <c r="I55" s="9">
        <v>0</v>
      </c>
      <c r="J55" s="9" t="s">
        <v>78</v>
      </c>
      <c r="K55" s="9">
        <v>10</v>
      </c>
      <c r="L55" s="9">
        <f>G55+K55</f>
        <v>2028</v>
      </c>
      <c r="M55" s="114">
        <f>+L55+(H55/12)</f>
        <v>2028.8333333333333</v>
      </c>
      <c r="N55" s="13">
        <v>576.75</v>
      </c>
      <c r="O55" s="13">
        <f>N55-N55*I55</f>
        <v>576.75</v>
      </c>
      <c r="P55" s="13">
        <f>O55/K55/12</f>
        <v>4.8062499999999995</v>
      </c>
      <c r="Q55" s="13">
        <f t="shared" si="18"/>
        <v>57.674999999999997</v>
      </c>
      <c r="R55" s="13">
        <v>57.674999999999997</v>
      </c>
      <c r="S55" s="13">
        <f t="shared" si="14"/>
        <v>57.674999999999997</v>
      </c>
      <c r="T55" s="13">
        <f t="shared" si="15"/>
        <v>173.02499999999998</v>
      </c>
      <c r="U55" s="13">
        <f t="shared" si="16"/>
        <v>230.7</v>
      </c>
      <c r="V55" s="13">
        <v>519.07500000000005</v>
      </c>
      <c r="W55" s="13">
        <f t="shared" si="17"/>
        <v>346.05</v>
      </c>
    </row>
    <row r="56" spans="2:23" s="9" customFormat="1">
      <c r="B56" s="9" t="s">
        <v>117</v>
      </c>
      <c r="C56" s="9">
        <v>2052</v>
      </c>
      <c r="D56" s="9" t="s">
        <v>125</v>
      </c>
      <c r="E56" s="9">
        <v>204185</v>
      </c>
      <c r="F56" s="9" t="s">
        <v>97</v>
      </c>
      <c r="G56" s="9">
        <v>2018</v>
      </c>
      <c r="H56" s="9">
        <v>10</v>
      </c>
      <c r="I56" s="9">
        <v>0</v>
      </c>
      <c r="J56" s="9" t="s">
        <v>78</v>
      </c>
      <c r="K56" s="9">
        <v>10</v>
      </c>
      <c r="L56" s="9">
        <f>G56+K56</f>
        <v>2028</v>
      </c>
      <c r="M56" s="114">
        <f>+L56+(H56/12)</f>
        <v>2028.8333333333333</v>
      </c>
      <c r="N56" s="13">
        <v>336121.76</v>
      </c>
      <c r="O56" s="13">
        <f>N56-N56*I56</f>
        <v>336121.76</v>
      </c>
      <c r="P56" s="13">
        <f>O56/K56/12</f>
        <v>2801.0146666666665</v>
      </c>
      <c r="Q56" s="13">
        <f t="shared" si="18"/>
        <v>33612.175999999999</v>
      </c>
      <c r="R56" s="13">
        <v>33612.175999999999</v>
      </c>
      <c r="S56" s="13">
        <f t="shared" si="14"/>
        <v>33612.175999999999</v>
      </c>
      <c r="T56" s="13">
        <f t="shared" si="15"/>
        <v>100836.52799999999</v>
      </c>
      <c r="U56" s="13">
        <f t="shared" si="16"/>
        <v>134448.704</v>
      </c>
      <c r="V56" s="13">
        <v>302509.58400000003</v>
      </c>
      <c r="W56" s="13">
        <f t="shared" si="17"/>
        <v>201673.05600000001</v>
      </c>
    </row>
    <row r="57" spans="2:23" s="9" customFormat="1">
      <c r="B57" s="9" t="s">
        <v>117</v>
      </c>
      <c r="C57" s="9">
        <v>2051</v>
      </c>
      <c r="D57" s="9" t="s">
        <v>125</v>
      </c>
      <c r="E57" s="9">
        <v>204190</v>
      </c>
      <c r="F57" s="9" t="s">
        <v>97</v>
      </c>
      <c r="G57" s="9">
        <v>2018</v>
      </c>
      <c r="H57" s="9">
        <v>10</v>
      </c>
      <c r="I57" s="9">
        <v>0</v>
      </c>
      <c r="J57" s="9" t="s">
        <v>78</v>
      </c>
      <c r="K57" s="9">
        <v>10</v>
      </c>
      <c r="L57" s="9">
        <f t="shared" ref="L57:L92" si="19">G57+K57</f>
        <v>2028</v>
      </c>
      <c r="M57" s="114">
        <f t="shared" ref="M57:M92" si="20">+L57+(H57/12)</f>
        <v>2028.8333333333333</v>
      </c>
      <c r="N57" s="13">
        <v>336121.76</v>
      </c>
      <c r="O57" s="13">
        <f>N57-N57*I57</f>
        <v>336121.76</v>
      </c>
      <c r="P57" s="13">
        <f>O57/K57/12</f>
        <v>2801.0146666666665</v>
      </c>
      <c r="Q57" s="13">
        <f t="shared" si="18"/>
        <v>33612.175999999999</v>
      </c>
      <c r="R57" s="13">
        <v>33612.175999999999</v>
      </c>
      <c r="S57" s="13">
        <f t="shared" si="14"/>
        <v>33612.175999999999</v>
      </c>
      <c r="T57" s="13">
        <f t="shared" si="15"/>
        <v>100836.52799999999</v>
      </c>
      <c r="U57" s="13">
        <f t="shared" si="16"/>
        <v>134448.704</v>
      </c>
      <c r="V57" s="13">
        <v>302509.58400000003</v>
      </c>
      <c r="W57" s="13">
        <f t="shared" si="17"/>
        <v>201673.05600000001</v>
      </c>
    </row>
    <row r="58" spans="2:23" s="9" customFormat="1">
      <c r="B58" s="9" t="s">
        <v>111</v>
      </c>
      <c r="C58" s="9">
        <v>3676</v>
      </c>
      <c r="D58" s="9" t="s">
        <v>126</v>
      </c>
      <c r="E58" s="9">
        <v>202086</v>
      </c>
      <c r="F58" s="9" t="s">
        <v>97</v>
      </c>
      <c r="G58" s="9">
        <v>2018</v>
      </c>
      <c r="H58" s="9">
        <v>10</v>
      </c>
      <c r="I58" s="9">
        <v>0</v>
      </c>
      <c r="J58" s="9" t="s">
        <v>78</v>
      </c>
      <c r="K58" s="9">
        <v>10</v>
      </c>
      <c r="L58" s="9">
        <f t="shared" si="19"/>
        <v>2028</v>
      </c>
      <c r="M58" s="114">
        <f t="shared" si="20"/>
        <v>2028.8333333333333</v>
      </c>
      <c r="N58" s="13">
        <v>349260.85</v>
      </c>
      <c r="O58" s="13">
        <f t="shared" ref="O58:O92" si="21">N58-N58*I58</f>
        <v>349260.85</v>
      </c>
      <c r="P58" s="13">
        <f t="shared" ref="P58:P88" si="22">O58/K58/12</f>
        <v>2910.5070833333334</v>
      </c>
      <c r="Q58" s="13">
        <f t="shared" si="18"/>
        <v>34926.084999999999</v>
      </c>
      <c r="R58" s="13">
        <v>34926.084999999999</v>
      </c>
      <c r="S58" s="13">
        <f t="shared" si="14"/>
        <v>34926.084999999999</v>
      </c>
      <c r="T58" s="13">
        <f t="shared" si="15"/>
        <v>104778.255</v>
      </c>
      <c r="U58" s="13">
        <f t="shared" si="16"/>
        <v>139704.34</v>
      </c>
      <c r="V58" s="13">
        <v>314334.76499999996</v>
      </c>
      <c r="W58" s="13">
        <f t="shared" si="17"/>
        <v>209556.50999999998</v>
      </c>
    </row>
    <row r="59" spans="2:23" s="9" customFormat="1">
      <c r="B59" s="9" t="s">
        <v>111</v>
      </c>
      <c r="C59" s="9">
        <v>3679</v>
      </c>
      <c r="D59" s="9" t="s">
        <v>126</v>
      </c>
      <c r="E59" s="9">
        <v>202088</v>
      </c>
      <c r="F59" s="9" t="s">
        <v>97</v>
      </c>
      <c r="G59" s="9">
        <v>2018</v>
      </c>
      <c r="H59" s="9">
        <v>10</v>
      </c>
      <c r="I59" s="9">
        <v>0</v>
      </c>
      <c r="J59" s="9" t="s">
        <v>78</v>
      </c>
      <c r="K59" s="9">
        <v>10</v>
      </c>
      <c r="L59" s="9">
        <f t="shared" si="19"/>
        <v>2028</v>
      </c>
      <c r="M59" s="114">
        <f t="shared" si="20"/>
        <v>2028.8333333333333</v>
      </c>
      <c r="N59" s="13">
        <v>349200.72</v>
      </c>
      <c r="O59" s="13">
        <f t="shared" si="21"/>
        <v>349200.72</v>
      </c>
      <c r="P59" s="13">
        <f t="shared" si="22"/>
        <v>2910.0059999999999</v>
      </c>
      <c r="Q59" s="13">
        <f t="shared" si="18"/>
        <v>34920.072</v>
      </c>
      <c r="R59" s="13">
        <v>34920.072</v>
      </c>
      <c r="S59" s="13">
        <f t="shared" si="14"/>
        <v>34920.072</v>
      </c>
      <c r="T59" s="13">
        <f t="shared" si="15"/>
        <v>104760.216</v>
      </c>
      <c r="U59" s="13">
        <f t="shared" si="16"/>
        <v>139680.288</v>
      </c>
      <c r="V59" s="13">
        <v>314280.64799999999</v>
      </c>
      <c r="W59" s="13">
        <f t="shared" si="17"/>
        <v>209520.43199999997</v>
      </c>
    </row>
    <row r="60" spans="2:23" s="9" customFormat="1">
      <c r="B60" s="9" t="s">
        <v>111</v>
      </c>
      <c r="C60" s="9">
        <v>3680</v>
      </c>
      <c r="D60" s="9" t="s">
        <v>126</v>
      </c>
      <c r="E60" s="9">
        <v>202089</v>
      </c>
      <c r="F60" s="9" t="s">
        <v>97</v>
      </c>
      <c r="G60" s="9">
        <v>2018</v>
      </c>
      <c r="H60" s="9">
        <v>10</v>
      </c>
      <c r="I60" s="9">
        <v>0</v>
      </c>
      <c r="J60" s="9" t="s">
        <v>78</v>
      </c>
      <c r="K60" s="9">
        <v>10</v>
      </c>
      <c r="L60" s="9">
        <f t="shared" si="19"/>
        <v>2028</v>
      </c>
      <c r="M60" s="114">
        <f t="shared" si="20"/>
        <v>2028.8333333333333</v>
      </c>
      <c r="N60" s="13">
        <v>349200.73</v>
      </c>
      <c r="O60" s="13">
        <f t="shared" si="21"/>
        <v>349200.73</v>
      </c>
      <c r="P60" s="13">
        <f t="shared" si="22"/>
        <v>2910.0060833333332</v>
      </c>
      <c r="Q60" s="13">
        <f t="shared" si="18"/>
        <v>34920.072999999997</v>
      </c>
      <c r="R60" s="13">
        <v>34920.072999999997</v>
      </c>
      <c r="S60" s="13">
        <f t="shared" si="14"/>
        <v>34920.072999999997</v>
      </c>
      <c r="T60" s="13">
        <f t="shared" si="15"/>
        <v>104760.21899999998</v>
      </c>
      <c r="U60" s="13">
        <f t="shared" si="16"/>
        <v>139680.29199999999</v>
      </c>
      <c r="V60" s="13">
        <v>314280.65700000001</v>
      </c>
      <c r="W60" s="13">
        <f t="shared" si="17"/>
        <v>209520.43799999999</v>
      </c>
    </row>
    <row r="61" spans="2:23" s="9" customFormat="1">
      <c r="B61" s="9" t="s">
        <v>111</v>
      </c>
      <c r="C61" s="9">
        <v>3680</v>
      </c>
      <c r="D61" s="9" t="s">
        <v>127</v>
      </c>
      <c r="E61" s="9">
        <v>202804</v>
      </c>
      <c r="F61" s="9">
        <v>202089</v>
      </c>
      <c r="G61" s="9">
        <v>2018</v>
      </c>
      <c r="H61" s="9">
        <v>10</v>
      </c>
      <c r="I61" s="9">
        <v>0</v>
      </c>
      <c r="J61" s="9" t="s">
        <v>78</v>
      </c>
      <c r="K61" s="9">
        <v>10</v>
      </c>
      <c r="L61" s="9">
        <f t="shared" si="19"/>
        <v>2028</v>
      </c>
      <c r="M61" s="114">
        <f t="shared" si="20"/>
        <v>2028.8333333333333</v>
      </c>
      <c r="N61" s="13">
        <v>628.75</v>
      </c>
      <c r="O61" s="13">
        <f t="shared" si="21"/>
        <v>628.75</v>
      </c>
      <c r="P61" s="13">
        <f t="shared" si="22"/>
        <v>5.239583333333333</v>
      </c>
      <c r="Q61" s="13">
        <f t="shared" si="18"/>
        <v>62.875</v>
      </c>
      <c r="R61" s="13">
        <v>62.875</v>
      </c>
      <c r="S61" s="13">
        <f t="shared" si="14"/>
        <v>62.875</v>
      </c>
      <c r="T61" s="13">
        <f t="shared" si="15"/>
        <v>188.625</v>
      </c>
      <c r="U61" s="13">
        <f t="shared" si="16"/>
        <v>251.5</v>
      </c>
      <c r="V61" s="13">
        <v>565.875</v>
      </c>
      <c r="W61" s="13">
        <f t="shared" si="17"/>
        <v>377.25</v>
      </c>
    </row>
    <row r="62" spans="2:23" s="9" customFormat="1">
      <c r="B62" s="9" t="s">
        <v>111</v>
      </c>
      <c r="C62" s="9">
        <v>3675</v>
      </c>
      <c r="D62" s="9" t="s">
        <v>126</v>
      </c>
      <c r="E62" s="9">
        <v>203123</v>
      </c>
      <c r="F62" s="9" t="s">
        <v>97</v>
      </c>
      <c r="G62" s="9">
        <v>2018</v>
      </c>
      <c r="H62" s="9">
        <v>10</v>
      </c>
      <c r="I62" s="9">
        <v>0</v>
      </c>
      <c r="J62" s="9" t="s">
        <v>78</v>
      </c>
      <c r="K62" s="9">
        <v>10</v>
      </c>
      <c r="L62" s="9">
        <f t="shared" si="19"/>
        <v>2028</v>
      </c>
      <c r="M62" s="114">
        <f t="shared" si="20"/>
        <v>2028.8333333333333</v>
      </c>
      <c r="N62" s="13">
        <v>349277.23</v>
      </c>
      <c r="O62" s="13">
        <f t="shared" si="21"/>
        <v>349277.23</v>
      </c>
      <c r="P62" s="13">
        <f t="shared" si="22"/>
        <v>2910.643583333333</v>
      </c>
      <c r="Q62" s="13">
        <f t="shared" si="18"/>
        <v>34927.722999999998</v>
      </c>
      <c r="R62" s="13">
        <v>34927.722999999998</v>
      </c>
      <c r="S62" s="13">
        <f t="shared" si="14"/>
        <v>34927.722999999998</v>
      </c>
      <c r="T62" s="13">
        <f t="shared" si="15"/>
        <v>104783.16899999999</v>
      </c>
      <c r="U62" s="13">
        <f t="shared" si="16"/>
        <v>139710.89199999999</v>
      </c>
      <c r="V62" s="13">
        <v>314349.50699999998</v>
      </c>
      <c r="W62" s="13">
        <f t="shared" si="17"/>
        <v>209566.33799999999</v>
      </c>
    </row>
    <row r="63" spans="2:23" s="9" customFormat="1">
      <c r="B63" s="9" t="s">
        <v>111</v>
      </c>
      <c r="C63" s="9">
        <v>3675</v>
      </c>
      <c r="D63" s="9" t="s">
        <v>128</v>
      </c>
      <c r="E63" s="9">
        <v>203761</v>
      </c>
      <c r="F63" s="9">
        <v>203123</v>
      </c>
      <c r="G63" s="9">
        <v>2018</v>
      </c>
      <c r="H63" s="9">
        <v>10</v>
      </c>
      <c r="I63" s="9">
        <v>0</v>
      </c>
      <c r="J63" s="9" t="s">
        <v>78</v>
      </c>
      <c r="K63" s="9">
        <v>10</v>
      </c>
      <c r="L63" s="9">
        <f t="shared" si="19"/>
        <v>2028</v>
      </c>
      <c r="M63" s="114">
        <f t="shared" si="20"/>
        <v>2028.8333333333333</v>
      </c>
      <c r="N63" s="13">
        <v>628.75</v>
      </c>
      <c r="O63" s="13">
        <f t="shared" si="21"/>
        <v>628.75</v>
      </c>
      <c r="P63" s="13">
        <f t="shared" si="22"/>
        <v>5.239583333333333</v>
      </c>
      <c r="Q63" s="13">
        <f t="shared" si="18"/>
        <v>62.875</v>
      </c>
      <c r="R63" s="13">
        <v>62.875</v>
      </c>
      <c r="S63" s="13">
        <f t="shared" si="14"/>
        <v>62.875</v>
      </c>
      <c r="T63" s="13">
        <f t="shared" si="15"/>
        <v>188.625</v>
      </c>
      <c r="U63" s="13">
        <f t="shared" si="16"/>
        <v>251.5</v>
      </c>
      <c r="V63" s="13">
        <v>565.875</v>
      </c>
      <c r="W63" s="13">
        <f t="shared" si="17"/>
        <v>377.25</v>
      </c>
    </row>
    <row r="64" spans="2:23" s="9" customFormat="1">
      <c r="B64" s="9" t="s">
        <v>111</v>
      </c>
      <c r="C64" s="9">
        <v>3682</v>
      </c>
      <c r="D64" s="9" t="s">
        <v>126</v>
      </c>
      <c r="E64" s="9">
        <v>203827</v>
      </c>
      <c r="F64" s="9" t="s">
        <v>97</v>
      </c>
      <c r="G64" s="9">
        <v>2018</v>
      </c>
      <c r="H64" s="9">
        <v>10</v>
      </c>
      <c r="I64" s="9">
        <v>0</v>
      </c>
      <c r="J64" s="9" t="s">
        <v>78</v>
      </c>
      <c r="K64" s="9">
        <v>10</v>
      </c>
      <c r="L64" s="9">
        <f t="shared" si="19"/>
        <v>2028</v>
      </c>
      <c r="M64" s="114">
        <f t="shared" si="20"/>
        <v>2028.8333333333333</v>
      </c>
      <c r="N64" s="13">
        <v>349200.73</v>
      </c>
      <c r="O64" s="13">
        <f t="shared" si="21"/>
        <v>349200.73</v>
      </c>
      <c r="P64" s="13">
        <f t="shared" si="22"/>
        <v>2910.0060833333332</v>
      </c>
      <c r="Q64" s="13">
        <f t="shared" si="18"/>
        <v>34920.072999999997</v>
      </c>
      <c r="R64" s="13">
        <v>34920.072999999997</v>
      </c>
      <c r="S64" s="13">
        <f t="shared" si="14"/>
        <v>34920.072999999997</v>
      </c>
      <c r="T64" s="13">
        <f t="shared" si="15"/>
        <v>104760.21899999998</v>
      </c>
      <c r="U64" s="13">
        <f t="shared" si="16"/>
        <v>139680.29199999999</v>
      </c>
      <c r="V64" s="13">
        <v>314280.65700000001</v>
      </c>
      <c r="W64" s="13">
        <f t="shared" si="17"/>
        <v>209520.43799999999</v>
      </c>
    </row>
    <row r="65" spans="2:23" s="9" customFormat="1">
      <c r="B65" s="9" t="s">
        <v>111</v>
      </c>
      <c r="C65" s="9">
        <v>3682</v>
      </c>
      <c r="D65" s="9" t="s">
        <v>129</v>
      </c>
      <c r="E65" s="9">
        <v>204165</v>
      </c>
      <c r="F65" s="9">
        <v>203827</v>
      </c>
      <c r="G65" s="9">
        <v>2018</v>
      </c>
      <c r="H65" s="9">
        <v>10</v>
      </c>
      <c r="I65" s="9">
        <v>0</v>
      </c>
      <c r="J65" s="9" t="s">
        <v>78</v>
      </c>
      <c r="K65" s="9">
        <v>10</v>
      </c>
      <c r="L65" s="175">
        <f t="shared" si="19"/>
        <v>2028</v>
      </c>
      <c r="M65" s="114">
        <f t="shared" si="20"/>
        <v>2028.8333333333333</v>
      </c>
      <c r="N65" s="13">
        <v>628.75</v>
      </c>
      <c r="O65" s="13">
        <f t="shared" si="21"/>
        <v>628.75</v>
      </c>
      <c r="P65" s="13">
        <f t="shared" si="22"/>
        <v>5.239583333333333</v>
      </c>
      <c r="Q65" s="13">
        <f t="shared" si="18"/>
        <v>62.875</v>
      </c>
      <c r="R65" s="13">
        <v>62.875</v>
      </c>
      <c r="S65" s="13">
        <f t="shared" si="14"/>
        <v>62.875</v>
      </c>
      <c r="T65" s="13">
        <f t="shared" si="15"/>
        <v>188.625</v>
      </c>
      <c r="U65" s="13">
        <f t="shared" si="16"/>
        <v>251.5</v>
      </c>
      <c r="V65" s="13">
        <v>565.875</v>
      </c>
      <c r="W65" s="13">
        <f t="shared" si="17"/>
        <v>377.25</v>
      </c>
    </row>
    <row r="66" spans="2:23" s="9" customFormat="1">
      <c r="B66" s="9" t="s">
        <v>111</v>
      </c>
      <c r="C66" s="9">
        <v>3683</v>
      </c>
      <c r="D66" s="9" t="s">
        <v>126</v>
      </c>
      <c r="E66" s="9">
        <v>203828</v>
      </c>
      <c r="F66" s="9" t="s">
        <v>97</v>
      </c>
      <c r="G66" s="9">
        <v>2018</v>
      </c>
      <c r="H66" s="9">
        <v>10</v>
      </c>
      <c r="I66" s="9">
        <v>0</v>
      </c>
      <c r="J66" s="9" t="s">
        <v>78</v>
      </c>
      <c r="K66" s="9">
        <v>10</v>
      </c>
      <c r="L66" s="9">
        <f t="shared" si="19"/>
        <v>2028</v>
      </c>
      <c r="M66" s="114">
        <f t="shared" si="20"/>
        <v>2028.8333333333333</v>
      </c>
      <c r="N66" s="13">
        <v>349200.73</v>
      </c>
      <c r="O66" s="13">
        <f t="shared" si="21"/>
        <v>349200.73</v>
      </c>
      <c r="P66" s="13">
        <f t="shared" si="22"/>
        <v>2910.0060833333332</v>
      </c>
      <c r="Q66" s="13">
        <f t="shared" si="18"/>
        <v>34920.072999999997</v>
      </c>
      <c r="R66" s="13">
        <v>34920.072999999997</v>
      </c>
      <c r="S66" s="13">
        <f t="shared" si="14"/>
        <v>34920.072999999997</v>
      </c>
      <c r="T66" s="13">
        <f t="shared" si="15"/>
        <v>104760.21899999998</v>
      </c>
      <c r="U66" s="13">
        <f t="shared" si="16"/>
        <v>139680.29199999999</v>
      </c>
      <c r="V66" s="13">
        <v>314280.65700000001</v>
      </c>
      <c r="W66" s="13">
        <f t="shared" si="17"/>
        <v>209520.43799999999</v>
      </c>
    </row>
    <row r="67" spans="2:23" s="9" customFormat="1">
      <c r="B67" s="9" t="s">
        <v>111</v>
      </c>
      <c r="C67" s="9">
        <v>3683</v>
      </c>
      <c r="D67" s="9" t="s">
        <v>130</v>
      </c>
      <c r="E67" s="9">
        <v>204166</v>
      </c>
      <c r="F67" s="9">
        <v>203828</v>
      </c>
      <c r="G67" s="9">
        <v>2018</v>
      </c>
      <c r="H67" s="9">
        <v>10</v>
      </c>
      <c r="I67" s="9">
        <v>0</v>
      </c>
      <c r="J67" s="9" t="s">
        <v>78</v>
      </c>
      <c r="K67" s="9">
        <v>10</v>
      </c>
      <c r="L67" s="9">
        <f t="shared" si="19"/>
        <v>2028</v>
      </c>
      <c r="M67" s="114">
        <f t="shared" si="20"/>
        <v>2028.8333333333333</v>
      </c>
      <c r="N67" s="13">
        <v>628.75</v>
      </c>
      <c r="O67" s="13">
        <f t="shared" si="21"/>
        <v>628.75</v>
      </c>
      <c r="P67" s="13">
        <f t="shared" si="22"/>
        <v>5.239583333333333</v>
      </c>
      <c r="Q67" s="13">
        <f t="shared" si="18"/>
        <v>62.875</v>
      </c>
      <c r="R67" s="13">
        <v>62.875</v>
      </c>
      <c r="S67" s="13">
        <f t="shared" si="14"/>
        <v>62.875</v>
      </c>
      <c r="T67" s="13">
        <f t="shared" si="15"/>
        <v>188.625</v>
      </c>
      <c r="U67" s="13">
        <f t="shared" si="16"/>
        <v>251.5</v>
      </c>
      <c r="V67" s="13">
        <v>565.875</v>
      </c>
      <c r="W67" s="13">
        <f t="shared" si="17"/>
        <v>377.25</v>
      </c>
    </row>
    <row r="68" spans="2:23" s="9" customFormat="1">
      <c r="B68" s="9" t="s">
        <v>111</v>
      </c>
      <c r="C68" s="9">
        <v>3681</v>
      </c>
      <c r="D68" s="9" t="s">
        <v>126</v>
      </c>
      <c r="E68" s="9">
        <v>204188</v>
      </c>
      <c r="F68" s="9" t="s">
        <v>97</v>
      </c>
      <c r="G68" s="9">
        <v>2018</v>
      </c>
      <c r="H68" s="9">
        <v>10</v>
      </c>
      <c r="I68" s="9">
        <v>0</v>
      </c>
      <c r="J68" s="9" t="s">
        <v>78</v>
      </c>
      <c r="K68" s="9">
        <v>10</v>
      </c>
      <c r="L68" s="9">
        <f t="shared" si="19"/>
        <v>2028</v>
      </c>
      <c r="M68" s="114">
        <f t="shared" si="20"/>
        <v>2028.8333333333333</v>
      </c>
      <c r="N68" s="13">
        <v>349200.73</v>
      </c>
      <c r="O68" s="13">
        <f t="shared" si="21"/>
        <v>349200.73</v>
      </c>
      <c r="P68" s="13">
        <f t="shared" si="22"/>
        <v>2910.0060833333332</v>
      </c>
      <c r="Q68" s="13">
        <f t="shared" si="18"/>
        <v>34920.072999999997</v>
      </c>
      <c r="R68" s="13">
        <v>34920.072999999997</v>
      </c>
      <c r="S68" s="13">
        <f t="shared" si="14"/>
        <v>34920.072999999997</v>
      </c>
      <c r="T68" s="13">
        <f t="shared" si="15"/>
        <v>104760.21899999998</v>
      </c>
      <c r="U68" s="13">
        <f t="shared" si="16"/>
        <v>139680.29199999999</v>
      </c>
      <c r="V68" s="13">
        <v>314280.65700000001</v>
      </c>
      <c r="W68" s="13">
        <f t="shared" si="17"/>
        <v>209520.43799999999</v>
      </c>
    </row>
    <row r="69" spans="2:23" s="9" customFormat="1">
      <c r="B69" s="9" t="s">
        <v>111</v>
      </c>
      <c r="C69" s="9">
        <v>3681</v>
      </c>
      <c r="D69" s="9" t="s">
        <v>128</v>
      </c>
      <c r="E69" s="9">
        <v>206400</v>
      </c>
      <c r="F69" s="9">
        <v>204188</v>
      </c>
      <c r="G69" s="9">
        <v>2018</v>
      </c>
      <c r="H69" s="9">
        <v>10</v>
      </c>
      <c r="I69" s="9">
        <v>0</v>
      </c>
      <c r="J69" s="9" t="s">
        <v>78</v>
      </c>
      <c r="K69" s="9">
        <v>10</v>
      </c>
      <c r="L69" s="9">
        <f t="shared" si="19"/>
        <v>2028</v>
      </c>
      <c r="M69" s="114">
        <f t="shared" si="20"/>
        <v>2028.8333333333333</v>
      </c>
      <c r="N69" s="13">
        <v>628.75</v>
      </c>
      <c r="O69" s="13">
        <f t="shared" si="21"/>
        <v>628.75</v>
      </c>
      <c r="P69" s="13">
        <f t="shared" si="22"/>
        <v>5.239583333333333</v>
      </c>
      <c r="Q69" s="13">
        <f t="shared" si="18"/>
        <v>62.875</v>
      </c>
      <c r="R69" s="13">
        <v>62.875</v>
      </c>
      <c r="S69" s="13">
        <f t="shared" si="14"/>
        <v>62.875</v>
      </c>
      <c r="T69" s="13">
        <f t="shared" si="15"/>
        <v>188.625</v>
      </c>
      <c r="U69" s="13">
        <f t="shared" si="16"/>
        <v>251.5</v>
      </c>
      <c r="V69" s="13">
        <v>565.875</v>
      </c>
      <c r="W69" s="13">
        <f t="shared" si="17"/>
        <v>377.25</v>
      </c>
    </row>
    <row r="70" spans="2:23" s="9" customFormat="1">
      <c r="B70" s="9" t="s">
        <v>111</v>
      </c>
      <c r="C70" s="9">
        <v>3677</v>
      </c>
      <c r="D70" s="9" t="s">
        <v>126</v>
      </c>
      <c r="E70" s="9">
        <v>205326</v>
      </c>
      <c r="F70" s="9" t="s">
        <v>97</v>
      </c>
      <c r="G70" s="9">
        <v>2018</v>
      </c>
      <c r="H70" s="9">
        <v>10</v>
      </c>
      <c r="I70" s="9">
        <v>0</v>
      </c>
      <c r="J70" s="9" t="s">
        <v>78</v>
      </c>
      <c r="K70" s="9">
        <v>10</v>
      </c>
      <c r="L70" s="9">
        <f t="shared" si="19"/>
        <v>2028</v>
      </c>
      <c r="M70" s="114">
        <f t="shared" si="20"/>
        <v>2028.8333333333333</v>
      </c>
      <c r="N70" s="13">
        <v>349829.48</v>
      </c>
      <c r="O70" s="13">
        <f t="shared" si="21"/>
        <v>349829.48</v>
      </c>
      <c r="P70" s="13">
        <f t="shared" si="22"/>
        <v>2915.2456666666662</v>
      </c>
      <c r="Q70" s="13">
        <f t="shared" si="18"/>
        <v>34982.947999999997</v>
      </c>
      <c r="R70" s="13">
        <v>34982.947999999997</v>
      </c>
      <c r="S70" s="13">
        <f t="shared" si="14"/>
        <v>34982.947999999997</v>
      </c>
      <c r="T70" s="13">
        <f t="shared" si="15"/>
        <v>104948.84399999998</v>
      </c>
      <c r="U70" s="13">
        <f t="shared" si="16"/>
        <v>139931.79199999999</v>
      </c>
      <c r="V70" s="13">
        <v>314846.53200000001</v>
      </c>
      <c r="W70" s="13">
        <f t="shared" si="17"/>
        <v>209897.68799999999</v>
      </c>
    </row>
    <row r="71" spans="2:23" s="9" customFormat="1">
      <c r="B71" s="9" t="s">
        <v>111</v>
      </c>
      <c r="C71" s="9">
        <v>2053</v>
      </c>
      <c r="D71" s="9" t="s">
        <v>126</v>
      </c>
      <c r="E71" s="9">
        <v>207236</v>
      </c>
      <c r="F71" s="9" t="s">
        <v>97</v>
      </c>
      <c r="G71" s="9">
        <v>2018</v>
      </c>
      <c r="H71" s="9">
        <v>10</v>
      </c>
      <c r="I71" s="9">
        <v>0</v>
      </c>
      <c r="J71" s="9" t="s">
        <v>78</v>
      </c>
      <c r="K71" s="9">
        <v>10</v>
      </c>
      <c r="L71" s="9">
        <f t="shared" si="19"/>
        <v>2028</v>
      </c>
      <c r="M71" s="114">
        <f t="shared" si="20"/>
        <v>2028.8333333333333</v>
      </c>
      <c r="N71" s="13">
        <v>336698.51</v>
      </c>
      <c r="O71" s="13">
        <f t="shared" si="21"/>
        <v>336698.51</v>
      </c>
      <c r="P71" s="13">
        <f t="shared" si="22"/>
        <v>2805.820916666667</v>
      </c>
      <c r="Q71" s="13">
        <f t="shared" si="18"/>
        <v>33669.851000000002</v>
      </c>
      <c r="R71" s="13">
        <v>33669.851000000002</v>
      </c>
      <c r="S71" s="13">
        <f t="shared" si="14"/>
        <v>33669.851000000002</v>
      </c>
      <c r="T71" s="13">
        <f t="shared" si="15"/>
        <v>101009.55300000001</v>
      </c>
      <c r="U71" s="13">
        <f t="shared" si="16"/>
        <v>134679.40400000001</v>
      </c>
      <c r="V71" s="13">
        <v>303028.65899999999</v>
      </c>
      <c r="W71" s="13">
        <f t="shared" si="17"/>
        <v>202019.106</v>
      </c>
    </row>
    <row r="72" spans="2:23" s="9" customFormat="1">
      <c r="B72" s="9" t="s">
        <v>111</v>
      </c>
      <c r="C72" s="9">
        <v>3678</v>
      </c>
      <c r="D72" s="9" t="s">
        <v>131</v>
      </c>
      <c r="E72" s="9">
        <v>202767</v>
      </c>
      <c r="F72" s="9">
        <v>202087</v>
      </c>
      <c r="G72" s="9">
        <v>2018</v>
      </c>
      <c r="H72" s="9">
        <v>8</v>
      </c>
      <c r="I72" s="9">
        <v>0</v>
      </c>
      <c r="J72" s="9" t="s">
        <v>78</v>
      </c>
      <c r="K72" s="9">
        <v>10</v>
      </c>
      <c r="L72" s="9">
        <f t="shared" si="19"/>
        <v>2028</v>
      </c>
      <c r="M72" s="114">
        <f t="shared" si="20"/>
        <v>2028.6666666666667</v>
      </c>
      <c r="N72" s="13">
        <v>628.75</v>
      </c>
      <c r="O72" s="13">
        <f t="shared" si="21"/>
        <v>628.75</v>
      </c>
      <c r="P72" s="13">
        <f t="shared" si="22"/>
        <v>5.239583333333333</v>
      </c>
      <c r="Q72" s="13">
        <f t="shared" si="18"/>
        <v>62.875</v>
      </c>
      <c r="R72" s="13">
        <v>62.875</v>
      </c>
      <c r="S72" s="13">
        <f t="shared" si="14"/>
        <v>62.875</v>
      </c>
      <c r="T72" s="13">
        <f t="shared" si="15"/>
        <v>188.625</v>
      </c>
      <c r="U72" s="13">
        <f t="shared" si="16"/>
        <v>251.5</v>
      </c>
      <c r="V72" s="13">
        <v>565.875</v>
      </c>
      <c r="W72" s="13">
        <f t="shared" si="17"/>
        <v>377.25</v>
      </c>
    </row>
    <row r="73" spans="2:23" s="9" customFormat="1">
      <c r="B73" s="9" t="s">
        <v>111</v>
      </c>
      <c r="C73" s="9">
        <v>3679</v>
      </c>
      <c r="D73" s="9" t="s">
        <v>131</v>
      </c>
      <c r="E73" s="9">
        <v>202768</v>
      </c>
      <c r="F73" s="9">
        <v>202088</v>
      </c>
      <c r="G73" s="9">
        <v>2018</v>
      </c>
      <c r="H73" s="9">
        <v>8</v>
      </c>
      <c r="I73" s="9">
        <v>0</v>
      </c>
      <c r="J73" s="9" t="s">
        <v>78</v>
      </c>
      <c r="K73" s="9">
        <v>10</v>
      </c>
      <c r="L73" s="9">
        <f t="shared" si="19"/>
        <v>2028</v>
      </c>
      <c r="M73" s="114">
        <f t="shared" si="20"/>
        <v>2028.6666666666667</v>
      </c>
      <c r="N73" s="13">
        <v>628.75</v>
      </c>
      <c r="O73" s="13">
        <f t="shared" si="21"/>
        <v>628.75</v>
      </c>
      <c r="P73" s="13">
        <f t="shared" si="22"/>
        <v>5.239583333333333</v>
      </c>
      <c r="Q73" s="13">
        <f t="shared" si="18"/>
        <v>62.875</v>
      </c>
      <c r="R73" s="13">
        <v>62.875</v>
      </c>
      <c r="S73" s="13">
        <f t="shared" si="14"/>
        <v>62.875</v>
      </c>
      <c r="T73" s="13">
        <f t="shared" si="15"/>
        <v>188.625</v>
      </c>
      <c r="U73" s="13">
        <f t="shared" si="16"/>
        <v>251.5</v>
      </c>
      <c r="V73" s="13">
        <v>565.875</v>
      </c>
      <c r="W73" s="13">
        <f t="shared" si="17"/>
        <v>377.25</v>
      </c>
    </row>
    <row r="74" spans="2:23" s="9" customFormat="1">
      <c r="B74" s="9" t="s">
        <v>117</v>
      </c>
      <c r="C74" s="9">
        <v>2058</v>
      </c>
      <c r="D74" s="9" t="s">
        <v>125</v>
      </c>
      <c r="E74" s="9" t="s">
        <v>132</v>
      </c>
      <c r="G74" s="9">
        <v>2019</v>
      </c>
      <c r="H74" s="9">
        <v>7</v>
      </c>
      <c r="I74" s="9">
        <v>0</v>
      </c>
      <c r="J74" s="9" t="s">
        <v>78</v>
      </c>
      <c r="K74" s="9">
        <v>10</v>
      </c>
      <c r="L74" s="9">
        <f t="shared" si="19"/>
        <v>2029</v>
      </c>
      <c r="M74" s="114">
        <f t="shared" si="20"/>
        <v>2029.5833333333333</v>
      </c>
      <c r="N74" s="13">
        <f>355897.69+1016.48</f>
        <v>356914.17</v>
      </c>
      <c r="O74" s="13">
        <f t="shared" si="21"/>
        <v>356914.17</v>
      </c>
      <c r="P74" s="13">
        <f t="shared" si="22"/>
        <v>2974.2847500000003</v>
      </c>
      <c r="Q74" s="13">
        <f t="shared" si="18"/>
        <v>35691.417000000001</v>
      </c>
      <c r="R74" s="13">
        <v>35691.417000000001</v>
      </c>
      <c r="S74" s="13">
        <f t="shared" ref="S74:S92" si="23">+IF(M74&lt;=$O$5,0,IF(L74&gt;$O$4,Q74,(P74*H74)))</f>
        <v>35691.417000000001</v>
      </c>
      <c r="T74" s="13">
        <f t="shared" ref="T74:T92" si="24">+IF(S74=0,N74,IF($O$3-G74&lt;1,0,(($O$3-G74)*Q74)))</f>
        <v>71382.834000000003</v>
      </c>
      <c r="U74" s="13">
        <f t="shared" ref="U74:U92" si="25">+IF(S74=0,T74,T74+S74)</f>
        <v>107074.251</v>
      </c>
      <c r="V74" s="13">
        <v>321222.75299999997</v>
      </c>
      <c r="W74" s="13">
        <f t="shared" ref="W74:W92" si="26">+N74-U74</f>
        <v>249839.91899999999</v>
      </c>
    </row>
    <row r="75" spans="2:23" s="9" customFormat="1" ht="12" customHeight="1">
      <c r="B75" s="9" t="s">
        <v>111</v>
      </c>
      <c r="C75" s="9">
        <v>3684</v>
      </c>
      <c r="D75" s="9" t="s">
        <v>133</v>
      </c>
      <c r="E75" s="9" t="s">
        <v>134</v>
      </c>
      <c r="G75" s="9">
        <v>2019</v>
      </c>
      <c r="H75" s="9">
        <v>9</v>
      </c>
      <c r="I75" s="9">
        <v>0</v>
      </c>
      <c r="J75" s="9" t="s">
        <v>78</v>
      </c>
      <c r="K75" s="9">
        <v>10</v>
      </c>
      <c r="L75" s="9">
        <f t="shared" si="19"/>
        <v>2029</v>
      </c>
      <c r="M75" s="114">
        <f t="shared" si="20"/>
        <v>2029.75</v>
      </c>
      <c r="N75" s="13">
        <f>175049.79+576.75+192346.45</f>
        <v>367972.99</v>
      </c>
      <c r="O75" s="13">
        <f t="shared" si="21"/>
        <v>367972.99</v>
      </c>
      <c r="P75" s="13">
        <f t="shared" si="22"/>
        <v>3066.4415833333333</v>
      </c>
      <c r="Q75" s="13">
        <f t="shared" si="18"/>
        <v>36797.298999999999</v>
      </c>
      <c r="R75" s="13">
        <v>36797.298999999999</v>
      </c>
      <c r="S75" s="13">
        <f t="shared" si="23"/>
        <v>36797.298999999999</v>
      </c>
      <c r="T75" s="13">
        <f t="shared" si="24"/>
        <v>73594.597999999998</v>
      </c>
      <c r="U75" s="13">
        <f t="shared" si="25"/>
        <v>110391.897</v>
      </c>
      <c r="V75" s="13">
        <v>331175.69099999999</v>
      </c>
      <c r="W75" s="13">
        <f t="shared" si="26"/>
        <v>257581.09299999999</v>
      </c>
    </row>
    <row r="76" spans="2:23" s="9" customFormat="1">
      <c r="B76" s="9" t="s">
        <v>111</v>
      </c>
      <c r="C76" s="9">
        <v>3700</v>
      </c>
      <c r="D76" s="9" t="s">
        <v>135</v>
      </c>
      <c r="E76" s="9">
        <v>225678</v>
      </c>
      <c r="G76" s="9">
        <v>2019</v>
      </c>
      <c r="H76" s="9">
        <v>11</v>
      </c>
      <c r="I76" s="9">
        <v>0</v>
      </c>
      <c r="J76" s="9" t="s">
        <v>78</v>
      </c>
      <c r="K76" s="9">
        <v>10</v>
      </c>
      <c r="L76" s="9">
        <f t="shared" si="19"/>
        <v>2029</v>
      </c>
      <c r="M76" s="114">
        <f t="shared" si="20"/>
        <v>2029.9166666666667</v>
      </c>
      <c r="N76" s="13">
        <v>368277.14</v>
      </c>
      <c r="O76" s="13">
        <f t="shared" si="21"/>
        <v>368277.14</v>
      </c>
      <c r="P76" s="13">
        <f t="shared" si="22"/>
        <v>3068.9761666666668</v>
      </c>
      <c r="Q76" s="13">
        <f>P76*12</f>
        <v>36827.714</v>
      </c>
      <c r="R76" s="13">
        <v>36827.714</v>
      </c>
      <c r="S76" s="13">
        <f t="shared" si="23"/>
        <v>36827.714</v>
      </c>
      <c r="T76" s="13">
        <f t="shared" si="24"/>
        <v>73655.428</v>
      </c>
      <c r="U76" s="13">
        <f t="shared" si="25"/>
        <v>110483.14199999999</v>
      </c>
      <c r="V76" s="13">
        <v>331449.42600000004</v>
      </c>
      <c r="W76" s="13">
        <f t="shared" si="26"/>
        <v>257793.99800000002</v>
      </c>
    </row>
    <row r="77" spans="2:23" s="9" customFormat="1">
      <c r="B77" s="9" t="s">
        <v>111</v>
      </c>
      <c r="C77" s="9">
        <v>3699</v>
      </c>
      <c r="D77" s="9" t="s">
        <v>135</v>
      </c>
      <c r="E77" s="9">
        <v>225677</v>
      </c>
      <c r="G77" s="9">
        <v>2019</v>
      </c>
      <c r="H77" s="9">
        <v>11</v>
      </c>
      <c r="I77" s="9">
        <v>0</v>
      </c>
      <c r="J77" s="9" t="s">
        <v>78</v>
      </c>
      <c r="K77" s="9">
        <v>10</v>
      </c>
      <c r="L77" s="9">
        <f t="shared" si="19"/>
        <v>2029</v>
      </c>
      <c r="M77" s="114">
        <f t="shared" si="20"/>
        <v>2029.9166666666667</v>
      </c>
      <c r="N77" s="13">
        <v>367858.22</v>
      </c>
      <c r="O77" s="13">
        <f t="shared" si="21"/>
        <v>367858.22</v>
      </c>
      <c r="P77" s="13">
        <f t="shared" si="22"/>
        <v>3065.4851666666668</v>
      </c>
      <c r="Q77" s="13">
        <f>P77*12</f>
        <v>36785.822</v>
      </c>
      <c r="R77" s="13">
        <v>36785.822</v>
      </c>
      <c r="S77" s="13">
        <f t="shared" si="23"/>
        <v>36785.822</v>
      </c>
      <c r="T77" s="13">
        <f t="shared" si="24"/>
        <v>73571.644</v>
      </c>
      <c r="U77" s="13">
        <f t="shared" si="25"/>
        <v>110357.466</v>
      </c>
      <c r="V77" s="13">
        <v>331072.39799999999</v>
      </c>
      <c r="W77" s="13">
        <f t="shared" si="26"/>
        <v>257500.75399999996</v>
      </c>
    </row>
    <row r="78" spans="2:23" s="9" customFormat="1">
      <c r="B78" s="9" t="s">
        <v>111</v>
      </c>
      <c r="C78" s="9">
        <v>3698</v>
      </c>
      <c r="D78" s="9" t="s">
        <v>135</v>
      </c>
      <c r="E78" s="9">
        <v>223827</v>
      </c>
      <c r="G78" s="9">
        <v>2019</v>
      </c>
      <c r="H78" s="9">
        <v>11</v>
      </c>
      <c r="I78" s="9">
        <v>0</v>
      </c>
      <c r="J78" s="9" t="s">
        <v>78</v>
      </c>
      <c r="K78" s="9">
        <v>10</v>
      </c>
      <c r="L78" s="9">
        <f t="shared" si="19"/>
        <v>2029</v>
      </c>
      <c r="M78" s="114">
        <f t="shared" si="20"/>
        <v>2029.9166666666667</v>
      </c>
      <c r="N78" s="13">
        <v>367281.47</v>
      </c>
      <c r="O78" s="13">
        <f t="shared" si="21"/>
        <v>367281.47</v>
      </c>
      <c r="P78" s="13">
        <f t="shared" si="22"/>
        <v>3060.6789166666663</v>
      </c>
      <c r="Q78" s="13">
        <f>P78*12</f>
        <v>36728.146999999997</v>
      </c>
      <c r="R78" s="13">
        <v>36728.146999999997</v>
      </c>
      <c r="S78" s="13">
        <f t="shared" si="23"/>
        <v>36728.146999999997</v>
      </c>
      <c r="T78" s="13">
        <f t="shared" si="24"/>
        <v>73456.293999999994</v>
      </c>
      <c r="U78" s="13">
        <f t="shared" si="25"/>
        <v>110184.44099999999</v>
      </c>
      <c r="V78" s="13">
        <v>330553.32299999997</v>
      </c>
      <c r="W78" s="13">
        <f t="shared" si="26"/>
        <v>257097.02899999998</v>
      </c>
    </row>
    <row r="79" spans="2:23" s="9" customFormat="1">
      <c r="B79" s="9" t="s">
        <v>101</v>
      </c>
      <c r="C79" s="9">
        <v>1086</v>
      </c>
      <c r="D79" s="9" t="s">
        <v>136</v>
      </c>
      <c r="E79" s="9">
        <v>225681</v>
      </c>
      <c r="G79" s="9">
        <v>2019</v>
      </c>
      <c r="H79" s="9">
        <v>12</v>
      </c>
      <c r="I79" s="9">
        <v>0</v>
      </c>
      <c r="J79" s="9" t="s">
        <v>78</v>
      </c>
      <c r="K79" s="9">
        <v>10</v>
      </c>
      <c r="L79" s="9">
        <f t="shared" si="19"/>
        <v>2029</v>
      </c>
      <c r="M79" s="114">
        <f t="shared" si="20"/>
        <v>2030</v>
      </c>
      <c r="N79" s="13">
        <v>306072.98</v>
      </c>
      <c r="O79" s="13">
        <f t="shared" si="21"/>
        <v>306072.98</v>
      </c>
      <c r="P79" s="13">
        <f t="shared" si="22"/>
        <v>2550.6081666666664</v>
      </c>
      <c r="Q79" s="13">
        <f>P79*12</f>
        <v>30607.297999999995</v>
      </c>
      <c r="R79" s="13">
        <v>30607.297999999995</v>
      </c>
      <c r="S79" s="13">
        <f t="shared" si="23"/>
        <v>30607.297999999995</v>
      </c>
      <c r="T79" s="13">
        <f t="shared" si="24"/>
        <v>61214.59599999999</v>
      </c>
      <c r="U79" s="13">
        <f t="shared" si="25"/>
        <v>91821.893999999986</v>
      </c>
      <c r="V79" s="13">
        <v>275465.68199999997</v>
      </c>
      <c r="W79" s="13">
        <f t="shared" si="26"/>
        <v>214251.08600000001</v>
      </c>
    </row>
    <row r="80" spans="2:23" s="9" customFormat="1">
      <c r="B80" s="9" t="s">
        <v>101</v>
      </c>
      <c r="C80" s="9">
        <v>1085</v>
      </c>
      <c r="D80" s="9" t="s">
        <v>136</v>
      </c>
      <c r="E80" s="9">
        <v>225679</v>
      </c>
      <c r="G80" s="9">
        <v>2019</v>
      </c>
      <c r="H80" s="9">
        <v>12</v>
      </c>
      <c r="I80" s="9">
        <v>0</v>
      </c>
      <c r="J80" s="9" t="s">
        <v>78</v>
      </c>
      <c r="K80" s="9">
        <v>10</v>
      </c>
      <c r="L80" s="9">
        <f t="shared" si="19"/>
        <v>2029</v>
      </c>
      <c r="M80" s="114">
        <f t="shared" si="20"/>
        <v>2030</v>
      </c>
      <c r="N80" s="13">
        <v>305751.65000000002</v>
      </c>
      <c r="O80" s="13">
        <f t="shared" si="21"/>
        <v>305751.65000000002</v>
      </c>
      <c r="P80" s="13">
        <f t="shared" si="22"/>
        <v>2547.9304166666666</v>
      </c>
      <c r="Q80" s="13">
        <f>P80*12</f>
        <v>30575.165000000001</v>
      </c>
      <c r="R80" s="13">
        <v>30575.165000000001</v>
      </c>
      <c r="S80" s="13">
        <f t="shared" si="23"/>
        <v>30575.165000000001</v>
      </c>
      <c r="T80" s="13">
        <f t="shared" si="24"/>
        <v>61150.33</v>
      </c>
      <c r="U80" s="13">
        <f t="shared" si="25"/>
        <v>91725.494999999995</v>
      </c>
      <c r="V80" s="13">
        <v>275176.48500000004</v>
      </c>
      <c r="W80" s="13">
        <f t="shared" si="26"/>
        <v>214026.15500000003</v>
      </c>
    </row>
    <row r="81" spans="1:23" s="9" customFormat="1">
      <c r="B81" s="9" t="s">
        <v>111</v>
      </c>
      <c r="D81" s="9" t="s">
        <v>137</v>
      </c>
      <c r="E81" s="9" t="s">
        <v>138</v>
      </c>
      <c r="G81" s="9">
        <v>2020</v>
      </c>
      <c r="H81" s="9">
        <v>3</v>
      </c>
      <c r="I81" s="9">
        <v>0</v>
      </c>
      <c r="J81" s="9" t="s">
        <v>78</v>
      </c>
      <c r="K81" s="9">
        <v>10</v>
      </c>
      <c r="L81" s="9">
        <f t="shared" si="19"/>
        <v>2030</v>
      </c>
      <c r="M81" s="114">
        <f t="shared" si="20"/>
        <v>2030.25</v>
      </c>
      <c r="N81" s="13">
        <v>381469</v>
      </c>
      <c r="O81" s="13">
        <f t="shared" si="21"/>
        <v>381469</v>
      </c>
      <c r="P81" s="13">
        <f t="shared" si="22"/>
        <v>3178.9083333333333</v>
      </c>
      <c r="Q81" s="13">
        <f t="shared" ref="Q81:Q92" si="27">P81*12</f>
        <v>38146.9</v>
      </c>
      <c r="R81" s="13">
        <v>38146.9</v>
      </c>
      <c r="S81" s="13">
        <f t="shared" si="23"/>
        <v>38146.9</v>
      </c>
      <c r="T81" s="13">
        <f t="shared" si="24"/>
        <v>38146.9</v>
      </c>
      <c r="U81" s="13">
        <f t="shared" si="25"/>
        <v>76293.8</v>
      </c>
      <c r="V81" s="13">
        <v>343322.1</v>
      </c>
      <c r="W81" s="13">
        <f t="shared" si="26"/>
        <v>305175.2</v>
      </c>
    </row>
    <row r="82" spans="1:23" s="9" customFormat="1">
      <c r="B82" s="9" t="s">
        <v>111</v>
      </c>
      <c r="D82" s="9" t="s">
        <v>137</v>
      </c>
      <c r="E82" s="9" t="s">
        <v>138</v>
      </c>
      <c r="G82" s="9">
        <v>2020</v>
      </c>
      <c r="H82" s="9">
        <v>3</v>
      </c>
      <c r="I82" s="9">
        <v>0</v>
      </c>
      <c r="J82" s="9" t="s">
        <v>78</v>
      </c>
      <c r="K82" s="9">
        <v>10</v>
      </c>
      <c r="L82" s="9">
        <f t="shared" si="19"/>
        <v>2030</v>
      </c>
      <c r="M82" s="114">
        <f t="shared" si="20"/>
        <v>2030.25</v>
      </c>
      <c r="N82" s="13">
        <v>381469</v>
      </c>
      <c r="O82" s="13">
        <f t="shared" si="21"/>
        <v>381469</v>
      </c>
      <c r="P82" s="13">
        <f t="shared" si="22"/>
        <v>3178.9083333333333</v>
      </c>
      <c r="Q82" s="13">
        <f t="shared" si="27"/>
        <v>38146.9</v>
      </c>
      <c r="R82" s="13">
        <v>38146.9</v>
      </c>
      <c r="S82" s="13">
        <f t="shared" si="23"/>
        <v>38146.9</v>
      </c>
      <c r="T82" s="13">
        <f t="shared" si="24"/>
        <v>38146.9</v>
      </c>
      <c r="U82" s="13">
        <f t="shared" si="25"/>
        <v>76293.8</v>
      </c>
      <c r="V82" s="13">
        <v>343322.1</v>
      </c>
      <c r="W82" s="13">
        <f t="shared" si="26"/>
        <v>305175.2</v>
      </c>
    </row>
    <row r="83" spans="1:23" s="9" customFormat="1">
      <c r="B83" s="9" t="s">
        <v>111</v>
      </c>
      <c r="D83" s="9" t="s">
        <v>137</v>
      </c>
      <c r="E83" s="9" t="s">
        <v>138</v>
      </c>
      <c r="G83" s="9">
        <v>2020</v>
      </c>
      <c r="H83" s="9">
        <v>3</v>
      </c>
      <c r="I83" s="9">
        <v>0</v>
      </c>
      <c r="J83" s="9" t="s">
        <v>78</v>
      </c>
      <c r="K83" s="9">
        <v>10</v>
      </c>
      <c r="L83" s="9">
        <f t="shared" si="19"/>
        <v>2030</v>
      </c>
      <c r="M83" s="114">
        <f t="shared" si="20"/>
        <v>2030.25</v>
      </c>
      <c r="N83" s="13">
        <v>381469</v>
      </c>
      <c r="O83" s="13">
        <f t="shared" si="21"/>
        <v>381469</v>
      </c>
      <c r="P83" s="13">
        <f t="shared" si="22"/>
        <v>3178.9083333333333</v>
      </c>
      <c r="Q83" s="13">
        <f t="shared" si="27"/>
        <v>38146.9</v>
      </c>
      <c r="R83" s="13">
        <v>38146.9</v>
      </c>
      <c r="S83" s="13">
        <f t="shared" si="23"/>
        <v>38146.9</v>
      </c>
      <c r="T83" s="13">
        <f t="shared" si="24"/>
        <v>38146.9</v>
      </c>
      <c r="U83" s="13">
        <f t="shared" si="25"/>
        <v>76293.8</v>
      </c>
      <c r="V83" s="13">
        <v>343322.1</v>
      </c>
      <c r="W83" s="13">
        <f t="shared" si="26"/>
        <v>305175.2</v>
      </c>
    </row>
    <row r="84" spans="1:23" s="9" customFormat="1">
      <c r="B84" s="9" t="s">
        <v>111</v>
      </c>
      <c r="D84" s="9" t="s">
        <v>137</v>
      </c>
      <c r="E84" s="9" t="s">
        <v>138</v>
      </c>
      <c r="G84" s="9">
        <v>2020</v>
      </c>
      <c r="H84" s="9">
        <v>3</v>
      </c>
      <c r="I84" s="9">
        <v>0</v>
      </c>
      <c r="J84" s="9" t="s">
        <v>78</v>
      </c>
      <c r="K84" s="9">
        <v>10</v>
      </c>
      <c r="L84" s="9">
        <f t="shared" si="19"/>
        <v>2030</v>
      </c>
      <c r="M84" s="114">
        <f t="shared" si="20"/>
        <v>2030.25</v>
      </c>
      <c r="N84" s="13">
        <v>381469</v>
      </c>
      <c r="O84" s="13">
        <f t="shared" si="21"/>
        <v>381469</v>
      </c>
      <c r="P84" s="13">
        <f t="shared" si="22"/>
        <v>3178.9083333333333</v>
      </c>
      <c r="Q84" s="13">
        <f t="shared" si="27"/>
        <v>38146.9</v>
      </c>
      <c r="R84" s="13">
        <v>38146.9</v>
      </c>
      <c r="S84" s="13">
        <f t="shared" si="23"/>
        <v>38146.9</v>
      </c>
      <c r="T84" s="13">
        <f t="shared" si="24"/>
        <v>38146.9</v>
      </c>
      <c r="U84" s="13">
        <f t="shared" si="25"/>
        <v>76293.8</v>
      </c>
      <c r="V84" s="13">
        <v>343322.1</v>
      </c>
      <c r="W84" s="13">
        <f t="shared" si="26"/>
        <v>305175.2</v>
      </c>
    </row>
    <row r="85" spans="1:23" s="9" customFormat="1">
      <c r="B85" s="9" t="s">
        <v>111</v>
      </c>
      <c r="D85" s="9" t="s">
        <v>137</v>
      </c>
      <c r="E85" s="9" t="s">
        <v>138</v>
      </c>
      <c r="G85" s="9">
        <v>2020</v>
      </c>
      <c r="H85" s="9">
        <v>3</v>
      </c>
      <c r="I85" s="9">
        <v>0</v>
      </c>
      <c r="J85" s="9" t="s">
        <v>78</v>
      </c>
      <c r="K85" s="9">
        <v>10</v>
      </c>
      <c r="L85" s="9">
        <f t="shared" si="19"/>
        <v>2030</v>
      </c>
      <c r="M85" s="114">
        <f t="shared" si="20"/>
        <v>2030.25</v>
      </c>
      <c r="N85" s="13">
        <v>381469</v>
      </c>
      <c r="O85" s="13">
        <f t="shared" si="21"/>
        <v>381469</v>
      </c>
      <c r="P85" s="13">
        <f t="shared" si="22"/>
        <v>3178.9083333333333</v>
      </c>
      <c r="Q85" s="13">
        <f t="shared" si="27"/>
        <v>38146.9</v>
      </c>
      <c r="R85" s="13">
        <v>38146.9</v>
      </c>
      <c r="S85" s="13">
        <f t="shared" si="23"/>
        <v>38146.9</v>
      </c>
      <c r="T85" s="13">
        <f t="shared" si="24"/>
        <v>38146.9</v>
      </c>
      <c r="U85" s="13">
        <f t="shared" si="25"/>
        <v>76293.8</v>
      </c>
      <c r="V85" s="13">
        <v>343322.1</v>
      </c>
      <c r="W85" s="13">
        <f t="shared" si="26"/>
        <v>305175.2</v>
      </c>
    </row>
    <row r="86" spans="1:23" s="9" customFormat="1">
      <c r="B86" s="9" t="s">
        <v>111</v>
      </c>
      <c r="D86" s="9" t="s">
        <v>137</v>
      </c>
      <c r="E86" s="9" t="s">
        <v>138</v>
      </c>
      <c r="G86" s="9">
        <v>2020</v>
      </c>
      <c r="H86" s="9">
        <v>3</v>
      </c>
      <c r="I86" s="9">
        <v>0</v>
      </c>
      <c r="J86" s="9" t="s">
        <v>78</v>
      </c>
      <c r="K86" s="9">
        <v>10</v>
      </c>
      <c r="L86" s="9">
        <f t="shared" si="19"/>
        <v>2030</v>
      </c>
      <c r="M86" s="114">
        <f t="shared" si="20"/>
        <v>2030.25</v>
      </c>
      <c r="N86" s="13">
        <v>381469</v>
      </c>
      <c r="O86" s="13">
        <f t="shared" si="21"/>
        <v>381469</v>
      </c>
      <c r="P86" s="13">
        <f t="shared" si="22"/>
        <v>3178.9083333333333</v>
      </c>
      <c r="Q86" s="13">
        <f t="shared" si="27"/>
        <v>38146.9</v>
      </c>
      <c r="R86" s="13">
        <v>38146.9</v>
      </c>
      <c r="S86" s="13">
        <f t="shared" si="23"/>
        <v>38146.9</v>
      </c>
      <c r="T86" s="13">
        <f t="shared" si="24"/>
        <v>38146.9</v>
      </c>
      <c r="U86" s="13">
        <f t="shared" si="25"/>
        <v>76293.8</v>
      </c>
      <c r="V86" s="13">
        <v>343322.1</v>
      </c>
      <c r="W86" s="13">
        <f t="shared" si="26"/>
        <v>305175.2</v>
      </c>
    </row>
    <row r="87" spans="1:23" s="9" customFormat="1">
      <c r="B87" s="9" t="s">
        <v>117</v>
      </c>
      <c r="D87" s="9" t="s">
        <v>139</v>
      </c>
      <c r="E87" s="9" t="s">
        <v>138</v>
      </c>
      <c r="G87" s="9">
        <v>2020</v>
      </c>
      <c r="H87" s="9">
        <v>3</v>
      </c>
      <c r="I87" s="9">
        <v>0</v>
      </c>
      <c r="J87" s="9" t="s">
        <v>78</v>
      </c>
      <c r="K87" s="9">
        <v>10</v>
      </c>
      <c r="L87" s="9">
        <f t="shared" si="19"/>
        <v>2030</v>
      </c>
      <c r="M87" s="114">
        <f t="shared" si="20"/>
        <v>2030.25</v>
      </c>
      <c r="N87" s="13">
        <v>372782</v>
      </c>
      <c r="O87" s="13">
        <f t="shared" si="21"/>
        <v>372782</v>
      </c>
      <c r="P87" s="13">
        <f t="shared" si="22"/>
        <v>3106.5166666666664</v>
      </c>
      <c r="Q87" s="13">
        <f t="shared" si="27"/>
        <v>37278.199999999997</v>
      </c>
      <c r="R87" s="13">
        <v>37278.199999999997</v>
      </c>
      <c r="S87" s="13">
        <f t="shared" si="23"/>
        <v>37278.199999999997</v>
      </c>
      <c r="T87" s="13">
        <f t="shared" si="24"/>
        <v>37278.199999999997</v>
      </c>
      <c r="U87" s="13">
        <f t="shared" si="25"/>
        <v>74556.399999999994</v>
      </c>
      <c r="V87" s="13">
        <v>335503.8</v>
      </c>
      <c r="W87" s="13">
        <f t="shared" si="26"/>
        <v>298225.59999999998</v>
      </c>
    </row>
    <row r="88" spans="1:23" s="9" customFormat="1">
      <c r="B88" s="9" t="s">
        <v>101</v>
      </c>
      <c r="D88" s="9" t="s">
        <v>140</v>
      </c>
      <c r="E88" s="9" t="s">
        <v>138</v>
      </c>
      <c r="G88" s="9">
        <v>2020</v>
      </c>
      <c r="H88" s="9">
        <v>3</v>
      </c>
      <c r="I88" s="9">
        <v>0</v>
      </c>
      <c r="J88" s="9" t="s">
        <v>78</v>
      </c>
      <c r="K88" s="9">
        <v>10</v>
      </c>
      <c r="L88" s="9">
        <f t="shared" si="19"/>
        <v>2030</v>
      </c>
      <c r="M88" s="114">
        <f t="shared" si="20"/>
        <v>2030.25</v>
      </c>
      <c r="N88" s="13">
        <v>304208</v>
      </c>
      <c r="O88" s="13">
        <f t="shared" si="21"/>
        <v>304208</v>
      </c>
      <c r="P88" s="13">
        <f t="shared" si="22"/>
        <v>2535.0666666666666</v>
      </c>
      <c r="Q88" s="13">
        <f t="shared" si="27"/>
        <v>30420.799999999999</v>
      </c>
      <c r="R88" s="13">
        <v>30420.799999999999</v>
      </c>
      <c r="S88" s="13">
        <f t="shared" si="23"/>
        <v>30420.799999999999</v>
      </c>
      <c r="T88" s="13">
        <f t="shared" si="24"/>
        <v>30420.799999999999</v>
      </c>
      <c r="U88" s="13">
        <f t="shared" si="25"/>
        <v>60841.599999999999</v>
      </c>
      <c r="V88" s="13">
        <v>273787.2</v>
      </c>
      <c r="W88" s="13">
        <f t="shared" si="26"/>
        <v>243366.39999999999</v>
      </c>
    </row>
    <row r="89" spans="1:23" s="9" customFormat="1">
      <c r="B89" s="9" t="s">
        <v>101</v>
      </c>
      <c r="D89" s="9" t="s">
        <v>140</v>
      </c>
      <c r="E89" s="9" t="s">
        <v>138</v>
      </c>
      <c r="G89" s="9">
        <v>2020</v>
      </c>
      <c r="H89" s="9">
        <v>3</v>
      </c>
      <c r="I89" s="9">
        <v>0</v>
      </c>
      <c r="J89" s="9" t="s">
        <v>78</v>
      </c>
      <c r="K89" s="9">
        <v>10</v>
      </c>
      <c r="L89" s="9">
        <f t="shared" si="19"/>
        <v>2030</v>
      </c>
      <c r="M89" s="114">
        <f t="shared" si="20"/>
        <v>2030.25</v>
      </c>
      <c r="N89" s="13">
        <v>304208</v>
      </c>
      <c r="O89" s="13">
        <f t="shared" si="21"/>
        <v>304208</v>
      </c>
      <c r="P89" s="122">
        <f>O89/K89/12</f>
        <v>2535.0666666666666</v>
      </c>
      <c r="Q89" s="13">
        <f t="shared" si="27"/>
        <v>30420.799999999999</v>
      </c>
      <c r="R89" s="13">
        <v>30420.799999999999</v>
      </c>
      <c r="S89" s="13">
        <f t="shared" si="23"/>
        <v>30420.799999999999</v>
      </c>
      <c r="T89" s="13">
        <f t="shared" si="24"/>
        <v>30420.799999999999</v>
      </c>
      <c r="U89" s="13">
        <f t="shared" si="25"/>
        <v>60841.599999999999</v>
      </c>
      <c r="V89" s="13">
        <v>273787.2</v>
      </c>
      <c r="W89" s="13">
        <f t="shared" si="26"/>
        <v>243366.39999999999</v>
      </c>
    </row>
    <row r="90" spans="1:23" s="9" customFormat="1">
      <c r="B90" s="9" t="s">
        <v>111</v>
      </c>
      <c r="D90" s="9" t="s">
        <v>137</v>
      </c>
      <c r="E90" s="9" t="s">
        <v>141</v>
      </c>
      <c r="G90" s="9">
        <v>2020</v>
      </c>
      <c r="H90" s="9">
        <v>3</v>
      </c>
      <c r="I90" s="9">
        <v>0</v>
      </c>
      <c r="J90" s="9" t="s">
        <v>78</v>
      </c>
      <c r="K90" s="9">
        <v>10</v>
      </c>
      <c r="L90" s="9">
        <f t="shared" si="19"/>
        <v>2030</v>
      </c>
      <c r="M90" s="114">
        <f t="shared" si="20"/>
        <v>2030.25</v>
      </c>
      <c r="N90" s="13">
        <v>381469</v>
      </c>
      <c r="O90" s="13">
        <f t="shared" si="21"/>
        <v>381469</v>
      </c>
      <c r="P90" s="13">
        <f t="shared" ref="P90:P92" si="28">O90/K90/12</f>
        <v>3178.9083333333333</v>
      </c>
      <c r="Q90" s="13">
        <f t="shared" si="27"/>
        <v>38146.9</v>
      </c>
      <c r="R90" s="13">
        <v>38146.9</v>
      </c>
      <c r="S90" s="13">
        <f t="shared" si="23"/>
        <v>38146.9</v>
      </c>
      <c r="T90" s="13">
        <f t="shared" si="24"/>
        <v>38146.9</v>
      </c>
      <c r="U90" s="13">
        <f t="shared" si="25"/>
        <v>76293.8</v>
      </c>
      <c r="V90" s="13">
        <v>343322.1</v>
      </c>
      <c r="W90" s="13">
        <f t="shared" si="26"/>
        <v>305175.2</v>
      </c>
    </row>
    <row r="91" spans="1:23" s="9" customFormat="1">
      <c r="B91" s="9" t="s">
        <v>117</v>
      </c>
      <c r="D91" s="9" t="s">
        <v>139</v>
      </c>
      <c r="E91" s="9" t="s">
        <v>141</v>
      </c>
      <c r="G91" s="9">
        <v>2020</v>
      </c>
      <c r="H91" s="9">
        <v>3</v>
      </c>
      <c r="I91" s="9">
        <v>0</v>
      </c>
      <c r="J91" s="9" t="s">
        <v>78</v>
      </c>
      <c r="K91" s="9">
        <v>10</v>
      </c>
      <c r="L91" s="9">
        <f t="shared" si="19"/>
        <v>2030</v>
      </c>
      <c r="M91" s="114">
        <f t="shared" si="20"/>
        <v>2030.25</v>
      </c>
      <c r="N91" s="13">
        <v>372782</v>
      </c>
      <c r="O91" s="13">
        <f t="shared" si="21"/>
        <v>372782</v>
      </c>
      <c r="P91" s="13">
        <f t="shared" si="28"/>
        <v>3106.5166666666664</v>
      </c>
      <c r="Q91" s="13">
        <f t="shared" si="27"/>
        <v>37278.199999999997</v>
      </c>
      <c r="R91" s="13">
        <v>37278.199999999997</v>
      </c>
      <c r="S91" s="13">
        <f t="shared" si="23"/>
        <v>37278.199999999997</v>
      </c>
      <c r="T91" s="13">
        <f t="shared" si="24"/>
        <v>37278.199999999997</v>
      </c>
      <c r="U91" s="13">
        <f t="shared" si="25"/>
        <v>74556.399999999994</v>
      </c>
      <c r="V91" s="13">
        <v>335503.8</v>
      </c>
      <c r="W91" s="13">
        <f t="shared" si="26"/>
        <v>298225.59999999998</v>
      </c>
    </row>
    <row r="92" spans="1:23" s="9" customFormat="1">
      <c r="D92" s="9" t="s">
        <v>1251</v>
      </c>
      <c r="G92" s="9">
        <v>2020</v>
      </c>
      <c r="H92" s="9">
        <v>3</v>
      </c>
      <c r="I92" s="9">
        <v>0</v>
      </c>
      <c r="J92" s="9" t="s">
        <v>78</v>
      </c>
      <c r="K92" s="9">
        <v>2</v>
      </c>
      <c r="L92" s="9">
        <f t="shared" si="19"/>
        <v>2022</v>
      </c>
      <c r="M92" s="114">
        <f t="shared" si="20"/>
        <v>2022.25</v>
      </c>
      <c r="N92" s="13">
        <v>33212</v>
      </c>
      <c r="O92" s="13">
        <f t="shared" si="21"/>
        <v>33212</v>
      </c>
      <c r="P92" s="13">
        <f t="shared" si="28"/>
        <v>1383.8333333333333</v>
      </c>
      <c r="Q92" s="13">
        <f t="shared" si="27"/>
        <v>16606</v>
      </c>
      <c r="R92" s="13"/>
      <c r="S92" s="13">
        <f t="shared" si="23"/>
        <v>0</v>
      </c>
      <c r="T92" s="13">
        <f t="shared" si="24"/>
        <v>33212</v>
      </c>
      <c r="U92" s="13">
        <f t="shared" si="25"/>
        <v>33212</v>
      </c>
      <c r="V92" s="13"/>
      <c r="W92" s="13">
        <f t="shared" si="26"/>
        <v>0</v>
      </c>
    </row>
    <row r="93" spans="1:23" s="9" customFormat="1">
      <c r="A93" s="15"/>
      <c r="B93" s="15"/>
      <c r="C93" s="15"/>
      <c r="D93" s="15" t="s">
        <v>142</v>
      </c>
      <c r="E93" s="15"/>
      <c r="F93" s="15"/>
      <c r="G93" s="15"/>
      <c r="H93" s="15"/>
      <c r="I93" s="15"/>
      <c r="J93" s="15"/>
      <c r="K93" s="15"/>
      <c r="L93" s="176"/>
      <c r="M93" s="145"/>
      <c r="N93" s="16"/>
      <c r="O93" s="16"/>
      <c r="P93" s="16"/>
      <c r="Q93" s="16"/>
      <c r="R93" s="16">
        <v>30728.126000000004</v>
      </c>
      <c r="S93" s="16">
        <f>SUM(S499+S501+S507)</f>
        <v>0</v>
      </c>
      <c r="T93" s="16"/>
      <c r="U93" s="16"/>
      <c r="V93" s="16">
        <v>0</v>
      </c>
      <c r="W93" s="16">
        <v>0</v>
      </c>
    </row>
    <row r="94" spans="1:23" s="177" customFormat="1">
      <c r="B94" s="177" t="s">
        <v>111</v>
      </c>
      <c r="C94" s="177">
        <v>3698</v>
      </c>
      <c r="D94" s="177" t="s">
        <v>1256</v>
      </c>
      <c r="E94" s="177">
        <v>227344</v>
      </c>
      <c r="F94" s="177">
        <v>223827</v>
      </c>
      <c r="G94" s="177">
        <v>2020</v>
      </c>
      <c r="H94" s="177">
        <v>1</v>
      </c>
      <c r="I94" s="177">
        <v>0</v>
      </c>
      <c r="J94" s="177" t="s">
        <v>78</v>
      </c>
      <c r="K94" s="177">
        <v>10</v>
      </c>
      <c r="L94" s="9">
        <f t="shared" ref="L94" si="29">G94+K94</f>
        <v>2030</v>
      </c>
      <c r="M94" s="114">
        <f t="shared" ref="M94" si="30">+L94+(H94/12)</f>
        <v>2030.0833333333333</v>
      </c>
      <c r="N94" s="13">
        <v>535.35</v>
      </c>
      <c r="O94" s="13">
        <f t="shared" ref="O94" si="31">N94-N94*I94</f>
        <v>535.35</v>
      </c>
      <c r="P94" s="13">
        <f t="shared" ref="P94" si="32">O94/K94/12</f>
        <v>4.4612500000000006</v>
      </c>
      <c r="Q94" s="13">
        <f t="shared" ref="Q94" si="33">P94*12</f>
        <v>53.535000000000011</v>
      </c>
      <c r="R94" s="13"/>
      <c r="S94" s="13">
        <f t="shared" ref="S94" si="34">+IF(M94&lt;=$O$5,0,IF(L94&gt;$O$4,Q94,(P94*H94)))</f>
        <v>53.535000000000011</v>
      </c>
      <c r="T94" s="13">
        <f t="shared" ref="T94" si="35">+IF(S94=0,N94,IF($O$3-G94&lt;1,0,(($O$3-G94)*Q94)))</f>
        <v>53.535000000000011</v>
      </c>
      <c r="U94" s="13">
        <f t="shared" ref="U94" si="36">+IF(S94=0,T94,T94+S94)</f>
        <v>107.07000000000002</v>
      </c>
      <c r="V94" s="13"/>
      <c r="W94" s="13">
        <f t="shared" ref="W94" si="37">+N94-U94</f>
        <v>428.28</v>
      </c>
    </row>
    <row r="95" spans="1:23" s="177" customFormat="1">
      <c r="B95" s="177" t="s">
        <v>111</v>
      </c>
      <c r="C95" s="177">
        <v>3700</v>
      </c>
      <c r="D95" s="177" t="s">
        <v>1256</v>
      </c>
      <c r="E95" s="177">
        <v>227345</v>
      </c>
      <c r="F95" s="177">
        <v>225678</v>
      </c>
      <c r="G95" s="177">
        <v>2020</v>
      </c>
      <c r="H95" s="177">
        <v>1</v>
      </c>
      <c r="I95" s="177">
        <v>0</v>
      </c>
      <c r="J95" s="177" t="s">
        <v>78</v>
      </c>
      <c r="K95" s="177">
        <v>10</v>
      </c>
      <c r="L95" s="9">
        <f t="shared" ref="L95:L118" si="38">G95+K95</f>
        <v>2030</v>
      </c>
      <c r="M95" s="114">
        <f t="shared" ref="M95:M118" si="39">+L95+(H95/12)</f>
        <v>2030.0833333333333</v>
      </c>
      <c r="N95" s="13">
        <v>535.35</v>
      </c>
      <c r="O95" s="13">
        <f t="shared" ref="O95:O126" si="40">N95-N95*I95</f>
        <v>535.35</v>
      </c>
      <c r="P95" s="13">
        <f t="shared" ref="P95:P126" si="41">O95/K95/12</f>
        <v>4.4612500000000006</v>
      </c>
      <c r="Q95" s="13">
        <f t="shared" ref="Q95:Q126" si="42">P95*12</f>
        <v>53.535000000000011</v>
      </c>
      <c r="R95" s="13"/>
      <c r="S95" s="13">
        <f t="shared" ref="S95:S118" si="43">+IF(M95&lt;=$O$5,0,IF(L95&gt;$O$4,Q95,(P95*H95)))</f>
        <v>53.535000000000011</v>
      </c>
      <c r="T95" s="13">
        <f t="shared" ref="T95:T118" si="44">+IF(S95=0,N95,IF($O$3-G95&lt;1,0,(($O$3-G95)*Q95)))</f>
        <v>53.535000000000011</v>
      </c>
      <c r="U95" s="13">
        <f t="shared" ref="U95:U118" si="45">+IF(S95=0,T95,T95+S95)</f>
        <v>107.07000000000002</v>
      </c>
      <c r="V95" s="13"/>
      <c r="W95" s="13">
        <f t="shared" ref="W95:W118" si="46">+N95-U95</f>
        <v>428.28</v>
      </c>
    </row>
    <row r="96" spans="1:23" s="177" customFormat="1">
      <c r="B96" s="177" t="s">
        <v>101</v>
      </c>
      <c r="C96" s="177">
        <v>1085</v>
      </c>
      <c r="D96" s="177" t="s">
        <v>1257</v>
      </c>
      <c r="E96" s="177">
        <v>227346</v>
      </c>
      <c r="F96" s="177">
        <v>225679</v>
      </c>
      <c r="G96" s="177">
        <v>2020</v>
      </c>
      <c r="H96" s="177">
        <v>1</v>
      </c>
      <c r="I96" s="177">
        <v>0</v>
      </c>
      <c r="J96" s="177" t="s">
        <v>78</v>
      </c>
      <c r="K96" s="177">
        <v>10</v>
      </c>
      <c r="L96" s="9">
        <f t="shared" si="38"/>
        <v>2030</v>
      </c>
      <c r="M96" s="114">
        <f t="shared" si="39"/>
        <v>2030.0833333333333</v>
      </c>
      <c r="N96" s="13">
        <v>388.48</v>
      </c>
      <c r="O96" s="13">
        <f t="shared" si="40"/>
        <v>388.48</v>
      </c>
      <c r="P96" s="13">
        <f t="shared" si="41"/>
        <v>3.2373333333333334</v>
      </c>
      <c r="Q96" s="13">
        <f t="shared" si="42"/>
        <v>38.847999999999999</v>
      </c>
      <c r="R96" s="13"/>
      <c r="S96" s="13">
        <f t="shared" si="43"/>
        <v>38.847999999999999</v>
      </c>
      <c r="T96" s="13">
        <f t="shared" si="44"/>
        <v>38.847999999999999</v>
      </c>
      <c r="U96" s="13">
        <f t="shared" si="45"/>
        <v>77.695999999999998</v>
      </c>
      <c r="V96" s="13"/>
      <c r="W96" s="13">
        <f t="shared" si="46"/>
        <v>310.78399999999999</v>
      </c>
    </row>
    <row r="97" spans="2:23" s="177" customFormat="1">
      <c r="B97" s="177" t="s">
        <v>101</v>
      </c>
      <c r="C97" s="177">
        <v>1086</v>
      </c>
      <c r="D97" s="177" t="s">
        <v>1257</v>
      </c>
      <c r="E97" s="177">
        <v>227348</v>
      </c>
      <c r="F97" s="177">
        <v>225681</v>
      </c>
      <c r="G97" s="177">
        <v>2020</v>
      </c>
      <c r="H97" s="177">
        <v>1</v>
      </c>
      <c r="I97" s="177">
        <v>0</v>
      </c>
      <c r="J97" s="177" t="s">
        <v>78</v>
      </c>
      <c r="K97" s="177">
        <v>10</v>
      </c>
      <c r="L97" s="9">
        <f t="shared" si="38"/>
        <v>2030</v>
      </c>
      <c r="M97" s="114">
        <f t="shared" si="39"/>
        <v>2030.0833333333333</v>
      </c>
      <c r="N97" s="13">
        <v>388.48</v>
      </c>
      <c r="O97" s="13">
        <f t="shared" si="40"/>
        <v>388.48</v>
      </c>
      <c r="P97" s="13">
        <f t="shared" si="41"/>
        <v>3.2373333333333334</v>
      </c>
      <c r="Q97" s="13">
        <f t="shared" si="42"/>
        <v>38.847999999999999</v>
      </c>
      <c r="R97" s="13"/>
      <c r="S97" s="13">
        <f t="shared" si="43"/>
        <v>38.847999999999999</v>
      </c>
      <c r="T97" s="13">
        <f t="shared" si="44"/>
        <v>38.847999999999999</v>
      </c>
      <c r="U97" s="13">
        <f t="shared" si="45"/>
        <v>77.695999999999998</v>
      </c>
      <c r="V97" s="13"/>
      <c r="W97" s="13">
        <f t="shared" si="46"/>
        <v>310.78399999999999</v>
      </c>
    </row>
    <row r="98" spans="2:23" s="177" customFormat="1">
      <c r="B98" s="177" t="s">
        <v>111</v>
      </c>
      <c r="C98" s="177">
        <v>3698</v>
      </c>
      <c r="D98" s="177" t="s">
        <v>1259</v>
      </c>
      <c r="E98" s="177">
        <v>228256</v>
      </c>
      <c r="F98" s="177">
        <v>223827</v>
      </c>
      <c r="G98" s="177">
        <v>2020</v>
      </c>
      <c r="H98" s="177">
        <v>1</v>
      </c>
      <c r="I98" s="177">
        <v>0</v>
      </c>
      <c r="J98" s="177" t="s">
        <v>78</v>
      </c>
      <c r="K98" s="177">
        <v>10</v>
      </c>
      <c r="L98" s="9">
        <f t="shared" si="38"/>
        <v>2030</v>
      </c>
      <c r="M98" s="114">
        <f t="shared" si="39"/>
        <v>2030.0833333333333</v>
      </c>
      <c r="N98" s="13">
        <v>995.67</v>
      </c>
      <c r="O98" s="13">
        <f t="shared" si="40"/>
        <v>995.67</v>
      </c>
      <c r="P98" s="13">
        <f t="shared" si="41"/>
        <v>8.29725</v>
      </c>
      <c r="Q98" s="13">
        <f t="shared" si="42"/>
        <v>99.567000000000007</v>
      </c>
      <c r="R98" s="13"/>
      <c r="S98" s="13">
        <f t="shared" si="43"/>
        <v>99.567000000000007</v>
      </c>
      <c r="T98" s="13">
        <f t="shared" si="44"/>
        <v>99.567000000000007</v>
      </c>
      <c r="U98" s="13">
        <f t="shared" si="45"/>
        <v>199.13400000000001</v>
      </c>
      <c r="V98" s="13"/>
      <c r="W98" s="13">
        <f t="shared" si="46"/>
        <v>796.53599999999994</v>
      </c>
    </row>
    <row r="99" spans="2:23" s="177" customFormat="1">
      <c r="B99" s="177" t="s">
        <v>111</v>
      </c>
      <c r="C99" s="177">
        <v>3700</v>
      </c>
      <c r="D99" s="177" t="s">
        <v>1260</v>
      </c>
      <c r="E99" s="177">
        <v>228257</v>
      </c>
      <c r="F99" s="177">
        <v>225678</v>
      </c>
      <c r="G99" s="177">
        <v>2020</v>
      </c>
      <c r="H99" s="177">
        <v>1</v>
      </c>
      <c r="I99" s="177">
        <v>0</v>
      </c>
      <c r="J99" s="177" t="s">
        <v>78</v>
      </c>
      <c r="K99" s="177">
        <v>10</v>
      </c>
      <c r="L99" s="9">
        <f t="shared" si="38"/>
        <v>2030</v>
      </c>
      <c r="M99" s="114">
        <f t="shared" si="39"/>
        <v>2030.0833333333333</v>
      </c>
      <c r="N99" s="13">
        <v>926.15</v>
      </c>
      <c r="O99" s="13">
        <f t="shared" si="40"/>
        <v>926.15</v>
      </c>
      <c r="P99" s="13">
        <f t="shared" si="41"/>
        <v>7.7179166666666665</v>
      </c>
      <c r="Q99" s="13">
        <f t="shared" si="42"/>
        <v>92.614999999999995</v>
      </c>
      <c r="R99" s="13"/>
      <c r="S99" s="13">
        <f t="shared" si="43"/>
        <v>92.614999999999995</v>
      </c>
      <c r="T99" s="13">
        <f t="shared" si="44"/>
        <v>92.614999999999995</v>
      </c>
      <c r="U99" s="13">
        <f t="shared" si="45"/>
        <v>185.23</v>
      </c>
      <c r="V99" s="13"/>
      <c r="W99" s="13">
        <f t="shared" si="46"/>
        <v>740.92</v>
      </c>
    </row>
    <row r="100" spans="2:23" s="177" customFormat="1">
      <c r="B100" s="177" t="s">
        <v>111</v>
      </c>
      <c r="C100" s="177">
        <v>3698</v>
      </c>
      <c r="D100" s="177" t="s">
        <v>1259</v>
      </c>
      <c r="E100" s="177">
        <v>228258</v>
      </c>
      <c r="F100" s="177">
        <v>225678</v>
      </c>
      <c r="G100" s="177">
        <v>2020</v>
      </c>
      <c r="H100" s="177">
        <v>1</v>
      </c>
      <c r="I100" s="177">
        <v>0</v>
      </c>
      <c r="J100" s="177" t="s">
        <v>78</v>
      </c>
      <c r="K100" s="177">
        <v>10</v>
      </c>
      <c r="L100" s="9">
        <f t="shared" si="38"/>
        <v>2030</v>
      </c>
      <c r="M100" s="114">
        <f t="shared" si="39"/>
        <v>2030.0833333333333</v>
      </c>
      <c r="N100" s="13">
        <v>-995.67</v>
      </c>
      <c r="O100" s="13">
        <f t="shared" si="40"/>
        <v>-995.67</v>
      </c>
      <c r="P100" s="13">
        <f t="shared" si="41"/>
        <v>-8.29725</v>
      </c>
      <c r="Q100" s="13">
        <f t="shared" si="42"/>
        <v>-99.567000000000007</v>
      </c>
      <c r="R100" s="13"/>
      <c r="S100" s="13">
        <f t="shared" si="43"/>
        <v>-99.567000000000007</v>
      </c>
      <c r="T100" s="13">
        <f t="shared" si="44"/>
        <v>-99.567000000000007</v>
      </c>
      <c r="U100" s="13">
        <f t="shared" si="45"/>
        <v>-199.13400000000001</v>
      </c>
      <c r="V100" s="13"/>
      <c r="W100" s="13">
        <f t="shared" si="46"/>
        <v>-796.53599999999994</v>
      </c>
    </row>
    <row r="101" spans="2:23" s="177" customFormat="1">
      <c r="B101" s="177" t="s">
        <v>101</v>
      </c>
      <c r="C101" s="177">
        <v>1086</v>
      </c>
      <c r="D101" s="177" t="s">
        <v>1261</v>
      </c>
      <c r="E101" s="177">
        <v>228259</v>
      </c>
      <c r="F101" s="177">
        <v>225681</v>
      </c>
      <c r="G101" s="177">
        <v>2020</v>
      </c>
      <c r="H101" s="177">
        <v>1</v>
      </c>
      <c r="I101" s="177">
        <v>0</v>
      </c>
      <c r="J101" s="177" t="s">
        <v>78</v>
      </c>
      <c r="K101" s="177">
        <v>10</v>
      </c>
      <c r="L101" s="9">
        <f t="shared" si="38"/>
        <v>2030</v>
      </c>
      <c r="M101" s="114">
        <f t="shared" si="39"/>
        <v>2030.0833333333333</v>
      </c>
      <c r="N101" s="13">
        <v>818.34</v>
      </c>
      <c r="O101" s="13">
        <f t="shared" si="40"/>
        <v>818.34</v>
      </c>
      <c r="P101" s="13">
        <f t="shared" si="41"/>
        <v>6.8195000000000006</v>
      </c>
      <c r="Q101" s="13">
        <f t="shared" si="42"/>
        <v>81.834000000000003</v>
      </c>
      <c r="R101" s="13"/>
      <c r="S101" s="13">
        <f t="shared" si="43"/>
        <v>81.834000000000003</v>
      </c>
      <c r="T101" s="13">
        <f t="shared" si="44"/>
        <v>81.834000000000003</v>
      </c>
      <c r="U101" s="13">
        <f t="shared" si="45"/>
        <v>163.66800000000001</v>
      </c>
      <c r="V101" s="13"/>
      <c r="W101" s="13">
        <f t="shared" si="46"/>
        <v>654.67200000000003</v>
      </c>
    </row>
    <row r="102" spans="2:23" s="177" customFormat="1">
      <c r="B102" s="177" t="s">
        <v>117</v>
      </c>
      <c r="C102" s="177">
        <v>2060</v>
      </c>
      <c r="D102" s="177" t="s">
        <v>1263</v>
      </c>
      <c r="E102" s="177">
        <v>228661</v>
      </c>
      <c r="G102" s="177">
        <v>2020</v>
      </c>
      <c r="H102" s="177">
        <v>2</v>
      </c>
      <c r="I102" s="177">
        <v>0</v>
      </c>
      <c r="J102" s="177" t="s">
        <v>78</v>
      </c>
      <c r="K102" s="177">
        <v>10</v>
      </c>
      <c r="L102" s="9">
        <f t="shared" si="38"/>
        <v>2030</v>
      </c>
      <c r="M102" s="114">
        <f t="shared" si="39"/>
        <v>2030.1666666666667</v>
      </c>
      <c r="N102" s="13">
        <v>350190.23</v>
      </c>
      <c r="O102" s="13">
        <f t="shared" si="40"/>
        <v>350190.23</v>
      </c>
      <c r="P102" s="13">
        <f t="shared" si="41"/>
        <v>2918.2519166666666</v>
      </c>
      <c r="Q102" s="13">
        <f t="shared" si="42"/>
        <v>35019.023000000001</v>
      </c>
      <c r="R102" s="13"/>
      <c r="S102" s="13">
        <f t="shared" si="43"/>
        <v>35019.023000000001</v>
      </c>
      <c r="T102" s="13">
        <f t="shared" si="44"/>
        <v>35019.023000000001</v>
      </c>
      <c r="U102" s="13">
        <f t="shared" si="45"/>
        <v>70038.046000000002</v>
      </c>
      <c r="V102" s="13"/>
      <c r="W102" s="13">
        <f t="shared" si="46"/>
        <v>280152.18400000001</v>
      </c>
    </row>
    <row r="103" spans="2:23" s="177" customFormat="1">
      <c r="B103" s="177" t="s">
        <v>1264</v>
      </c>
      <c r="C103" s="177">
        <v>2060</v>
      </c>
      <c r="D103" s="177" t="s">
        <v>1265</v>
      </c>
      <c r="E103" s="177">
        <v>229086</v>
      </c>
      <c r="F103" s="177">
        <v>228661</v>
      </c>
      <c r="G103" s="177">
        <v>2020</v>
      </c>
      <c r="H103" s="177">
        <v>1</v>
      </c>
      <c r="I103" s="177">
        <v>0</v>
      </c>
      <c r="J103" s="177" t="s">
        <v>78</v>
      </c>
      <c r="K103" s="177">
        <v>10</v>
      </c>
      <c r="L103" s="9">
        <f t="shared" si="38"/>
        <v>2030</v>
      </c>
      <c r="M103" s="114">
        <f t="shared" si="39"/>
        <v>2030.0833333333333</v>
      </c>
      <c r="N103" s="13">
        <v>745.9</v>
      </c>
      <c r="O103" s="13">
        <f t="shared" si="40"/>
        <v>745.9</v>
      </c>
      <c r="P103" s="13">
        <f t="shared" si="41"/>
        <v>6.2158333333333333</v>
      </c>
      <c r="Q103" s="13">
        <f t="shared" si="42"/>
        <v>74.59</v>
      </c>
      <c r="R103" s="13"/>
      <c r="S103" s="13">
        <f t="shared" si="43"/>
        <v>74.59</v>
      </c>
      <c r="T103" s="13">
        <f t="shared" si="44"/>
        <v>74.59</v>
      </c>
      <c r="U103" s="13">
        <f t="shared" si="45"/>
        <v>149.18</v>
      </c>
      <c r="V103" s="13"/>
      <c r="W103" s="13">
        <f t="shared" si="46"/>
        <v>596.72</v>
      </c>
    </row>
    <row r="104" spans="2:23" s="177" customFormat="1">
      <c r="B104" s="177" t="s">
        <v>111</v>
      </c>
      <c r="C104" s="177">
        <v>3706</v>
      </c>
      <c r="D104" s="177" t="s">
        <v>1274</v>
      </c>
      <c r="E104" s="177">
        <v>232994</v>
      </c>
      <c r="G104" s="177">
        <v>2020</v>
      </c>
      <c r="H104" s="177">
        <v>5</v>
      </c>
      <c r="I104" s="177">
        <v>0</v>
      </c>
      <c r="J104" s="177" t="s">
        <v>78</v>
      </c>
      <c r="K104" s="177">
        <v>10</v>
      </c>
      <c r="L104" s="9">
        <f t="shared" si="38"/>
        <v>2030</v>
      </c>
      <c r="M104" s="114">
        <f t="shared" si="39"/>
        <v>2030.4166666666667</v>
      </c>
      <c r="N104" s="13">
        <v>365253.95</v>
      </c>
      <c r="O104" s="13">
        <f t="shared" si="40"/>
        <v>365253.95</v>
      </c>
      <c r="P104" s="13">
        <f t="shared" si="41"/>
        <v>3043.782916666667</v>
      </c>
      <c r="Q104" s="13">
        <f t="shared" si="42"/>
        <v>36525.395000000004</v>
      </c>
      <c r="R104" s="13"/>
      <c r="S104" s="13">
        <f t="shared" si="43"/>
        <v>36525.395000000004</v>
      </c>
      <c r="T104" s="13">
        <f t="shared" si="44"/>
        <v>36525.395000000004</v>
      </c>
      <c r="U104" s="13">
        <f t="shared" si="45"/>
        <v>73050.790000000008</v>
      </c>
      <c r="V104" s="13"/>
      <c r="W104" s="13">
        <f t="shared" si="46"/>
        <v>292203.16000000003</v>
      </c>
    </row>
    <row r="105" spans="2:23" s="177" customFormat="1">
      <c r="B105" s="177" t="s">
        <v>111</v>
      </c>
      <c r="C105" s="177">
        <v>3707</v>
      </c>
      <c r="D105" s="177" t="s">
        <v>1274</v>
      </c>
      <c r="E105" s="177">
        <v>233674</v>
      </c>
      <c r="G105" s="177">
        <v>2020</v>
      </c>
      <c r="H105" s="177">
        <v>5</v>
      </c>
      <c r="I105" s="177">
        <v>0</v>
      </c>
      <c r="J105" s="177" t="s">
        <v>78</v>
      </c>
      <c r="K105" s="177">
        <v>10</v>
      </c>
      <c r="L105" s="9">
        <f t="shared" si="38"/>
        <v>2030</v>
      </c>
      <c r="M105" s="114">
        <f t="shared" si="39"/>
        <v>2030.4166666666667</v>
      </c>
      <c r="N105" s="13">
        <v>368680.96000000002</v>
      </c>
      <c r="O105" s="13">
        <f t="shared" si="40"/>
        <v>368680.96000000002</v>
      </c>
      <c r="P105" s="13">
        <f t="shared" si="41"/>
        <v>3072.3413333333338</v>
      </c>
      <c r="Q105" s="13">
        <f t="shared" si="42"/>
        <v>36868.096000000005</v>
      </c>
      <c r="R105" s="13"/>
      <c r="S105" s="13">
        <f t="shared" si="43"/>
        <v>36868.096000000005</v>
      </c>
      <c r="T105" s="13">
        <f t="shared" si="44"/>
        <v>36868.096000000005</v>
      </c>
      <c r="U105" s="13">
        <f t="shared" si="45"/>
        <v>73736.19200000001</v>
      </c>
      <c r="V105" s="13"/>
      <c r="W105" s="13">
        <f t="shared" si="46"/>
        <v>294944.76800000004</v>
      </c>
    </row>
    <row r="106" spans="2:23" s="177" customFormat="1">
      <c r="B106" s="177" t="s">
        <v>111</v>
      </c>
      <c r="C106" s="177">
        <v>3708</v>
      </c>
      <c r="D106" s="177" t="s">
        <v>1274</v>
      </c>
      <c r="E106" s="177">
        <v>233675</v>
      </c>
      <c r="G106" s="177">
        <v>2020</v>
      </c>
      <c r="H106" s="177">
        <v>5</v>
      </c>
      <c r="I106" s="177">
        <v>0</v>
      </c>
      <c r="J106" s="177" t="s">
        <v>78</v>
      </c>
      <c r="K106" s="177">
        <v>10</v>
      </c>
      <c r="L106" s="9">
        <f t="shared" si="38"/>
        <v>2030</v>
      </c>
      <c r="M106" s="114">
        <f t="shared" si="39"/>
        <v>2030.4166666666667</v>
      </c>
      <c r="N106" s="13">
        <v>368682.05</v>
      </c>
      <c r="O106" s="13">
        <f t="shared" si="40"/>
        <v>368682.05</v>
      </c>
      <c r="P106" s="13">
        <f t="shared" si="41"/>
        <v>3072.3504166666667</v>
      </c>
      <c r="Q106" s="13">
        <f t="shared" si="42"/>
        <v>36868.205000000002</v>
      </c>
      <c r="R106" s="13"/>
      <c r="S106" s="13">
        <f t="shared" si="43"/>
        <v>36868.205000000002</v>
      </c>
      <c r="T106" s="13">
        <f t="shared" si="44"/>
        <v>36868.205000000002</v>
      </c>
      <c r="U106" s="13">
        <f t="shared" si="45"/>
        <v>73736.41</v>
      </c>
      <c r="V106" s="13"/>
      <c r="W106" s="13">
        <f t="shared" si="46"/>
        <v>294945.64</v>
      </c>
    </row>
    <row r="107" spans="2:23" s="177" customFormat="1">
      <c r="B107" s="177" t="s">
        <v>111</v>
      </c>
      <c r="C107" s="177">
        <v>3709</v>
      </c>
      <c r="D107" s="177" t="s">
        <v>1274</v>
      </c>
      <c r="E107" s="177">
        <v>233676</v>
      </c>
      <c r="G107" s="177">
        <v>2020</v>
      </c>
      <c r="H107" s="177">
        <v>6</v>
      </c>
      <c r="I107" s="177">
        <v>0</v>
      </c>
      <c r="J107" s="177" t="s">
        <v>78</v>
      </c>
      <c r="K107" s="177">
        <v>10</v>
      </c>
      <c r="L107" s="9">
        <f t="shared" si="38"/>
        <v>2030</v>
      </c>
      <c r="M107" s="114">
        <f t="shared" si="39"/>
        <v>2030.5</v>
      </c>
      <c r="N107" s="13">
        <v>368682.05</v>
      </c>
      <c r="O107" s="13">
        <f t="shared" si="40"/>
        <v>368682.05</v>
      </c>
      <c r="P107" s="13">
        <f t="shared" si="41"/>
        <v>3072.3504166666667</v>
      </c>
      <c r="Q107" s="13">
        <f t="shared" si="42"/>
        <v>36868.205000000002</v>
      </c>
      <c r="R107" s="13"/>
      <c r="S107" s="13">
        <f t="shared" si="43"/>
        <v>36868.205000000002</v>
      </c>
      <c r="T107" s="13">
        <f t="shared" si="44"/>
        <v>36868.205000000002</v>
      </c>
      <c r="U107" s="13">
        <f t="shared" si="45"/>
        <v>73736.41</v>
      </c>
      <c r="V107" s="13"/>
      <c r="W107" s="13">
        <f t="shared" si="46"/>
        <v>294945.64</v>
      </c>
    </row>
    <row r="108" spans="2:23" s="177" customFormat="1">
      <c r="B108" s="177" t="s">
        <v>111</v>
      </c>
      <c r="C108" s="177">
        <v>3710</v>
      </c>
      <c r="D108" s="177" t="s">
        <v>1274</v>
      </c>
      <c r="E108" s="177">
        <v>233677</v>
      </c>
      <c r="G108" s="177">
        <v>2020</v>
      </c>
      <c r="H108" s="177">
        <v>6</v>
      </c>
      <c r="I108" s="177">
        <v>0</v>
      </c>
      <c r="J108" s="177" t="s">
        <v>78</v>
      </c>
      <c r="K108" s="177">
        <v>10</v>
      </c>
      <c r="L108" s="9">
        <f t="shared" si="38"/>
        <v>2030</v>
      </c>
      <c r="M108" s="114">
        <f t="shared" si="39"/>
        <v>2030.5</v>
      </c>
      <c r="N108" s="13">
        <v>368682.05</v>
      </c>
      <c r="O108" s="13">
        <f t="shared" si="40"/>
        <v>368682.05</v>
      </c>
      <c r="P108" s="13">
        <f t="shared" si="41"/>
        <v>3072.3504166666667</v>
      </c>
      <c r="Q108" s="13">
        <f t="shared" si="42"/>
        <v>36868.205000000002</v>
      </c>
      <c r="R108" s="13"/>
      <c r="S108" s="13">
        <f t="shared" si="43"/>
        <v>36868.205000000002</v>
      </c>
      <c r="T108" s="13">
        <f t="shared" si="44"/>
        <v>36868.205000000002</v>
      </c>
      <c r="U108" s="13">
        <f t="shared" si="45"/>
        <v>73736.41</v>
      </c>
      <c r="V108" s="13"/>
      <c r="W108" s="13">
        <f t="shared" si="46"/>
        <v>294945.64</v>
      </c>
    </row>
    <row r="109" spans="2:23" s="177" customFormat="1">
      <c r="B109" s="177" t="s">
        <v>111</v>
      </c>
      <c r="C109" s="177">
        <v>3706</v>
      </c>
      <c r="D109" s="177" t="s">
        <v>1277</v>
      </c>
      <c r="E109" s="177">
        <v>234057</v>
      </c>
      <c r="F109" s="177">
        <v>232994</v>
      </c>
      <c r="G109" s="177">
        <v>2020</v>
      </c>
      <c r="H109" s="177">
        <v>5</v>
      </c>
      <c r="I109" s="177">
        <v>0</v>
      </c>
      <c r="J109" s="177" t="s">
        <v>78</v>
      </c>
      <c r="K109" s="177">
        <v>10</v>
      </c>
      <c r="L109" s="9">
        <f t="shared" si="38"/>
        <v>2030</v>
      </c>
      <c r="M109" s="114">
        <f t="shared" si="39"/>
        <v>2030.4166666666667</v>
      </c>
      <c r="N109" s="13">
        <v>480.92</v>
      </c>
      <c r="O109" s="13">
        <f t="shared" si="40"/>
        <v>480.92</v>
      </c>
      <c r="P109" s="13">
        <f t="shared" si="41"/>
        <v>4.0076666666666663</v>
      </c>
      <c r="Q109" s="13">
        <f t="shared" si="42"/>
        <v>48.091999999999999</v>
      </c>
      <c r="R109" s="13"/>
      <c r="S109" s="13">
        <f t="shared" si="43"/>
        <v>48.091999999999999</v>
      </c>
      <c r="T109" s="13">
        <f t="shared" si="44"/>
        <v>48.091999999999999</v>
      </c>
      <c r="U109" s="13">
        <f t="shared" si="45"/>
        <v>96.183999999999997</v>
      </c>
      <c r="V109" s="13"/>
      <c r="W109" s="13">
        <f t="shared" si="46"/>
        <v>384.73599999999999</v>
      </c>
    </row>
    <row r="110" spans="2:23" s="177" customFormat="1">
      <c r="B110" s="177" t="s">
        <v>111</v>
      </c>
      <c r="C110" s="177">
        <v>3707</v>
      </c>
      <c r="D110" s="177" t="s">
        <v>1277</v>
      </c>
      <c r="E110" s="177">
        <v>234058</v>
      </c>
      <c r="F110" s="177">
        <v>233674</v>
      </c>
      <c r="G110" s="177">
        <v>2020</v>
      </c>
      <c r="H110" s="177">
        <v>5</v>
      </c>
      <c r="I110" s="177">
        <v>0</v>
      </c>
      <c r="J110" s="177" t="s">
        <v>78</v>
      </c>
      <c r="K110" s="177">
        <v>10</v>
      </c>
      <c r="L110" s="9">
        <f t="shared" si="38"/>
        <v>2030</v>
      </c>
      <c r="M110" s="114">
        <f t="shared" si="39"/>
        <v>2030.4166666666667</v>
      </c>
      <c r="N110" s="13">
        <v>480.92</v>
      </c>
      <c r="O110" s="13">
        <f t="shared" si="40"/>
        <v>480.92</v>
      </c>
      <c r="P110" s="13">
        <f t="shared" si="41"/>
        <v>4.0076666666666663</v>
      </c>
      <c r="Q110" s="13">
        <f t="shared" si="42"/>
        <v>48.091999999999999</v>
      </c>
      <c r="R110" s="13"/>
      <c r="S110" s="13">
        <f t="shared" si="43"/>
        <v>48.091999999999999</v>
      </c>
      <c r="T110" s="13">
        <f t="shared" si="44"/>
        <v>48.091999999999999</v>
      </c>
      <c r="U110" s="13">
        <f t="shared" si="45"/>
        <v>96.183999999999997</v>
      </c>
      <c r="V110" s="13"/>
      <c r="W110" s="13">
        <f t="shared" si="46"/>
        <v>384.73599999999999</v>
      </c>
    </row>
    <row r="111" spans="2:23" s="177" customFormat="1">
      <c r="B111" s="177" t="s">
        <v>111</v>
      </c>
      <c r="C111" s="177">
        <v>3708</v>
      </c>
      <c r="D111" s="177" t="s">
        <v>1277</v>
      </c>
      <c r="E111" s="177">
        <v>234059</v>
      </c>
      <c r="F111" s="177">
        <v>233675</v>
      </c>
      <c r="G111" s="177">
        <v>2020</v>
      </c>
      <c r="H111" s="177">
        <v>6</v>
      </c>
      <c r="I111" s="177">
        <v>0</v>
      </c>
      <c r="J111" s="177" t="s">
        <v>78</v>
      </c>
      <c r="K111" s="177">
        <v>10</v>
      </c>
      <c r="L111" s="9">
        <f t="shared" si="38"/>
        <v>2030</v>
      </c>
      <c r="M111" s="114">
        <f t="shared" si="39"/>
        <v>2030.5</v>
      </c>
      <c r="N111" s="13">
        <v>480.92</v>
      </c>
      <c r="O111" s="13">
        <f t="shared" si="40"/>
        <v>480.92</v>
      </c>
      <c r="P111" s="13">
        <f t="shared" si="41"/>
        <v>4.0076666666666663</v>
      </c>
      <c r="Q111" s="13">
        <f t="shared" si="42"/>
        <v>48.091999999999999</v>
      </c>
      <c r="R111" s="13"/>
      <c r="S111" s="13">
        <f t="shared" si="43"/>
        <v>48.091999999999999</v>
      </c>
      <c r="T111" s="13">
        <f t="shared" si="44"/>
        <v>48.091999999999999</v>
      </c>
      <c r="U111" s="13">
        <f t="shared" si="45"/>
        <v>96.183999999999997</v>
      </c>
      <c r="V111" s="13"/>
      <c r="W111" s="13">
        <f t="shared" si="46"/>
        <v>384.73599999999999</v>
      </c>
    </row>
    <row r="112" spans="2:23" s="177" customFormat="1">
      <c r="B112" s="177" t="s">
        <v>111</v>
      </c>
      <c r="C112" s="177">
        <v>3709</v>
      </c>
      <c r="D112" s="177" t="s">
        <v>1277</v>
      </c>
      <c r="E112" s="177">
        <v>234060</v>
      </c>
      <c r="F112" s="177">
        <v>233676</v>
      </c>
      <c r="G112" s="177">
        <v>2020</v>
      </c>
      <c r="H112" s="177">
        <v>6</v>
      </c>
      <c r="I112" s="177">
        <v>0</v>
      </c>
      <c r="J112" s="177" t="s">
        <v>78</v>
      </c>
      <c r="K112" s="177">
        <v>10</v>
      </c>
      <c r="L112" s="9">
        <f t="shared" si="38"/>
        <v>2030</v>
      </c>
      <c r="M112" s="114">
        <f t="shared" si="39"/>
        <v>2030.5</v>
      </c>
      <c r="N112" s="13">
        <v>480.92</v>
      </c>
      <c r="O112" s="13">
        <f t="shared" si="40"/>
        <v>480.92</v>
      </c>
      <c r="P112" s="13">
        <f t="shared" si="41"/>
        <v>4.0076666666666663</v>
      </c>
      <c r="Q112" s="13">
        <f t="shared" si="42"/>
        <v>48.091999999999999</v>
      </c>
      <c r="R112" s="13"/>
      <c r="S112" s="13">
        <f t="shared" si="43"/>
        <v>48.091999999999999</v>
      </c>
      <c r="T112" s="13">
        <f t="shared" si="44"/>
        <v>48.091999999999999</v>
      </c>
      <c r="U112" s="13">
        <f t="shared" si="45"/>
        <v>96.183999999999997</v>
      </c>
      <c r="V112" s="13"/>
      <c r="W112" s="13">
        <f t="shared" si="46"/>
        <v>384.73599999999999</v>
      </c>
    </row>
    <row r="113" spans="1:23" s="177" customFormat="1">
      <c r="B113" s="177" t="s">
        <v>111</v>
      </c>
      <c r="C113" s="177">
        <v>3710</v>
      </c>
      <c r="D113" s="177" t="s">
        <v>1277</v>
      </c>
      <c r="E113" s="177">
        <v>234061</v>
      </c>
      <c r="F113" s="177">
        <v>233677</v>
      </c>
      <c r="G113" s="177">
        <v>2020</v>
      </c>
      <c r="H113" s="177">
        <v>6</v>
      </c>
      <c r="I113" s="177">
        <v>0</v>
      </c>
      <c r="J113" s="177" t="s">
        <v>78</v>
      </c>
      <c r="K113" s="177">
        <v>10</v>
      </c>
      <c r="L113" s="9">
        <f t="shared" si="38"/>
        <v>2030</v>
      </c>
      <c r="M113" s="114">
        <f t="shared" si="39"/>
        <v>2030.5</v>
      </c>
      <c r="N113" s="13">
        <v>480.92</v>
      </c>
      <c r="O113" s="13">
        <f t="shared" si="40"/>
        <v>480.92</v>
      </c>
      <c r="P113" s="13">
        <f t="shared" si="41"/>
        <v>4.0076666666666663</v>
      </c>
      <c r="Q113" s="13">
        <f t="shared" si="42"/>
        <v>48.091999999999999</v>
      </c>
      <c r="R113" s="13"/>
      <c r="S113" s="13">
        <f t="shared" si="43"/>
        <v>48.091999999999999</v>
      </c>
      <c r="T113" s="13">
        <f t="shared" si="44"/>
        <v>48.091999999999999</v>
      </c>
      <c r="U113" s="13">
        <f t="shared" si="45"/>
        <v>96.183999999999997</v>
      </c>
      <c r="V113" s="13"/>
      <c r="W113" s="13">
        <f t="shared" si="46"/>
        <v>384.73599999999999</v>
      </c>
    </row>
    <row r="114" spans="1:23" s="177" customFormat="1">
      <c r="B114" s="177" t="s">
        <v>111</v>
      </c>
      <c r="C114" s="177">
        <v>3711</v>
      </c>
      <c r="D114" s="177" t="s">
        <v>1274</v>
      </c>
      <c r="E114" s="177">
        <v>235100</v>
      </c>
      <c r="G114" s="177">
        <v>2020</v>
      </c>
      <c r="H114" s="177">
        <v>7</v>
      </c>
      <c r="I114" s="177">
        <v>0</v>
      </c>
      <c r="J114" s="177" t="s">
        <v>78</v>
      </c>
      <c r="K114" s="177">
        <v>10</v>
      </c>
      <c r="L114" s="9">
        <f t="shared" si="38"/>
        <v>2030</v>
      </c>
      <c r="M114" s="114">
        <f t="shared" si="39"/>
        <v>2030.5833333333333</v>
      </c>
      <c r="N114" s="13">
        <v>368682.05</v>
      </c>
      <c r="O114" s="13">
        <f t="shared" si="40"/>
        <v>368682.05</v>
      </c>
      <c r="P114" s="13">
        <f t="shared" si="41"/>
        <v>3072.3504166666667</v>
      </c>
      <c r="Q114" s="13">
        <f t="shared" si="42"/>
        <v>36868.205000000002</v>
      </c>
      <c r="R114" s="13"/>
      <c r="S114" s="13">
        <f t="shared" si="43"/>
        <v>36868.205000000002</v>
      </c>
      <c r="T114" s="13">
        <f t="shared" si="44"/>
        <v>36868.205000000002</v>
      </c>
      <c r="U114" s="13">
        <f t="shared" si="45"/>
        <v>73736.41</v>
      </c>
      <c r="V114" s="13"/>
      <c r="W114" s="13">
        <f t="shared" si="46"/>
        <v>294945.64</v>
      </c>
    </row>
    <row r="115" spans="1:23" s="177" customFormat="1">
      <c r="B115" s="177" t="s">
        <v>111</v>
      </c>
      <c r="C115" s="177">
        <v>3706</v>
      </c>
      <c r="D115" s="177" t="s">
        <v>1279</v>
      </c>
      <c r="E115" s="177">
        <v>235264</v>
      </c>
      <c r="F115" s="177">
        <v>232994</v>
      </c>
      <c r="G115" s="177">
        <v>2020</v>
      </c>
      <c r="H115" s="177">
        <v>5</v>
      </c>
      <c r="I115" s="177">
        <v>0</v>
      </c>
      <c r="J115" s="177" t="s">
        <v>78</v>
      </c>
      <c r="K115" s="177">
        <v>10</v>
      </c>
      <c r="L115" s="9">
        <f t="shared" si="38"/>
        <v>2030</v>
      </c>
      <c r="M115" s="114">
        <f t="shared" si="39"/>
        <v>2030.4166666666667</v>
      </c>
      <c r="N115" s="13">
        <v>470.96</v>
      </c>
      <c r="O115" s="13">
        <f t="shared" si="40"/>
        <v>470.96</v>
      </c>
      <c r="P115" s="13">
        <f t="shared" si="41"/>
        <v>3.9246666666666665</v>
      </c>
      <c r="Q115" s="13">
        <f t="shared" si="42"/>
        <v>47.095999999999997</v>
      </c>
      <c r="R115" s="13"/>
      <c r="S115" s="13">
        <f t="shared" si="43"/>
        <v>47.095999999999997</v>
      </c>
      <c r="T115" s="13">
        <f t="shared" si="44"/>
        <v>47.095999999999997</v>
      </c>
      <c r="U115" s="13">
        <f t="shared" si="45"/>
        <v>94.191999999999993</v>
      </c>
      <c r="V115" s="13"/>
      <c r="W115" s="13">
        <f t="shared" si="46"/>
        <v>376.76799999999997</v>
      </c>
    </row>
    <row r="116" spans="1:23" s="177" customFormat="1">
      <c r="B116" s="177" t="s">
        <v>111</v>
      </c>
      <c r="C116" s="177">
        <v>3707</v>
      </c>
      <c r="D116" s="177" t="s">
        <v>1280</v>
      </c>
      <c r="E116" s="177">
        <v>235265</v>
      </c>
      <c r="F116" s="177">
        <v>233674</v>
      </c>
      <c r="G116" s="177">
        <v>2020</v>
      </c>
      <c r="H116" s="177">
        <v>5</v>
      </c>
      <c r="I116" s="177">
        <v>0</v>
      </c>
      <c r="J116" s="177" t="s">
        <v>78</v>
      </c>
      <c r="K116" s="177">
        <v>10</v>
      </c>
      <c r="L116" s="9">
        <f t="shared" si="38"/>
        <v>2030</v>
      </c>
      <c r="M116" s="114">
        <f t="shared" si="39"/>
        <v>2030.4166666666667</v>
      </c>
      <c r="N116" s="13">
        <v>470.96</v>
      </c>
      <c r="O116" s="13">
        <f t="shared" si="40"/>
        <v>470.96</v>
      </c>
      <c r="P116" s="13">
        <f t="shared" si="41"/>
        <v>3.9246666666666665</v>
      </c>
      <c r="Q116" s="13">
        <f t="shared" si="42"/>
        <v>47.095999999999997</v>
      </c>
      <c r="R116" s="13"/>
      <c r="S116" s="13">
        <f t="shared" si="43"/>
        <v>47.095999999999997</v>
      </c>
      <c r="T116" s="13">
        <f t="shared" si="44"/>
        <v>47.095999999999997</v>
      </c>
      <c r="U116" s="13">
        <f t="shared" si="45"/>
        <v>94.191999999999993</v>
      </c>
      <c r="V116" s="13"/>
      <c r="W116" s="13">
        <f t="shared" si="46"/>
        <v>376.76799999999997</v>
      </c>
    </row>
    <row r="117" spans="1:23" s="177" customFormat="1">
      <c r="B117" s="177" t="s">
        <v>111</v>
      </c>
      <c r="C117" s="177">
        <v>3708</v>
      </c>
      <c r="D117" s="177" t="s">
        <v>1281</v>
      </c>
      <c r="E117" s="177">
        <v>235266</v>
      </c>
      <c r="F117" s="177">
        <v>233675</v>
      </c>
      <c r="G117" s="177">
        <v>2020</v>
      </c>
      <c r="H117" s="177">
        <v>6</v>
      </c>
      <c r="I117" s="177">
        <v>0</v>
      </c>
      <c r="J117" s="177" t="s">
        <v>78</v>
      </c>
      <c r="K117" s="177">
        <v>10</v>
      </c>
      <c r="L117" s="9">
        <f t="shared" si="38"/>
        <v>2030</v>
      </c>
      <c r="M117" s="114">
        <f t="shared" si="39"/>
        <v>2030.5</v>
      </c>
      <c r="N117" s="13">
        <v>470.96</v>
      </c>
      <c r="O117" s="13">
        <f t="shared" si="40"/>
        <v>470.96</v>
      </c>
      <c r="P117" s="13">
        <f t="shared" si="41"/>
        <v>3.9246666666666665</v>
      </c>
      <c r="Q117" s="13">
        <f t="shared" si="42"/>
        <v>47.095999999999997</v>
      </c>
      <c r="R117" s="13"/>
      <c r="S117" s="13">
        <f t="shared" si="43"/>
        <v>47.095999999999997</v>
      </c>
      <c r="T117" s="13">
        <f t="shared" si="44"/>
        <v>47.095999999999997</v>
      </c>
      <c r="U117" s="13">
        <f t="shared" si="45"/>
        <v>94.191999999999993</v>
      </c>
      <c r="V117" s="13"/>
      <c r="W117" s="13">
        <f t="shared" si="46"/>
        <v>376.76799999999997</v>
      </c>
    </row>
    <row r="118" spans="1:23" s="177" customFormat="1">
      <c r="B118" s="177" t="s">
        <v>111</v>
      </c>
      <c r="C118" s="177">
        <v>3709</v>
      </c>
      <c r="D118" s="177" t="s">
        <v>1286</v>
      </c>
      <c r="E118" s="177">
        <v>236900</v>
      </c>
      <c r="F118" s="177">
        <v>233676</v>
      </c>
      <c r="G118" s="177">
        <v>2020</v>
      </c>
      <c r="H118" s="177">
        <v>6</v>
      </c>
      <c r="I118" s="177">
        <v>0</v>
      </c>
      <c r="J118" s="177" t="s">
        <v>78</v>
      </c>
      <c r="K118" s="177">
        <v>10</v>
      </c>
      <c r="L118" s="9">
        <f t="shared" si="38"/>
        <v>2030</v>
      </c>
      <c r="M118" s="114">
        <f t="shared" si="39"/>
        <v>2030.5</v>
      </c>
      <c r="N118" s="13">
        <v>506.76</v>
      </c>
      <c r="O118" s="13">
        <f t="shared" si="40"/>
        <v>506.76</v>
      </c>
      <c r="P118" s="13">
        <f t="shared" si="41"/>
        <v>4.2229999999999999</v>
      </c>
      <c r="Q118" s="13">
        <f t="shared" si="42"/>
        <v>50.676000000000002</v>
      </c>
      <c r="R118" s="13"/>
      <c r="S118" s="13">
        <f t="shared" si="43"/>
        <v>50.676000000000002</v>
      </c>
      <c r="T118" s="13">
        <f t="shared" si="44"/>
        <v>50.676000000000002</v>
      </c>
      <c r="U118" s="13">
        <f t="shared" si="45"/>
        <v>101.352</v>
      </c>
      <c r="V118" s="13"/>
      <c r="W118" s="13">
        <f t="shared" si="46"/>
        <v>405.40800000000002</v>
      </c>
    </row>
    <row r="119" spans="1:23" s="177" customFormat="1">
      <c r="B119" s="177" t="s">
        <v>111</v>
      </c>
      <c r="C119" s="177">
        <v>3710</v>
      </c>
      <c r="D119" s="177" t="s">
        <v>1287</v>
      </c>
      <c r="E119" s="177">
        <v>236901</v>
      </c>
      <c r="F119" s="177">
        <v>233677</v>
      </c>
      <c r="G119" s="177">
        <v>2020</v>
      </c>
      <c r="H119" s="177">
        <v>6</v>
      </c>
      <c r="I119" s="177">
        <v>0</v>
      </c>
      <c r="J119" s="177" t="s">
        <v>78</v>
      </c>
      <c r="K119" s="177">
        <v>10</v>
      </c>
      <c r="L119" s="9">
        <f t="shared" ref="L119:L132" si="47">G119+K119</f>
        <v>2030</v>
      </c>
      <c r="M119" s="114">
        <f t="shared" ref="M119:M132" si="48">+L119+(H119/12)</f>
        <v>2030.5</v>
      </c>
      <c r="N119" s="13">
        <v>506.76</v>
      </c>
      <c r="O119" s="13">
        <f t="shared" si="40"/>
        <v>506.76</v>
      </c>
      <c r="P119" s="13">
        <f t="shared" si="41"/>
        <v>4.2229999999999999</v>
      </c>
      <c r="Q119" s="13">
        <f t="shared" si="42"/>
        <v>50.676000000000002</v>
      </c>
      <c r="R119" s="13"/>
      <c r="S119" s="13">
        <f t="shared" ref="S119:S126" si="49">+IF(M119&lt;=$O$5,0,IF(L119&gt;$O$4,Q119,(P119*H119)))</f>
        <v>50.676000000000002</v>
      </c>
      <c r="T119" s="13">
        <f t="shared" ref="T119:T126" si="50">+IF(S119=0,N119,IF($O$3-G119&lt;1,0,(($O$3-G119)*Q119)))</f>
        <v>50.676000000000002</v>
      </c>
      <c r="U119" s="13">
        <f t="shared" ref="U119:U126" si="51">+IF(S119=0,T119,T119+S119)</f>
        <v>101.352</v>
      </c>
      <c r="V119" s="13"/>
      <c r="W119" s="13">
        <f t="shared" ref="W119:W126" si="52">+N119-U119</f>
        <v>405.40800000000002</v>
      </c>
    </row>
    <row r="120" spans="1:23" s="177" customFormat="1">
      <c r="B120" s="177" t="s">
        <v>101</v>
      </c>
      <c r="C120" s="177">
        <v>1090</v>
      </c>
      <c r="D120" s="177" t="s">
        <v>1297</v>
      </c>
      <c r="E120" s="177">
        <v>240180</v>
      </c>
      <c r="G120" s="177">
        <v>2020</v>
      </c>
      <c r="H120" s="177">
        <v>9</v>
      </c>
      <c r="I120" s="177">
        <v>0</v>
      </c>
      <c r="J120" s="177" t="s">
        <v>78</v>
      </c>
      <c r="K120" s="177">
        <v>10</v>
      </c>
      <c r="L120" s="9">
        <f t="shared" si="47"/>
        <v>2030</v>
      </c>
      <c r="M120" s="114">
        <f t="shared" si="48"/>
        <v>2030.75</v>
      </c>
      <c r="N120" s="13">
        <v>189337.37</v>
      </c>
      <c r="O120" s="13">
        <f t="shared" si="40"/>
        <v>189337.37</v>
      </c>
      <c r="P120" s="13">
        <f t="shared" si="41"/>
        <v>1577.8114166666667</v>
      </c>
      <c r="Q120" s="13">
        <f t="shared" si="42"/>
        <v>18933.737000000001</v>
      </c>
      <c r="R120" s="13"/>
      <c r="S120" s="13">
        <f t="shared" si="49"/>
        <v>18933.737000000001</v>
      </c>
      <c r="T120" s="13">
        <f t="shared" si="50"/>
        <v>18933.737000000001</v>
      </c>
      <c r="U120" s="13">
        <f t="shared" si="51"/>
        <v>37867.474000000002</v>
      </c>
      <c r="V120" s="13"/>
      <c r="W120" s="13">
        <f t="shared" si="52"/>
        <v>151469.89600000001</v>
      </c>
    </row>
    <row r="121" spans="1:23" s="180" customFormat="1">
      <c r="A121" s="177"/>
      <c r="B121" s="177" t="s">
        <v>101</v>
      </c>
      <c r="C121" s="177">
        <v>1090</v>
      </c>
      <c r="D121" s="177" t="s">
        <v>1309</v>
      </c>
      <c r="E121" s="177">
        <v>245702</v>
      </c>
      <c r="F121" s="177">
        <v>240180</v>
      </c>
      <c r="G121" s="177">
        <v>2021</v>
      </c>
      <c r="H121" s="177">
        <v>1</v>
      </c>
      <c r="I121" s="177">
        <v>0</v>
      </c>
      <c r="J121" s="177" t="s">
        <v>78</v>
      </c>
      <c r="K121" s="177">
        <v>10</v>
      </c>
      <c r="L121" s="9">
        <f t="shared" si="47"/>
        <v>2031</v>
      </c>
      <c r="M121" s="114">
        <f t="shared" si="48"/>
        <v>2031.0833333333333</v>
      </c>
      <c r="N121" s="13">
        <v>388.15</v>
      </c>
      <c r="O121" s="13">
        <f t="shared" ref="O121" si="53">N121-N121*I121</f>
        <v>388.15</v>
      </c>
      <c r="P121" s="13">
        <f t="shared" ref="P121" si="54">O121/K121/12</f>
        <v>3.2345833333333331</v>
      </c>
      <c r="Q121" s="13">
        <f t="shared" ref="Q121" si="55">P121*12</f>
        <v>38.814999999999998</v>
      </c>
      <c r="R121" s="13"/>
      <c r="S121" s="13">
        <f t="shared" ref="S121" si="56">+IF(M121&lt;=$O$5,0,IF(L121&gt;$O$4,Q121,(P121*H121)))</f>
        <v>38.814999999999998</v>
      </c>
      <c r="T121" s="13">
        <f t="shared" ref="T121" si="57">+IF(S121=0,N121,IF($O$3-G121&lt;1,0,(($O$3-G121)*Q121)))</f>
        <v>0</v>
      </c>
      <c r="U121" s="13">
        <f t="shared" ref="U121" si="58">+IF(S121=0,T121,T121+S121)</f>
        <v>38.814999999999998</v>
      </c>
      <c r="V121" s="13"/>
      <c r="W121" s="13">
        <f t="shared" ref="W121" si="59">+N121-U121</f>
        <v>349.33499999999998</v>
      </c>
    </row>
    <row r="122" spans="1:23" s="180" customFormat="1">
      <c r="A122" s="177"/>
      <c r="B122" s="177" t="s">
        <v>101</v>
      </c>
      <c r="C122" s="177">
        <v>1091</v>
      </c>
      <c r="D122" s="177" t="s">
        <v>1350</v>
      </c>
      <c r="E122" s="177">
        <v>246434</v>
      </c>
      <c r="F122" s="177">
        <v>240180</v>
      </c>
      <c r="G122" s="177">
        <v>2021</v>
      </c>
      <c r="H122" s="177">
        <v>1</v>
      </c>
      <c r="I122" s="177">
        <v>0</v>
      </c>
      <c r="J122" s="177" t="s">
        <v>78</v>
      </c>
      <c r="K122" s="177">
        <v>10</v>
      </c>
      <c r="L122" s="9">
        <f t="shared" si="47"/>
        <v>2031</v>
      </c>
      <c r="M122" s="114">
        <f t="shared" si="48"/>
        <v>2031.0833333333333</v>
      </c>
      <c r="N122" s="13">
        <v>857.37</v>
      </c>
      <c r="O122" s="13">
        <f t="shared" ref="O122" si="60">N122-N122*I122</f>
        <v>857.37</v>
      </c>
      <c r="P122" s="13">
        <f t="shared" ref="P122" si="61">O122/K122/12</f>
        <v>7.1447499999999993</v>
      </c>
      <c r="Q122" s="13">
        <f t="shared" ref="Q122" si="62">P122*12</f>
        <v>85.736999999999995</v>
      </c>
      <c r="R122" s="13"/>
      <c r="S122" s="13">
        <f t="shared" ref="S122" si="63">+IF(M122&lt;=$O$5,0,IF(L122&gt;$O$4,Q122,(P122*H122)))</f>
        <v>85.736999999999995</v>
      </c>
      <c r="T122" s="13">
        <f t="shared" ref="T122" si="64">+IF(S122=0,N122,IF($O$3-G122&lt;1,0,(($O$3-G122)*Q122)))</f>
        <v>0</v>
      </c>
      <c r="U122" s="13">
        <f t="shared" ref="U122" si="65">+IF(S122=0,T122,T122+S122)</f>
        <v>85.736999999999995</v>
      </c>
      <c r="V122" s="13"/>
      <c r="W122" s="13">
        <f t="shared" ref="W122" si="66">+N122-U122</f>
        <v>771.63300000000004</v>
      </c>
    </row>
    <row r="123" spans="1:23" s="177" customFormat="1">
      <c r="B123" s="177" t="s">
        <v>101</v>
      </c>
      <c r="C123" s="177">
        <v>1091</v>
      </c>
      <c r="D123" s="177" t="s">
        <v>1297</v>
      </c>
      <c r="E123" s="177">
        <v>240181</v>
      </c>
      <c r="G123" s="177">
        <v>2020</v>
      </c>
      <c r="H123" s="177">
        <v>10</v>
      </c>
      <c r="I123" s="177">
        <v>0</v>
      </c>
      <c r="J123" s="177" t="s">
        <v>78</v>
      </c>
      <c r="K123" s="177">
        <v>10</v>
      </c>
      <c r="L123" s="9">
        <f t="shared" si="47"/>
        <v>2030</v>
      </c>
      <c r="M123" s="114">
        <f t="shared" si="48"/>
        <v>2030.8333333333333</v>
      </c>
      <c r="N123" s="13">
        <v>304666.09999999998</v>
      </c>
      <c r="O123" s="13">
        <f t="shared" si="40"/>
        <v>304666.09999999998</v>
      </c>
      <c r="P123" s="13">
        <f t="shared" si="41"/>
        <v>2538.8841666666663</v>
      </c>
      <c r="Q123" s="13">
        <f t="shared" si="42"/>
        <v>30466.609999999993</v>
      </c>
      <c r="R123" s="13"/>
      <c r="S123" s="13">
        <f t="shared" si="49"/>
        <v>30466.609999999993</v>
      </c>
      <c r="T123" s="13">
        <f t="shared" si="50"/>
        <v>30466.609999999993</v>
      </c>
      <c r="U123" s="13">
        <f t="shared" si="51"/>
        <v>60933.219999999987</v>
      </c>
      <c r="V123" s="13"/>
      <c r="W123" s="13">
        <f t="shared" si="52"/>
        <v>243732.88</v>
      </c>
    </row>
    <row r="124" spans="1:23" s="177" customFormat="1">
      <c r="B124" s="177" t="s">
        <v>101</v>
      </c>
      <c r="C124" s="177">
        <v>1090</v>
      </c>
      <c r="D124" s="177" t="s">
        <v>1303</v>
      </c>
      <c r="E124" s="177">
        <v>241521</v>
      </c>
      <c r="F124" s="177">
        <v>240180</v>
      </c>
      <c r="G124" s="177">
        <v>2020</v>
      </c>
      <c r="H124" s="177">
        <v>9</v>
      </c>
      <c r="I124" s="177">
        <v>0</v>
      </c>
      <c r="J124" s="177" t="s">
        <v>78</v>
      </c>
      <c r="K124" s="177">
        <v>10</v>
      </c>
      <c r="L124" s="9">
        <f t="shared" si="47"/>
        <v>2030</v>
      </c>
      <c r="M124" s="114">
        <f t="shared" si="48"/>
        <v>2030.75</v>
      </c>
      <c r="N124" s="13">
        <v>115328.73</v>
      </c>
      <c r="O124" s="13">
        <f t="shared" si="40"/>
        <v>115328.73</v>
      </c>
      <c r="P124" s="13">
        <f t="shared" si="41"/>
        <v>961.07274999999993</v>
      </c>
      <c r="Q124" s="13">
        <f t="shared" si="42"/>
        <v>11532.873</v>
      </c>
      <c r="R124" s="13"/>
      <c r="S124" s="13">
        <f t="shared" si="49"/>
        <v>11532.873</v>
      </c>
      <c r="T124" s="13">
        <f t="shared" si="50"/>
        <v>11532.873</v>
      </c>
      <c r="U124" s="13">
        <f t="shared" si="51"/>
        <v>23065.745999999999</v>
      </c>
      <c r="V124" s="13"/>
      <c r="W124" s="13">
        <f t="shared" si="52"/>
        <v>92262.983999999997</v>
      </c>
    </row>
    <row r="125" spans="1:23" s="177" customFormat="1">
      <c r="B125" s="177" t="s">
        <v>101</v>
      </c>
      <c r="C125" s="177">
        <v>1090</v>
      </c>
      <c r="D125" s="177" t="s">
        <v>1304</v>
      </c>
      <c r="E125" s="177">
        <v>242358</v>
      </c>
      <c r="F125" s="177">
        <v>240181</v>
      </c>
      <c r="G125" s="177">
        <v>2020</v>
      </c>
      <c r="H125" s="177">
        <v>11</v>
      </c>
      <c r="I125" s="177">
        <v>0</v>
      </c>
      <c r="J125" s="177" t="s">
        <v>78</v>
      </c>
      <c r="K125" s="177">
        <v>10</v>
      </c>
      <c r="L125" s="9">
        <f t="shared" si="47"/>
        <v>2030</v>
      </c>
      <c r="M125" s="114">
        <f t="shared" si="48"/>
        <v>2030.9166666666667</v>
      </c>
      <c r="N125" s="13">
        <v>992.55</v>
      </c>
      <c r="O125" s="13">
        <f t="shared" si="40"/>
        <v>992.55</v>
      </c>
      <c r="P125" s="13">
        <f t="shared" si="41"/>
        <v>8.2712500000000002</v>
      </c>
      <c r="Q125" s="13">
        <f t="shared" si="42"/>
        <v>99.254999999999995</v>
      </c>
      <c r="R125" s="13"/>
      <c r="S125" s="13">
        <f t="shared" si="49"/>
        <v>99.254999999999995</v>
      </c>
      <c r="T125" s="13">
        <f t="shared" si="50"/>
        <v>99.254999999999995</v>
      </c>
      <c r="U125" s="13">
        <f t="shared" si="51"/>
        <v>198.51</v>
      </c>
      <c r="V125" s="13"/>
      <c r="W125" s="13">
        <f t="shared" si="52"/>
        <v>794.04</v>
      </c>
    </row>
    <row r="126" spans="1:23" s="177" customFormat="1">
      <c r="B126" s="177" t="s">
        <v>111</v>
      </c>
      <c r="C126" s="177">
        <v>3713</v>
      </c>
      <c r="D126" s="177" t="s">
        <v>1274</v>
      </c>
      <c r="E126" s="177">
        <v>242812</v>
      </c>
      <c r="G126" s="177">
        <v>2020</v>
      </c>
      <c r="H126" s="177">
        <v>12</v>
      </c>
      <c r="I126" s="177">
        <v>0</v>
      </c>
      <c r="J126" s="177" t="s">
        <v>78</v>
      </c>
      <c r="K126" s="177">
        <v>10</v>
      </c>
      <c r="L126" s="9">
        <f t="shared" si="47"/>
        <v>2030</v>
      </c>
      <c r="M126" s="114">
        <f t="shared" si="48"/>
        <v>2031</v>
      </c>
      <c r="N126" s="13">
        <v>366754.67</v>
      </c>
      <c r="O126" s="13">
        <f t="shared" si="40"/>
        <v>366754.67</v>
      </c>
      <c r="P126" s="13">
        <f t="shared" si="41"/>
        <v>3056.2889166666664</v>
      </c>
      <c r="Q126" s="13">
        <f t="shared" si="42"/>
        <v>36675.466999999997</v>
      </c>
      <c r="R126" s="13"/>
      <c r="S126" s="13">
        <f t="shared" si="49"/>
        <v>36675.466999999997</v>
      </c>
      <c r="T126" s="13">
        <f t="shared" si="50"/>
        <v>36675.466999999997</v>
      </c>
      <c r="U126" s="13">
        <f t="shared" si="51"/>
        <v>73350.933999999994</v>
      </c>
      <c r="V126" s="13"/>
      <c r="W126" s="13">
        <f t="shared" si="52"/>
        <v>293403.73599999998</v>
      </c>
    </row>
    <row r="127" spans="1:23" s="180" customFormat="1">
      <c r="A127" s="177"/>
      <c r="B127" s="177" t="s">
        <v>111</v>
      </c>
      <c r="C127" s="177">
        <v>3713</v>
      </c>
      <c r="D127" s="177" t="s">
        <v>1351</v>
      </c>
      <c r="E127" s="177">
        <v>246435</v>
      </c>
      <c r="F127" s="177">
        <v>242812</v>
      </c>
      <c r="G127" s="177">
        <v>2021</v>
      </c>
      <c r="H127" s="177">
        <v>1</v>
      </c>
      <c r="I127" s="177">
        <v>0</v>
      </c>
      <c r="J127" s="177" t="s">
        <v>78</v>
      </c>
      <c r="K127" s="177">
        <v>10</v>
      </c>
      <c r="L127" s="9">
        <f t="shared" si="47"/>
        <v>2031</v>
      </c>
      <c r="M127" s="114">
        <f t="shared" si="48"/>
        <v>2031.0833333333333</v>
      </c>
      <c r="N127" s="13">
        <v>895.37</v>
      </c>
      <c r="O127" s="13">
        <f t="shared" ref="O127" si="67">N127-N127*I127</f>
        <v>895.37</v>
      </c>
      <c r="P127" s="13">
        <f t="shared" ref="P127" si="68">O127/K127/12</f>
        <v>7.4614166666666675</v>
      </c>
      <c r="Q127" s="13">
        <f t="shared" ref="Q127" si="69">P127*12</f>
        <v>89.537000000000006</v>
      </c>
      <c r="R127" s="13"/>
      <c r="S127" s="13">
        <f t="shared" ref="S127" si="70">+IF(M127&lt;=$O$5,0,IF(L127&gt;$O$4,Q127,(P127*H127)))</f>
        <v>89.537000000000006</v>
      </c>
      <c r="T127" s="13">
        <f t="shared" ref="T127" si="71">+IF(S127=0,N127,IF($O$3-G127&lt;1,0,(($O$3-G127)*Q127)))</f>
        <v>0</v>
      </c>
      <c r="U127" s="13">
        <f t="shared" ref="U127" si="72">+IF(S127=0,T127,T127+S127)</f>
        <v>89.537000000000006</v>
      </c>
      <c r="V127" s="13"/>
      <c r="W127" s="13">
        <f t="shared" ref="W127" si="73">+N127-U127</f>
        <v>805.83299999999997</v>
      </c>
    </row>
    <row r="128" spans="1:23" s="180" customFormat="1">
      <c r="A128" s="177"/>
      <c r="B128" s="177" t="s">
        <v>111</v>
      </c>
      <c r="C128" s="177">
        <v>3713</v>
      </c>
      <c r="D128" s="177" t="s">
        <v>1277</v>
      </c>
      <c r="E128" s="177">
        <v>245706</v>
      </c>
      <c r="F128" s="177">
        <v>242812</v>
      </c>
      <c r="G128" s="177">
        <v>2021</v>
      </c>
      <c r="H128" s="177">
        <v>1</v>
      </c>
      <c r="I128" s="177">
        <v>0</v>
      </c>
      <c r="J128" s="177" t="s">
        <v>78</v>
      </c>
      <c r="K128" s="177">
        <v>10</v>
      </c>
      <c r="L128" s="9">
        <f t="shared" si="47"/>
        <v>2031</v>
      </c>
      <c r="M128" s="114">
        <f t="shared" si="48"/>
        <v>2031.0833333333333</v>
      </c>
      <c r="N128" s="13">
        <v>480.92</v>
      </c>
      <c r="O128" s="13">
        <f t="shared" ref="O128" si="74">N128-N128*I128</f>
        <v>480.92</v>
      </c>
      <c r="P128" s="13">
        <f t="shared" ref="P128" si="75">O128/K128/12</f>
        <v>4.0076666666666663</v>
      </c>
      <c r="Q128" s="13">
        <f t="shared" ref="Q128" si="76">P128*12</f>
        <v>48.091999999999999</v>
      </c>
      <c r="R128" s="13"/>
      <c r="S128" s="13">
        <f t="shared" ref="S128" si="77">+IF(M128&lt;=$O$5,0,IF(L128&gt;$O$4,Q128,(P128*H128)))</f>
        <v>48.091999999999999</v>
      </c>
      <c r="T128" s="13">
        <f t="shared" ref="T128" si="78">+IF(S128=0,N128,IF($O$3-G128&lt;1,0,(($O$3-G128)*Q128)))</f>
        <v>0</v>
      </c>
      <c r="U128" s="13">
        <f t="shared" ref="U128" si="79">+IF(S128=0,T128,T128+S128)</f>
        <v>48.091999999999999</v>
      </c>
      <c r="V128" s="13"/>
      <c r="W128" s="13">
        <f t="shared" ref="W128" si="80">+N128-U128</f>
        <v>432.82800000000003</v>
      </c>
    </row>
    <row r="129" spans="1:23" s="177" customFormat="1">
      <c r="B129" s="177" t="s">
        <v>111</v>
      </c>
      <c r="C129" s="177">
        <v>3715</v>
      </c>
      <c r="D129" s="177" t="s">
        <v>1274</v>
      </c>
      <c r="E129" s="177">
        <v>242813</v>
      </c>
      <c r="G129" s="177">
        <v>2020</v>
      </c>
      <c r="H129" s="177">
        <v>11</v>
      </c>
      <c r="I129" s="177">
        <v>0</v>
      </c>
      <c r="J129" s="177" t="s">
        <v>78</v>
      </c>
      <c r="K129" s="177">
        <v>10</v>
      </c>
      <c r="L129" s="9">
        <f t="shared" si="47"/>
        <v>2030</v>
      </c>
      <c r="M129" s="114">
        <f t="shared" si="48"/>
        <v>2030.9166666666667</v>
      </c>
      <c r="N129" s="13">
        <v>366754.67</v>
      </c>
      <c r="O129" s="13">
        <f t="shared" ref="O129:O132" si="81">N129-N129*I129</f>
        <v>366754.67</v>
      </c>
      <c r="P129" s="13">
        <f t="shared" ref="P129:P132" si="82">O129/K129/12</f>
        <v>3056.2889166666664</v>
      </c>
      <c r="Q129" s="13">
        <f t="shared" ref="Q129:Q132" si="83">P129*12</f>
        <v>36675.466999999997</v>
      </c>
      <c r="R129" s="13"/>
      <c r="S129" s="13">
        <f t="shared" ref="S129:S132" si="84">+IF(M129&lt;=$O$5,0,IF(L129&gt;$O$4,Q129,(P129*H129)))</f>
        <v>36675.466999999997</v>
      </c>
      <c r="T129" s="13">
        <f t="shared" ref="T129:T132" si="85">+IF(S129=0,N129,IF($O$3-G129&lt;1,0,(($O$3-G129)*Q129)))</f>
        <v>36675.466999999997</v>
      </c>
      <c r="U129" s="13">
        <f t="shared" ref="U129:U132" si="86">+IF(S129=0,T129,T129+S129)</f>
        <v>73350.933999999994</v>
      </c>
      <c r="V129" s="13"/>
      <c r="W129" s="13">
        <f t="shared" ref="W129:W132" si="87">+N129-U129</f>
        <v>293403.73599999998</v>
      </c>
    </row>
    <row r="130" spans="1:23" s="180" customFormat="1">
      <c r="A130" s="177"/>
      <c r="B130" s="177" t="s">
        <v>111</v>
      </c>
      <c r="C130" s="177">
        <v>3715</v>
      </c>
      <c r="D130" s="177" t="s">
        <v>1277</v>
      </c>
      <c r="E130" s="177">
        <v>245707</v>
      </c>
      <c r="F130" s="177">
        <v>242813</v>
      </c>
      <c r="G130" s="177">
        <v>2021</v>
      </c>
      <c r="H130" s="177">
        <v>1</v>
      </c>
      <c r="I130" s="177">
        <v>0</v>
      </c>
      <c r="J130" s="177" t="s">
        <v>78</v>
      </c>
      <c r="K130" s="177">
        <v>10</v>
      </c>
      <c r="L130" s="9">
        <f t="shared" si="47"/>
        <v>2031</v>
      </c>
      <c r="M130" s="114">
        <f t="shared" si="48"/>
        <v>2031.0833333333333</v>
      </c>
      <c r="N130" s="13">
        <v>480.92</v>
      </c>
      <c r="O130" s="13">
        <f t="shared" ref="O130" si="88">N130-N130*I130</f>
        <v>480.92</v>
      </c>
      <c r="P130" s="13">
        <f t="shared" ref="P130" si="89">O130/K130/12</f>
        <v>4.0076666666666663</v>
      </c>
      <c r="Q130" s="13">
        <f t="shared" ref="Q130" si="90">P130*12</f>
        <v>48.091999999999999</v>
      </c>
      <c r="R130" s="13"/>
      <c r="S130" s="13">
        <f t="shared" ref="S130" si="91">+IF(M130&lt;=$O$5,0,IF(L130&gt;$O$4,Q130,(P130*H130)))</f>
        <v>48.091999999999999</v>
      </c>
      <c r="T130" s="13">
        <f t="shared" ref="T130" si="92">+IF(S130=0,N130,IF($O$3-G130&lt;1,0,(($O$3-G130)*Q130)))</f>
        <v>0</v>
      </c>
      <c r="U130" s="13">
        <f t="shared" ref="U130" si="93">+IF(S130=0,T130,T130+S130)</f>
        <v>48.091999999999999</v>
      </c>
      <c r="V130" s="13"/>
      <c r="W130" s="13">
        <f t="shared" ref="W130" si="94">+N130-U130</f>
        <v>432.82800000000003</v>
      </c>
    </row>
    <row r="131" spans="1:23" s="177" customFormat="1">
      <c r="B131" s="177" t="s">
        <v>101</v>
      </c>
      <c r="C131" s="177">
        <v>1090</v>
      </c>
      <c r="D131" s="177" t="s">
        <v>1309</v>
      </c>
      <c r="E131" s="177">
        <v>244572</v>
      </c>
      <c r="F131" s="177">
        <v>240181</v>
      </c>
      <c r="G131" s="177">
        <v>2020</v>
      </c>
      <c r="H131" s="177">
        <v>12</v>
      </c>
      <c r="I131" s="177">
        <v>0</v>
      </c>
      <c r="J131" s="177" t="s">
        <v>78</v>
      </c>
      <c r="K131" s="177">
        <v>10</v>
      </c>
      <c r="L131" s="9">
        <f t="shared" si="47"/>
        <v>2030</v>
      </c>
      <c r="M131" s="114">
        <f t="shared" si="48"/>
        <v>2031</v>
      </c>
      <c r="N131" s="13">
        <v>388.15</v>
      </c>
      <c r="O131" s="13">
        <f t="shared" si="81"/>
        <v>388.15</v>
      </c>
      <c r="P131" s="13">
        <f t="shared" si="82"/>
        <v>3.2345833333333331</v>
      </c>
      <c r="Q131" s="13">
        <f t="shared" si="83"/>
        <v>38.814999999999998</v>
      </c>
      <c r="R131" s="13"/>
      <c r="S131" s="13">
        <f t="shared" si="84"/>
        <v>38.814999999999998</v>
      </c>
      <c r="T131" s="13">
        <f t="shared" si="85"/>
        <v>38.814999999999998</v>
      </c>
      <c r="U131" s="13">
        <f t="shared" si="86"/>
        <v>77.63</v>
      </c>
      <c r="V131" s="13"/>
      <c r="W131" s="13">
        <f t="shared" si="87"/>
        <v>310.52</v>
      </c>
    </row>
    <row r="132" spans="1:23" s="177" customFormat="1">
      <c r="B132" s="177" t="s">
        <v>117</v>
      </c>
      <c r="C132" s="177">
        <v>2060</v>
      </c>
      <c r="D132" s="177" t="s">
        <v>1272</v>
      </c>
      <c r="E132" s="177">
        <v>232766</v>
      </c>
      <c r="F132" s="177">
        <v>228661</v>
      </c>
      <c r="G132" s="177">
        <v>2020</v>
      </c>
      <c r="H132" s="177">
        <v>2</v>
      </c>
      <c r="I132" s="177">
        <v>0</v>
      </c>
      <c r="J132" s="177" t="s">
        <v>78</v>
      </c>
      <c r="K132" s="177">
        <v>1</v>
      </c>
      <c r="L132" s="9">
        <f t="shared" si="47"/>
        <v>2021</v>
      </c>
      <c r="M132" s="114">
        <f t="shared" si="48"/>
        <v>2021.1666666666667</v>
      </c>
      <c r="N132" s="13">
        <v>1427.87</v>
      </c>
      <c r="O132" s="13">
        <f t="shared" si="81"/>
        <v>1427.87</v>
      </c>
      <c r="P132" s="13">
        <f t="shared" si="82"/>
        <v>118.98916666666666</v>
      </c>
      <c r="Q132" s="13">
        <f t="shared" si="83"/>
        <v>1427.87</v>
      </c>
      <c r="R132" s="13"/>
      <c r="S132" s="13">
        <f t="shared" si="84"/>
        <v>0</v>
      </c>
      <c r="T132" s="13">
        <f t="shared" si="85"/>
        <v>1427.87</v>
      </c>
      <c r="U132" s="13">
        <f t="shared" si="86"/>
        <v>1427.87</v>
      </c>
      <c r="V132" s="13"/>
      <c r="W132" s="13">
        <f t="shared" si="87"/>
        <v>0</v>
      </c>
    </row>
    <row r="133" spans="1:23" s="9" customFormat="1">
      <c r="M133" s="114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s="9" customFormat="1">
      <c r="L134" s="159" t="s">
        <v>143</v>
      </c>
      <c r="M134" s="114"/>
      <c r="N134" s="150">
        <f>SUM(N14:N133)</f>
        <v>17985358.970737725</v>
      </c>
      <c r="O134" s="150">
        <f>SUM(O14:O133)</f>
        <v>17985358.970737725</v>
      </c>
      <c r="P134" s="150">
        <f>SUM(P14:P133)</f>
        <v>157676.18810277124</v>
      </c>
      <c r="Q134" s="150">
        <f>SUM(Q14:Q133)</f>
        <v>1892114.2572332539</v>
      </c>
      <c r="R134" s="150"/>
      <c r="S134" s="150">
        <f>SUM(S14:S133)</f>
        <v>1682231.6746666657</v>
      </c>
      <c r="T134" s="150">
        <f>SUM(T14:T133)</f>
        <v>4811940.4617377035</v>
      </c>
      <c r="U134" s="150">
        <f>SUM(U14:U133)</f>
        <v>6494172.1364043728</v>
      </c>
      <c r="V134" s="150"/>
      <c r="W134" s="150">
        <f>SUM(W14:W133)</f>
        <v>11491186.834333332</v>
      </c>
    </row>
    <row r="135" spans="1:23" s="9" customFormat="1">
      <c r="M135" s="114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s="9" customFormat="1">
      <c r="B136" s="142" t="s">
        <v>144</v>
      </c>
      <c r="M136" s="114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s="9" customFormat="1">
      <c r="B137" s="9" t="s">
        <v>117</v>
      </c>
      <c r="C137" s="9">
        <v>2059</v>
      </c>
      <c r="D137" s="9" t="s">
        <v>145</v>
      </c>
      <c r="E137" s="9" t="s">
        <v>146</v>
      </c>
      <c r="G137" s="9">
        <v>2019</v>
      </c>
      <c r="H137" s="9">
        <v>8</v>
      </c>
      <c r="I137" s="9">
        <v>0</v>
      </c>
      <c r="J137" s="9" t="s">
        <v>78</v>
      </c>
      <c r="K137" s="9">
        <v>10</v>
      </c>
      <c r="L137" s="9">
        <f>G137+K137</f>
        <v>2029</v>
      </c>
      <c r="M137" s="114">
        <f>+L137+(H137/12)</f>
        <v>2029.6666666666667</v>
      </c>
      <c r="N137" s="13">
        <f>355897.69+530+358.34</f>
        <v>356786.03</v>
      </c>
      <c r="O137" s="13">
        <f>N137-N137*I137</f>
        <v>356786.03</v>
      </c>
      <c r="P137" s="13">
        <f>O137/K137/12</f>
        <v>2973.2169166666667</v>
      </c>
      <c r="Q137" s="122">
        <f>P137*12</f>
        <v>35678.603000000003</v>
      </c>
      <c r="R137" s="122">
        <v>35678.603000000003</v>
      </c>
      <c r="S137" s="13">
        <f t="shared" ref="S137" si="95">+IF(M137&lt;=$O$5,0,IF(L137&gt;$O$4,Q137,(P137*H137)))</f>
        <v>35678.603000000003</v>
      </c>
      <c r="T137" s="13">
        <f>+IF(S137=0,N137,IF($O$3-G137&lt;1,0,(($O$3-G137)*Q137)))</f>
        <v>71357.206000000006</v>
      </c>
      <c r="U137" s="13">
        <f>+IF(S137=0,T137,T137+S137)</f>
        <v>107035.80900000001</v>
      </c>
      <c r="V137" s="13">
        <v>321107.42700000003</v>
      </c>
      <c r="W137" s="13">
        <f>+N137-U137</f>
        <v>249750.22100000002</v>
      </c>
    </row>
    <row r="138" spans="1:23" s="9" customFormat="1">
      <c r="M138" s="114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s="9" customFormat="1">
      <c r="L139" s="159" t="s">
        <v>147</v>
      </c>
      <c r="M139" s="114"/>
      <c r="N139" s="150">
        <f>SUM(N137:N138)</f>
        <v>356786.03</v>
      </c>
      <c r="O139" s="150">
        <f t="shared" ref="O139" si="96">SUM(O137:O138)</f>
        <v>356786.03</v>
      </c>
      <c r="P139" s="150">
        <f>SUM(P137:P138)</f>
        <v>2973.2169166666667</v>
      </c>
      <c r="Q139" s="150">
        <f t="shared" ref="Q139:U139" si="97">SUM(Q137:Q138)</f>
        <v>35678.603000000003</v>
      </c>
      <c r="R139" s="150"/>
      <c r="S139" s="150">
        <f t="shared" si="97"/>
        <v>35678.603000000003</v>
      </c>
      <c r="T139" s="150">
        <f t="shared" si="97"/>
        <v>71357.206000000006</v>
      </c>
      <c r="U139" s="150">
        <f t="shared" si="97"/>
        <v>107035.80900000001</v>
      </c>
      <c r="V139" s="150"/>
      <c r="W139" s="150">
        <f>SUM(W137:W138)</f>
        <v>249750.22100000002</v>
      </c>
    </row>
    <row r="140" spans="1:23" s="9" customFormat="1">
      <c r="M140" s="114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s="9" customFormat="1">
      <c r="B141" s="142" t="s">
        <v>148</v>
      </c>
      <c r="M141" s="114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s="9" customFormat="1">
      <c r="B142" s="9" t="s">
        <v>111</v>
      </c>
      <c r="C142" s="9">
        <v>3678</v>
      </c>
      <c r="D142" s="9" t="s">
        <v>126</v>
      </c>
      <c r="E142" s="9">
        <v>202087</v>
      </c>
      <c r="F142" s="9" t="s">
        <v>97</v>
      </c>
      <c r="G142" s="9">
        <v>2018</v>
      </c>
      <c r="H142" s="9">
        <v>10</v>
      </c>
      <c r="I142" s="9">
        <v>0</v>
      </c>
      <c r="J142" s="9" t="s">
        <v>78</v>
      </c>
      <c r="K142" s="9">
        <v>10</v>
      </c>
      <c r="L142" s="9">
        <f>G142+K142</f>
        <v>2028</v>
      </c>
      <c r="M142" s="114">
        <f>+L142+(H142/12)</f>
        <v>2028.8333333333333</v>
      </c>
      <c r="N142" s="13">
        <v>349200.73</v>
      </c>
      <c r="O142" s="122">
        <f>N142-N142*I142</f>
        <v>349200.73</v>
      </c>
      <c r="P142" s="13">
        <f>O142/K142/12</f>
        <v>2910.0060833333332</v>
      </c>
      <c r="Q142" s="122">
        <f>P142*12</f>
        <v>34920.072999999997</v>
      </c>
      <c r="R142" s="122">
        <v>34920.072999999997</v>
      </c>
      <c r="S142" s="13">
        <f t="shared" ref="S142" si="98">+IF(M142&lt;=$O$5,0,IF(L142&gt;$O$4,Q142,(P142*H142)))</f>
        <v>34920.072999999997</v>
      </c>
      <c r="T142" s="13">
        <f>+IF(S142=0,N142,IF($O$3-G142&lt;1,0,(($O$3-G142)*Q142)))</f>
        <v>104760.21899999998</v>
      </c>
      <c r="U142" s="13">
        <f>+IF(S142=0,T142,T142+S142)</f>
        <v>139680.29199999999</v>
      </c>
      <c r="V142" s="13">
        <v>314280.65700000001</v>
      </c>
      <c r="W142" s="13">
        <f>+N142-U142</f>
        <v>209520.43799999999</v>
      </c>
    </row>
    <row r="143" spans="1:23" s="9" customFormat="1">
      <c r="M143" s="114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s="9" customFormat="1">
      <c r="L144" s="159" t="s">
        <v>149</v>
      </c>
      <c r="M144" s="114"/>
      <c r="N144" s="150">
        <f>SUM(N142:N143)</f>
        <v>349200.73</v>
      </c>
      <c r="O144" s="150">
        <f>SUM(O142:O143)</f>
        <v>349200.73</v>
      </c>
      <c r="P144" s="150">
        <f>SUM(P142:P143)</f>
        <v>2910.0060833333332</v>
      </c>
      <c r="Q144" s="150">
        <f t="shared" ref="Q144:W144" si="99">SUM(Q142:Q143)</f>
        <v>34920.072999999997</v>
      </c>
      <c r="R144" s="150"/>
      <c r="S144" s="150">
        <f t="shared" si="99"/>
        <v>34920.072999999997</v>
      </c>
      <c r="T144" s="150">
        <f t="shared" si="99"/>
        <v>104760.21899999998</v>
      </c>
      <c r="U144" s="150">
        <f t="shared" si="99"/>
        <v>139680.29199999999</v>
      </c>
      <c r="V144" s="150"/>
      <c r="W144" s="150">
        <f t="shared" si="99"/>
        <v>209520.43799999999</v>
      </c>
    </row>
    <row r="145" spans="1:23" s="9" customFormat="1">
      <c r="M145" s="114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s="9" customFormat="1">
      <c r="B146" s="142" t="s">
        <v>150</v>
      </c>
      <c r="M146" s="114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s="9" customFormat="1">
      <c r="C147" s="9">
        <v>11085</v>
      </c>
      <c r="D147" s="9" t="s">
        <v>81</v>
      </c>
      <c r="G147" s="9">
        <v>2004</v>
      </c>
      <c r="H147" s="9">
        <v>12</v>
      </c>
      <c r="I147" s="9">
        <v>0</v>
      </c>
      <c r="J147" s="9" t="s">
        <v>78</v>
      </c>
      <c r="K147" s="9">
        <v>5</v>
      </c>
      <c r="L147" s="123">
        <f t="shared" ref="L147:L175" si="100">G147+K147</f>
        <v>2009</v>
      </c>
      <c r="M147" s="114">
        <f>+L147+(H147/12)</f>
        <v>2010</v>
      </c>
      <c r="N147" s="13">
        <f>'2180 Trucks - Orig.'!O131</f>
        <v>20613.368000000002</v>
      </c>
      <c r="O147" s="122">
        <f>N147-N147*I147</f>
        <v>20613.368000000002</v>
      </c>
      <c r="P147" s="122">
        <f>O147/K147/12</f>
        <v>343.55613333333332</v>
      </c>
      <c r="Q147" s="13">
        <f t="shared" ref="Q147:Q175" si="101">P147*12</f>
        <v>4122.6736000000001</v>
      </c>
      <c r="R147" s="13">
        <v>0</v>
      </c>
      <c r="S147" s="13">
        <f t="shared" ref="S147:S175" si="102">+IF(M147&lt;=$O$5,0,IF(L147&gt;$O$4,Q147,(P147*H147)))</f>
        <v>0</v>
      </c>
      <c r="T147" s="13">
        <f t="shared" ref="T147:T175" si="103">+IF(S147=0,N147,IF($O$3-G147&lt;1,0,(($O$3-G147)*Q147)))</f>
        <v>20613.368000000002</v>
      </c>
      <c r="U147" s="13">
        <f t="shared" ref="U147:U175" si="104">+IF(S147=0,T147,T147+S147)</f>
        <v>20613.368000000002</v>
      </c>
      <c r="V147" s="13">
        <v>0</v>
      </c>
      <c r="W147" s="13">
        <f t="shared" ref="W147:W175" si="105">+N147-U147</f>
        <v>0</v>
      </c>
    </row>
    <row r="148" spans="1:23" s="9" customFormat="1">
      <c r="A148" s="15"/>
      <c r="B148" s="15"/>
      <c r="C148" s="15"/>
      <c r="D148" s="15" t="s">
        <v>82</v>
      </c>
      <c r="E148" s="15"/>
      <c r="F148" s="15"/>
      <c r="G148" s="15">
        <v>2018</v>
      </c>
      <c r="H148" s="15">
        <v>12</v>
      </c>
      <c r="I148" s="15">
        <v>0</v>
      </c>
      <c r="J148" s="15" t="s">
        <v>78</v>
      </c>
      <c r="K148" s="15">
        <f>+IF(L147-$O$3&gt;=3,L147-$O$3,3)</f>
        <v>3</v>
      </c>
      <c r="L148" s="176">
        <f>G148+K148</f>
        <v>2021</v>
      </c>
      <c r="M148" s="145">
        <f>+L148+(H148/12)</f>
        <v>2022</v>
      </c>
      <c r="N148" s="16">
        <f>'2180 Trucks - Orig.'!N131-'2180 Trucks'!N147</f>
        <v>5153.3420000000006</v>
      </c>
      <c r="O148" s="16">
        <f>N148-N148*I148</f>
        <v>5153.3420000000006</v>
      </c>
      <c r="P148" s="16">
        <f>O148/K148/12</f>
        <v>143.14838888888889</v>
      </c>
      <c r="Q148" s="16">
        <f>P148*12</f>
        <v>1717.7806666666665</v>
      </c>
      <c r="R148" s="16">
        <v>1717.7806666666665</v>
      </c>
      <c r="S148" s="16">
        <f t="shared" si="102"/>
        <v>0</v>
      </c>
      <c r="T148" s="16">
        <f t="shared" si="103"/>
        <v>5153.3420000000006</v>
      </c>
      <c r="U148" s="16">
        <f t="shared" si="104"/>
        <v>5153.3420000000006</v>
      </c>
      <c r="V148" s="16">
        <v>3435.561333333334</v>
      </c>
      <c r="W148" s="16">
        <f t="shared" si="105"/>
        <v>0</v>
      </c>
    </row>
    <row r="149" spans="1:23" s="9" customFormat="1">
      <c r="D149" s="9" t="s">
        <v>87</v>
      </c>
      <c r="E149" s="9" t="s">
        <v>88</v>
      </c>
      <c r="G149" s="9">
        <v>2006</v>
      </c>
      <c r="H149" s="9">
        <v>12</v>
      </c>
      <c r="I149" s="9">
        <v>0</v>
      </c>
      <c r="J149" s="9" t="s">
        <v>78</v>
      </c>
      <c r="K149" s="9">
        <v>5</v>
      </c>
      <c r="L149" s="123">
        <f t="shared" si="100"/>
        <v>2011</v>
      </c>
      <c r="M149" s="114">
        <f t="shared" ref="M149:M175" si="106">+L149+(H149/12)</f>
        <v>2012</v>
      </c>
      <c r="N149" s="13">
        <f>(9918.49+20060.36+141742.3)*6/36</f>
        <v>28620.191666666666</v>
      </c>
      <c r="O149" s="13">
        <f t="shared" ref="O149:O175" si="107">N149-N149*I149</f>
        <v>28620.191666666666</v>
      </c>
      <c r="P149" s="13">
        <f t="shared" ref="P149:P175" si="108">O149/K149/12</f>
        <v>477.00319444444443</v>
      </c>
      <c r="Q149" s="13">
        <f t="shared" si="101"/>
        <v>5724.038333333333</v>
      </c>
      <c r="R149" s="13">
        <v>0</v>
      </c>
      <c r="S149" s="13">
        <f t="shared" si="102"/>
        <v>0</v>
      </c>
      <c r="T149" s="13">
        <f t="shared" si="103"/>
        <v>28620.191666666666</v>
      </c>
      <c r="U149" s="13">
        <f t="shared" si="104"/>
        <v>28620.191666666666</v>
      </c>
      <c r="V149" s="13">
        <v>0</v>
      </c>
      <c r="W149" s="13">
        <f t="shared" si="105"/>
        <v>0</v>
      </c>
    </row>
    <row r="150" spans="1:23" s="9" customFormat="1">
      <c r="A150" s="9" t="s">
        <v>151</v>
      </c>
      <c r="B150" s="9" t="s">
        <v>152</v>
      </c>
      <c r="C150" s="9">
        <v>4060</v>
      </c>
      <c r="D150" s="9" t="s">
        <v>153</v>
      </c>
      <c r="G150" s="9">
        <v>2007</v>
      </c>
      <c r="H150" s="9">
        <v>9</v>
      </c>
      <c r="I150" s="9">
        <v>0</v>
      </c>
      <c r="J150" s="9" t="s">
        <v>78</v>
      </c>
      <c r="K150" s="9">
        <v>7</v>
      </c>
      <c r="L150" s="123">
        <f t="shared" si="100"/>
        <v>2014</v>
      </c>
      <c r="M150" s="114">
        <f t="shared" si="106"/>
        <v>2014.75</v>
      </c>
      <c r="N150" s="13">
        <f>'2180 Trucks - Orig.'!O137</f>
        <v>125728.91200000001</v>
      </c>
      <c r="O150" s="13">
        <f t="shared" si="107"/>
        <v>125728.91200000001</v>
      </c>
      <c r="P150" s="13">
        <f t="shared" si="108"/>
        <v>1496.7727619047621</v>
      </c>
      <c r="Q150" s="13">
        <f t="shared" si="101"/>
        <v>17961.273142857146</v>
      </c>
      <c r="R150" s="13">
        <v>0</v>
      </c>
      <c r="S150" s="13">
        <f t="shared" si="102"/>
        <v>0</v>
      </c>
      <c r="T150" s="13">
        <f t="shared" si="103"/>
        <v>125728.91200000001</v>
      </c>
      <c r="U150" s="13">
        <f t="shared" si="104"/>
        <v>125728.91200000001</v>
      </c>
      <c r="V150" s="13">
        <v>0</v>
      </c>
      <c r="W150" s="13">
        <f t="shared" si="105"/>
        <v>0</v>
      </c>
    </row>
    <row r="151" spans="1:23" s="9" customFormat="1">
      <c r="A151" s="15"/>
      <c r="B151" s="15"/>
      <c r="C151" s="15"/>
      <c r="D151" s="15" t="s">
        <v>154</v>
      </c>
      <c r="E151" s="15"/>
      <c r="F151" s="15"/>
      <c r="G151" s="15">
        <v>2018</v>
      </c>
      <c r="H151" s="15">
        <v>12</v>
      </c>
      <c r="I151" s="15">
        <v>0</v>
      </c>
      <c r="J151" s="15" t="s">
        <v>78</v>
      </c>
      <c r="K151" s="15">
        <f>+IF(L150-$O$3&gt;=3,L150-$O$3,3)</f>
        <v>3</v>
      </c>
      <c r="L151" s="176">
        <f>G151+K151</f>
        <v>2021</v>
      </c>
      <c r="M151" s="145">
        <f>+L151+(H151/12)</f>
        <v>2022</v>
      </c>
      <c r="N151" s="16">
        <f>'2180 Trucks - Orig.'!N137-'2180 Trucks'!N150</f>
        <v>31432.228000000003</v>
      </c>
      <c r="O151" s="16">
        <f>N151-N151*I151</f>
        <v>31432.228000000003</v>
      </c>
      <c r="P151" s="16">
        <f>O151/K151/12</f>
        <v>873.11744444444457</v>
      </c>
      <c r="Q151" s="16">
        <f>P151*12</f>
        <v>10477.409333333335</v>
      </c>
      <c r="R151" s="16">
        <v>10477.409333333335</v>
      </c>
      <c r="S151" s="16">
        <f t="shared" si="102"/>
        <v>0</v>
      </c>
      <c r="T151" s="16">
        <f t="shared" si="103"/>
        <v>31432.228000000003</v>
      </c>
      <c r="U151" s="16">
        <f t="shared" si="104"/>
        <v>31432.228000000003</v>
      </c>
      <c r="V151" s="16">
        <v>20954.818666666666</v>
      </c>
      <c r="W151" s="16">
        <f t="shared" si="105"/>
        <v>0</v>
      </c>
    </row>
    <row r="152" spans="1:23" s="9" customFormat="1">
      <c r="D152" s="9" t="s">
        <v>95</v>
      </c>
      <c r="E152" s="9" t="s">
        <v>96</v>
      </c>
      <c r="F152" s="9" t="s">
        <v>97</v>
      </c>
      <c r="G152" s="9">
        <v>2009</v>
      </c>
      <c r="H152" s="9">
        <v>7</v>
      </c>
      <c r="I152" s="9">
        <v>0</v>
      </c>
      <c r="J152" s="9" t="s">
        <v>78</v>
      </c>
      <c r="K152" s="9">
        <v>5</v>
      </c>
      <c r="L152" s="123">
        <f t="shared" si="100"/>
        <v>2014</v>
      </c>
      <c r="M152" s="114">
        <f t="shared" si="106"/>
        <v>2014.5833333333333</v>
      </c>
      <c r="N152" s="13">
        <f>(6722.48+38653.29+641.31+1194.22+14225.95)*7/61</f>
        <v>7050.1762295081971</v>
      </c>
      <c r="O152" s="13">
        <f t="shared" si="107"/>
        <v>7050.1762295081971</v>
      </c>
      <c r="P152" s="13">
        <f t="shared" si="108"/>
        <v>117.50293715846995</v>
      </c>
      <c r="Q152" s="13">
        <f t="shared" si="101"/>
        <v>1410.0352459016394</v>
      </c>
      <c r="R152" s="13">
        <v>0</v>
      </c>
      <c r="S152" s="13">
        <f t="shared" si="102"/>
        <v>0</v>
      </c>
      <c r="T152" s="13">
        <f t="shared" si="103"/>
        <v>7050.1762295081971</v>
      </c>
      <c r="U152" s="13">
        <f t="shared" si="104"/>
        <v>7050.1762295081971</v>
      </c>
      <c r="V152" s="13">
        <v>0</v>
      </c>
      <c r="W152" s="13">
        <f t="shared" si="105"/>
        <v>0</v>
      </c>
    </row>
    <row r="153" spans="1:23" s="9" customFormat="1">
      <c r="D153" s="9" t="s">
        <v>98</v>
      </c>
      <c r="E153" s="9" t="s">
        <v>99</v>
      </c>
      <c r="G153" s="9">
        <v>2009</v>
      </c>
      <c r="H153" s="9">
        <v>7</v>
      </c>
      <c r="I153" s="9">
        <v>0</v>
      </c>
      <c r="J153" s="9" t="s">
        <v>78</v>
      </c>
      <c r="K153" s="9">
        <v>5</v>
      </c>
      <c r="L153" s="123">
        <f t="shared" si="100"/>
        <v>2014</v>
      </c>
      <c r="M153" s="114">
        <f t="shared" si="106"/>
        <v>2014.5833333333333</v>
      </c>
      <c r="N153" s="13">
        <f>(34912.65+1078.65+10913.06)*6/46</f>
        <v>6117.9600000000009</v>
      </c>
      <c r="O153" s="13">
        <f t="shared" si="107"/>
        <v>6117.9600000000009</v>
      </c>
      <c r="P153" s="13">
        <f t="shared" si="108"/>
        <v>101.96600000000001</v>
      </c>
      <c r="Q153" s="13">
        <f t="shared" si="101"/>
        <v>1223.5920000000001</v>
      </c>
      <c r="R153" s="13">
        <v>0</v>
      </c>
      <c r="S153" s="13">
        <f t="shared" si="102"/>
        <v>0</v>
      </c>
      <c r="T153" s="13">
        <f t="shared" si="103"/>
        <v>6117.9600000000009</v>
      </c>
      <c r="U153" s="13">
        <f t="shared" si="104"/>
        <v>6117.9600000000009</v>
      </c>
      <c r="V153" s="13">
        <v>0</v>
      </c>
      <c r="W153" s="13">
        <f t="shared" si="105"/>
        <v>0</v>
      </c>
    </row>
    <row r="154" spans="1:23" s="9" customFormat="1">
      <c r="D154" s="9" t="s">
        <v>100</v>
      </c>
      <c r="E154" s="9">
        <v>75160</v>
      </c>
      <c r="F154" s="9" t="s">
        <v>97</v>
      </c>
      <c r="G154" s="9">
        <v>2010</v>
      </c>
      <c r="H154" s="9">
        <v>6</v>
      </c>
      <c r="I154" s="9">
        <v>0</v>
      </c>
      <c r="J154" s="9" t="s">
        <v>78</v>
      </c>
      <c r="K154" s="9">
        <v>5</v>
      </c>
      <c r="L154" s="123">
        <f t="shared" si="100"/>
        <v>2015</v>
      </c>
      <c r="M154" s="114">
        <f t="shared" si="106"/>
        <v>2015.5</v>
      </c>
      <c r="N154" s="13">
        <f>16772.32*7/61</f>
        <v>1924.6924590163933</v>
      </c>
      <c r="O154" s="13">
        <f t="shared" si="107"/>
        <v>1924.6924590163933</v>
      </c>
      <c r="P154" s="13">
        <f t="shared" si="108"/>
        <v>32.078207650273221</v>
      </c>
      <c r="Q154" s="13">
        <f t="shared" si="101"/>
        <v>384.93849180327868</v>
      </c>
      <c r="R154" s="13">
        <v>0</v>
      </c>
      <c r="S154" s="13">
        <f t="shared" si="102"/>
        <v>0</v>
      </c>
      <c r="T154" s="13">
        <f t="shared" si="103"/>
        <v>1924.6924590163933</v>
      </c>
      <c r="U154" s="13">
        <f t="shared" si="104"/>
        <v>1924.6924590163933</v>
      </c>
      <c r="V154" s="13">
        <v>0</v>
      </c>
      <c r="W154" s="13">
        <f t="shared" si="105"/>
        <v>0</v>
      </c>
    </row>
    <row r="155" spans="1:23" s="9" customFormat="1">
      <c r="C155" s="9">
        <v>4053</v>
      </c>
      <c r="D155" s="9" t="s">
        <v>158</v>
      </c>
      <c r="E155" s="9">
        <v>113248</v>
      </c>
      <c r="G155" s="9">
        <v>2014</v>
      </c>
      <c r="H155" s="9">
        <v>4</v>
      </c>
      <c r="I155" s="9">
        <v>0</v>
      </c>
      <c r="J155" s="9" t="s">
        <v>78</v>
      </c>
      <c r="K155" s="9">
        <v>5</v>
      </c>
      <c r="L155" s="123">
        <f>G155+K155</f>
        <v>2019</v>
      </c>
      <c r="M155" s="114">
        <f t="shared" si="106"/>
        <v>2019.3333333333333</v>
      </c>
      <c r="N155" s="13">
        <f>6778.26/7</f>
        <v>968.32285714285717</v>
      </c>
      <c r="O155" s="13">
        <f t="shared" si="107"/>
        <v>968.32285714285717</v>
      </c>
      <c r="P155" s="13">
        <f t="shared" si="108"/>
        <v>16.138714285714286</v>
      </c>
      <c r="Q155" s="13">
        <f t="shared" si="101"/>
        <v>193.66457142857143</v>
      </c>
      <c r="R155" s="13">
        <v>64.554857142857145</v>
      </c>
      <c r="S155" s="13">
        <v>0</v>
      </c>
      <c r="T155" s="13">
        <f t="shared" si="103"/>
        <v>968.32285714285717</v>
      </c>
      <c r="U155" s="13">
        <f t="shared" si="104"/>
        <v>968.32285714285717</v>
      </c>
      <c r="V155" s="13">
        <v>129.10971428571429</v>
      </c>
      <c r="W155" s="13">
        <f t="shared" si="105"/>
        <v>0</v>
      </c>
    </row>
    <row r="156" spans="1:23" s="9" customFormat="1">
      <c r="C156" s="9">
        <v>4060</v>
      </c>
      <c r="D156" s="9" t="s">
        <v>158</v>
      </c>
      <c r="E156" s="9">
        <v>113248</v>
      </c>
      <c r="G156" s="9">
        <v>2014</v>
      </c>
      <c r="H156" s="9">
        <v>4</v>
      </c>
      <c r="I156" s="9">
        <v>0</v>
      </c>
      <c r="J156" s="9" t="s">
        <v>78</v>
      </c>
      <c r="K156" s="9">
        <v>5</v>
      </c>
      <c r="L156" s="123">
        <f>G156+K156</f>
        <v>2019</v>
      </c>
      <c r="M156" s="114">
        <f t="shared" si="106"/>
        <v>2019.3333333333333</v>
      </c>
      <c r="N156" s="13">
        <f>6778.26/7</f>
        <v>968.32285714285717</v>
      </c>
      <c r="O156" s="13">
        <f t="shared" si="107"/>
        <v>968.32285714285717</v>
      </c>
      <c r="P156" s="13">
        <f t="shared" si="108"/>
        <v>16.138714285714286</v>
      </c>
      <c r="Q156" s="13">
        <f t="shared" si="101"/>
        <v>193.66457142857143</v>
      </c>
      <c r="R156" s="13">
        <v>64.554857142857145</v>
      </c>
      <c r="S156" s="13">
        <v>0</v>
      </c>
      <c r="T156" s="13">
        <f t="shared" si="103"/>
        <v>968.32285714285717</v>
      </c>
      <c r="U156" s="13">
        <f t="shared" si="104"/>
        <v>968.32285714285717</v>
      </c>
      <c r="V156" s="13">
        <v>129.10971428571429</v>
      </c>
      <c r="W156" s="13">
        <f t="shared" si="105"/>
        <v>0</v>
      </c>
    </row>
    <row r="157" spans="1:23" s="9" customFormat="1">
      <c r="B157" s="9" t="s">
        <v>152</v>
      </c>
      <c r="C157" s="9">
        <v>4060</v>
      </c>
      <c r="D157" s="9" t="s">
        <v>161</v>
      </c>
      <c r="E157" s="9">
        <v>118512</v>
      </c>
      <c r="G157" s="9">
        <v>2014</v>
      </c>
      <c r="H157" s="9">
        <v>11</v>
      </c>
      <c r="I157" s="9">
        <v>0</v>
      </c>
      <c r="J157" s="9" t="s">
        <v>78</v>
      </c>
      <c r="K157" s="9">
        <v>3</v>
      </c>
      <c r="L157" s="123">
        <f t="shared" si="100"/>
        <v>2017</v>
      </c>
      <c r="M157" s="114">
        <f t="shared" si="106"/>
        <v>2017.9166666666667</v>
      </c>
      <c r="N157" s="13">
        <v>8921.6</v>
      </c>
      <c r="O157" s="13">
        <f t="shared" si="107"/>
        <v>8921.6</v>
      </c>
      <c r="P157" s="13">
        <f t="shared" si="108"/>
        <v>247.82222222222222</v>
      </c>
      <c r="Q157" s="13">
        <f t="shared" si="101"/>
        <v>2973.8666666666668</v>
      </c>
      <c r="R157" s="13">
        <v>0</v>
      </c>
      <c r="S157" s="13">
        <f t="shared" si="102"/>
        <v>0</v>
      </c>
      <c r="T157" s="13">
        <f t="shared" si="103"/>
        <v>8921.6</v>
      </c>
      <c r="U157" s="13">
        <f t="shared" si="104"/>
        <v>8921.6</v>
      </c>
      <c r="V157" s="13">
        <v>0</v>
      </c>
      <c r="W157" s="13">
        <f t="shared" si="105"/>
        <v>0</v>
      </c>
    </row>
    <row r="158" spans="1:23" s="9" customFormat="1">
      <c r="B158" s="9" t="s">
        <v>152</v>
      </c>
      <c r="C158" s="9">
        <v>4075</v>
      </c>
      <c r="D158" s="9" t="s">
        <v>162</v>
      </c>
      <c r="E158" s="9">
        <v>123629</v>
      </c>
      <c r="G158" s="9">
        <v>2015</v>
      </c>
      <c r="H158" s="9">
        <v>6</v>
      </c>
      <c r="I158" s="9">
        <v>0</v>
      </c>
      <c r="J158" s="9" t="s">
        <v>78</v>
      </c>
      <c r="K158" s="9">
        <v>10</v>
      </c>
      <c r="L158" s="123">
        <f t="shared" si="100"/>
        <v>2025</v>
      </c>
      <c r="M158" s="114">
        <f t="shared" si="106"/>
        <v>2025.5</v>
      </c>
      <c r="N158" s="13">
        <v>202299.47</v>
      </c>
      <c r="O158" s="13">
        <f t="shared" si="107"/>
        <v>202299.47</v>
      </c>
      <c r="P158" s="13">
        <f t="shared" si="108"/>
        <v>1685.8289166666666</v>
      </c>
      <c r="Q158" s="13">
        <f t="shared" si="101"/>
        <v>20229.947</v>
      </c>
      <c r="R158" s="13">
        <v>20229.947</v>
      </c>
      <c r="S158" s="13">
        <f t="shared" si="102"/>
        <v>20229.947</v>
      </c>
      <c r="T158" s="13">
        <f t="shared" si="103"/>
        <v>121379.682</v>
      </c>
      <c r="U158" s="13">
        <f t="shared" si="104"/>
        <v>141609.62900000002</v>
      </c>
      <c r="V158" s="13">
        <v>121379.682</v>
      </c>
      <c r="W158" s="13">
        <f t="shared" si="105"/>
        <v>60689.840999999986</v>
      </c>
    </row>
    <row r="159" spans="1:23" s="9" customFormat="1">
      <c r="A159" s="9" t="s">
        <v>151</v>
      </c>
      <c r="B159" s="9" t="s">
        <v>152</v>
      </c>
      <c r="C159" s="9">
        <v>4077</v>
      </c>
      <c r="D159" s="9" t="s">
        <v>163</v>
      </c>
      <c r="E159" s="9">
        <v>189849</v>
      </c>
      <c r="G159" s="9">
        <v>2017</v>
      </c>
      <c r="H159" s="9">
        <v>12</v>
      </c>
      <c r="I159" s="9">
        <v>0</v>
      </c>
      <c r="J159" s="9" t="s">
        <v>78</v>
      </c>
      <c r="K159" s="9">
        <v>10</v>
      </c>
      <c r="L159" s="123">
        <f t="shared" si="100"/>
        <v>2027</v>
      </c>
      <c r="M159" s="114">
        <f t="shared" si="106"/>
        <v>2028</v>
      </c>
      <c r="N159" s="13">
        <v>257169.54</v>
      </c>
      <c r="O159" s="13">
        <f t="shared" si="107"/>
        <v>257169.54</v>
      </c>
      <c r="P159" s="13">
        <f t="shared" si="108"/>
        <v>2143.0795000000003</v>
      </c>
      <c r="Q159" s="13">
        <f t="shared" si="101"/>
        <v>25716.954000000005</v>
      </c>
      <c r="R159" s="13">
        <v>25716.954000000005</v>
      </c>
      <c r="S159" s="13">
        <f t="shared" si="102"/>
        <v>25716.954000000005</v>
      </c>
      <c r="T159" s="13">
        <f t="shared" si="103"/>
        <v>102867.81600000002</v>
      </c>
      <c r="U159" s="13">
        <f t="shared" si="104"/>
        <v>128584.77000000002</v>
      </c>
      <c r="V159" s="13">
        <v>205735.63199999998</v>
      </c>
      <c r="W159" s="13">
        <f t="shared" si="105"/>
        <v>128584.76999999999</v>
      </c>
    </row>
    <row r="160" spans="1:23" s="9" customFormat="1">
      <c r="D160" s="9" t="s">
        <v>164</v>
      </c>
      <c r="E160" s="9">
        <v>189886</v>
      </c>
      <c r="G160" s="9">
        <v>2017</v>
      </c>
      <c r="H160" s="9">
        <v>12</v>
      </c>
      <c r="I160" s="9">
        <v>0</v>
      </c>
      <c r="J160" s="9" t="s">
        <v>78</v>
      </c>
      <c r="K160" s="9">
        <v>5</v>
      </c>
      <c r="L160" s="123">
        <f t="shared" si="100"/>
        <v>2022</v>
      </c>
      <c r="M160" s="114">
        <f t="shared" si="106"/>
        <v>2023</v>
      </c>
      <c r="N160" s="13">
        <v>2050.4699999999998</v>
      </c>
      <c r="O160" s="13">
        <f t="shared" si="107"/>
        <v>2050.4699999999998</v>
      </c>
      <c r="P160" s="13">
        <f t="shared" si="108"/>
        <v>34.174499999999995</v>
      </c>
      <c r="Q160" s="13">
        <f t="shared" si="101"/>
        <v>410.09399999999994</v>
      </c>
      <c r="R160" s="13">
        <v>410.09399999999994</v>
      </c>
      <c r="S160" s="13">
        <f t="shared" si="102"/>
        <v>410.09399999999994</v>
      </c>
      <c r="T160" s="13">
        <f t="shared" si="103"/>
        <v>1640.3759999999997</v>
      </c>
      <c r="U160" s="13">
        <f t="shared" si="104"/>
        <v>2050.4699999999998</v>
      </c>
      <c r="V160" s="13">
        <v>1230.2819999999999</v>
      </c>
      <c r="W160" s="13">
        <f t="shared" si="105"/>
        <v>0</v>
      </c>
    </row>
    <row r="161" spans="1:23" s="9" customFormat="1">
      <c r="B161" s="9" t="s">
        <v>152</v>
      </c>
      <c r="C161" s="9">
        <v>4077</v>
      </c>
      <c r="D161" s="9" t="s">
        <v>165</v>
      </c>
      <c r="E161" s="9">
        <v>191851</v>
      </c>
      <c r="F161" s="9">
        <v>189849</v>
      </c>
      <c r="G161" s="9">
        <v>2018</v>
      </c>
      <c r="H161" s="9">
        <v>1</v>
      </c>
      <c r="I161" s="9">
        <v>0</v>
      </c>
      <c r="J161" s="9" t="s">
        <v>78</v>
      </c>
      <c r="K161" s="9">
        <v>10</v>
      </c>
      <c r="L161" s="123">
        <f t="shared" si="100"/>
        <v>2028</v>
      </c>
      <c r="M161" s="114">
        <f t="shared" si="106"/>
        <v>2028.0833333333333</v>
      </c>
      <c r="N161" s="13">
        <v>70.39</v>
      </c>
      <c r="O161" s="13">
        <f t="shared" si="107"/>
        <v>70.39</v>
      </c>
      <c r="P161" s="13">
        <f t="shared" si="108"/>
        <v>0.58658333333333335</v>
      </c>
      <c r="Q161" s="13">
        <f t="shared" si="101"/>
        <v>7.0389999999999997</v>
      </c>
      <c r="R161" s="13">
        <v>7.0389999999999997</v>
      </c>
      <c r="S161" s="13">
        <f t="shared" si="102"/>
        <v>7.0389999999999997</v>
      </c>
      <c r="T161" s="13">
        <f t="shared" si="103"/>
        <v>21.116999999999997</v>
      </c>
      <c r="U161" s="13">
        <f t="shared" si="104"/>
        <v>28.155999999999999</v>
      </c>
      <c r="V161" s="13">
        <v>63.350999999999999</v>
      </c>
      <c r="W161" s="13">
        <f t="shared" si="105"/>
        <v>42.234000000000002</v>
      </c>
    </row>
    <row r="162" spans="1:23" s="9" customFormat="1">
      <c r="B162" s="9" t="s">
        <v>152</v>
      </c>
      <c r="C162" s="9">
        <v>4079</v>
      </c>
      <c r="D162" s="9" t="s">
        <v>166</v>
      </c>
      <c r="E162" s="9">
        <v>199114</v>
      </c>
      <c r="G162" s="9">
        <v>2018</v>
      </c>
      <c r="H162" s="9">
        <v>6</v>
      </c>
      <c r="I162" s="9">
        <v>0</v>
      </c>
      <c r="J162" s="9" t="s">
        <v>78</v>
      </c>
      <c r="K162" s="9">
        <v>10</v>
      </c>
      <c r="L162" s="123">
        <f t="shared" si="100"/>
        <v>2028</v>
      </c>
      <c r="M162" s="114">
        <f t="shared" si="106"/>
        <v>2028.5</v>
      </c>
      <c r="N162" s="13">
        <v>228215.43</v>
      </c>
      <c r="O162" s="13">
        <f t="shared" si="107"/>
        <v>228215.43</v>
      </c>
      <c r="P162" s="13">
        <f t="shared" si="108"/>
        <v>1901.7952499999999</v>
      </c>
      <c r="Q162" s="13">
        <f t="shared" si="101"/>
        <v>22821.542999999998</v>
      </c>
      <c r="R162" s="13">
        <v>22821.542999999998</v>
      </c>
      <c r="S162" s="13">
        <f t="shared" si="102"/>
        <v>22821.542999999998</v>
      </c>
      <c r="T162" s="13">
        <f t="shared" si="103"/>
        <v>68464.628999999986</v>
      </c>
      <c r="U162" s="13">
        <f t="shared" si="104"/>
        <v>91286.171999999991</v>
      </c>
      <c r="V162" s="13">
        <v>205393.88699999999</v>
      </c>
      <c r="W162" s="13">
        <f t="shared" si="105"/>
        <v>136929.258</v>
      </c>
    </row>
    <row r="163" spans="1:23" s="9" customFormat="1">
      <c r="B163" s="9" t="s">
        <v>152</v>
      </c>
      <c r="C163" s="9">
        <v>4079</v>
      </c>
      <c r="D163" s="9" t="s">
        <v>167</v>
      </c>
      <c r="E163" s="9">
        <v>199416</v>
      </c>
      <c r="F163" s="9">
        <v>199114</v>
      </c>
      <c r="G163" s="9">
        <v>2018</v>
      </c>
      <c r="H163" s="9">
        <v>6</v>
      </c>
      <c r="I163" s="9">
        <v>0</v>
      </c>
      <c r="J163" s="9" t="s">
        <v>78</v>
      </c>
      <c r="K163" s="9">
        <v>10</v>
      </c>
      <c r="L163" s="123">
        <f t="shared" si="100"/>
        <v>2028</v>
      </c>
      <c r="M163" s="114">
        <f t="shared" si="106"/>
        <v>2028.5</v>
      </c>
      <c r="N163" s="13">
        <v>70.39</v>
      </c>
      <c r="O163" s="13">
        <f t="shared" si="107"/>
        <v>70.39</v>
      </c>
      <c r="P163" s="13">
        <f t="shared" si="108"/>
        <v>0.58658333333333335</v>
      </c>
      <c r="Q163" s="13">
        <f t="shared" si="101"/>
        <v>7.0389999999999997</v>
      </c>
      <c r="R163" s="13">
        <v>7.0389999999999997</v>
      </c>
      <c r="S163" s="13">
        <f t="shared" si="102"/>
        <v>7.0389999999999997</v>
      </c>
      <c r="T163" s="13">
        <f t="shared" si="103"/>
        <v>21.116999999999997</v>
      </c>
      <c r="U163" s="13">
        <f t="shared" si="104"/>
        <v>28.155999999999999</v>
      </c>
      <c r="V163" s="13">
        <v>63.350999999999999</v>
      </c>
      <c r="W163" s="13">
        <f t="shared" si="105"/>
        <v>42.234000000000002</v>
      </c>
    </row>
    <row r="164" spans="1:23" s="9" customFormat="1">
      <c r="B164" s="9" t="s">
        <v>152</v>
      </c>
      <c r="C164" s="9">
        <v>4081</v>
      </c>
      <c r="D164" s="9" t="s">
        <v>168</v>
      </c>
      <c r="E164" s="9">
        <v>199418</v>
      </c>
      <c r="F164" s="9">
        <v>200784</v>
      </c>
      <c r="G164" s="9">
        <v>2018</v>
      </c>
      <c r="H164" s="9">
        <v>6</v>
      </c>
      <c r="I164" s="9">
        <v>0</v>
      </c>
      <c r="J164" s="9" t="s">
        <v>78</v>
      </c>
      <c r="K164" s="9">
        <v>10</v>
      </c>
      <c r="L164" s="123">
        <f t="shared" si="100"/>
        <v>2028</v>
      </c>
      <c r="M164" s="114">
        <f t="shared" si="106"/>
        <v>2028.5</v>
      </c>
      <c r="N164" s="13">
        <v>70.39</v>
      </c>
      <c r="O164" s="13">
        <f t="shared" si="107"/>
        <v>70.39</v>
      </c>
      <c r="P164" s="13">
        <f t="shared" si="108"/>
        <v>0.58658333333333335</v>
      </c>
      <c r="Q164" s="13">
        <f t="shared" si="101"/>
        <v>7.0389999999999997</v>
      </c>
      <c r="R164" s="13">
        <v>7.0389999999999997</v>
      </c>
      <c r="S164" s="13">
        <f t="shared" si="102"/>
        <v>7.0389999999999997</v>
      </c>
      <c r="T164" s="13">
        <f t="shared" si="103"/>
        <v>21.116999999999997</v>
      </c>
      <c r="U164" s="13">
        <f t="shared" si="104"/>
        <v>28.155999999999999</v>
      </c>
      <c r="V164" s="13">
        <v>63.350999999999999</v>
      </c>
      <c r="W164" s="13">
        <f t="shared" si="105"/>
        <v>42.234000000000002</v>
      </c>
    </row>
    <row r="165" spans="1:23" s="9" customFormat="1">
      <c r="B165" s="9" t="s">
        <v>152</v>
      </c>
      <c r="C165" s="9">
        <v>4078</v>
      </c>
      <c r="D165" s="9" t="s">
        <v>166</v>
      </c>
      <c r="E165" s="9">
        <v>199115</v>
      </c>
      <c r="G165" s="9">
        <v>2018</v>
      </c>
      <c r="H165" s="9">
        <v>6</v>
      </c>
      <c r="I165" s="9">
        <v>0</v>
      </c>
      <c r="J165" s="9" t="s">
        <v>78</v>
      </c>
      <c r="K165" s="9">
        <v>10</v>
      </c>
      <c r="L165" s="123">
        <f t="shared" si="100"/>
        <v>2028</v>
      </c>
      <c r="M165" s="114">
        <f t="shared" si="106"/>
        <v>2028.5</v>
      </c>
      <c r="N165" s="13">
        <v>228215.43</v>
      </c>
      <c r="O165" s="13">
        <f t="shared" si="107"/>
        <v>228215.43</v>
      </c>
      <c r="P165" s="13">
        <f t="shared" si="108"/>
        <v>1901.7952499999999</v>
      </c>
      <c r="Q165" s="13">
        <f t="shared" si="101"/>
        <v>22821.542999999998</v>
      </c>
      <c r="R165" s="13">
        <v>22821.542999999998</v>
      </c>
      <c r="S165" s="13">
        <f t="shared" si="102"/>
        <v>22821.542999999998</v>
      </c>
      <c r="T165" s="13">
        <f t="shared" si="103"/>
        <v>68464.628999999986</v>
      </c>
      <c r="U165" s="13">
        <f t="shared" si="104"/>
        <v>91286.171999999991</v>
      </c>
      <c r="V165" s="13">
        <v>205393.88699999999</v>
      </c>
      <c r="W165" s="13">
        <f t="shared" si="105"/>
        <v>136929.258</v>
      </c>
    </row>
    <row r="166" spans="1:23" s="9" customFormat="1">
      <c r="B166" s="9" t="s">
        <v>152</v>
      </c>
      <c r="C166" s="9">
        <v>4078</v>
      </c>
      <c r="D166" s="9" t="s">
        <v>169</v>
      </c>
      <c r="E166" s="9">
        <v>199417</v>
      </c>
      <c r="F166" s="9">
        <v>199115</v>
      </c>
      <c r="G166" s="9">
        <v>2018</v>
      </c>
      <c r="H166" s="9">
        <v>6</v>
      </c>
      <c r="I166" s="9">
        <v>0</v>
      </c>
      <c r="J166" s="9" t="s">
        <v>78</v>
      </c>
      <c r="K166" s="9">
        <v>10</v>
      </c>
      <c r="L166" s="123">
        <f t="shared" si="100"/>
        <v>2028</v>
      </c>
      <c r="M166" s="114">
        <f t="shared" si="106"/>
        <v>2028.5</v>
      </c>
      <c r="N166" s="13">
        <v>70.39</v>
      </c>
      <c r="O166" s="13">
        <f t="shared" si="107"/>
        <v>70.39</v>
      </c>
      <c r="P166" s="13">
        <f t="shared" si="108"/>
        <v>0.58658333333333335</v>
      </c>
      <c r="Q166" s="13">
        <f t="shared" si="101"/>
        <v>7.0389999999999997</v>
      </c>
      <c r="R166" s="13">
        <v>7.0389999999999997</v>
      </c>
      <c r="S166" s="13">
        <f t="shared" si="102"/>
        <v>7.0389999999999997</v>
      </c>
      <c r="T166" s="13">
        <f t="shared" si="103"/>
        <v>21.116999999999997</v>
      </c>
      <c r="U166" s="13">
        <f t="shared" si="104"/>
        <v>28.155999999999999</v>
      </c>
      <c r="V166" s="13">
        <v>63.350999999999999</v>
      </c>
      <c r="W166" s="13">
        <f t="shared" si="105"/>
        <v>42.234000000000002</v>
      </c>
    </row>
    <row r="167" spans="1:23" s="9" customFormat="1">
      <c r="B167" s="9" t="s">
        <v>152</v>
      </c>
      <c r="C167" s="9">
        <v>4080</v>
      </c>
      <c r="D167" s="9" t="s">
        <v>166</v>
      </c>
      <c r="E167" s="9">
        <v>200786</v>
      </c>
      <c r="G167" s="9">
        <v>2018</v>
      </c>
      <c r="H167" s="9">
        <v>6</v>
      </c>
      <c r="I167" s="9">
        <v>0</v>
      </c>
      <c r="J167" s="9" t="s">
        <v>78</v>
      </c>
      <c r="K167" s="9">
        <v>10</v>
      </c>
      <c r="L167" s="123">
        <f t="shared" si="100"/>
        <v>2028</v>
      </c>
      <c r="M167" s="114">
        <f t="shared" si="106"/>
        <v>2028.5</v>
      </c>
      <c r="N167" s="13">
        <v>228285.83</v>
      </c>
      <c r="O167" s="13">
        <f t="shared" si="107"/>
        <v>228285.83</v>
      </c>
      <c r="P167" s="13">
        <f t="shared" si="108"/>
        <v>1902.3819166666665</v>
      </c>
      <c r="Q167" s="13">
        <f t="shared" si="101"/>
        <v>22828.582999999999</v>
      </c>
      <c r="R167" s="13">
        <v>22828.582999999999</v>
      </c>
      <c r="S167" s="13">
        <f t="shared" si="102"/>
        <v>22828.582999999999</v>
      </c>
      <c r="T167" s="13">
        <f t="shared" si="103"/>
        <v>68485.748999999996</v>
      </c>
      <c r="U167" s="13">
        <f t="shared" si="104"/>
        <v>91314.331999999995</v>
      </c>
      <c r="V167" s="13">
        <v>205457.24699999997</v>
      </c>
      <c r="W167" s="13">
        <f t="shared" si="105"/>
        <v>136971.49799999999</v>
      </c>
    </row>
    <row r="168" spans="1:23" s="9" customFormat="1">
      <c r="B168" s="9" t="s">
        <v>152</v>
      </c>
      <c r="C168" s="9">
        <v>4081</v>
      </c>
      <c r="D168" s="9" t="s">
        <v>166</v>
      </c>
      <c r="E168" s="9">
        <v>200784</v>
      </c>
      <c r="G168" s="9">
        <v>2018</v>
      </c>
      <c r="H168" s="9">
        <v>7</v>
      </c>
      <c r="I168" s="9">
        <v>0</v>
      </c>
      <c r="J168" s="9" t="s">
        <v>78</v>
      </c>
      <c r="K168" s="9">
        <v>10</v>
      </c>
      <c r="L168" s="123">
        <f t="shared" si="100"/>
        <v>2028</v>
      </c>
      <c r="M168" s="114">
        <f t="shared" si="106"/>
        <v>2028.5833333333333</v>
      </c>
      <c r="N168" s="13">
        <v>228215.43</v>
      </c>
      <c r="O168" s="13">
        <f t="shared" si="107"/>
        <v>228215.43</v>
      </c>
      <c r="P168" s="13">
        <f t="shared" si="108"/>
        <v>1901.7952499999999</v>
      </c>
      <c r="Q168" s="13">
        <f t="shared" si="101"/>
        <v>22821.542999999998</v>
      </c>
      <c r="R168" s="13">
        <v>22821.542999999998</v>
      </c>
      <c r="S168" s="13">
        <f t="shared" si="102"/>
        <v>22821.542999999998</v>
      </c>
      <c r="T168" s="13">
        <f t="shared" si="103"/>
        <v>68464.628999999986</v>
      </c>
      <c r="U168" s="13">
        <f t="shared" si="104"/>
        <v>91286.171999999991</v>
      </c>
      <c r="V168" s="13">
        <v>205393.88699999999</v>
      </c>
      <c r="W168" s="13">
        <f t="shared" si="105"/>
        <v>136929.258</v>
      </c>
    </row>
    <row r="169" spans="1:23" s="9" customFormat="1">
      <c r="B169" s="9" t="s">
        <v>152</v>
      </c>
      <c r="C169" s="9">
        <v>4087</v>
      </c>
      <c r="D169" s="9" t="s">
        <v>166</v>
      </c>
      <c r="E169" s="9">
        <v>223828</v>
      </c>
      <c r="G169" s="9">
        <v>2019</v>
      </c>
      <c r="H169" s="9">
        <v>11</v>
      </c>
      <c r="I169" s="9">
        <v>0</v>
      </c>
      <c r="J169" s="9" t="s">
        <v>78</v>
      </c>
      <c r="K169" s="9">
        <v>10</v>
      </c>
      <c r="L169" s="123">
        <f t="shared" si="100"/>
        <v>2029</v>
      </c>
      <c r="M169" s="114">
        <f t="shared" si="106"/>
        <v>2029.9166666666667</v>
      </c>
      <c r="N169" s="13">
        <v>269330.87</v>
      </c>
      <c r="O169" s="13">
        <f t="shared" si="107"/>
        <v>269330.87</v>
      </c>
      <c r="P169" s="13">
        <f t="shared" si="108"/>
        <v>2244.4239166666666</v>
      </c>
      <c r="Q169" s="13">
        <f t="shared" si="101"/>
        <v>26933.087</v>
      </c>
      <c r="R169" s="13">
        <v>26933.087</v>
      </c>
      <c r="S169" s="13">
        <f t="shared" si="102"/>
        <v>26933.087</v>
      </c>
      <c r="T169" s="13">
        <f t="shared" si="103"/>
        <v>53866.173999999999</v>
      </c>
      <c r="U169" s="13">
        <f t="shared" si="104"/>
        <v>80799.260999999999</v>
      </c>
      <c r="V169" s="13">
        <v>242397.783</v>
      </c>
      <c r="W169" s="13">
        <f t="shared" si="105"/>
        <v>188531.609</v>
      </c>
    </row>
    <row r="170" spans="1:23" s="9" customFormat="1">
      <c r="B170" s="9" t="s">
        <v>152</v>
      </c>
      <c r="C170" s="9">
        <v>4088</v>
      </c>
      <c r="D170" s="9" t="s">
        <v>170</v>
      </c>
      <c r="E170" s="9">
        <v>225680</v>
      </c>
      <c r="G170" s="9">
        <v>2019</v>
      </c>
      <c r="H170" s="9">
        <v>11</v>
      </c>
      <c r="I170" s="9">
        <v>0</v>
      </c>
      <c r="J170" s="9" t="s">
        <v>78</v>
      </c>
      <c r="K170" s="9">
        <v>10</v>
      </c>
      <c r="L170" s="123">
        <f t="shared" si="100"/>
        <v>2029</v>
      </c>
      <c r="M170" s="114">
        <f t="shared" si="106"/>
        <v>2029.9166666666667</v>
      </c>
      <c r="N170" s="13">
        <v>270731.48</v>
      </c>
      <c r="O170" s="13">
        <f t="shared" si="107"/>
        <v>270731.48</v>
      </c>
      <c r="P170" s="13">
        <f t="shared" si="108"/>
        <v>2256.0956666666666</v>
      </c>
      <c r="Q170" s="13">
        <f t="shared" si="101"/>
        <v>27073.148000000001</v>
      </c>
      <c r="R170" s="13">
        <v>27073.148000000001</v>
      </c>
      <c r="S170" s="13">
        <f t="shared" si="102"/>
        <v>27073.148000000001</v>
      </c>
      <c r="T170" s="13">
        <f t="shared" si="103"/>
        <v>54146.296000000002</v>
      </c>
      <c r="U170" s="13">
        <f t="shared" si="104"/>
        <v>81219.444000000003</v>
      </c>
      <c r="V170" s="13">
        <v>243658.33199999999</v>
      </c>
      <c r="W170" s="13">
        <f t="shared" si="105"/>
        <v>189512.03599999996</v>
      </c>
    </row>
    <row r="171" spans="1:23" s="9" customFormat="1">
      <c r="A171" s="9" t="s">
        <v>138</v>
      </c>
      <c r="D171" s="9" t="s">
        <v>171</v>
      </c>
      <c r="G171" s="9">
        <v>2020</v>
      </c>
      <c r="H171" s="9">
        <v>3</v>
      </c>
      <c r="I171" s="9">
        <v>0</v>
      </c>
      <c r="J171" s="9" t="s">
        <v>78</v>
      </c>
      <c r="K171" s="9">
        <v>10</v>
      </c>
      <c r="L171" s="123">
        <f t="shared" si="100"/>
        <v>2030</v>
      </c>
      <c r="M171" s="114">
        <f t="shared" si="106"/>
        <v>2030.25</v>
      </c>
      <c r="N171" s="13">
        <v>251598</v>
      </c>
      <c r="O171" s="13">
        <f t="shared" si="107"/>
        <v>251598</v>
      </c>
      <c r="P171" s="13">
        <f t="shared" si="108"/>
        <v>2096.65</v>
      </c>
      <c r="Q171" s="13">
        <f t="shared" si="101"/>
        <v>25159.800000000003</v>
      </c>
      <c r="R171" s="13">
        <v>25159.800000000003</v>
      </c>
      <c r="S171" s="13">
        <f t="shared" si="102"/>
        <v>25159.800000000003</v>
      </c>
      <c r="T171" s="13">
        <f t="shared" si="103"/>
        <v>25159.800000000003</v>
      </c>
      <c r="U171" s="13">
        <f t="shared" si="104"/>
        <v>50319.600000000006</v>
      </c>
      <c r="V171" s="13">
        <v>226438.2</v>
      </c>
      <c r="W171" s="13">
        <f t="shared" si="105"/>
        <v>201278.4</v>
      </c>
    </row>
    <row r="172" spans="1:23" s="9" customFormat="1">
      <c r="A172" s="9" t="s">
        <v>138</v>
      </c>
      <c r="D172" s="9" t="s">
        <v>171</v>
      </c>
      <c r="G172" s="9">
        <v>2020</v>
      </c>
      <c r="H172" s="9">
        <v>3</v>
      </c>
      <c r="I172" s="9">
        <v>0</v>
      </c>
      <c r="J172" s="9" t="s">
        <v>78</v>
      </c>
      <c r="K172" s="9">
        <v>10</v>
      </c>
      <c r="L172" s="123">
        <f t="shared" si="100"/>
        <v>2030</v>
      </c>
      <c r="M172" s="114">
        <f t="shared" si="106"/>
        <v>2030.25</v>
      </c>
      <c r="N172" s="13">
        <v>251598</v>
      </c>
      <c r="O172" s="13">
        <f t="shared" si="107"/>
        <v>251598</v>
      </c>
      <c r="P172" s="13">
        <f t="shared" si="108"/>
        <v>2096.65</v>
      </c>
      <c r="Q172" s="13">
        <f t="shared" si="101"/>
        <v>25159.800000000003</v>
      </c>
      <c r="R172" s="13">
        <v>25159.800000000003</v>
      </c>
      <c r="S172" s="13">
        <f t="shared" si="102"/>
        <v>25159.800000000003</v>
      </c>
      <c r="T172" s="13">
        <f t="shared" si="103"/>
        <v>25159.800000000003</v>
      </c>
      <c r="U172" s="13">
        <f t="shared" si="104"/>
        <v>50319.600000000006</v>
      </c>
      <c r="V172" s="13">
        <v>226438.2</v>
      </c>
      <c r="W172" s="13">
        <f t="shared" si="105"/>
        <v>201278.4</v>
      </c>
    </row>
    <row r="173" spans="1:23" s="9" customFormat="1">
      <c r="A173" s="9" t="s">
        <v>138</v>
      </c>
      <c r="D173" s="9" t="s">
        <v>171</v>
      </c>
      <c r="G173" s="9">
        <v>2020</v>
      </c>
      <c r="H173" s="9">
        <v>3</v>
      </c>
      <c r="I173" s="9">
        <v>0</v>
      </c>
      <c r="J173" s="9" t="s">
        <v>78</v>
      </c>
      <c r="K173" s="9">
        <v>10</v>
      </c>
      <c r="L173" s="123">
        <f t="shared" si="100"/>
        <v>2030</v>
      </c>
      <c r="M173" s="114">
        <f t="shared" si="106"/>
        <v>2030.25</v>
      </c>
      <c r="N173" s="13">
        <v>251598</v>
      </c>
      <c r="O173" s="13">
        <f t="shared" si="107"/>
        <v>251598</v>
      </c>
      <c r="P173" s="13">
        <f t="shared" si="108"/>
        <v>2096.65</v>
      </c>
      <c r="Q173" s="13">
        <f t="shared" si="101"/>
        <v>25159.800000000003</v>
      </c>
      <c r="R173" s="13">
        <v>25159.800000000003</v>
      </c>
      <c r="S173" s="13">
        <f t="shared" si="102"/>
        <v>25159.800000000003</v>
      </c>
      <c r="T173" s="13">
        <f t="shared" si="103"/>
        <v>25159.800000000003</v>
      </c>
      <c r="U173" s="13">
        <f t="shared" si="104"/>
        <v>50319.600000000006</v>
      </c>
      <c r="V173" s="13">
        <v>226438.2</v>
      </c>
      <c r="W173" s="13">
        <f t="shared" si="105"/>
        <v>201278.4</v>
      </c>
    </row>
    <row r="174" spans="1:23" s="9" customFormat="1">
      <c r="A174" s="9" t="s">
        <v>138</v>
      </c>
      <c r="D174" s="9" t="s">
        <v>171</v>
      </c>
      <c r="G174" s="9">
        <v>2020</v>
      </c>
      <c r="H174" s="9">
        <v>3</v>
      </c>
      <c r="I174" s="9">
        <v>0</v>
      </c>
      <c r="J174" s="9" t="s">
        <v>78</v>
      </c>
      <c r="K174" s="9">
        <v>10</v>
      </c>
      <c r="L174" s="123">
        <f t="shared" si="100"/>
        <v>2030</v>
      </c>
      <c r="M174" s="114">
        <f t="shared" si="106"/>
        <v>2030.25</v>
      </c>
      <c r="N174" s="13">
        <v>251598</v>
      </c>
      <c r="O174" s="13">
        <f t="shared" si="107"/>
        <v>251598</v>
      </c>
      <c r="P174" s="13">
        <f t="shared" si="108"/>
        <v>2096.65</v>
      </c>
      <c r="Q174" s="13">
        <f t="shared" si="101"/>
        <v>25159.800000000003</v>
      </c>
      <c r="R174" s="13">
        <v>25159.800000000003</v>
      </c>
      <c r="S174" s="13">
        <f t="shared" si="102"/>
        <v>25159.800000000003</v>
      </c>
      <c r="T174" s="13">
        <f t="shared" si="103"/>
        <v>25159.800000000003</v>
      </c>
      <c r="U174" s="13">
        <f t="shared" si="104"/>
        <v>50319.600000000006</v>
      </c>
      <c r="V174" s="13">
        <v>226438.2</v>
      </c>
      <c r="W174" s="13">
        <f t="shared" si="105"/>
        <v>201278.4</v>
      </c>
    </row>
    <row r="175" spans="1:23" s="9" customFormat="1">
      <c r="A175" s="9" t="s">
        <v>141</v>
      </c>
      <c r="D175" s="9" t="s">
        <v>171</v>
      </c>
      <c r="G175" s="9">
        <v>2020</v>
      </c>
      <c r="H175" s="9">
        <v>3</v>
      </c>
      <c r="I175" s="9">
        <v>0</v>
      </c>
      <c r="J175" s="9" t="s">
        <v>78</v>
      </c>
      <c r="K175" s="9">
        <v>10</v>
      </c>
      <c r="L175" s="123">
        <f t="shared" si="100"/>
        <v>2030</v>
      </c>
      <c r="M175" s="114">
        <f t="shared" si="106"/>
        <v>2030.25</v>
      </c>
      <c r="N175" s="13">
        <v>251598</v>
      </c>
      <c r="O175" s="13">
        <f t="shared" si="107"/>
        <v>251598</v>
      </c>
      <c r="P175" s="13">
        <f t="shared" si="108"/>
        <v>2096.65</v>
      </c>
      <c r="Q175" s="13">
        <f t="shared" si="101"/>
        <v>25159.800000000003</v>
      </c>
      <c r="R175" s="13">
        <v>25159.800000000003</v>
      </c>
      <c r="S175" s="13">
        <f t="shared" si="102"/>
        <v>25159.800000000003</v>
      </c>
      <c r="T175" s="13">
        <f t="shared" si="103"/>
        <v>25159.800000000003</v>
      </c>
      <c r="U175" s="13">
        <f t="shared" si="104"/>
        <v>50319.600000000006</v>
      </c>
      <c r="V175" s="13">
        <v>226438.2</v>
      </c>
      <c r="W175" s="13">
        <f t="shared" si="105"/>
        <v>201278.4</v>
      </c>
    </row>
    <row r="176" spans="1:23" s="9" customFormat="1">
      <c r="A176" s="15"/>
      <c r="B176" s="15"/>
      <c r="C176" s="15"/>
      <c r="D176" s="15" t="s">
        <v>142</v>
      </c>
      <c r="E176" s="15"/>
      <c r="F176" s="15"/>
      <c r="G176" s="15"/>
      <c r="H176" s="15"/>
      <c r="I176" s="15"/>
      <c r="J176" s="15"/>
      <c r="K176" s="15"/>
      <c r="L176" s="176"/>
      <c r="M176" s="145"/>
      <c r="N176" s="16"/>
      <c r="O176" s="16"/>
      <c r="P176" s="16"/>
      <c r="Q176" s="16"/>
      <c r="R176" s="16">
        <v>20835.658666666666</v>
      </c>
      <c r="S176" s="16">
        <f>SUM(S509+S513)</f>
        <v>0</v>
      </c>
      <c r="T176" s="16"/>
      <c r="U176" s="16"/>
      <c r="V176" s="16">
        <v>0</v>
      </c>
      <c r="W176" s="16">
        <v>0</v>
      </c>
    </row>
    <row r="177" spans="1:23" s="177" customFormat="1">
      <c r="B177" s="177" t="s">
        <v>152</v>
      </c>
      <c r="C177" s="177">
        <v>4088</v>
      </c>
      <c r="D177" s="177" t="s">
        <v>1258</v>
      </c>
      <c r="E177" s="177">
        <v>227347</v>
      </c>
      <c r="F177" s="177">
        <v>223828</v>
      </c>
      <c r="G177" s="177">
        <v>2020</v>
      </c>
      <c r="H177" s="177">
        <v>1</v>
      </c>
      <c r="I177" s="177">
        <v>0</v>
      </c>
      <c r="J177" s="177" t="s">
        <v>78</v>
      </c>
      <c r="K177" s="177">
        <v>10</v>
      </c>
      <c r="L177" s="123">
        <f t="shared" ref="L177:L178" si="109">G177+K177</f>
        <v>2030</v>
      </c>
      <c r="M177" s="114">
        <f t="shared" ref="M177:M178" si="110">+L177+(H177/12)</f>
        <v>2030.0833333333333</v>
      </c>
      <c r="N177" s="13">
        <v>174.88</v>
      </c>
      <c r="O177" s="13">
        <f t="shared" ref="O177:O178" si="111">N177-N177*I177</f>
        <v>174.88</v>
      </c>
      <c r="P177" s="13">
        <f t="shared" ref="P177:P178" si="112">O177/K177/12</f>
        <v>1.4573333333333334</v>
      </c>
      <c r="Q177" s="13">
        <f t="shared" ref="Q177:Q178" si="113">P177*12</f>
        <v>17.488</v>
      </c>
      <c r="R177" s="13"/>
      <c r="S177" s="13">
        <f t="shared" ref="S177:S178" si="114">+IF(M177&lt;=$O$5,0,IF(L177&gt;$O$4,Q177,(P177*H177)))</f>
        <v>17.488</v>
      </c>
      <c r="T177" s="13">
        <f t="shared" ref="T177:T178" si="115">+IF(S177=0,N177,IF($O$3-G177&lt;1,0,(($O$3-G177)*Q177)))</f>
        <v>17.488</v>
      </c>
      <c r="U177" s="13">
        <f t="shared" ref="U177:U178" si="116">+IF(S177=0,T177,T177+S177)</f>
        <v>34.975999999999999</v>
      </c>
      <c r="V177" s="13"/>
      <c r="W177" s="13">
        <f t="shared" ref="W177:W178" si="117">+N177-U177</f>
        <v>139.904</v>
      </c>
    </row>
    <row r="178" spans="1:23" s="177" customFormat="1">
      <c r="B178" s="177" t="s">
        <v>152</v>
      </c>
      <c r="C178" s="177">
        <v>4090</v>
      </c>
      <c r="D178" s="177" t="s">
        <v>1271</v>
      </c>
      <c r="E178" s="177">
        <v>232601</v>
      </c>
      <c r="G178" s="177">
        <v>2020</v>
      </c>
      <c r="H178" s="177">
        <v>5</v>
      </c>
      <c r="I178" s="177">
        <v>0</v>
      </c>
      <c r="J178" s="177" t="s">
        <v>78</v>
      </c>
      <c r="K178" s="177">
        <v>10</v>
      </c>
      <c r="L178" s="123">
        <f t="shared" si="109"/>
        <v>2030</v>
      </c>
      <c r="M178" s="114">
        <f t="shared" si="110"/>
        <v>2030.4166666666667</v>
      </c>
      <c r="N178" s="13">
        <v>222512.89</v>
      </c>
      <c r="O178" s="13">
        <f t="shared" si="111"/>
        <v>222512.89</v>
      </c>
      <c r="P178" s="13">
        <f t="shared" si="112"/>
        <v>1854.2740833333335</v>
      </c>
      <c r="Q178" s="13">
        <f t="shared" si="113"/>
        <v>22251.289000000001</v>
      </c>
      <c r="R178" s="13"/>
      <c r="S178" s="13">
        <f t="shared" si="114"/>
        <v>22251.289000000001</v>
      </c>
      <c r="T178" s="13">
        <f t="shared" si="115"/>
        <v>22251.289000000001</v>
      </c>
      <c r="U178" s="13">
        <f t="shared" si="116"/>
        <v>44502.578000000001</v>
      </c>
      <c r="V178" s="13"/>
      <c r="W178" s="13">
        <f t="shared" si="117"/>
        <v>178010.31200000001</v>
      </c>
    </row>
    <row r="179" spans="1:23" s="177" customFormat="1">
      <c r="B179" s="177" t="s">
        <v>152</v>
      </c>
      <c r="C179" s="177">
        <v>4090</v>
      </c>
      <c r="D179" s="177" t="s">
        <v>1275</v>
      </c>
      <c r="E179" s="177">
        <v>233282</v>
      </c>
      <c r="F179" s="177">
        <v>232601</v>
      </c>
      <c r="G179" s="177">
        <v>2020</v>
      </c>
      <c r="H179" s="177">
        <v>5</v>
      </c>
      <c r="I179" s="177">
        <v>0</v>
      </c>
      <c r="J179" s="177" t="s">
        <v>78</v>
      </c>
      <c r="K179" s="177">
        <v>10</v>
      </c>
      <c r="L179" s="123">
        <f t="shared" ref="L179:L188" si="118">G179+K179</f>
        <v>2030</v>
      </c>
      <c r="M179" s="114">
        <f t="shared" ref="M179:M188" si="119">+L179+(H179/12)</f>
        <v>2030.4166666666667</v>
      </c>
      <c r="N179" s="13">
        <v>191.75</v>
      </c>
      <c r="O179" s="13">
        <f t="shared" ref="O179:O190" si="120">N179-N179*I179</f>
        <v>191.75</v>
      </c>
      <c r="P179" s="13">
        <f t="shared" ref="P179:P190" si="121">O179/K179/12</f>
        <v>1.5979166666666667</v>
      </c>
      <c r="Q179" s="13">
        <f t="shared" ref="Q179:Q190" si="122">P179*12</f>
        <v>19.175000000000001</v>
      </c>
      <c r="R179" s="13"/>
      <c r="S179" s="13">
        <f t="shared" ref="S179:S187" si="123">+IF(M179&lt;=$O$5,0,IF(L179&gt;$O$4,Q179,(P179*H179)))</f>
        <v>19.175000000000001</v>
      </c>
      <c r="T179" s="13">
        <f t="shared" ref="T179:T187" si="124">+IF(S179=0,N179,IF($O$3-G179&lt;1,0,(($O$3-G179)*Q179)))</f>
        <v>19.175000000000001</v>
      </c>
      <c r="U179" s="13">
        <f t="shared" ref="U179:U187" si="125">+IF(S179=0,T179,T179+S179)</f>
        <v>38.35</v>
      </c>
      <c r="V179" s="13"/>
      <c r="W179" s="13">
        <f t="shared" ref="W179:W187" si="126">+N179-U179</f>
        <v>153.4</v>
      </c>
    </row>
    <row r="180" spans="1:23" s="177" customFormat="1">
      <c r="B180" s="177" t="s">
        <v>152</v>
      </c>
      <c r="C180" s="177">
        <v>4091</v>
      </c>
      <c r="D180" s="177" t="s">
        <v>1271</v>
      </c>
      <c r="E180" s="177">
        <v>233852</v>
      </c>
      <c r="G180" s="177">
        <v>2020</v>
      </c>
      <c r="H180" s="177">
        <v>6</v>
      </c>
      <c r="I180" s="177">
        <v>0</v>
      </c>
      <c r="J180" s="177" t="s">
        <v>78</v>
      </c>
      <c r="K180" s="177">
        <v>10</v>
      </c>
      <c r="L180" s="123">
        <f t="shared" si="118"/>
        <v>2030</v>
      </c>
      <c r="M180" s="114">
        <f t="shared" si="119"/>
        <v>2030.5</v>
      </c>
      <c r="N180" s="13">
        <v>223875.18</v>
      </c>
      <c r="O180" s="13">
        <f t="shared" si="120"/>
        <v>223875.18</v>
      </c>
      <c r="P180" s="13">
        <f t="shared" si="121"/>
        <v>1865.6265000000001</v>
      </c>
      <c r="Q180" s="13">
        <f t="shared" si="122"/>
        <v>22387.518</v>
      </c>
      <c r="R180" s="13"/>
      <c r="S180" s="13">
        <f t="shared" si="123"/>
        <v>22387.518</v>
      </c>
      <c r="T180" s="13">
        <f t="shared" si="124"/>
        <v>22387.518</v>
      </c>
      <c r="U180" s="13">
        <f t="shared" si="125"/>
        <v>44775.036</v>
      </c>
      <c r="V180" s="13"/>
      <c r="W180" s="13">
        <f t="shared" si="126"/>
        <v>179100.144</v>
      </c>
    </row>
    <row r="181" spans="1:23" s="177" customFormat="1">
      <c r="B181" s="177" t="s">
        <v>152</v>
      </c>
      <c r="C181" s="177">
        <v>4091</v>
      </c>
      <c r="D181" s="177" t="s">
        <v>1278</v>
      </c>
      <c r="E181" s="177">
        <v>234062</v>
      </c>
      <c r="F181" s="177">
        <v>233852</v>
      </c>
      <c r="G181" s="177">
        <v>2020</v>
      </c>
      <c r="H181" s="177">
        <v>6</v>
      </c>
      <c r="I181" s="177">
        <v>0</v>
      </c>
      <c r="J181" s="177" t="s">
        <v>78</v>
      </c>
      <c r="K181" s="177">
        <v>10</v>
      </c>
      <c r="L181" s="123">
        <f t="shared" si="118"/>
        <v>2030</v>
      </c>
      <c r="M181" s="114">
        <f t="shared" si="119"/>
        <v>2030.5</v>
      </c>
      <c r="N181" s="13">
        <v>191.75</v>
      </c>
      <c r="O181" s="13">
        <f t="shared" si="120"/>
        <v>191.75</v>
      </c>
      <c r="P181" s="13">
        <f t="shared" si="121"/>
        <v>1.5979166666666667</v>
      </c>
      <c r="Q181" s="13">
        <f t="shared" si="122"/>
        <v>19.175000000000001</v>
      </c>
      <c r="R181" s="13"/>
      <c r="S181" s="13">
        <f t="shared" si="123"/>
        <v>19.175000000000001</v>
      </c>
      <c r="T181" s="13">
        <f t="shared" si="124"/>
        <v>19.175000000000001</v>
      </c>
      <c r="U181" s="13">
        <f t="shared" si="125"/>
        <v>38.35</v>
      </c>
      <c r="V181" s="13"/>
      <c r="W181" s="13">
        <f t="shared" si="126"/>
        <v>153.4</v>
      </c>
    </row>
    <row r="182" spans="1:23" s="177" customFormat="1">
      <c r="B182" s="177" t="s">
        <v>152</v>
      </c>
      <c r="C182" s="177">
        <v>4093</v>
      </c>
      <c r="D182" s="177" t="s">
        <v>1271</v>
      </c>
      <c r="E182" s="177">
        <v>235101</v>
      </c>
      <c r="G182" s="177">
        <v>2020</v>
      </c>
      <c r="H182" s="177">
        <v>7</v>
      </c>
      <c r="I182" s="177">
        <v>0</v>
      </c>
      <c r="J182" s="177" t="s">
        <v>78</v>
      </c>
      <c r="K182" s="177">
        <v>10</v>
      </c>
      <c r="L182" s="123">
        <f t="shared" si="118"/>
        <v>2030</v>
      </c>
      <c r="M182" s="114">
        <f t="shared" si="119"/>
        <v>2030.5833333333333</v>
      </c>
      <c r="N182" s="13">
        <v>223888.3</v>
      </c>
      <c r="O182" s="13">
        <f t="shared" si="120"/>
        <v>223888.3</v>
      </c>
      <c r="P182" s="13">
        <f t="shared" si="121"/>
        <v>1865.7358333333332</v>
      </c>
      <c r="Q182" s="13">
        <f t="shared" si="122"/>
        <v>22388.829999999998</v>
      </c>
      <c r="R182" s="13"/>
      <c r="S182" s="13">
        <f t="shared" si="123"/>
        <v>22388.829999999998</v>
      </c>
      <c r="T182" s="13">
        <f t="shared" si="124"/>
        <v>22388.829999999998</v>
      </c>
      <c r="U182" s="13">
        <f t="shared" si="125"/>
        <v>44777.659999999996</v>
      </c>
      <c r="V182" s="13"/>
      <c r="W182" s="13">
        <f t="shared" si="126"/>
        <v>179110.63999999998</v>
      </c>
    </row>
    <row r="183" spans="1:23" s="177" customFormat="1">
      <c r="B183" s="177" t="s">
        <v>152</v>
      </c>
      <c r="C183" s="177">
        <v>4090</v>
      </c>
      <c r="D183" s="177" t="s">
        <v>1282</v>
      </c>
      <c r="E183" s="177">
        <v>235267</v>
      </c>
      <c r="F183" s="177">
        <v>232601</v>
      </c>
      <c r="G183" s="177">
        <v>2020</v>
      </c>
      <c r="H183" s="177">
        <v>5</v>
      </c>
      <c r="I183" s="177">
        <v>0</v>
      </c>
      <c r="J183" s="177" t="s">
        <v>78</v>
      </c>
      <c r="K183" s="177">
        <v>10</v>
      </c>
      <c r="L183" s="123">
        <f t="shared" si="118"/>
        <v>2030</v>
      </c>
      <c r="M183" s="114">
        <f t="shared" si="119"/>
        <v>2030.4166666666667</v>
      </c>
      <c r="N183" s="13">
        <v>573.48</v>
      </c>
      <c r="O183" s="13">
        <f t="shared" si="120"/>
        <v>573.48</v>
      </c>
      <c r="P183" s="13">
        <f t="shared" si="121"/>
        <v>4.7789999999999999</v>
      </c>
      <c r="Q183" s="13">
        <f t="shared" si="122"/>
        <v>57.347999999999999</v>
      </c>
      <c r="R183" s="13"/>
      <c r="S183" s="13">
        <f t="shared" si="123"/>
        <v>57.347999999999999</v>
      </c>
      <c r="T183" s="13">
        <f t="shared" si="124"/>
        <v>57.347999999999999</v>
      </c>
      <c r="U183" s="13">
        <f t="shared" si="125"/>
        <v>114.696</v>
      </c>
      <c r="V183" s="13"/>
      <c r="W183" s="13">
        <f t="shared" si="126"/>
        <v>458.78399999999999</v>
      </c>
    </row>
    <row r="184" spans="1:23" s="177" customFormat="1">
      <c r="B184" s="177" t="s">
        <v>152</v>
      </c>
      <c r="C184" s="177">
        <v>4091</v>
      </c>
      <c r="D184" s="177" t="s">
        <v>1285</v>
      </c>
      <c r="E184" s="177">
        <v>236902</v>
      </c>
      <c r="F184" s="177">
        <v>233852</v>
      </c>
      <c r="G184" s="177">
        <v>2020</v>
      </c>
      <c r="H184" s="177">
        <v>6</v>
      </c>
      <c r="I184" s="177">
        <v>0</v>
      </c>
      <c r="J184" s="177" t="s">
        <v>78</v>
      </c>
      <c r="K184" s="177">
        <v>10</v>
      </c>
      <c r="L184" s="123">
        <f t="shared" si="118"/>
        <v>2030</v>
      </c>
      <c r="M184" s="114">
        <f t="shared" si="119"/>
        <v>2030.5</v>
      </c>
      <c r="N184" s="13">
        <v>612.34</v>
      </c>
      <c r="O184" s="13">
        <f t="shared" si="120"/>
        <v>612.34</v>
      </c>
      <c r="P184" s="13">
        <f t="shared" si="121"/>
        <v>5.1028333333333338</v>
      </c>
      <c r="Q184" s="13">
        <f t="shared" si="122"/>
        <v>61.234000000000009</v>
      </c>
      <c r="R184" s="13"/>
      <c r="S184" s="13">
        <f t="shared" si="123"/>
        <v>61.234000000000009</v>
      </c>
      <c r="T184" s="13">
        <f t="shared" si="124"/>
        <v>61.234000000000009</v>
      </c>
      <c r="U184" s="13">
        <f t="shared" si="125"/>
        <v>122.46800000000002</v>
      </c>
      <c r="V184" s="13"/>
      <c r="W184" s="13">
        <f t="shared" si="126"/>
        <v>489.87200000000001</v>
      </c>
    </row>
    <row r="185" spans="1:23" s="177" customFormat="1">
      <c r="B185" s="177" t="s">
        <v>152</v>
      </c>
      <c r="C185" s="177">
        <v>4094</v>
      </c>
      <c r="D185" s="177" t="s">
        <v>1271</v>
      </c>
      <c r="E185" s="177">
        <v>240182</v>
      </c>
      <c r="G185" s="177">
        <v>2020</v>
      </c>
      <c r="H185" s="177">
        <v>10</v>
      </c>
      <c r="I185" s="177">
        <v>0</v>
      </c>
      <c r="J185" s="177" t="s">
        <v>78</v>
      </c>
      <c r="K185" s="177">
        <v>10</v>
      </c>
      <c r="L185" s="123">
        <f t="shared" si="118"/>
        <v>2030</v>
      </c>
      <c r="M185" s="114">
        <f t="shared" si="119"/>
        <v>2030.8333333333333</v>
      </c>
      <c r="N185" s="13">
        <v>223888.25</v>
      </c>
      <c r="O185" s="13">
        <f t="shared" si="120"/>
        <v>223888.25</v>
      </c>
      <c r="P185" s="13">
        <f t="shared" si="121"/>
        <v>1865.7354166666667</v>
      </c>
      <c r="Q185" s="13">
        <f t="shared" si="122"/>
        <v>22388.825000000001</v>
      </c>
      <c r="R185" s="13"/>
      <c r="S185" s="13">
        <f t="shared" si="123"/>
        <v>22388.825000000001</v>
      </c>
      <c r="T185" s="13">
        <f t="shared" si="124"/>
        <v>22388.825000000001</v>
      </c>
      <c r="U185" s="13">
        <f t="shared" si="125"/>
        <v>44777.65</v>
      </c>
      <c r="V185" s="13"/>
      <c r="W185" s="13">
        <f t="shared" si="126"/>
        <v>179110.6</v>
      </c>
    </row>
    <row r="186" spans="1:23" s="180" customFormat="1">
      <c r="A186" s="177"/>
      <c r="B186" s="177" t="s">
        <v>152</v>
      </c>
      <c r="C186" s="177">
        <v>4094</v>
      </c>
      <c r="D186" s="177" t="s">
        <v>1349</v>
      </c>
      <c r="E186" s="177">
        <v>245703</v>
      </c>
      <c r="F186" s="177">
        <v>240182</v>
      </c>
      <c r="G186" s="177">
        <v>2021</v>
      </c>
      <c r="H186" s="177">
        <v>1</v>
      </c>
      <c r="I186" s="177">
        <v>0</v>
      </c>
      <c r="J186" s="177" t="s">
        <v>78</v>
      </c>
      <c r="K186" s="177">
        <v>10</v>
      </c>
      <c r="L186" s="123">
        <f t="shared" si="118"/>
        <v>2031</v>
      </c>
      <c r="M186" s="114">
        <f t="shared" si="119"/>
        <v>2031.0833333333333</v>
      </c>
      <c r="N186" s="13">
        <v>191.75</v>
      </c>
      <c r="O186" s="13">
        <f t="shared" ref="O186" si="127">N186-N186*I186</f>
        <v>191.75</v>
      </c>
      <c r="P186" s="13">
        <f t="shared" ref="P186" si="128">O186/K186/12</f>
        <v>1.5979166666666667</v>
      </c>
      <c r="Q186" s="13">
        <f t="shared" ref="Q186" si="129">P186*12</f>
        <v>19.175000000000001</v>
      </c>
      <c r="R186" s="13"/>
      <c r="S186" s="13">
        <f t="shared" ref="S186" si="130">+IF(M186&lt;=$O$5,0,IF(L186&gt;$O$4,Q186,(P186*H186)))</f>
        <v>19.175000000000001</v>
      </c>
      <c r="T186" s="13">
        <f t="shared" ref="T186" si="131">+IF(S186=0,N186,IF($O$3-G186&lt;1,0,(($O$3-G186)*Q186)))</f>
        <v>0</v>
      </c>
      <c r="U186" s="13">
        <f t="shared" ref="U186" si="132">+IF(S186=0,T186,T186+S186)</f>
        <v>19.175000000000001</v>
      </c>
      <c r="V186" s="13"/>
      <c r="W186" s="13">
        <f t="shared" ref="W186" si="133">+N186-U186</f>
        <v>172.57499999999999</v>
      </c>
    </row>
    <row r="187" spans="1:23" s="177" customFormat="1">
      <c r="B187" s="177" t="s">
        <v>152</v>
      </c>
      <c r="C187" s="177">
        <v>4095</v>
      </c>
      <c r="D187" s="177" t="s">
        <v>1271</v>
      </c>
      <c r="E187" s="177">
        <v>241233</v>
      </c>
      <c r="G187" s="177">
        <v>2020</v>
      </c>
      <c r="H187" s="177">
        <v>10</v>
      </c>
      <c r="I187" s="177">
        <v>0</v>
      </c>
      <c r="J187" s="177" t="s">
        <v>78</v>
      </c>
      <c r="K187" s="177">
        <v>10</v>
      </c>
      <c r="L187" s="123">
        <f t="shared" si="118"/>
        <v>2030</v>
      </c>
      <c r="M187" s="114">
        <f t="shared" si="119"/>
        <v>2030.8333333333333</v>
      </c>
      <c r="N187" s="13">
        <v>269224.42</v>
      </c>
      <c r="O187" s="13">
        <f t="shared" si="120"/>
        <v>269224.42</v>
      </c>
      <c r="P187" s="13">
        <f t="shared" si="121"/>
        <v>2243.5368333333331</v>
      </c>
      <c r="Q187" s="13">
        <f t="shared" si="122"/>
        <v>26922.441999999995</v>
      </c>
      <c r="R187" s="13"/>
      <c r="S187" s="13">
        <f t="shared" si="123"/>
        <v>26922.441999999995</v>
      </c>
      <c r="T187" s="13">
        <f t="shared" si="124"/>
        <v>26922.441999999995</v>
      </c>
      <c r="U187" s="13">
        <f t="shared" si="125"/>
        <v>53844.883999999991</v>
      </c>
      <c r="V187" s="13"/>
      <c r="W187" s="13">
        <f t="shared" si="126"/>
        <v>215379.53599999999</v>
      </c>
    </row>
    <row r="188" spans="1:23" s="180" customFormat="1">
      <c r="A188" s="177"/>
      <c r="B188" s="177" t="s">
        <v>152</v>
      </c>
      <c r="C188" s="177">
        <v>4095</v>
      </c>
      <c r="D188" s="177" t="s">
        <v>1352</v>
      </c>
      <c r="E188" s="177">
        <v>246436</v>
      </c>
      <c r="F188" s="177">
        <v>241233</v>
      </c>
      <c r="G188" s="177">
        <v>2021</v>
      </c>
      <c r="H188" s="177">
        <v>1</v>
      </c>
      <c r="I188" s="177">
        <v>0</v>
      </c>
      <c r="J188" s="177" t="s">
        <v>78</v>
      </c>
      <c r="K188" s="177">
        <v>10</v>
      </c>
      <c r="L188" s="123">
        <f t="shared" si="118"/>
        <v>2031</v>
      </c>
      <c r="M188" s="114">
        <f t="shared" si="119"/>
        <v>2031.0833333333333</v>
      </c>
      <c r="N188" s="13">
        <v>1065.8599999999999</v>
      </c>
      <c r="O188" s="13">
        <f t="shared" ref="O188" si="134">N188-N188*I188</f>
        <v>1065.8599999999999</v>
      </c>
      <c r="P188" s="13">
        <f t="shared" ref="P188" si="135">O188/K188/12</f>
        <v>8.8821666666666648</v>
      </c>
      <c r="Q188" s="13">
        <f t="shared" ref="Q188" si="136">P188*12</f>
        <v>106.58599999999998</v>
      </c>
      <c r="R188" s="13"/>
      <c r="S188" s="13">
        <f t="shared" ref="S188" si="137">+IF(M188&lt;=$O$5,0,IF(L188&gt;$O$4,Q188,(P188*H188)))</f>
        <v>106.58599999999998</v>
      </c>
      <c r="T188" s="13">
        <f t="shared" ref="T188" si="138">+IF(S188=0,N188,IF($O$3-G188&lt;1,0,(($O$3-G188)*Q188)))</f>
        <v>0</v>
      </c>
      <c r="U188" s="13">
        <f t="shared" ref="U188" si="139">+IF(S188=0,T188,T188+S188)</f>
        <v>106.58599999999998</v>
      </c>
      <c r="V188" s="13"/>
      <c r="W188" s="13">
        <f t="shared" ref="W188" si="140">+N188-U188</f>
        <v>959.27399999999989</v>
      </c>
    </row>
    <row r="189" spans="1:23" s="177" customFormat="1">
      <c r="B189" s="177" t="s">
        <v>152</v>
      </c>
      <c r="C189" s="177">
        <v>4094</v>
      </c>
      <c r="D189" s="177" t="s">
        <v>1305</v>
      </c>
      <c r="E189" s="177">
        <v>242359</v>
      </c>
      <c r="F189" s="177">
        <v>240182</v>
      </c>
      <c r="G189" s="177">
        <v>2020</v>
      </c>
      <c r="H189" s="177">
        <v>10</v>
      </c>
      <c r="I189" s="177">
        <v>0</v>
      </c>
      <c r="J189" s="177" t="s">
        <v>78</v>
      </c>
      <c r="K189" s="177">
        <v>10</v>
      </c>
      <c r="L189" s="123">
        <f t="shared" ref="L189:L190" si="141">G189+K189</f>
        <v>2030</v>
      </c>
      <c r="M189" s="114">
        <f t="shared" ref="M189:M190" si="142">+L189+(H189/12)</f>
        <v>2030.8333333333333</v>
      </c>
      <c r="N189" s="13">
        <v>1276.8800000000001</v>
      </c>
      <c r="O189" s="13">
        <f t="shared" si="120"/>
        <v>1276.8800000000001</v>
      </c>
      <c r="P189" s="13">
        <f t="shared" si="121"/>
        <v>10.640666666666668</v>
      </c>
      <c r="Q189" s="13">
        <f t="shared" si="122"/>
        <v>127.68800000000002</v>
      </c>
      <c r="R189" s="13"/>
      <c r="S189" s="13">
        <f t="shared" ref="S189:S190" si="143">+IF(M189&lt;=$O$5,0,IF(L189&gt;$O$4,Q189,(P189*H189)))</f>
        <v>127.68800000000002</v>
      </c>
      <c r="T189" s="13">
        <f t="shared" ref="T189:T190" si="144">+IF(S189=0,N189,IF($O$3-G189&lt;1,0,(($O$3-G189)*Q189)))</f>
        <v>127.68800000000002</v>
      </c>
      <c r="U189" s="13">
        <f t="shared" ref="U189:U190" si="145">+IF(S189=0,T189,T189+S189)</f>
        <v>255.37600000000003</v>
      </c>
      <c r="V189" s="13"/>
      <c r="W189" s="13">
        <f t="shared" ref="W189:W190" si="146">+N189-U189</f>
        <v>1021.5040000000001</v>
      </c>
    </row>
    <row r="190" spans="1:23" s="177" customFormat="1">
      <c r="B190" s="177" t="s">
        <v>152</v>
      </c>
      <c r="C190" s="177">
        <v>4090</v>
      </c>
      <c r="D190" s="177" t="s">
        <v>1272</v>
      </c>
      <c r="E190" s="177">
        <v>232995</v>
      </c>
      <c r="F190" s="177">
        <v>232601</v>
      </c>
      <c r="G190" s="177">
        <v>2020</v>
      </c>
      <c r="H190" s="177">
        <v>5</v>
      </c>
      <c r="I190" s="177">
        <v>0</v>
      </c>
      <c r="J190" s="177" t="s">
        <v>78</v>
      </c>
      <c r="K190" s="177">
        <v>1</v>
      </c>
      <c r="L190" s="9">
        <f t="shared" si="141"/>
        <v>2021</v>
      </c>
      <c r="M190" s="114">
        <f t="shared" si="142"/>
        <v>2021.4166666666667</v>
      </c>
      <c r="N190" s="13">
        <v>1427.87</v>
      </c>
      <c r="O190" s="13">
        <f t="shared" si="120"/>
        <v>1427.87</v>
      </c>
      <c r="P190" s="13">
        <f t="shared" si="121"/>
        <v>118.98916666666666</v>
      </c>
      <c r="Q190" s="13">
        <f t="shared" si="122"/>
        <v>1427.87</v>
      </c>
      <c r="R190" s="13"/>
      <c r="S190" s="13">
        <f t="shared" si="143"/>
        <v>0</v>
      </c>
      <c r="T190" s="13">
        <f t="shared" si="144"/>
        <v>1427.87</v>
      </c>
      <c r="U190" s="13">
        <f t="shared" si="145"/>
        <v>1427.87</v>
      </c>
      <c r="V190" s="13"/>
      <c r="W190" s="13">
        <f t="shared" si="146"/>
        <v>0</v>
      </c>
    </row>
    <row r="191" spans="1:23" s="9" customForma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76"/>
      <c r="M191" s="145"/>
      <c r="N191" s="16"/>
      <c r="O191" s="16"/>
      <c r="P191" s="16"/>
      <c r="Q191" s="16"/>
      <c r="R191" s="16"/>
      <c r="S191" s="16"/>
      <c r="T191" s="16"/>
      <c r="U191" s="16"/>
      <c r="V191" s="16"/>
      <c r="W191" s="16"/>
    </row>
    <row r="192" spans="1:23" s="9" customFormat="1">
      <c r="L192" s="159" t="s">
        <v>172</v>
      </c>
      <c r="M192" s="114"/>
      <c r="N192" s="150">
        <f>SUM(N147:N191)</f>
        <v>4579380.2260694774</v>
      </c>
      <c r="O192" s="150">
        <f>SUM(O147:O191)</f>
        <v>4579380.2260694774</v>
      </c>
      <c r="P192" s="150">
        <f>SUM(P147:P191)</f>
        <v>40171.764801951613</v>
      </c>
      <c r="Q192" s="150">
        <f>SUM(Q147:Q191)</f>
        <v>482061.17762341915</v>
      </c>
      <c r="R192" s="150"/>
      <c r="S192" s="150">
        <f>SUM(S147:S191)</f>
        <v>434250.37099999993</v>
      </c>
      <c r="T192" s="150">
        <f>SUM(T147:T191)</f>
        <v>1089231.4460694774</v>
      </c>
      <c r="U192" s="150">
        <f>SUM(U147:U191)</f>
        <v>1523481.8170694774</v>
      </c>
      <c r="V192" s="150"/>
      <c r="W192" s="150">
        <f>SUM(W147:W191)</f>
        <v>3055898.409</v>
      </c>
    </row>
    <row r="193" spans="1:23" s="9" customFormat="1">
      <c r="M193" s="114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s="9" customFormat="1">
      <c r="B194" s="142" t="s">
        <v>173</v>
      </c>
      <c r="M194" s="114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s="9" customFormat="1">
      <c r="C195" s="9">
        <v>11085</v>
      </c>
      <c r="D195" s="9" t="s">
        <v>81</v>
      </c>
      <c r="G195" s="9">
        <v>2004</v>
      </c>
      <c r="H195" s="9">
        <v>12</v>
      </c>
      <c r="I195" s="9">
        <v>0</v>
      </c>
      <c r="J195" s="9" t="s">
        <v>78</v>
      </c>
      <c r="K195" s="9">
        <v>5</v>
      </c>
      <c r="L195" s="9">
        <f t="shared" ref="L195:L238" si="147">G195+K195</f>
        <v>2009</v>
      </c>
      <c r="M195" s="114">
        <f t="shared" ref="M195:M238" si="148">+L195+(H195/12)</f>
        <v>2010</v>
      </c>
      <c r="N195" s="13">
        <f>'2180 Trucks - Orig.'!O180</f>
        <v>37791.174666666673</v>
      </c>
      <c r="O195" s="13">
        <f t="shared" ref="O195:O238" si="149">N195-N195*I195</f>
        <v>37791.174666666673</v>
      </c>
      <c r="P195" s="13">
        <f t="shared" ref="P195:P238" si="150">O195/K195/12</f>
        <v>629.85291111111121</v>
      </c>
      <c r="Q195" s="13">
        <f t="shared" ref="Q195:Q238" si="151">P195*12</f>
        <v>7558.234933333335</v>
      </c>
      <c r="R195" s="13">
        <v>0</v>
      </c>
      <c r="S195" s="13">
        <f t="shared" ref="S195:S238" si="152">+IF(M195&lt;=$O$5,0,IF(L195&gt;$O$4,Q195,(P195*H195)))</f>
        <v>0</v>
      </c>
      <c r="T195" s="13">
        <f t="shared" ref="T195:T222" si="153">+IF(S195=0,N195,IF($O$3-G195&lt;1,0,(($O$3-G195)*Q195)))</f>
        <v>37791.174666666673</v>
      </c>
      <c r="U195" s="13">
        <f t="shared" ref="U195:U222" si="154">+IF(S195=0,T195,T195+S195)</f>
        <v>37791.174666666673</v>
      </c>
      <c r="V195" s="13">
        <v>0</v>
      </c>
      <c r="W195" s="13">
        <f t="shared" ref="W195:W222" si="155">+N195-U195</f>
        <v>0</v>
      </c>
    </row>
    <row r="196" spans="1:23" s="9" customFormat="1">
      <c r="A196" s="15"/>
      <c r="B196" s="15"/>
      <c r="C196" s="15"/>
      <c r="D196" s="15" t="s">
        <v>82</v>
      </c>
      <c r="E196" s="15"/>
      <c r="F196" s="15"/>
      <c r="G196" s="15">
        <v>2018</v>
      </c>
      <c r="H196" s="15">
        <v>12</v>
      </c>
      <c r="I196" s="15">
        <v>0</v>
      </c>
      <c r="J196" s="15" t="s">
        <v>78</v>
      </c>
      <c r="K196" s="15">
        <f>+IF(L195-$O$3&gt;=3,L195-$O$3,3)</f>
        <v>3</v>
      </c>
      <c r="L196" s="176">
        <f t="shared" si="147"/>
        <v>2021</v>
      </c>
      <c r="M196" s="145">
        <f t="shared" si="148"/>
        <v>2022</v>
      </c>
      <c r="N196" s="16">
        <f>'2180 Trucks - Orig.'!N180-'2180 Trucks'!N195</f>
        <v>9447.7936666666646</v>
      </c>
      <c r="O196" s="16">
        <f t="shared" si="149"/>
        <v>9447.7936666666646</v>
      </c>
      <c r="P196" s="16">
        <f t="shared" si="150"/>
        <v>262.43871296296294</v>
      </c>
      <c r="Q196" s="16">
        <f t="shared" si="151"/>
        <v>3149.2645555555555</v>
      </c>
      <c r="R196" s="16">
        <v>3149.2645555555555</v>
      </c>
      <c r="S196" s="16">
        <f t="shared" si="152"/>
        <v>0</v>
      </c>
      <c r="T196" s="16">
        <f t="shared" si="153"/>
        <v>9447.7936666666646</v>
      </c>
      <c r="U196" s="16">
        <f t="shared" si="154"/>
        <v>9447.7936666666646</v>
      </c>
      <c r="V196" s="16">
        <v>6298.5291111111092</v>
      </c>
      <c r="W196" s="16">
        <f t="shared" si="155"/>
        <v>0</v>
      </c>
    </row>
    <row r="197" spans="1:23" s="9" customFormat="1">
      <c r="D197" s="9" t="s">
        <v>87</v>
      </c>
      <c r="E197" s="9" t="s">
        <v>88</v>
      </c>
      <c r="G197" s="9">
        <v>2006</v>
      </c>
      <c r="H197" s="9">
        <v>12</v>
      </c>
      <c r="I197" s="9">
        <v>0</v>
      </c>
      <c r="J197" s="9" t="s">
        <v>78</v>
      </c>
      <c r="K197" s="9">
        <v>5</v>
      </c>
      <c r="L197" s="9">
        <f t="shared" si="147"/>
        <v>2011</v>
      </c>
      <c r="M197" s="114">
        <f t="shared" si="148"/>
        <v>2012</v>
      </c>
      <c r="N197" s="13">
        <f>(9918.49+20060.36+141742.3)*11/36</f>
        <v>52470.351388888885</v>
      </c>
      <c r="O197" s="13">
        <f t="shared" si="149"/>
        <v>52470.351388888885</v>
      </c>
      <c r="P197" s="13">
        <f t="shared" si="150"/>
        <v>874.50585648148137</v>
      </c>
      <c r="Q197" s="13">
        <f t="shared" si="151"/>
        <v>10494.070277777777</v>
      </c>
      <c r="R197" s="13">
        <v>0</v>
      </c>
      <c r="S197" s="13">
        <f t="shared" si="152"/>
        <v>0</v>
      </c>
      <c r="T197" s="13">
        <f t="shared" si="153"/>
        <v>52470.351388888885</v>
      </c>
      <c r="U197" s="13">
        <f t="shared" si="154"/>
        <v>52470.351388888885</v>
      </c>
      <c r="V197" s="13">
        <v>0</v>
      </c>
      <c r="W197" s="13">
        <f t="shared" si="155"/>
        <v>0</v>
      </c>
    </row>
    <row r="198" spans="1:23" s="9" customFormat="1">
      <c r="A198" s="9" t="s">
        <v>174</v>
      </c>
      <c r="B198" s="9" t="s">
        <v>76</v>
      </c>
      <c r="C198" s="9">
        <v>1053</v>
      </c>
      <c r="D198" s="9" t="s">
        <v>175</v>
      </c>
      <c r="G198" s="9">
        <v>2007</v>
      </c>
      <c r="H198" s="9">
        <v>5</v>
      </c>
      <c r="I198" s="9">
        <v>0.2</v>
      </c>
      <c r="J198" s="9" t="s">
        <v>78</v>
      </c>
      <c r="K198" s="9">
        <v>7</v>
      </c>
      <c r="L198" s="9">
        <f>G198+K198</f>
        <v>2014</v>
      </c>
      <c r="M198" s="114">
        <f>+L198+(H198/12)</f>
        <v>2014.4166666666667</v>
      </c>
      <c r="N198" s="13">
        <v>126959.69</v>
      </c>
      <c r="O198" s="13">
        <f>N198-N198*I198</f>
        <v>101567.75200000001</v>
      </c>
      <c r="P198" s="13">
        <f>O198/K198/12</f>
        <v>1209.139904761905</v>
      </c>
      <c r="Q198" s="13">
        <f>P198*12</f>
        <v>14509.678857142859</v>
      </c>
      <c r="R198" s="13">
        <v>0</v>
      </c>
      <c r="S198" s="13">
        <f>+IF(M198&lt;=$O$5,0,IF(L198&gt;$O$4,Q198,(P198*H198)))</f>
        <v>0</v>
      </c>
      <c r="T198" s="13">
        <f t="shared" si="153"/>
        <v>126959.69</v>
      </c>
      <c r="U198" s="13">
        <f t="shared" si="154"/>
        <v>126959.69</v>
      </c>
      <c r="V198" s="13">
        <v>0</v>
      </c>
      <c r="W198" s="13">
        <f t="shared" si="155"/>
        <v>0</v>
      </c>
    </row>
    <row r="199" spans="1:23" s="9" customFormat="1">
      <c r="A199" s="9" t="s">
        <v>174</v>
      </c>
      <c r="C199" s="9">
        <v>1053</v>
      </c>
      <c r="D199" s="9" t="s">
        <v>176</v>
      </c>
      <c r="E199" s="9">
        <v>116164</v>
      </c>
      <c r="F199" s="9">
        <v>90521</v>
      </c>
      <c r="G199" s="9">
        <v>2014</v>
      </c>
      <c r="H199" s="9">
        <v>9</v>
      </c>
      <c r="I199" s="9">
        <v>0</v>
      </c>
      <c r="J199" s="9" t="s">
        <v>78</v>
      </c>
      <c r="K199" s="9">
        <v>3</v>
      </c>
      <c r="L199" s="9">
        <f>G199+K199</f>
        <v>2017</v>
      </c>
      <c r="M199" s="114">
        <f>+L199+(H199/12)</f>
        <v>2017.75</v>
      </c>
      <c r="N199" s="13">
        <v>28134.68</v>
      </c>
      <c r="O199" s="13">
        <f>N199-N199*I199</f>
        <v>28134.68</v>
      </c>
      <c r="P199" s="13">
        <f>O199/K199/12</f>
        <v>781.51888888888891</v>
      </c>
      <c r="Q199" s="13">
        <f>P199*12</f>
        <v>9378.2266666666674</v>
      </c>
      <c r="R199" s="13">
        <v>0</v>
      </c>
      <c r="S199" s="13">
        <f>+IF(M199&lt;=$O$5,0,IF(L199&gt;$O$4,Q199,(P199*H199)))</f>
        <v>0</v>
      </c>
      <c r="T199" s="13">
        <f t="shared" si="153"/>
        <v>28134.68</v>
      </c>
      <c r="U199" s="13">
        <f t="shared" si="154"/>
        <v>28134.68</v>
      </c>
      <c r="V199" s="13">
        <v>0</v>
      </c>
      <c r="W199" s="13">
        <f t="shared" si="155"/>
        <v>0</v>
      </c>
    </row>
    <row r="200" spans="1:23" s="9" customFormat="1">
      <c r="A200" s="9" t="s">
        <v>177</v>
      </c>
      <c r="B200" s="9" t="s">
        <v>111</v>
      </c>
      <c r="C200" s="9">
        <v>3616</v>
      </c>
      <c r="D200" s="9" t="s">
        <v>180</v>
      </c>
      <c r="G200" s="9">
        <v>2007</v>
      </c>
      <c r="H200" s="9">
        <v>9</v>
      </c>
      <c r="I200" s="9">
        <v>0</v>
      </c>
      <c r="J200" s="9" t="s">
        <v>78</v>
      </c>
      <c r="K200" s="9">
        <v>7</v>
      </c>
      <c r="L200" s="9">
        <f t="shared" si="147"/>
        <v>2014</v>
      </c>
      <c r="M200" s="114">
        <f t="shared" si="148"/>
        <v>2014.75</v>
      </c>
      <c r="N200" s="13">
        <f>'2180 Trucks - Orig.'!O43</f>
        <v>155764.03200000001</v>
      </c>
      <c r="O200" s="13">
        <f t="shared" si="149"/>
        <v>155764.03200000001</v>
      </c>
      <c r="P200" s="13">
        <f t="shared" si="150"/>
        <v>1854.3337142857144</v>
      </c>
      <c r="Q200" s="13">
        <f t="shared" si="151"/>
        <v>22252.004571428573</v>
      </c>
      <c r="R200" s="13">
        <v>0</v>
      </c>
      <c r="S200" s="13">
        <f t="shared" si="152"/>
        <v>0</v>
      </c>
      <c r="T200" s="13">
        <f t="shared" si="153"/>
        <v>155764.03200000001</v>
      </c>
      <c r="U200" s="13">
        <f t="shared" si="154"/>
        <v>155764.03200000001</v>
      </c>
      <c r="V200" s="13">
        <v>0</v>
      </c>
      <c r="W200" s="13">
        <f t="shared" si="155"/>
        <v>0</v>
      </c>
    </row>
    <row r="201" spans="1:23" s="9" customFormat="1">
      <c r="A201" s="15"/>
      <c r="B201" s="15"/>
      <c r="C201" s="15"/>
      <c r="D201" s="15" t="s">
        <v>181</v>
      </c>
      <c r="E201" s="15"/>
      <c r="F201" s="15"/>
      <c r="G201" s="15">
        <v>2018</v>
      </c>
      <c r="H201" s="15">
        <v>12</v>
      </c>
      <c r="I201" s="15">
        <v>0</v>
      </c>
      <c r="J201" s="15" t="s">
        <v>78</v>
      </c>
      <c r="K201" s="15">
        <f>+IF(L200-$O$3&gt;=3,L200-$O$3,3)</f>
        <v>3</v>
      </c>
      <c r="L201" s="176">
        <f t="shared" si="147"/>
        <v>2021</v>
      </c>
      <c r="M201" s="145">
        <f t="shared" si="148"/>
        <v>2022</v>
      </c>
      <c r="N201" s="16">
        <f>'2180 Trucks - Orig.'!N43-'2180 Trucks'!N200</f>
        <v>38941.008000000002</v>
      </c>
      <c r="O201" s="16">
        <f t="shared" si="149"/>
        <v>38941.008000000002</v>
      </c>
      <c r="P201" s="16">
        <f t="shared" si="150"/>
        <v>1081.6946666666668</v>
      </c>
      <c r="Q201" s="16">
        <f t="shared" si="151"/>
        <v>12980.336000000001</v>
      </c>
      <c r="R201" s="16">
        <v>12980.336000000001</v>
      </c>
      <c r="S201" s="16">
        <f t="shared" si="152"/>
        <v>0</v>
      </c>
      <c r="T201" s="16">
        <f t="shared" si="153"/>
        <v>38941.008000000002</v>
      </c>
      <c r="U201" s="16">
        <f t="shared" si="154"/>
        <v>38941.008000000002</v>
      </c>
      <c r="V201" s="16">
        <v>25960.671999999999</v>
      </c>
      <c r="W201" s="16">
        <f t="shared" si="155"/>
        <v>0</v>
      </c>
    </row>
    <row r="202" spans="1:23" s="9" customFormat="1">
      <c r="A202" s="9" t="s">
        <v>177</v>
      </c>
      <c r="B202" s="9" t="s">
        <v>111</v>
      </c>
      <c r="C202" s="9">
        <v>3618</v>
      </c>
      <c r="D202" s="9" t="s">
        <v>180</v>
      </c>
      <c r="G202" s="9">
        <v>2007</v>
      </c>
      <c r="H202" s="9">
        <v>9</v>
      </c>
      <c r="I202" s="9">
        <v>0</v>
      </c>
      <c r="J202" s="9" t="s">
        <v>78</v>
      </c>
      <c r="K202" s="9">
        <v>7</v>
      </c>
      <c r="L202" s="9">
        <f t="shared" si="147"/>
        <v>2014</v>
      </c>
      <c r="M202" s="114">
        <f t="shared" si="148"/>
        <v>2014.75</v>
      </c>
      <c r="N202" s="13">
        <f>'2180 Trucks - Orig.'!O44</f>
        <v>155764.03200000001</v>
      </c>
      <c r="O202" s="13">
        <f t="shared" si="149"/>
        <v>155764.03200000001</v>
      </c>
      <c r="P202" s="13">
        <f t="shared" si="150"/>
        <v>1854.3337142857144</v>
      </c>
      <c r="Q202" s="13">
        <f t="shared" si="151"/>
        <v>22252.004571428573</v>
      </c>
      <c r="R202" s="13">
        <v>0</v>
      </c>
      <c r="S202" s="13">
        <f t="shared" si="152"/>
        <v>0</v>
      </c>
      <c r="T202" s="13">
        <f t="shared" si="153"/>
        <v>155764.03200000001</v>
      </c>
      <c r="U202" s="13">
        <f t="shared" si="154"/>
        <v>155764.03200000001</v>
      </c>
      <c r="V202" s="13">
        <v>0</v>
      </c>
      <c r="W202" s="13">
        <f t="shared" si="155"/>
        <v>0</v>
      </c>
    </row>
    <row r="203" spans="1:23" s="9" customFormat="1">
      <c r="A203" s="15"/>
      <c r="B203" s="15"/>
      <c r="C203" s="15"/>
      <c r="D203" s="15" t="s">
        <v>181</v>
      </c>
      <c r="E203" s="15"/>
      <c r="F203" s="15"/>
      <c r="G203" s="15">
        <v>2018</v>
      </c>
      <c r="H203" s="15">
        <v>12</v>
      </c>
      <c r="I203" s="15">
        <v>0</v>
      </c>
      <c r="J203" s="15" t="s">
        <v>78</v>
      </c>
      <c r="K203" s="15">
        <f>+IF(L202-$O$3&gt;=3,L202-$O$3,3)</f>
        <v>3</v>
      </c>
      <c r="L203" s="176">
        <f t="shared" si="147"/>
        <v>2021</v>
      </c>
      <c r="M203" s="145">
        <f t="shared" si="148"/>
        <v>2022</v>
      </c>
      <c r="N203" s="16">
        <f>'2180 Trucks - Orig.'!N44-'2180 Trucks'!N202</f>
        <v>38941.008000000002</v>
      </c>
      <c r="O203" s="16">
        <f t="shared" si="149"/>
        <v>38941.008000000002</v>
      </c>
      <c r="P203" s="16">
        <f t="shared" si="150"/>
        <v>1081.6946666666668</v>
      </c>
      <c r="Q203" s="16">
        <f t="shared" si="151"/>
        <v>12980.336000000001</v>
      </c>
      <c r="R203" s="16">
        <v>12980.336000000001</v>
      </c>
      <c r="S203" s="16">
        <f t="shared" si="152"/>
        <v>0</v>
      </c>
      <c r="T203" s="16">
        <f t="shared" si="153"/>
        <v>38941.008000000002</v>
      </c>
      <c r="U203" s="16">
        <f t="shared" si="154"/>
        <v>38941.008000000002</v>
      </c>
      <c r="V203" s="16">
        <v>25960.671999999999</v>
      </c>
      <c r="W203" s="16">
        <f t="shared" si="155"/>
        <v>0</v>
      </c>
    </row>
    <row r="204" spans="1:23" s="9" customFormat="1">
      <c r="A204" s="9" t="s">
        <v>177</v>
      </c>
      <c r="B204" s="9" t="s">
        <v>111</v>
      </c>
      <c r="C204" s="9">
        <v>3617</v>
      </c>
      <c r="D204" s="9" t="s">
        <v>180</v>
      </c>
      <c r="G204" s="9">
        <v>2007</v>
      </c>
      <c r="H204" s="9">
        <v>10</v>
      </c>
      <c r="I204" s="9">
        <v>0</v>
      </c>
      <c r="J204" s="9" t="s">
        <v>78</v>
      </c>
      <c r="K204" s="9">
        <v>7</v>
      </c>
      <c r="L204" s="9">
        <f t="shared" si="147"/>
        <v>2014</v>
      </c>
      <c r="M204" s="114">
        <f t="shared" si="148"/>
        <v>2014.8333333333333</v>
      </c>
      <c r="N204" s="13">
        <f>'2180 Trucks - Orig.'!O45</f>
        <v>155764.03200000001</v>
      </c>
      <c r="O204" s="13">
        <f t="shared" si="149"/>
        <v>155764.03200000001</v>
      </c>
      <c r="P204" s="13">
        <f t="shared" si="150"/>
        <v>1854.3337142857144</v>
      </c>
      <c r="Q204" s="13">
        <f t="shared" si="151"/>
        <v>22252.004571428573</v>
      </c>
      <c r="R204" s="13">
        <v>0</v>
      </c>
      <c r="S204" s="13">
        <f t="shared" si="152"/>
        <v>0</v>
      </c>
      <c r="T204" s="13">
        <f t="shared" si="153"/>
        <v>155764.03200000001</v>
      </c>
      <c r="U204" s="13">
        <f t="shared" si="154"/>
        <v>155764.03200000001</v>
      </c>
      <c r="V204" s="13">
        <v>0</v>
      </c>
      <c r="W204" s="13">
        <f t="shared" si="155"/>
        <v>0</v>
      </c>
    </row>
    <row r="205" spans="1:23" s="9" customFormat="1">
      <c r="A205" s="15"/>
      <c r="B205" s="15"/>
      <c r="C205" s="15"/>
      <c r="D205" s="15" t="s">
        <v>181</v>
      </c>
      <c r="E205" s="15"/>
      <c r="F205" s="15"/>
      <c r="G205" s="15">
        <v>2018</v>
      </c>
      <c r="H205" s="15">
        <v>12</v>
      </c>
      <c r="I205" s="15">
        <v>0</v>
      </c>
      <c r="J205" s="15" t="s">
        <v>78</v>
      </c>
      <c r="K205" s="15">
        <f>+IF(L204-$O$3&gt;=3,L204-$O$3,3)</f>
        <v>3</v>
      </c>
      <c r="L205" s="176">
        <f t="shared" si="147"/>
        <v>2021</v>
      </c>
      <c r="M205" s="145">
        <f t="shared" si="148"/>
        <v>2022</v>
      </c>
      <c r="N205" s="16">
        <f>'2180 Trucks - Orig.'!N45-'2180 Trucks'!N204</f>
        <v>38941.008000000002</v>
      </c>
      <c r="O205" s="16">
        <f t="shared" si="149"/>
        <v>38941.008000000002</v>
      </c>
      <c r="P205" s="16">
        <f t="shared" si="150"/>
        <v>1081.6946666666668</v>
      </c>
      <c r="Q205" s="16">
        <f t="shared" si="151"/>
        <v>12980.336000000001</v>
      </c>
      <c r="R205" s="16">
        <v>12980.336000000001</v>
      </c>
      <c r="S205" s="16">
        <f t="shared" si="152"/>
        <v>0</v>
      </c>
      <c r="T205" s="16">
        <f t="shared" si="153"/>
        <v>38941.008000000002</v>
      </c>
      <c r="U205" s="16">
        <f t="shared" si="154"/>
        <v>38941.008000000002</v>
      </c>
      <c r="V205" s="16">
        <v>25960.671999999999</v>
      </c>
      <c r="W205" s="16">
        <f t="shared" si="155"/>
        <v>0</v>
      </c>
    </row>
    <row r="206" spans="1:23" s="9" customFormat="1">
      <c r="A206" s="9" t="s">
        <v>177</v>
      </c>
      <c r="B206" s="9" t="s">
        <v>111</v>
      </c>
      <c r="C206" s="9">
        <v>3619</v>
      </c>
      <c r="D206" s="9" t="s">
        <v>180</v>
      </c>
      <c r="G206" s="9">
        <v>2007</v>
      </c>
      <c r="H206" s="9">
        <v>10</v>
      </c>
      <c r="I206" s="9">
        <v>0</v>
      </c>
      <c r="J206" s="9" t="s">
        <v>78</v>
      </c>
      <c r="K206" s="9">
        <v>7</v>
      </c>
      <c r="L206" s="9">
        <f t="shared" si="147"/>
        <v>2014</v>
      </c>
      <c r="M206" s="114">
        <f t="shared" si="148"/>
        <v>2014.8333333333333</v>
      </c>
      <c r="N206" s="13">
        <f>'2180 Trucks - Orig.'!O46</f>
        <v>155764.03200000001</v>
      </c>
      <c r="O206" s="13">
        <f t="shared" si="149"/>
        <v>155764.03200000001</v>
      </c>
      <c r="P206" s="13">
        <f t="shared" si="150"/>
        <v>1854.3337142857144</v>
      </c>
      <c r="Q206" s="13">
        <f t="shared" si="151"/>
        <v>22252.004571428573</v>
      </c>
      <c r="R206" s="13">
        <v>0</v>
      </c>
      <c r="S206" s="13">
        <f t="shared" si="152"/>
        <v>0</v>
      </c>
      <c r="T206" s="13">
        <f t="shared" si="153"/>
        <v>155764.03200000001</v>
      </c>
      <c r="U206" s="13">
        <f t="shared" si="154"/>
        <v>155764.03200000001</v>
      </c>
      <c r="V206" s="13">
        <v>0</v>
      </c>
      <c r="W206" s="13">
        <f t="shared" si="155"/>
        <v>0</v>
      </c>
    </row>
    <row r="207" spans="1:23" s="9" customFormat="1">
      <c r="A207" s="15"/>
      <c r="B207" s="15"/>
      <c r="C207" s="15"/>
      <c r="D207" s="15" t="s">
        <v>181</v>
      </c>
      <c r="E207" s="15"/>
      <c r="F207" s="15"/>
      <c r="G207" s="15">
        <v>2018</v>
      </c>
      <c r="H207" s="15">
        <v>12</v>
      </c>
      <c r="I207" s="15">
        <v>0</v>
      </c>
      <c r="J207" s="15" t="s">
        <v>78</v>
      </c>
      <c r="K207" s="15">
        <f>+IF(L206-$O$3&gt;=3,L206-$O$3,3)</f>
        <v>3</v>
      </c>
      <c r="L207" s="176">
        <f t="shared" si="147"/>
        <v>2021</v>
      </c>
      <c r="M207" s="145">
        <f t="shared" si="148"/>
        <v>2022</v>
      </c>
      <c r="N207" s="16">
        <f>'2180 Trucks - Orig.'!N46-'2180 Trucks'!N206</f>
        <v>38941.008000000002</v>
      </c>
      <c r="O207" s="16">
        <f t="shared" si="149"/>
        <v>38941.008000000002</v>
      </c>
      <c r="P207" s="16">
        <f t="shared" si="150"/>
        <v>1081.6946666666668</v>
      </c>
      <c r="Q207" s="16">
        <f t="shared" si="151"/>
        <v>12980.336000000001</v>
      </c>
      <c r="R207" s="16">
        <v>12980.336000000001</v>
      </c>
      <c r="S207" s="16">
        <f t="shared" si="152"/>
        <v>0</v>
      </c>
      <c r="T207" s="16">
        <f t="shared" si="153"/>
        <v>38941.008000000002</v>
      </c>
      <c r="U207" s="16">
        <f t="shared" si="154"/>
        <v>38941.008000000002</v>
      </c>
      <c r="V207" s="16">
        <v>25960.671999999999</v>
      </c>
      <c r="W207" s="16">
        <f t="shared" si="155"/>
        <v>0</v>
      </c>
    </row>
    <row r="208" spans="1:23" s="9" customFormat="1">
      <c r="A208" s="9" t="s">
        <v>177</v>
      </c>
      <c r="B208" s="9" t="s">
        <v>111</v>
      </c>
      <c r="C208" s="9">
        <v>3620</v>
      </c>
      <c r="D208" s="9" t="s">
        <v>180</v>
      </c>
      <c r="G208" s="9">
        <v>2007</v>
      </c>
      <c r="H208" s="9">
        <v>10</v>
      </c>
      <c r="I208" s="9">
        <v>0</v>
      </c>
      <c r="J208" s="9" t="s">
        <v>78</v>
      </c>
      <c r="K208" s="9">
        <v>7</v>
      </c>
      <c r="L208" s="9">
        <f t="shared" si="147"/>
        <v>2014</v>
      </c>
      <c r="M208" s="114">
        <f t="shared" si="148"/>
        <v>2014.8333333333333</v>
      </c>
      <c r="N208" s="13">
        <f>'2180 Trucks - Orig.'!O47</f>
        <v>155764.03200000001</v>
      </c>
      <c r="O208" s="13">
        <f t="shared" si="149"/>
        <v>155764.03200000001</v>
      </c>
      <c r="P208" s="13">
        <f t="shared" si="150"/>
        <v>1854.3337142857144</v>
      </c>
      <c r="Q208" s="13">
        <f t="shared" si="151"/>
        <v>22252.004571428573</v>
      </c>
      <c r="R208" s="13">
        <v>0</v>
      </c>
      <c r="S208" s="13">
        <f t="shared" si="152"/>
        <v>0</v>
      </c>
      <c r="T208" s="13">
        <f t="shared" si="153"/>
        <v>155764.03200000001</v>
      </c>
      <c r="U208" s="13">
        <f t="shared" si="154"/>
        <v>155764.03200000001</v>
      </c>
      <c r="V208" s="13">
        <v>0</v>
      </c>
      <c r="W208" s="13">
        <f t="shared" si="155"/>
        <v>0</v>
      </c>
    </row>
    <row r="209" spans="1:23" s="9" customFormat="1">
      <c r="A209" s="15"/>
      <c r="B209" s="15"/>
      <c r="C209" s="15"/>
      <c r="D209" s="15" t="s">
        <v>181</v>
      </c>
      <c r="E209" s="15"/>
      <c r="F209" s="15"/>
      <c r="G209" s="15">
        <v>2018</v>
      </c>
      <c r="H209" s="15">
        <v>12</v>
      </c>
      <c r="I209" s="15">
        <v>0</v>
      </c>
      <c r="J209" s="15" t="s">
        <v>78</v>
      </c>
      <c r="K209" s="15">
        <f>+IF(L208-$O$3&gt;=3,L208-$O$3,3)</f>
        <v>3</v>
      </c>
      <c r="L209" s="176">
        <f t="shared" si="147"/>
        <v>2021</v>
      </c>
      <c r="M209" s="145">
        <f t="shared" si="148"/>
        <v>2022</v>
      </c>
      <c r="N209" s="16">
        <f>'2180 Trucks - Orig.'!N47-'2180 Trucks'!N208</f>
        <v>38941.008000000002</v>
      </c>
      <c r="O209" s="16">
        <f t="shared" si="149"/>
        <v>38941.008000000002</v>
      </c>
      <c r="P209" s="16">
        <f t="shared" si="150"/>
        <v>1081.6946666666668</v>
      </c>
      <c r="Q209" s="16">
        <f t="shared" si="151"/>
        <v>12980.336000000001</v>
      </c>
      <c r="R209" s="16">
        <v>12980.336000000001</v>
      </c>
      <c r="S209" s="16">
        <f t="shared" si="152"/>
        <v>0</v>
      </c>
      <c r="T209" s="16">
        <f t="shared" si="153"/>
        <v>38941.008000000002</v>
      </c>
      <c r="U209" s="16">
        <f t="shared" si="154"/>
        <v>38941.008000000002</v>
      </c>
      <c r="V209" s="16">
        <v>25960.671999999999</v>
      </c>
      <c r="W209" s="16">
        <f t="shared" si="155"/>
        <v>0</v>
      </c>
    </row>
    <row r="210" spans="1:23" s="9" customFormat="1">
      <c r="A210" s="9" t="s">
        <v>177</v>
      </c>
      <c r="B210" s="9" t="s">
        <v>111</v>
      </c>
      <c r="C210" s="9">
        <v>3624</v>
      </c>
      <c r="D210" s="9" t="s">
        <v>182</v>
      </c>
      <c r="G210" s="9">
        <v>2008</v>
      </c>
      <c r="H210" s="9">
        <v>11</v>
      </c>
      <c r="I210" s="9">
        <v>0</v>
      </c>
      <c r="J210" s="9" t="s">
        <v>78</v>
      </c>
      <c r="K210" s="9">
        <v>7</v>
      </c>
      <c r="L210" s="9">
        <f t="shared" si="147"/>
        <v>2015</v>
      </c>
      <c r="M210" s="114">
        <f t="shared" si="148"/>
        <v>2015.9166666666667</v>
      </c>
      <c r="N210" s="13">
        <f>'2180 Trucks - Orig.'!O48</f>
        <v>177767.96000000002</v>
      </c>
      <c r="O210" s="13">
        <f t="shared" si="149"/>
        <v>177767.96000000002</v>
      </c>
      <c r="P210" s="13">
        <f t="shared" si="150"/>
        <v>2116.2852380952386</v>
      </c>
      <c r="Q210" s="13">
        <f t="shared" si="151"/>
        <v>25395.422857142861</v>
      </c>
      <c r="R210" s="13">
        <v>0</v>
      </c>
      <c r="S210" s="13">
        <f t="shared" si="152"/>
        <v>0</v>
      </c>
      <c r="T210" s="13">
        <f t="shared" si="153"/>
        <v>177767.96000000002</v>
      </c>
      <c r="U210" s="13">
        <f t="shared" si="154"/>
        <v>177767.96000000002</v>
      </c>
      <c r="V210" s="13">
        <v>0</v>
      </c>
      <c r="W210" s="13">
        <f t="shared" si="155"/>
        <v>0</v>
      </c>
    </row>
    <row r="211" spans="1:23" s="9" customFormat="1">
      <c r="A211" s="15"/>
      <c r="B211" s="15"/>
      <c r="C211" s="15"/>
      <c r="D211" s="15" t="s">
        <v>183</v>
      </c>
      <c r="E211" s="15"/>
      <c r="F211" s="15"/>
      <c r="G211" s="15">
        <v>2018</v>
      </c>
      <c r="H211" s="15">
        <v>12</v>
      </c>
      <c r="I211" s="15">
        <v>0</v>
      </c>
      <c r="J211" s="15" t="s">
        <v>78</v>
      </c>
      <c r="K211" s="15">
        <f>+IF(L210-$O$3&gt;=3,L210-$O$3,3)</f>
        <v>3</v>
      </c>
      <c r="L211" s="176">
        <f t="shared" si="147"/>
        <v>2021</v>
      </c>
      <c r="M211" s="145">
        <f t="shared" si="148"/>
        <v>2022</v>
      </c>
      <c r="N211" s="16">
        <f>'2180 Trucks - Orig.'!N48-'2180 Trucks'!N210</f>
        <v>44441.989999999991</v>
      </c>
      <c r="O211" s="16">
        <f t="shared" si="149"/>
        <v>44441.989999999991</v>
      </c>
      <c r="P211" s="16">
        <f t="shared" si="150"/>
        <v>1234.4997222222221</v>
      </c>
      <c r="Q211" s="16">
        <f t="shared" si="151"/>
        <v>14813.996666666666</v>
      </c>
      <c r="R211" s="16">
        <v>14813.996666666666</v>
      </c>
      <c r="S211" s="16">
        <f t="shared" si="152"/>
        <v>0</v>
      </c>
      <c r="T211" s="16">
        <f t="shared" si="153"/>
        <v>44441.989999999991</v>
      </c>
      <c r="U211" s="16">
        <f t="shared" si="154"/>
        <v>44441.989999999991</v>
      </c>
      <c r="V211" s="16">
        <v>29627.993333333325</v>
      </c>
      <c r="W211" s="16">
        <f t="shared" si="155"/>
        <v>0</v>
      </c>
    </row>
    <row r="212" spans="1:23" s="9" customFormat="1">
      <c r="A212" s="9" t="s">
        <v>177</v>
      </c>
      <c r="B212" s="9" t="s">
        <v>111</v>
      </c>
      <c r="C212" s="9">
        <v>3626</v>
      </c>
      <c r="D212" s="9" t="s">
        <v>184</v>
      </c>
      <c r="G212" s="9">
        <v>2008</v>
      </c>
      <c r="H212" s="9">
        <v>12</v>
      </c>
      <c r="I212" s="9">
        <v>0</v>
      </c>
      <c r="J212" s="9" t="s">
        <v>78</v>
      </c>
      <c r="K212" s="9">
        <v>7</v>
      </c>
      <c r="L212" s="9">
        <f t="shared" si="147"/>
        <v>2015</v>
      </c>
      <c r="M212" s="114">
        <f t="shared" si="148"/>
        <v>2016</v>
      </c>
      <c r="N212" s="13">
        <f>'2180 Trucks - Orig.'!O49</f>
        <v>80455.752000000008</v>
      </c>
      <c r="O212" s="13">
        <f t="shared" si="149"/>
        <v>80455.752000000008</v>
      </c>
      <c r="P212" s="13">
        <f t="shared" si="150"/>
        <v>957.8065714285716</v>
      </c>
      <c r="Q212" s="13">
        <f t="shared" si="151"/>
        <v>11493.678857142859</v>
      </c>
      <c r="R212" s="13">
        <v>0</v>
      </c>
      <c r="S212" s="13">
        <f t="shared" si="152"/>
        <v>0</v>
      </c>
      <c r="T212" s="13">
        <f t="shared" si="153"/>
        <v>80455.752000000008</v>
      </c>
      <c r="U212" s="13">
        <f t="shared" si="154"/>
        <v>80455.752000000008</v>
      </c>
      <c r="V212" s="13">
        <v>0</v>
      </c>
      <c r="W212" s="13">
        <f t="shared" si="155"/>
        <v>0</v>
      </c>
    </row>
    <row r="213" spans="1:23" s="9" customFormat="1">
      <c r="A213" s="15"/>
      <c r="B213" s="15"/>
      <c r="C213" s="15"/>
      <c r="D213" s="15" t="s">
        <v>185</v>
      </c>
      <c r="E213" s="15"/>
      <c r="F213" s="15"/>
      <c r="G213" s="15">
        <v>2018</v>
      </c>
      <c r="H213" s="15">
        <v>12</v>
      </c>
      <c r="I213" s="15">
        <v>0</v>
      </c>
      <c r="J213" s="15" t="s">
        <v>78</v>
      </c>
      <c r="K213" s="15">
        <f>+IF(L212-$O$3&gt;=3,L212-$O$3,3)</f>
        <v>3</v>
      </c>
      <c r="L213" s="176">
        <f t="shared" si="147"/>
        <v>2021</v>
      </c>
      <c r="M213" s="145">
        <f t="shared" si="148"/>
        <v>2022</v>
      </c>
      <c r="N213" s="16">
        <f>'2180 Trucks - Orig.'!N49-'2180 Trucks'!N212</f>
        <v>20113.937999999995</v>
      </c>
      <c r="O213" s="16">
        <f t="shared" si="149"/>
        <v>20113.937999999995</v>
      </c>
      <c r="P213" s="16">
        <f t="shared" si="150"/>
        <v>558.72049999999979</v>
      </c>
      <c r="Q213" s="16">
        <f t="shared" si="151"/>
        <v>6704.645999999997</v>
      </c>
      <c r="R213" s="16">
        <v>6704.645999999997</v>
      </c>
      <c r="S213" s="16">
        <f t="shared" si="152"/>
        <v>0</v>
      </c>
      <c r="T213" s="16">
        <f t="shared" si="153"/>
        <v>20113.937999999995</v>
      </c>
      <c r="U213" s="16">
        <f t="shared" si="154"/>
        <v>20113.937999999995</v>
      </c>
      <c r="V213" s="16">
        <v>13409.291999999998</v>
      </c>
      <c r="W213" s="16">
        <f t="shared" si="155"/>
        <v>0</v>
      </c>
    </row>
    <row r="214" spans="1:23" s="9" customFormat="1">
      <c r="A214" s="9" t="s">
        <v>174</v>
      </c>
      <c r="D214" s="9" t="s">
        <v>95</v>
      </c>
      <c r="E214" s="9" t="s">
        <v>96</v>
      </c>
      <c r="F214" s="9" t="s">
        <v>97</v>
      </c>
      <c r="G214" s="9">
        <v>2009</v>
      </c>
      <c r="H214" s="9">
        <v>7</v>
      </c>
      <c r="I214" s="9">
        <v>0</v>
      </c>
      <c r="J214" s="9" t="s">
        <v>78</v>
      </c>
      <c r="K214" s="9">
        <v>5</v>
      </c>
      <c r="L214" s="9">
        <f t="shared" si="147"/>
        <v>2014</v>
      </c>
      <c r="M214" s="114">
        <f t="shared" si="148"/>
        <v>2014.5833333333333</v>
      </c>
      <c r="N214" s="13">
        <f>(6722.48+38653.29+641.31+1194.22+14225.95)*12/61</f>
        <v>12086.016393442624</v>
      </c>
      <c r="O214" s="13">
        <f t="shared" si="149"/>
        <v>12086.016393442624</v>
      </c>
      <c r="P214" s="13">
        <f t="shared" si="150"/>
        <v>201.43360655737706</v>
      </c>
      <c r="Q214" s="13">
        <f t="shared" si="151"/>
        <v>2417.2032786885247</v>
      </c>
      <c r="R214" s="13">
        <v>0</v>
      </c>
      <c r="S214" s="13">
        <f t="shared" si="152"/>
        <v>0</v>
      </c>
      <c r="T214" s="13">
        <f t="shared" si="153"/>
        <v>12086.016393442624</v>
      </c>
      <c r="U214" s="13">
        <f t="shared" si="154"/>
        <v>12086.016393442624</v>
      </c>
      <c r="V214" s="13">
        <v>0</v>
      </c>
      <c r="W214" s="13">
        <f t="shared" si="155"/>
        <v>0</v>
      </c>
    </row>
    <row r="215" spans="1:23" s="9" customFormat="1">
      <c r="D215" s="9" t="s">
        <v>98</v>
      </c>
      <c r="E215" s="9" t="s">
        <v>99</v>
      </c>
      <c r="G215" s="9">
        <v>2009</v>
      </c>
      <c r="H215" s="9">
        <v>7</v>
      </c>
      <c r="I215" s="9">
        <v>0</v>
      </c>
      <c r="J215" s="9" t="s">
        <v>78</v>
      </c>
      <c r="K215" s="9">
        <v>5</v>
      </c>
      <c r="L215" s="9">
        <f t="shared" si="147"/>
        <v>2014</v>
      </c>
      <c r="M215" s="114">
        <f t="shared" si="148"/>
        <v>2014.5833333333333</v>
      </c>
      <c r="N215" s="13">
        <f>(34912.65+1078.65+10913.06)*11/46</f>
        <v>11216.26</v>
      </c>
      <c r="O215" s="13">
        <f t="shared" si="149"/>
        <v>11216.26</v>
      </c>
      <c r="P215" s="13">
        <f t="shared" si="150"/>
        <v>186.93766666666667</v>
      </c>
      <c r="Q215" s="13">
        <f t="shared" si="151"/>
        <v>2243.252</v>
      </c>
      <c r="R215" s="13">
        <v>0</v>
      </c>
      <c r="S215" s="13">
        <f t="shared" si="152"/>
        <v>0</v>
      </c>
      <c r="T215" s="13">
        <f t="shared" si="153"/>
        <v>11216.26</v>
      </c>
      <c r="U215" s="13">
        <f t="shared" si="154"/>
        <v>11216.26</v>
      </c>
      <c r="V215" s="13">
        <v>0</v>
      </c>
      <c r="W215" s="13">
        <f t="shared" si="155"/>
        <v>0</v>
      </c>
    </row>
    <row r="216" spans="1:23" s="9" customFormat="1">
      <c r="A216" s="9" t="s">
        <v>174</v>
      </c>
      <c r="D216" s="9" t="s">
        <v>100</v>
      </c>
      <c r="E216" s="9">
        <v>75160</v>
      </c>
      <c r="F216" s="9" t="s">
        <v>97</v>
      </c>
      <c r="G216" s="9">
        <v>2010</v>
      </c>
      <c r="H216" s="9">
        <v>6</v>
      </c>
      <c r="I216" s="9">
        <v>0</v>
      </c>
      <c r="J216" s="9" t="s">
        <v>78</v>
      </c>
      <c r="K216" s="9">
        <v>5</v>
      </c>
      <c r="L216" s="9">
        <f t="shared" si="147"/>
        <v>2015</v>
      </c>
      <c r="M216" s="114">
        <f t="shared" si="148"/>
        <v>2015.5</v>
      </c>
      <c r="N216" s="13">
        <f>16772.32*12/61</f>
        <v>3299.472786885246</v>
      </c>
      <c r="O216" s="13">
        <f t="shared" si="149"/>
        <v>3299.472786885246</v>
      </c>
      <c r="P216" s="13">
        <f t="shared" si="150"/>
        <v>54.991213114754096</v>
      </c>
      <c r="Q216" s="13">
        <f t="shared" si="151"/>
        <v>659.89455737704918</v>
      </c>
      <c r="R216" s="13">
        <v>0</v>
      </c>
      <c r="S216" s="13">
        <f t="shared" si="152"/>
        <v>0</v>
      </c>
      <c r="T216" s="13">
        <f t="shared" si="153"/>
        <v>3299.472786885246</v>
      </c>
      <c r="U216" s="13">
        <f t="shared" si="154"/>
        <v>3299.472786885246</v>
      </c>
      <c r="V216" s="13">
        <v>0</v>
      </c>
      <c r="W216" s="13">
        <f t="shared" si="155"/>
        <v>0</v>
      </c>
    </row>
    <row r="217" spans="1:23" s="9" customFormat="1">
      <c r="A217" s="9" t="s">
        <v>177</v>
      </c>
      <c r="B217" s="9" t="s">
        <v>111</v>
      </c>
      <c r="C217" s="9">
        <v>3630</v>
      </c>
      <c r="D217" s="9" t="s">
        <v>186</v>
      </c>
      <c r="E217" s="9" t="s">
        <v>187</v>
      </c>
      <c r="G217" s="9">
        <v>2010</v>
      </c>
      <c r="H217" s="9">
        <v>8</v>
      </c>
      <c r="I217" s="9">
        <v>0</v>
      </c>
      <c r="J217" s="9" t="s">
        <v>78</v>
      </c>
      <c r="K217" s="9">
        <v>7</v>
      </c>
      <c r="L217" s="9">
        <f t="shared" si="147"/>
        <v>2017</v>
      </c>
      <c r="M217" s="114">
        <f t="shared" si="148"/>
        <v>2017.6666666666667</v>
      </c>
      <c r="N217" s="13">
        <f>'2180 Trucks - Orig.'!O55</f>
        <v>223846.47999999998</v>
      </c>
      <c r="O217" s="13">
        <f t="shared" si="149"/>
        <v>223846.47999999998</v>
      </c>
      <c r="P217" s="13">
        <f t="shared" si="150"/>
        <v>2664.8390476190475</v>
      </c>
      <c r="Q217" s="13">
        <f t="shared" si="151"/>
        <v>31978.068571428572</v>
      </c>
      <c r="R217" s="13">
        <v>0</v>
      </c>
      <c r="S217" s="13">
        <f t="shared" si="152"/>
        <v>0</v>
      </c>
      <c r="T217" s="13">
        <f t="shared" si="153"/>
        <v>223846.47999999998</v>
      </c>
      <c r="U217" s="13">
        <f t="shared" si="154"/>
        <v>223846.47999999998</v>
      </c>
      <c r="V217" s="13">
        <v>0</v>
      </c>
      <c r="W217" s="13">
        <f t="shared" si="155"/>
        <v>0</v>
      </c>
    </row>
    <row r="218" spans="1:23" s="9" customFormat="1">
      <c r="A218" s="15"/>
      <c r="B218" s="15"/>
      <c r="C218" s="15"/>
      <c r="D218" s="15" t="s">
        <v>188</v>
      </c>
      <c r="E218" s="15"/>
      <c r="F218" s="15"/>
      <c r="G218" s="15">
        <v>2018</v>
      </c>
      <c r="H218" s="15">
        <v>12</v>
      </c>
      <c r="I218" s="15">
        <v>0</v>
      </c>
      <c r="J218" s="15" t="s">
        <v>78</v>
      </c>
      <c r="K218" s="15">
        <f>+IF(L217-$O$3&gt;=3,L217-$O$3,3)</f>
        <v>3</v>
      </c>
      <c r="L218" s="176">
        <f t="shared" si="147"/>
        <v>2021</v>
      </c>
      <c r="M218" s="145">
        <f t="shared" si="148"/>
        <v>2022</v>
      </c>
      <c r="N218" s="16">
        <f>'2180 Trucks - Orig.'!N55-'2180 Trucks'!N217</f>
        <v>55961.619999999995</v>
      </c>
      <c r="O218" s="16">
        <f t="shared" si="149"/>
        <v>55961.619999999995</v>
      </c>
      <c r="P218" s="16">
        <f t="shared" si="150"/>
        <v>1554.4894444444444</v>
      </c>
      <c r="Q218" s="16">
        <f t="shared" si="151"/>
        <v>18653.873333333333</v>
      </c>
      <c r="R218" s="16">
        <v>18653.873333333333</v>
      </c>
      <c r="S218" s="16">
        <f t="shared" si="152"/>
        <v>0</v>
      </c>
      <c r="T218" s="16">
        <f t="shared" si="153"/>
        <v>55961.619999999995</v>
      </c>
      <c r="U218" s="16">
        <f t="shared" si="154"/>
        <v>55961.619999999995</v>
      </c>
      <c r="V218" s="16">
        <v>37307.746666666659</v>
      </c>
      <c r="W218" s="16">
        <f t="shared" si="155"/>
        <v>0</v>
      </c>
    </row>
    <row r="219" spans="1:23" s="9" customFormat="1">
      <c r="A219" s="9" t="s">
        <v>177</v>
      </c>
      <c r="B219" s="9" t="s">
        <v>111</v>
      </c>
      <c r="C219" s="9">
        <v>3631</v>
      </c>
      <c r="D219" s="9" t="s">
        <v>189</v>
      </c>
      <c r="E219" s="9" t="s">
        <v>190</v>
      </c>
      <c r="G219" s="9">
        <v>2011</v>
      </c>
      <c r="H219" s="9">
        <v>8</v>
      </c>
      <c r="I219" s="9">
        <v>0</v>
      </c>
      <c r="J219" s="9" t="s">
        <v>78</v>
      </c>
      <c r="K219" s="9">
        <v>10</v>
      </c>
      <c r="L219" s="9">
        <f t="shared" si="147"/>
        <v>2021</v>
      </c>
      <c r="M219" s="114">
        <f t="shared" si="148"/>
        <v>2021.6666666666667</v>
      </c>
      <c r="N219" s="13">
        <v>296890</v>
      </c>
      <c r="O219" s="13">
        <f t="shared" si="149"/>
        <v>296890</v>
      </c>
      <c r="P219" s="13">
        <f t="shared" si="150"/>
        <v>2474.0833333333335</v>
      </c>
      <c r="Q219" s="13">
        <f t="shared" si="151"/>
        <v>29689</v>
      </c>
      <c r="R219" s="13">
        <v>0</v>
      </c>
      <c r="S219" s="13">
        <f t="shared" si="152"/>
        <v>0</v>
      </c>
      <c r="T219" s="13">
        <f t="shared" si="153"/>
        <v>296890</v>
      </c>
      <c r="U219" s="13">
        <f t="shared" si="154"/>
        <v>296890</v>
      </c>
      <c r="V219" s="13">
        <v>0</v>
      </c>
      <c r="W219" s="13">
        <f t="shared" si="155"/>
        <v>0</v>
      </c>
    </row>
    <row r="220" spans="1:23" s="9" customFormat="1">
      <c r="A220" s="15"/>
      <c r="B220" s="15"/>
      <c r="C220" s="15"/>
      <c r="D220" s="15" t="s">
        <v>191</v>
      </c>
      <c r="E220" s="15"/>
      <c r="F220" s="15"/>
      <c r="G220" s="15">
        <v>2018</v>
      </c>
      <c r="H220" s="15">
        <v>12</v>
      </c>
      <c r="I220" s="15">
        <v>0</v>
      </c>
      <c r="J220" s="15" t="s">
        <v>78</v>
      </c>
      <c r="K220" s="15">
        <f>+IF(L219-$O$3&gt;=3,L219-$O$3,3)</f>
        <v>3</v>
      </c>
      <c r="L220" s="176">
        <f t="shared" si="147"/>
        <v>2021</v>
      </c>
      <c r="M220" s="145">
        <f t="shared" si="148"/>
        <v>2022</v>
      </c>
      <c r="N220" s="16">
        <f>'2180 Trucks - Orig.'!N58-'2180 Trucks'!N219</f>
        <v>-0.44000000000232831</v>
      </c>
      <c r="O220" s="16">
        <f t="shared" si="149"/>
        <v>-0.44000000000232831</v>
      </c>
      <c r="P220" s="16">
        <f t="shared" si="150"/>
        <v>-1.2222222222286897E-2</v>
      </c>
      <c r="Q220" s="16">
        <f t="shared" si="151"/>
        <v>-0.14666666666744277</v>
      </c>
      <c r="R220" s="16">
        <v>19792.637333333336</v>
      </c>
      <c r="S220" s="16">
        <f t="shared" si="152"/>
        <v>0</v>
      </c>
      <c r="T220" s="16">
        <f t="shared" si="153"/>
        <v>-0.44000000000232831</v>
      </c>
      <c r="U220" s="16">
        <f t="shared" si="154"/>
        <v>-0.44000000000232831</v>
      </c>
      <c r="V220" s="16">
        <v>39585.274666666679</v>
      </c>
      <c r="W220" s="16">
        <f t="shared" si="155"/>
        <v>0</v>
      </c>
    </row>
    <row r="221" spans="1:23" s="9" customFormat="1">
      <c r="A221" s="9" t="s">
        <v>177</v>
      </c>
      <c r="C221" s="9">
        <v>3631</v>
      </c>
      <c r="D221" s="9" t="s">
        <v>192</v>
      </c>
      <c r="E221" s="9">
        <v>85654</v>
      </c>
      <c r="G221" s="9">
        <v>2011</v>
      </c>
      <c r="H221" s="9">
        <v>8</v>
      </c>
      <c r="I221" s="9">
        <v>0</v>
      </c>
      <c r="J221" s="9" t="s">
        <v>78</v>
      </c>
      <c r="K221" s="9">
        <v>5</v>
      </c>
      <c r="L221" s="9">
        <f t="shared" si="147"/>
        <v>2016</v>
      </c>
      <c r="M221" s="114">
        <f t="shared" si="148"/>
        <v>2016.6666666666667</v>
      </c>
      <c r="N221" s="13">
        <v>7261.89</v>
      </c>
      <c r="O221" s="13">
        <f t="shared" si="149"/>
        <v>7261.89</v>
      </c>
      <c r="P221" s="13">
        <f t="shared" si="150"/>
        <v>121.03150000000001</v>
      </c>
      <c r="Q221" s="13">
        <f t="shared" si="151"/>
        <v>1452.3780000000002</v>
      </c>
      <c r="R221" s="13">
        <v>0</v>
      </c>
      <c r="S221" s="13">
        <f t="shared" si="152"/>
        <v>0</v>
      </c>
      <c r="T221" s="13">
        <f t="shared" si="153"/>
        <v>7261.89</v>
      </c>
      <c r="U221" s="13">
        <f t="shared" si="154"/>
        <v>7261.89</v>
      </c>
      <c r="V221" s="13">
        <v>0</v>
      </c>
      <c r="W221" s="13">
        <f t="shared" si="155"/>
        <v>0</v>
      </c>
    </row>
    <row r="222" spans="1:23" s="9" customFormat="1">
      <c r="B222" s="9" t="s">
        <v>193</v>
      </c>
      <c r="C222" s="9">
        <v>3305</v>
      </c>
      <c r="D222" s="9" t="s">
        <v>194</v>
      </c>
      <c r="E222" s="9" t="s">
        <v>195</v>
      </c>
      <c r="G222" s="9">
        <v>2011</v>
      </c>
      <c r="H222" s="9">
        <v>11</v>
      </c>
      <c r="I222" s="9">
        <v>0</v>
      </c>
      <c r="J222" s="9" t="s">
        <v>78</v>
      </c>
      <c r="K222" s="9">
        <v>10</v>
      </c>
      <c r="L222" s="9">
        <f t="shared" si="147"/>
        <v>2021</v>
      </c>
      <c r="M222" s="114">
        <f t="shared" si="148"/>
        <v>2021.9166666666667</v>
      </c>
      <c r="N222" s="13">
        <f>117533.59+6989.73</f>
        <v>124523.31999999999</v>
      </c>
      <c r="O222" s="13">
        <f t="shared" si="149"/>
        <v>124523.31999999999</v>
      </c>
      <c r="P222" s="13">
        <f t="shared" si="150"/>
        <v>1037.6943333333331</v>
      </c>
      <c r="Q222" s="13">
        <f t="shared" si="151"/>
        <v>12452.331999999999</v>
      </c>
      <c r="R222" s="13">
        <v>0</v>
      </c>
      <c r="S222" s="13">
        <f t="shared" si="152"/>
        <v>0</v>
      </c>
      <c r="T222" s="13">
        <f t="shared" si="153"/>
        <v>124523.31999999999</v>
      </c>
      <c r="U222" s="13">
        <f t="shared" si="154"/>
        <v>124523.31999999999</v>
      </c>
      <c r="V222" s="13">
        <v>0</v>
      </c>
      <c r="W222" s="13">
        <f t="shared" si="155"/>
        <v>0</v>
      </c>
    </row>
    <row r="223" spans="1:23" s="9" customFormat="1">
      <c r="A223" s="9" t="s">
        <v>177</v>
      </c>
      <c r="B223" s="9" t="s">
        <v>111</v>
      </c>
      <c r="C223" s="9">
        <v>3634</v>
      </c>
      <c r="D223" s="9" t="s">
        <v>196</v>
      </c>
      <c r="E223" s="9" t="s">
        <v>197</v>
      </c>
      <c r="G223" s="9">
        <v>2012</v>
      </c>
      <c r="H223" s="9">
        <v>9</v>
      </c>
      <c r="I223" s="9">
        <v>0</v>
      </c>
      <c r="J223" s="9" t="s">
        <v>78</v>
      </c>
      <c r="K223" s="9">
        <v>10</v>
      </c>
      <c r="L223" s="9">
        <f t="shared" si="147"/>
        <v>2022</v>
      </c>
      <c r="M223" s="114">
        <f t="shared" si="148"/>
        <v>2022.75</v>
      </c>
      <c r="N223" s="13">
        <f>314012-63</f>
        <v>313949</v>
      </c>
      <c r="O223" s="13">
        <f t="shared" si="149"/>
        <v>313949</v>
      </c>
      <c r="P223" s="13">
        <f t="shared" si="150"/>
        <v>2616.2416666666668</v>
      </c>
      <c r="Q223" s="13">
        <f t="shared" si="151"/>
        <v>31394.9</v>
      </c>
      <c r="R223" s="13">
        <v>33637.392857142855</v>
      </c>
      <c r="S223" s="13">
        <f t="shared" si="152"/>
        <v>0</v>
      </c>
      <c r="T223" s="13">
        <f t="shared" ref="T223:T242" si="156">+IF(S223=0,N223,IF($O$3-G223&lt;1,0,(($O$3-G223)*Q223)))</f>
        <v>313949</v>
      </c>
      <c r="U223" s="13">
        <f t="shared" ref="U223:U242" si="157">+IF(S223=0,T223,T223+S223)</f>
        <v>313949</v>
      </c>
      <c r="V223" s="13">
        <v>11212.464285714319</v>
      </c>
      <c r="W223" s="13">
        <f t="shared" ref="W223:W242" si="158">+N223-U223</f>
        <v>0</v>
      </c>
    </row>
    <row r="224" spans="1:23" s="9" customFormat="1">
      <c r="C224" s="9">
        <v>3634</v>
      </c>
      <c r="D224" s="9" t="s">
        <v>198</v>
      </c>
      <c r="E224" s="9">
        <v>98468</v>
      </c>
      <c r="G224" s="9">
        <v>2012</v>
      </c>
      <c r="H224" s="9">
        <v>9</v>
      </c>
      <c r="I224" s="9">
        <v>0</v>
      </c>
      <c r="J224" s="9" t="s">
        <v>78</v>
      </c>
      <c r="K224" s="9">
        <v>10</v>
      </c>
      <c r="L224" s="9">
        <f t="shared" si="147"/>
        <v>2022</v>
      </c>
      <c r="M224" s="114">
        <f t="shared" si="148"/>
        <v>2022.75</v>
      </c>
      <c r="N224" s="13">
        <v>593</v>
      </c>
      <c r="O224" s="13">
        <f t="shared" si="149"/>
        <v>593</v>
      </c>
      <c r="P224" s="13">
        <f t="shared" si="150"/>
        <v>4.9416666666666664</v>
      </c>
      <c r="Q224" s="13">
        <f t="shared" si="151"/>
        <v>59.3</v>
      </c>
      <c r="R224" s="13">
        <v>59.3</v>
      </c>
      <c r="S224" s="13">
        <f t="shared" si="152"/>
        <v>0</v>
      </c>
      <c r="T224" s="13">
        <f t="shared" si="156"/>
        <v>593</v>
      </c>
      <c r="U224" s="13">
        <f t="shared" si="157"/>
        <v>593</v>
      </c>
      <c r="V224" s="13">
        <v>177.90000000000003</v>
      </c>
      <c r="W224" s="13">
        <f t="shared" si="158"/>
        <v>0</v>
      </c>
    </row>
    <row r="225" spans="1:23" s="9" customFormat="1">
      <c r="A225" s="9" t="s">
        <v>177</v>
      </c>
      <c r="B225" s="9" t="s">
        <v>111</v>
      </c>
      <c r="C225" s="9">
        <v>3638</v>
      </c>
      <c r="D225" s="9" t="s">
        <v>199</v>
      </c>
      <c r="E225" s="9">
        <v>115278</v>
      </c>
      <c r="G225" s="9">
        <v>2014</v>
      </c>
      <c r="H225" s="9">
        <v>8</v>
      </c>
      <c r="I225" s="9">
        <v>0</v>
      </c>
      <c r="J225" s="9" t="s">
        <v>78</v>
      </c>
      <c r="K225" s="9">
        <v>10</v>
      </c>
      <c r="L225" s="9">
        <f>G225+K225</f>
        <v>2024</v>
      </c>
      <c r="M225" s="114">
        <f>+L225+(H225/12)</f>
        <v>2024.6666666666667</v>
      </c>
      <c r="N225" s="13">
        <f>317973.28+913.92</f>
        <v>318887.2</v>
      </c>
      <c r="O225" s="13">
        <f>N225-N225*I225</f>
        <v>318887.2</v>
      </c>
      <c r="P225" s="13">
        <f>O225/K225/12</f>
        <v>2657.3933333333334</v>
      </c>
      <c r="Q225" s="13">
        <f>P225*12</f>
        <v>31888.720000000001</v>
      </c>
      <c r="R225" s="13">
        <v>31888.720000000001</v>
      </c>
      <c r="S225" s="13">
        <f>+IF(M225&lt;=$O$5,0,IF(L225&gt;$O$4,Q225,(P225*H225)))</f>
        <v>31888.720000000001</v>
      </c>
      <c r="T225" s="13">
        <f t="shared" si="156"/>
        <v>223221.04</v>
      </c>
      <c r="U225" s="13">
        <f t="shared" si="157"/>
        <v>255109.76000000001</v>
      </c>
      <c r="V225" s="13">
        <v>159443.6</v>
      </c>
      <c r="W225" s="13">
        <f t="shared" si="158"/>
        <v>63777.440000000002</v>
      </c>
    </row>
    <row r="226" spans="1:23" s="9" customFormat="1">
      <c r="B226" s="9" t="s">
        <v>111</v>
      </c>
      <c r="C226" s="9">
        <v>3635</v>
      </c>
      <c r="D226" s="9" t="s">
        <v>201</v>
      </c>
      <c r="E226" s="9" t="s">
        <v>202</v>
      </c>
      <c r="G226" s="9">
        <v>2013</v>
      </c>
      <c r="H226" s="9">
        <v>10</v>
      </c>
      <c r="I226" s="9">
        <v>0</v>
      </c>
      <c r="J226" s="9" t="s">
        <v>78</v>
      </c>
      <c r="K226" s="9">
        <v>10</v>
      </c>
      <c r="L226" s="9">
        <f>G226+K226</f>
        <v>2023</v>
      </c>
      <c r="M226" s="114">
        <f>+L226+(H226/12)</f>
        <v>2023.8333333333333</v>
      </c>
      <c r="N226" s="13">
        <f>319248.73+902.53</f>
        <v>320151.26</v>
      </c>
      <c r="O226" s="13">
        <f>N226-N226*I226</f>
        <v>320151.26</v>
      </c>
      <c r="P226" s="13">
        <f>O226/K226/12</f>
        <v>2667.9271666666668</v>
      </c>
      <c r="Q226" s="13">
        <f>P226*12</f>
        <v>32015.126000000004</v>
      </c>
      <c r="R226" s="13">
        <v>45735.89428571429</v>
      </c>
      <c r="S226" s="13">
        <f>+IF(M226&lt;=$O$5,0,IF(L226&gt;$O$4,Q226,(P226*H226)))</f>
        <v>32015.126000000004</v>
      </c>
      <c r="T226" s="13">
        <f>+IF(S226=0,N226,IF($O$3-G226&lt;1,0,(($O$3-G226)*Q226)))</f>
        <v>256121.00800000003</v>
      </c>
      <c r="U226" s="13">
        <f>+IF(S226=0,T226,T226+S226)</f>
        <v>288136.13400000002</v>
      </c>
      <c r="V226" s="13">
        <v>45735.894285714254</v>
      </c>
      <c r="W226" s="13">
        <f>+N226-U226</f>
        <v>32015.125999999989</v>
      </c>
    </row>
    <row r="227" spans="1:23" s="9" customFormat="1">
      <c r="C227" s="9">
        <v>3309</v>
      </c>
      <c r="D227" s="9" t="s">
        <v>203</v>
      </c>
      <c r="E227" s="9">
        <v>115086</v>
      </c>
      <c r="G227" s="9">
        <v>2014</v>
      </c>
      <c r="H227" s="9">
        <v>7</v>
      </c>
      <c r="I227" s="9">
        <v>0</v>
      </c>
      <c r="J227" s="9" t="s">
        <v>78</v>
      </c>
      <c r="K227" s="9">
        <v>6</v>
      </c>
      <c r="L227" s="9">
        <f t="shared" si="147"/>
        <v>2020</v>
      </c>
      <c r="M227" s="114">
        <f t="shared" si="148"/>
        <v>2020.5833333333333</v>
      </c>
      <c r="N227" s="13">
        <v>133477.48000000001</v>
      </c>
      <c r="O227" s="13">
        <f t="shared" si="149"/>
        <v>133477.48000000001</v>
      </c>
      <c r="P227" s="13">
        <f t="shared" si="150"/>
        <v>1853.8538888888891</v>
      </c>
      <c r="Q227" s="13">
        <f t="shared" si="151"/>
        <v>22246.24666666667</v>
      </c>
      <c r="R227" s="13">
        <v>22246.24666666667</v>
      </c>
      <c r="S227" s="13">
        <f t="shared" si="152"/>
        <v>0</v>
      </c>
      <c r="T227" s="13">
        <f t="shared" si="156"/>
        <v>133477.48000000001</v>
      </c>
      <c r="U227" s="13">
        <f t="shared" si="157"/>
        <v>133477.48000000001</v>
      </c>
      <c r="V227" s="13">
        <v>22246.246666666659</v>
      </c>
      <c r="W227" s="13">
        <f t="shared" si="158"/>
        <v>0</v>
      </c>
    </row>
    <row r="228" spans="1:23" s="9" customFormat="1">
      <c r="C228" s="9">
        <v>3637</v>
      </c>
      <c r="D228" s="9" t="s">
        <v>204</v>
      </c>
      <c r="E228" s="9">
        <v>117555</v>
      </c>
      <c r="G228" s="9">
        <v>2014</v>
      </c>
      <c r="H228" s="9">
        <v>10</v>
      </c>
      <c r="I228" s="9">
        <v>0</v>
      </c>
      <c r="J228" s="9" t="s">
        <v>78</v>
      </c>
      <c r="K228" s="9">
        <v>10</v>
      </c>
      <c r="L228" s="9">
        <f t="shared" si="147"/>
        <v>2024</v>
      </c>
      <c r="M228" s="114">
        <f t="shared" si="148"/>
        <v>2024.8333333333333</v>
      </c>
      <c r="N228" s="13">
        <v>16407.5</v>
      </c>
      <c r="O228" s="13">
        <f t="shared" si="149"/>
        <v>16407.5</v>
      </c>
      <c r="P228" s="13">
        <f t="shared" si="150"/>
        <v>136.72916666666666</v>
      </c>
      <c r="Q228" s="13">
        <f t="shared" si="151"/>
        <v>1640.75</v>
      </c>
      <c r="R228" s="13">
        <v>2734.583333333333</v>
      </c>
      <c r="S228" s="13"/>
      <c r="T228" s="13">
        <f t="shared" si="156"/>
        <v>16407.5</v>
      </c>
      <c r="U228" s="13">
        <f t="shared" si="157"/>
        <v>16407.5</v>
      </c>
      <c r="V228" s="13">
        <v>546.91666666666788</v>
      </c>
      <c r="W228" s="13"/>
    </row>
    <row r="229" spans="1:23" s="9" customFormat="1">
      <c r="A229" s="9" t="s">
        <v>177</v>
      </c>
      <c r="B229" s="9" t="s">
        <v>111</v>
      </c>
      <c r="C229" s="9">
        <v>3641</v>
      </c>
      <c r="D229" s="9" t="s">
        <v>199</v>
      </c>
      <c r="E229" s="9">
        <v>117319</v>
      </c>
      <c r="G229" s="9">
        <v>2014</v>
      </c>
      <c r="H229" s="9">
        <v>11</v>
      </c>
      <c r="I229" s="9">
        <v>0</v>
      </c>
      <c r="J229" s="9" t="s">
        <v>78</v>
      </c>
      <c r="K229" s="9">
        <v>10</v>
      </c>
      <c r="L229" s="9">
        <f t="shared" si="147"/>
        <v>2024</v>
      </c>
      <c r="M229" s="114">
        <f t="shared" si="148"/>
        <v>2024.9166666666667</v>
      </c>
      <c r="N229" s="13">
        <v>318890.2</v>
      </c>
      <c r="O229" s="13">
        <f t="shared" si="149"/>
        <v>318890.2</v>
      </c>
      <c r="P229" s="13">
        <f t="shared" si="150"/>
        <v>2657.4183333333335</v>
      </c>
      <c r="Q229" s="13">
        <f t="shared" si="151"/>
        <v>31889.020000000004</v>
      </c>
      <c r="R229" s="13">
        <v>31889.020000000004</v>
      </c>
      <c r="S229" s="13">
        <f t="shared" si="152"/>
        <v>31889.020000000004</v>
      </c>
      <c r="T229" s="13">
        <f t="shared" si="156"/>
        <v>223223.14</v>
      </c>
      <c r="U229" s="13">
        <f t="shared" si="157"/>
        <v>255112.16000000003</v>
      </c>
      <c r="V229" s="13">
        <v>159445.09999999998</v>
      </c>
      <c r="W229" s="13">
        <f t="shared" si="158"/>
        <v>63778.039999999979</v>
      </c>
    </row>
    <row r="230" spans="1:23" s="9" customFormat="1">
      <c r="B230" s="9" t="s">
        <v>111</v>
      </c>
      <c r="C230" s="9">
        <v>3643</v>
      </c>
      <c r="D230" s="9" t="s">
        <v>205</v>
      </c>
      <c r="E230" s="9" t="s">
        <v>206</v>
      </c>
      <c r="G230" s="9">
        <v>2015</v>
      </c>
      <c r="H230" s="9">
        <v>5</v>
      </c>
      <c r="I230" s="9">
        <v>0</v>
      </c>
      <c r="J230" s="9" t="s">
        <v>78</v>
      </c>
      <c r="K230" s="9">
        <v>10</v>
      </c>
      <c r="L230" s="9">
        <f t="shared" si="147"/>
        <v>2025</v>
      </c>
      <c r="M230" s="114">
        <f t="shared" si="148"/>
        <v>2025.4166666666667</v>
      </c>
      <c r="N230" s="13">
        <f>339958.46+5973.14</f>
        <v>345931.60000000003</v>
      </c>
      <c r="O230" s="13">
        <f t="shared" si="149"/>
        <v>345931.60000000003</v>
      </c>
      <c r="P230" s="13">
        <f t="shared" si="150"/>
        <v>2882.7633333333338</v>
      </c>
      <c r="Q230" s="13">
        <f t="shared" si="151"/>
        <v>34593.160000000003</v>
      </c>
      <c r="R230" s="13">
        <v>49418.8</v>
      </c>
      <c r="S230" s="13">
        <f t="shared" si="152"/>
        <v>34593.160000000003</v>
      </c>
      <c r="T230" s="13">
        <f t="shared" si="156"/>
        <v>207558.96000000002</v>
      </c>
      <c r="U230" s="13">
        <f t="shared" si="157"/>
        <v>242152.12000000002</v>
      </c>
      <c r="V230" s="13">
        <v>148256.40000000002</v>
      </c>
      <c r="W230" s="13">
        <f t="shared" si="158"/>
        <v>103779.48000000001</v>
      </c>
    </row>
    <row r="231" spans="1:23" s="9" customFormat="1">
      <c r="A231" s="9" t="s">
        <v>177</v>
      </c>
      <c r="C231" s="9">
        <v>3648</v>
      </c>
      <c r="D231" s="9" t="s">
        <v>107</v>
      </c>
      <c r="E231" s="9">
        <v>128669</v>
      </c>
      <c r="G231" s="9">
        <v>2015</v>
      </c>
      <c r="H231" s="9">
        <v>12</v>
      </c>
      <c r="I231" s="9">
        <v>0</v>
      </c>
      <c r="J231" s="9" t="s">
        <v>78</v>
      </c>
      <c r="K231" s="9">
        <v>9</v>
      </c>
      <c r="L231" s="9">
        <f t="shared" si="147"/>
        <v>2024</v>
      </c>
      <c r="M231" s="114">
        <f t="shared" si="148"/>
        <v>2025</v>
      </c>
      <c r="N231" s="13">
        <v>335912.58</v>
      </c>
      <c r="O231" s="13">
        <f t="shared" si="149"/>
        <v>335912.58</v>
      </c>
      <c r="P231" s="13">
        <f t="shared" si="150"/>
        <v>3110.3016666666667</v>
      </c>
      <c r="Q231" s="13">
        <f t="shared" si="151"/>
        <v>37323.620000000003</v>
      </c>
      <c r="R231" s="13">
        <v>37323.620000000003</v>
      </c>
      <c r="S231" s="13">
        <f t="shared" si="152"/>
        <v>37323.620000000003</v>
      </c>
      <c r="T231" s="13">
        <f t="shared" si="156"/>
        <v>223941.72000000003</v>
      </c>
      <c r="U231" s="13">
        <f t="shared" si="157"/>
        <v>261265.34000000003</v>
      </c>
      <c r="V231" s="13">
        <v>186618.1</v>
      </c>
      <c r="W231" s="13">
        <f t="shared" si="158"/>
        <v>74647.239999999991</v>
      </c>
    </row>
    <row r="232" spans="1:23" s="9" customFormat="1">
      <c r="C232" s="9">
        <v>3648</v>
      </c>
      <c r="D232" s="9" t="s">
        <v>108</v>
      </c>
      <c r="E232" s="9">
        <v>128929</v>
      </c>
      <c r="F232" s="9">
        <v>128669</v>
      </c>
      <c r="G232" s="9">
        <v>2015</v>
      </c>
      <c r="H232" s="9">
        <v>12</v>
      </c>
      <c r="I232" s="9">
        <v>0</v>
      </c>
      <c r="J232" s="9" t="s">
        <v>78</v>
      </c>
      <c r="K232" s="9">
        <v>10</v>
      </c>
      <c r="L232" s="9">
        <f t="shared" si="147"/>
        <v>2025</v>
      </c>
      <c r="M232" s="114">
        <f t="shared" si="148"/>
        <v>2026</v>
      </c>
      <c r="N232" s="13">
        <v>1607.35</v>
      </c>
      <c r="O232" s="13">
        <f t="shared" si="149"/>
        <v>1607.35</v>
      </c>
      <c r="P232" s="13">
        <f t="shared" si="150"/>
        <v>13.394583333333332</v>
      </c>
      <c r="Q232" s="13">
        <f t="shared" si="151"/>
        <v>160.73499999999999</v>
      </c>
      <c r="R232" s="13">
        <v>160.73499999999999</v>
      </c>
      <c r="S232" s="13">
        <f t="shared" si="152"/>
        <v>160.73499999999999</v>
      </c>
      <c r="T232" s="13">
        <f t="shared" si="156"/>
        <v>964.40999999999985</v>
      </c>
      <c r="U232" s="13">
        <f t="shared" si="157"/>
        <v>1125.1449999999998</v>
      </c>
      <c r="V232" s="13">
        <v>964.41</v>
      </c>
      <c r="W232" s="13">
        <f t="shared" si="158"/>
        <v>482.20500000000015</v>
      </c>
    </row>
    <row r="233" spans="1:23" s="9" customFormat="1">
      <c r="A233" s="9" t="s">
        <v>177</v>
      </c>
      <c r="C233" s="9">
        <v>3647</v>
      </c>
      <c r="D233" s="9" t="s">
        <v>107</v>
      </c>
      <c r="E233" s="9">
        <v>128670</v>
      </c>
      <c r="G233" s="9">
        <v>2015</v>
      </c>
      <c r="H233" s="9">
        <v>12</v>
      </c>
      <c r="I233" s="9">
        <v>0</v>
      </c>
      <c r="J233" s="9" t="s">
        <v>78</v>
      </c>
      <c r="K233" s="9">
        <v>10</v>
      </c>
      <c r="L233" s="9">
        <f t="shared" si="147"/>
        <v>2025</v>
      </c>
      <c r="M233" s="114">
        <f t="shared" si="148"/>
        <v>2026</v>
      </c>
      <c r="N233" s="13">
        <v>327882.52</v>
      </c>
      <c r="O233" s="13">
        <f t="shared" si="149"/>
        <v>327882.52</v>
      </c>
      <c r="P233" s="13">
        <f t="shared" si="150"/>
        <v>2732.3543333333332</v>
      </c>
      <c r="Q233" s="13">
        <f t="shared" si="151"/>
        <v>32788.252</v>
      </c>
      <c r="R233" s="13">
        <v>32788.252</v>
      </c>
      <c r="S233" s="13">
        <f t="shared" si="152"/>
        <v>32788.252</v>
      </c>
      <c r="T233" s="13">
        <f t="shared" si="156"/>
        <v>196729.51199999999</v>
      </c>
      <c r="U233" s="13">
        <f t="shared" si="157"/>
        <v>229517.764</v>
      </c>
      <c r="V233" s="13">
        <v>196729.51200000002</v>
      </c>
      <c r="W233" s="13">
        <f t="shared" si="158"/>
        <v>98364.756000000023</v>
      </c>
    </row>
    <row r="234" spans="1:23" s="9" customFormat="1">
      <c r="A234" s="9" t="s">
        <v>177</v>
      </c>
      <c r="B234" s="9" t="s">
        <v>111</v>
      </c>
      <c r="C234" s="9">
        <v>3661</v>
      </c>
      <c r="D234" s="9" t="s">
        <v>115</v>
      </c>
      <c r="E234" s="9">
        <v>189843</v>
      </c>
      <c r="G234" s="9">
        <v>2017</v>
      </c>
      <c r="H234" s="9">
        <v>11</v>
      </c>
      <c r="I234" s="9">
        <v>0</v>
      </c>
      <c r="J234" s="9" t="s">
        <v>78</v>
      </c>
      <c r="K234" s="9">
        <v>10</v>
      </c>
      <c r="L234" s="9">
        <f t="shared" si="147"/>
        <v>2027</v>
      </c>
      <c r="M234" s="114">
        <f t="shared" si="148"/>
        <v>2027.9166666666667</v>
      </c>
      <c r="N234" s="13">
        <v>336216.89</v>
      </c>
      <c r="O234" s="13">
        <f t="shared" si="149"/>
        <v>336216.89</v>
      </c>
      <c r="P234" s="13">
        <f t="shared" si="150"/>
        <v>2801.8074166666665</v>
      </c>
      <c r="Q234" s="13">
        <f t="shared" si="151"/>
        <v>33621.688999999998</v>
      </c>
      <c r="R234" s="13">
        <v>33621.688999999998</v>
      </c>
      <c r="S234" s="13">
        <f t="shared" si="152"/>
        <v>33621.688999999998</v>
      </c>
      <c r="T234" s="13">
        <f t="shared" si="156"/>
        <v>134486.75599999999</v>
      </c>
      <c r="U234" s="13">
        <f t="shared" si="157"/>
        <v>168108.44500000001</v>
      </c>
      <c r="V234" s="13">
        <v>268973.51199999999</v>
      </c>
      <c r="W234" s="13">
        <f t="shared" si="158"/>
        <v>168108.44500000001</v>
      </c>
    </row>
    <row r="235" spans="1:23" s="9" customFormat="1">
      <c r="B235" s="9" t="s">
        <v>207</v>
      </c>
      <c r="C235" s="9">
        <v>2045</v>
      </c>
      <c r="D235" s="9" t="s">
        <v>208</v>
      </c>
      <c r="E235" s="9">
        <v>133441</v>
      </c>
      <c r="G235" s="9">
        <v>2016</v>
      </c>
      <c r="H235" s="9">
        <v>6</v>
      </c>
      <c r="I235" s="9">
        <v>0</v>
      </c>
      <c r="J235" s="9" t="s">
        <v>78</v>
      </c>
      <c r="K235" s="9">
        <v>10</v>
      </c>
      <c r="L235" s="9">
        <f t="shared" si="147"/>
        <v>2026</v>
      </c>
      <c r="M235" s="114">
        <f t="shared" si="148"/>
        <v>2026.5</v>
      </c>
      <c r="N235" s="13">
        <v>315919.88</v>
      </c>
      <c r="O235" s="13">
        <f t="shared" si="149"/>
        <v>315919.88</v>
      </c>
      <c r="P235" s="13">
        <f t="shared" si="150"/>
        <v>2632.6656666666668</v>
      </c>
      <c r="Q235" s="13">
        <f t="shared" si="151"/>
        <v>31591.988000000001</v>
      </c>
      <c r="R235" s="13">
        <v>31591.988000000001</v>
      </c>
      <c r="S235" s="13">
        <f t="shared" si="152"/>
        <v>31591.988000000001</v>
      </c>
      <c r="T235" s="13">
        <f t="shared" si="156"/>
        <v>157959.94</v>
      </c>
      <c r="U235" s="13">
        <f t="shared" si="157"/>
        <v>189551.92800000001</v>
      </c>
      <c r="V235" s="13">
        <v>221143.916</v>
      </c>
      <c r="W235" s="13">
        <f t="shared" si="158"/>
        <v>126367.95199999999</v>
      </c>
    </row>
    <row r="236" spans="1:23" s="9" customFormat="1">
      <c r="B236" s="9" t="s">
        <v>207</v>
      </c>
      <c r="C236" s="9">
        <v>2045</v>
      </c>
      <c r="D236" s="9" t="s">
        <v>209</v>
      </c>
      <c r="E236" s="9">
        <v>166253</v>
      </c>
      <c r="F236" s="9">
        <v>133441</v>
      </c>
      <c r="G236" s="9">
        <v>2016</v>
      </c>
      <c r="H236" s="9">
        <v>6</v>
      </c>
      <c r="I236" s="9">
        <v>0</v>
      </c>
      <c r="J236" s="9" t="s">
        <v>78</v>
      </c>
      <c r="K236" s="9">
        <v>10</v>
      </c>
      <c r="L236" s="9">
        <f t="shared" si="147"/>
        <v>2026</v>
      </c>
      <c r="M236" s="114">
        <f t="shared" si="148"/>
        <v>2026.5</v>
      </c>
      <c r="N236" s="13">
        <v>6375.7</v>
      </c>
      <c r="O236" s="13">
        <f t="shared" si="149"/>
        <v>6375.7</v>
      </c>
      <c r="P236" s="13">
        <f t="shared" si="150"/>
        <v>53.130833333333328</v>
      </c>
      <c r="Q236" s="13">
        <f t="shared" si="151"/>
        <v>637.56999999999994</v>
      </c>
      <c r="R236" s="13">
        <v>637.56999999999994</v>
      </c>
      <c r="S236" s="13">
        <f t="shared" si="152"/>
        <v>637.56999999999994</v>
      </c>
      <c r="T236" s="13">
        <f t="shared" si="156"/>
        <v>3187.8499999999995</v>
      </c>
      <c r="U236" s="13">
        <f t="shared" si="157"/>
        <v>3825.4199999999992</v>
      </c>
      <c r="V236" s="13">
        <v>4462.99</v>
      </c>
      <c r="W236" s="13">
        <f t="shared" si="158"/>
        <v>2550.2800000000007</v>
      </c>
    </row>
    <row r="237" spans="1:23" s="9" customFormat="1">
      <c r="C237" s="9">
        <v>3538</v>
      </c>
      <c r="D237" s="9" t="s">
        <v>210</v>
      </c>
      <c r="E237" s="9">
        <v>129635</v>
      </c>
      <c r="F237" s="9">
        <v>66897</v>
      </c>
      <c r="G237" s="9">
        <v>2016</v>
      </c>
      <c r="H237" s="9">
        <v>1</v>
      </c>
      <c r="I237" s="9">
        <v>0</v>
      </c>
      <c r="J237" s="9" t="s">
        <v>78</v>
      </c>
      <c r="K237" s="9">
        <v>3</v>
      </c>
      <c r="L237" s="9">
        <f t="shared" si="147"/>
        <v>2019</v>
      </c>
      <c r="M237" s="114">
        <f t="shared" si="148"/>
        <v>2019.0833333333333</v>
      </c>
      <c r="N237" s="13">
        <v>15048.63</v>
      </c>
      <c r="O237" s="13">
        <f t="shared" si="149"/>
        <v>15048.63</v>
      </c>
      <c r="P237" s="13">
        <f t="shared" si="150"/>
        <v>418.01749999999998</v>
      </c>
      <c r="Q237" s="13">
        <f t="shared" si="151"/>
        <v>5016.21</v>
      </c>
      <c r="R237" s="13">
        <v>0</v>
      </c>
      <c r="S237" s="13">
        <f t="shared" si="152"/>
        <v>0</v>
      </c>
      <c r="T237" s="13">
        <f t="shared" si="156"/>
        <v>15048.63</v>
      </c>
      <c r="U237" s="13">
        <f t="shared" si="157"/>
        <v>15048.63</v>
      </c>
      <c r="V237" s="13">
        <v>0</v>
      </c>
      <c r="W237" s="13">
        <f t="shared" si="158"/>
        <v>0</v>
      </c>
    </row>
    <row r="238" spans="1:23" s="9" customFormat="1">
      <c r="D238" s="9" t="s">
        <v>211</v>
      </c>
      <c r="E238" s="9">
        <v>183284</v>
      </c>
      <c r="F238" s="9">
        <v>181935</v>
      </c>
      <c r="G238" s="9">
        <v>2017</v>
      </c>
      <c r="H238" s="9">
        <v>6</v>
      </c>
      <c r="I238" s="9">
        <v>0</v>
      </c>
      <c r="J238" s="9" t="s">
        <v>78</v>
      </c>
      <c r="K238" s="9">
        <v>10</v>
      </c>
      <c r="L238" s="9">
        <f t="shared" si="147"/>
        <v>2027</v>
      </c>
      <c r="M238" s="114">
        <f t="shared" si="148"/>
        <v>2027.5</v>
      </c>
      <c r="N238" s="13">
        <v>8346.19</v>
      </c>
      <c r="O238" s="13">
        <f t="shared" si="149"/>
        <v>8346.19</v>
      </c>
      <c r="P238" s="13">
        <f t="shared" si="150"/>
        <v>69.55158333333334</v>
      </c>
      <c r="Q238" s="13">
        <f t="shared" si="151"/>
        <v>834.61900000000014</v>
      </c>
      <c r="R238" s="13">
        <v>834.61900000000014</v>
      </c>
      <c r="S238" s="13">
        <f t="shared" si="152"/>
        <v>834.61900000000014</v>
      </c>
      <c r="T238" s="13">
        <f t="shared" si="156"/>
        <v>3338.4760000000006</v>
      </c>
      <c r="U238" s="13">
        <f t="shared" si="157"/>
        <v>4173.0950000000012</v>
      </c>
      <c r="V238" s="13">
        <v>6676.9520000000002</v>
      </c>
      <c r="W238" s="13">
        <f t="shared" si="158"/>
        <v>4173.0949999999993</v>
      </c>
    </row>
    <row r="239" spans="1:23" s="9" customFormat="1">
      <c r="B239" s="9" t="s">
        <v>111</v>
      </c>
      <c r="C239" s="9">
        <v>3650</v>
      </c>
      <c r="D239" s="9" t="s">
        <v>107</v>
      </c>
      <c r="E239" s="9">
        <v>132077</v>
      </c>
      <c r="G239" s="9">
        <v>2016</v>
      </c>
      <c r="H239" s="9">
        <v>4</v>
      </c>
      <c r="I239" s="9">
        <v>0</v>
      </c>
      <c r="J239" s="9" t="s">
        <v>78</v>
      </c>
      <c r="K239" s="9">
        <v>10</v>
      </c>
      <c r="L239" s="9">
        <f>G239+K239</f>
        <v>2026</v>
      </c>
      <c r="M239" s="114">
        <f>+L239+(H239/12)</f>
        <v>2026.3333333333333</v>
      </c>
      <c r="N239" s="13">
        <v>339573.74</v>
      </c>
      <c r="O239" s="13">
        <f>N239-N239*I239</f>
        <v>339573.74</v>
      </c>
      <c r="P239" s="13">
        <f>O239/K239/12</f>
        <v>2829.7811666666662</v>
      </c>
      <c r="Q239" s="13">
        <f>P239*12</f>
        <v>33957.373999999996</v>
      </c>
      <c r="R239" s="13">
        <v>33957.373999999996</v>
      </c>
      <c r="S239" s="13">
        <f>+IF(M239&lt;=$O$5,0,IF(L239&gt;$O$4,Q239,(P239*H239)))</f>
        <v>33957.373999999996</v>
      </c>
      <c r="T239" s="13">
        <f t="shared" si="156"/>
        <v>169786.87</v>
      </c>
      <c r="U239" s="13">
        <f t="shared" si="157"/>
        <v>203744.24400000001</v>
      </c>
      <c r="V239" s="13">
        <v>237701.61800000002</v>
      </c>
      <c r="W239" s="13">
        <f t="shared" si="158"/>
        <v>135829.49599999998</v>
      </c>
    </row>
    <row r="240" spans="1:23" s="9" customFormat="1">
      <c r="B240" s="9" t="s">
        <v>111</v>
      </c>
      <c r="C240" s="9">
        <v>3657</v>
      </c>
      <c r="D240" s="9" t="s">
        <v>212</v>
      </c>
      <c r="E240" s="9">
        <v>185370</v>
      </c>
      <c r="F240" s="9" t="s">
        <v>97</v>
      </c>
      <c r="G240" s="9">
        <v>2017</v>
      </c>
      <c r="H240" s="9">
        <v>7</v>
      </c>
      <c r="I240" s="9">
        <v>0</v>
      </c>
      <c r="J240" s="9" t="s">
        <v>78</v>
      </c>
      <c r="K240" s="9">
        <v>10</v>
      </c>
      <c r="L240" s="9">
        <f>G240+K240</f>
        <v>2027</v>
      </c>
      <c r="M240" s="114">
        <f>+L240+(H240/12)</f>
        <v>2027.5833333333333</v>
      </c>
      <c r="N240" s="13">
        <v>335381.96999999997</v>
      </c>
      <c r="O240" s="13">
        <f>N240-N240*I240</f>
        <v>335381.96999999997</v>
      </c>
      <c r="P240" s="13">
        <f>O240/K240/12</f>
        <v>2794.8497499999999</v>
      </c>
      <c r="Q240" s="13">
        <f>P240*12</f>
        <v>33538.197</v>
      </c>
      <c r="R240" s="13">
        <v>33538.197</v>
      </c>
      <c r="S240" s="13">
        <f>+IF(M240&lt;=$O$5,0,IF(L240&gt;$O$4,Q240,(P240*H240)))</f>
        <v>33538.197</v>
      </c>
      <c r="T240" s="13">
        <f t="shared" si="156"/>
        <v>134152.788</v>
      </c>
      <c r="U240" s="13">
        <f t="shared" si="157"/>
        <v>167690.98499999999</v>
      </c>
      <c r="V240" s="13">
        <v>268305.576</v>
      </c>
      <c r="W240" s="13">
        <f t="shared" si="158"/>
        <v>167690.98499999999</v>
      </c>
    </row>
    <row r="241" spans="1:23" s="9" customFormat="1">
      <c r="B241" s="9" t="s">
        <v>111</v>
      </c>
      <c r="C241" s="9">
        <v>3658</v>
      </c>
      <c r="D241" s="9" t="s">
        <v>115</v>
      </c>
      <c r="E241" s="9">
        <v>185371</v>
      </c>
      <c r="F241" s="9" t="s">
        <v>97</v>
      </c>
      <c r="G241" s="9">
        <v>2017</v>
      </c>
      <c r="H241" s="9">
        <v>7</v>
      </c>
      <c r="I241" s="9">
        <v>0</v>
      </c>
      <c r="J241" s="9" t="s">
        <v>78</v>
      </c>
      <c r="K241" s="9">
        <v>10</v>
      </c>
      <c r="L241" s="9">
        <f>G241+K241</f>
        <v>2027</v>
      </c>
      <c r="M241" s="114">
        <f>+L241+(H241/12)</f>
        <v>2027.5833333333333</v>
      </c>
      <c r="N241" s="13">
        <v>334566.83</v>
      </c>
      <c r="O241" s="13">
        <f>N241-N241*I241</f>
        <v>334566.83</v>
      </c>
      <c r="P241" s="13">
        <f>O241/K241/12</f>
        <v>2788.0569166666669</v>
      </c>
      <c r="Q241" s="13">
        <f>P241*12</f>
        <v>33456.683000000005</v>
      </c>
      <c r="R241" s="13">
        <v>33456.683000000005</v>
      </c>
      <c r="S241" s="13">
        <f>+IF(M241&lt;=$O$5,0,IF(L241&gt;$O$4,Q241,(P241*H241)))</f>
        <v>33456.683000000005</v>
      </c>
      <c r="T241" s="13">
        <f t="shared" si="156"/>
        <v>133826.73200000002</v>
      </c>
      <c r="U241" s="13">
        <f t="shared" si="157"/>
        <v>167283.41500000004</v>
      </c>
      <c r="V241" s="13">
        <v>267653.46400000004</v>
      </c>
      <c r="W241" s="13">
        <f t="shared" si="158"/>
        <v>167283.41499999998</v>
      </c>
    </row>
    <row r="242" spans="1:23" s="9" customFormat="1">
      <c r="B242" s="9" t="s">
        <v>111</v>
      </c>
      <c r="C242" s="9">
        <v>3660</v>
      </c>
      <c r="D242" s="9" t="s">
        <v>115</v>
      </c>
      <c r="E242" s="9" t="s">
        <v>213</v>
      </c>
      <c r="G242" s="9">
        <v>2017</v>
      </c>
      <c r="H242" s="9">
        <v>11</v>
      </c>
      <c r="I242" s="9">
        <v>0</v>
      </c>
      <c r="J242" s="9" t="s">
        <v>78</v>
      </c>
      <c r="K242" s="9">
        <v>10</v>
      </c>
      <c r="L242" s="9">
        <f>G242+K242</f>
        <v>2027</v>
      </c>
      <c r="M242" s="114">
        <f>+L242+(H242/12)</f>
        <v>2027.9166666666667</v>
      </c>
      <c r="N242" s="13">
        <v>336142.23</v>
      </c>
      <c r="O242" s="13">
        <f>N242-N242*I242</f>
        <v>336142.23</v>
      </c>
      <c r="P242" s="13">
        <f>O242/K242/12</f>
        <v>2801.18525</v>
      </c>
      <c r="Q242" s="13">
        <f>P242*12</f>
        <v>33614.222999999998</v>
      </c>
      <c r="R242" s="13">
        <v>33614.222999999998</v>
      </c>
      <c r="S242" s="13">
        <f>+IF(M242&lt;=$O$5,0,IF(L242&gt;$O$4,Q242,(P242*H242)))</f>
        <v>33614.222999999998</v>
      </c>
      <c r="T242" s="13">
        <f t="shared" si="156"/>
        <v>134456.89199999999</v>
      </c>
      <c r="U242" s="13">
        <f t="shared" si="157"/>
        <v>168071.11499999999</v>
      </c>
      <c r="V242" s="13">
        <v>268913.78399999999</v>
      </c>
      <c r="W242" s="13">
        <f t="shared" si="158"/>
        <v>168071.11499999999</v>
      </c>
    </row>
    <row r="243" spans="1:23" s="9" customFormat="1">
      <c r="A243" s="15"/>
      <c r="B243" s="15"/>
      <c r="C243" s="15"/>
      <c r="D243" s="15" t="s">
        <v>142</v>
      </c>
      <c r="E243" s="15"/>
      <c r="F243" s="15"/>
      <c r="G243" s="15"/>
      <c r="H243" s="15"/>
      <c r="I243" s="15"/>
      <c r="J243" s="15"/>
      <c r="K243" s="15"/>
      <c r="L243" s="176"/>
      <c r="M243" s="145"/>
      <c r="N243" s="16"/>
      <c r="O243" s="16"/>
      <c r="P243" s="16"/>
      <c r="Q243" s="16"/>
      <c r="R243" s="16">
        <v>12194.900000000003</v>
      </c>
      <c r="S243" s="16">
        <f>SUM(S503)</f>
        <v>0</v>
      </c>
      <c r="T243" s="16"/>
      <c r="U243" s="16"/>
      <c r="V243" s="16">
        <v>0</v>
      </c>
      <c r="W243" s="16">
        <v>0</v>
      </c>
    </row>
    <row r="244" spans="1:23" s="9" customFormat="1">
      <c r="M244" s="114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s="9" customFormat="1">
      <c r="M245" s="114"/>
      <c r="N245" s="13"/>
      <c r="O245" s="13"/>
      <c r="P245" s="13"/>
      <c r="Q245" s="13"/>
      <c r="R245" s="13"/>
      <c r="S245" s="13"/>
      <c r="T245" s="13">
        <f>+IF(S245=0,N245,IF($O$3-G245&lt;1,0,(($O$3-G245)*Q245)))</f>
        <v>0</v>
      </c>
      <c r="U245" s="13"/>
      <c r="V245" s="13"/>
      <c r="W245" s="13"/>
    </row>
    <row r="246" spans="1:23" s="9" customFormat="1">
      <c r="L246" s="159" t="s">
        <v>214</v>
      </c>
      <c r="M246" s="114"/>
      <c r="N246" s="150">
        <f>SUM(N195:N245)</f>
        <v>6747454.8989025503</v>
      </c>
      <c r="O246" s="150">
        <f>SUM(O195:O245)</f>
        <v>6722062.9609025512</v>
      </c>
      <c r="P246" s="150">
        <f>SUM(P195:P245)</f>
        <v>70122.763355783245</v>
      </c>
      <c r="Q246" s="150">
        <f>SUM(Q195:Q245)</f>
        <v>841473.16026939882</v>
      </c>
      <c r="R246" s="150"/>
      <c r="S246" s="150">
        <f>SUM(S195:S245)</f>
        <v>401910.97600000002</v>
      </c>
      <c r="T246" s="150">
        <f>SUM(T195:T245)</f>
        <v>4968624.8529025503</v>
      </c>
      <c r="U246" s="150">
        <f>SUM(U195:U245)</f>
        <v>5370535.828902551</v>
      </c>
      <c r="V246" s="150"/>
      <c r="W246" s="150">
        <f>SUM(W195:W245)</f>
        <v>1376919.07</v>
      </c>
    </row>
    <row r="247" spans="1:23" s="9" customFormat="1">
      <c r="M247" s="114"/>
      <c r="N247" s="13"/>
      <c r="O247" s="13"/>
      <c r="P247" s="13"/>
      <c r="Q247" s="13"/>
      <c r="R247" s="13"/>
      <c r="S247" s="13"/>
      <c r="T247" s="13">
        <f t="shared" ref="T247:T252" si="159">+IF(S247=0,N247,IF($O$3-G247&lt;1,0,(($O$3-G247)*Q247)))</f>
        <v>0</v>
      </c>
      <c r="U247" s="13"/>
      <c r="V247" s="13"/>
      <c r="W247" s="13"/>
    </row>
    <row r="248" spans="1:23" s="9" customFormat="1">
      <c r="B248" s="142" t="s">
        <v>215</v>
      </c>
      <c r="M248" s="114"/>
      <c r="N248" s="13"/>
      <c r="O248" s="13"/>
      <c r="P248" s="13"/>
      <c r="Q248" s="13"/>
      <c r="R248" s="13"/>
      <c r="S248" s="13"/>
      <c r="T248" s="13">
        <f t="shared" si="159"/>
        <v>0</v>
      </c>
      <c r="U248" s="13"/>
      <c r="V248" s="13"/>
      <c r="W248" s="13"/>
    </row>
    <row r="249" spans="1:23" s="9" customFormat="1">
      <c r="A249" s="9" t="s">
        <v>174</v>
      </c>
      <c r="B249" s="9" t="s">
        <v>111</v>
      </c>
      <c r="C249" s="9">
        <v>3659</v>
      </c>
      <c r="D249" s="9" t="s">
        <v>115</v>
      </c>
      <c r="E249" s="9" t="s">
        <v>216</v>
      </c>
      <c r="F249" s="9" t="s">
        <v>97</v>
      </c>
      <c r="G249" s="9">
        <v>2017</v>
      </c>
      <c r="H249" s="9">
        <v>7</v>
      </c>
      <c r="I249" s="9">
        <v>0</v>
      </c>
      <c r="J249" s="9" t="s">
        <v>78</v>
      </c>
      <c r="K249" s="9">
        <v>10</v>
      </c>
      <c r="L249" s="9">
        <f>G249+K249</f>
        <v>2027</v>
      </c>
      <c r="M249" s="114">
        <f>+L249+(H249/12)</f>
        <v>2027.5833333333333</v>
      </c>
      <c r="N249" s="13">
        <f>333655.94+703.67</f>
        <v>334359.61</v>
      </c>
      <c r="O249" s="13">
        <f>N249-N249*I249</f>
        <v>334359.61</v>
      </c>
      <c r="P249" s="13">
        <f>O249/K249/12</f>
        <v>2786.3300833333328</v>
      </c>
      <c r="Q249" s="13">
        <f>P249*12</f>
        <v>33435.960999999996</v>
      </c>
      <c r="R249" s="13">
        <v>33435.960999999996</v>
      </c>
      <c r="S249" s="13">
        <f>+IF(M249&lt;=$O$5,0,IF(L249&gt;$O$4,Q249,(P249*H249)))</f>
        <v>33435.960999999996</v>
      </c>
      <c r="T249" s="13">
        <f t="shared" si="159"/>
        <v>133743.84399999998</v>
      </c>
      <c r="U249" s="13">
        <f>+IF(S249=0,T249,T249+S249)</f>
        <v>167179.80499999999</v>
      </c>
      <c r="V249" s="13">
        <v>267487.68799999997</v>
      </c>
      <c r="W249" s="13">
        <f>+N249-U249</f>
        <v>167179.80499999999</v>
      </c>
    </row>
    <row r="250" spans="1:23" s="9" customFormat="1">
      <c r="B250" s="9" t="s">
        <v>111</v>
      </c>
      <c r="C250" s="9">
        <v>3659</v>
      </c>
      <c r="D250" s="9" t="s">
        <v>217</v>
      </c>
      <c r="E250" s="9">
        <v>185586</v>
      </c>
      <c r="F250" s="9">
        <v>185372</v>
      </c>
      <c r="G250" s="9">
        <v>2017</v>
      </c>
      <c r="H250" s="9">
        <v>7</v>
      </c>
      <c r="I250" s="9">
        <v>0</v>
      </c>
      <c r="J250" s="9" t="s">
        <v>78</v>
      </c>
      <c r="K250" s="9">
        <v>10</v>
      </c>
      <c r="L250" s="9">
        <f>G250+K250</f>
        <v>2027</v>
      </c>
      <c r="M250" s="114">
        <f>+L250+(H250/12)</f>
        <v>2027.5833333333333</v>
      </c>
      <c r="N250" s="13">
        <v>1069.3900000000001</v>
      </c>
      <c r="O250" s="13">
        <f>N250-N250*I250</f>
        <v>1069.3900000000001</v>
      </c>
      <c r="P250" s="13">
        <f>O250/K250/12</f>
        <v>8.9115833333333345</v>
      </c>
      <c r="Q250" s="13">
        <f>P250*12</f>
        <v>106.93900000000002</v>
      </c>
      <c r="R250" s="13">
        <v>106.93900000000002</v>
      </c>
      <c r="S250" s="13">
        <f>+IF(M250&lt;=$O$5,0,IF(L250&gt;$O$4,Q250,(P250*H250)))</f>
        <v>106.93900000000002</v>
      </c>
      <c r="T250" s="13">
        <f t="shared" si="159"/>
        <v>427.75600000000009</v>
      </c>
      <c r="U250" s="13">
        <f>+IF(S250=0,T250,T250+S250)</f>
        <v>534.69500000000016</v>
      </c>
      <c r="V250" s="13">
        <v>855.51200000000006</v>
      </c>
      <c r="W250" s="13">
        <f>+N250-U250</f>
        <v>534.69499999999994</v>
      </c>
    </row>
    <row r="251" spans="1:23" s="9" customFormat="1">
      <c r="B251" s="9" t="s">
        <v>117</v>
      </c>
      <c r="C251" s="9">
        <v>2041</v>
      </c>
      <c r="D251" s="9" t="s">
        <v>218</v>
      </c>
      <c r="E251" s="9" t="s">
        <v>219</v>
      </c>
      <c r="G251" s="9">
        <v>2013</v>
      </c>
      <c r="H251" s="9">
        <v>12</v>
      </c>
      <c r="I251" s="9">
        <v>0</v>
      </c>
      <c r="J251" s="9" t="s">
        <v>78</v>
      </c>
      <c r="K251" s="9">
        <v>10</v>
      </c>
      <c r="L251" s="9">
        <f>G251+K251</f>
        <v>2023</v>
      </c>
      <c r="M251" s="114">
        <f>+L251+(H251/12)</f>
        <v>2024</v>
      </c>
      <c r="N251" s="13">
        <f>295986.36+629.19+798</f>
        <v>297413.55</v>
      </c>
      <c r="O251" s="13">
        <f>N251-N251*I251</f>
        <v>297413.55</v>
      </c>
      <c r="P251" s="13">
        <f>O251/K251/12</f>
        <v>2478.44625</v>
      </c>
      <c r="Q251" s="13">
        <f>P251*12</f>
        <v>29741.355</v>
      </c>
      <c r="R251" s="13">
        <v>42487.65</v>
      </c>
      <c r="S251" s="13">
        <f>+IF(M251&lt;=$O$5,0,IF(L251&gt;$O$4,Q251,(P251*H251)))</f>
        <v>29741.355</v>
      </c>
      <c r="T251" s="13">
        <f t="shared" si="159"/>
        <v>237930.84</v>
      </c>
      <c r="U251" s="13">
        <f>+IF(S251=0,T251,T251+S251)</f>
        <v>267672.19500000001</v>
      </c>
      <c r="V251" s="13">
        <v>42487.649999999994</v>
      </c>
      <c r="W251" s="13">
        <f>+N251-U251</f>
        <v>29741.354999999981</v>
      </c>
    </row>
    <row r="252" spans="1:23" s="9" customFormat="1">
      <c r="M252" s="114"/>
      <c r="N252" s="13"/>
      <c r="O252" s="13"/>
      <c r="P252" s="13"/>
      <c r="Q252" s="13"/>
      <c r="R252" s="13"/>
      <c r="S252" s="13"/>
      <c r="T252" s="13">
        <f t="shared" si="159"/>
        <v>0</v>
      </c>
      <c r="U252" s="13"/>
      <c r="V252" s="13"/>
      <c r="W252" s="13"/>
    </row>
    <row r="253" spans="1:23" s="9" customFormat="1">
      <c r="L253" s="159" t="s">
        <v>1381</v>
      </c>
      <c r="M253" s="114"/>
      <c r="N253" s="150">
        <f>SUM(N249:N252)</f>
        <v>632842.55000000005</v>
      </c>
      <c r="O253" s="150">
        <f t="shared" ref="O253:W253" si="160">SUM(O249:O252)</f>
        <v>632842.55000000005</v>
      </c>
      <c r="P253" s="150">
        <f t="shared" si="160"/>
        <v>5273.6879166666658</v>
      </c>
      <c r="Q253" s="150">
        <f t="shared" si="160"/>
        <v>63284.25499999999</v>
      </c>
      <c r="R253" s="150"/>
      <c r="S253" s="150">
        <f t="shared" si="160"/>
        <v>63284.25499999999</v>
      </c>
      <c r="T253" s="150">
        <f t="shared" si="160"/>
        <v>372102.43999999994</v>
      </c>
      <c r="U253" s="150">
        <f t="shared" si="160"/>
        <v>435386.69500000001</v>
      </c>
      <c r="V253" s="150"/>
      <c r="W253" s="150">
        <f t="shared" si="160"/>
        <v>197455.85499999998</v>
      </c>
    </row>
    <row r="254" spans="1:23" s="9" customFormat="1">
      <c r="M254" s="114"/>
      <c r="N254" s="13"/>
      <c r="O254" s="13"/>
      <c r="P254" s="13"/>
      <c r="Q254" s="13"/>
      <c r="R254" s="13"/>
      <c r="S254" s="13"/>
      <c r="T254" s="13">
        <f t="shared" ref="T254:T263" si="161">+IF(S254=0,N254,IF($O$3-G254&lt;1,0,(($O$3-G254)*Q254)))</f>
        <v>0</v>
      </c>
      <c r="U254" s="13"/>
      <c r="V254" s="13"/>
      <c r="W254" s="13"/>
    </row>
    <row r="255" spans="1:23" s="9" customFormat="1">
      <c r="B255" s="142" t="s">
        <v>220</v>
      </c>
      <c r="M255" s="114"/>
      <c r="N255" s="13"/>
      <c r="O255" s="13"/>
      <c r="P255" s="13"/>
      <c r="Q255" s="13"/>
      <c r="R255" s="13"/>
      <c r="S255" s="13"/>
      <c r="T255" s="13">
        <f t="shared" si="161"/>
        <v>0</v>
      </c>
      <c r="U255" s="13"/>
      <c r="V255" s="13"/>
      <c r="W255" s="13"/>
    </row>
    <row r="256" spans="1:23" s="9" customFormat="1">
      <c r="C256" s="9">
        <v>11085</v>
      </c>
      <c r="D256" s="9" t="s">
        <v>81</v>
      </c>
      <c r="G256" s="9">
        <v>2004</v>
      </c>
      <c r="H256" s="9">
        <v>12</v>
      </c>
      <c r="I256" s="9">
        <v>0</v>
      </c>
      <c r="J256" s="9" t="s">
        <v>78</v>
      </c>
      <c r="K256" s="9">
        <v>7</v>
      </c>
      <c r="L256" s="9">
        <f t="shared" ref="L256:L263" si="162">G256+K256</f>
        <v>2011</v>
      </c>
      <c r="M256" s="114">
        <f t="shared" ref="M256:M261" si="163">+L256+(H256/12)</f>
        <v>2012</v>
      </c>
      <c r="N256" s="13">
        <f>'2180 Trucks - Orig.'!O205</f>
        <v>3435.5613333333336</v>
      </c>
      <c r="O256" s="13">
        <f t="shared" ref="O256:O261" si="164">N256-N256*I256</f>
        <v>3435.5613333333336</v>
      </c>
      <c r="P256" s="13">
        <f t="shared" ref="P256:P261" si="165">O256/K256/12</f>
        <v>40.89953968253969</v>
      </c>
      <c r="Q256" s="13">
        <f t="shared" ref="Q256:Q261" si="166">P256*12</f>
        <v>490.7944761904763</v>
      </c>
      <c r="R256" s="13">
        <v>0</v>
      </c>
      <c r="S256" s="13">
        <f t="shared" ref="S256:S261" si="167">+IF(M256&lt;=$O$5,0,IF(L256&gt;$O$4,Q256,(P256*H256)))</f>
        <v>0</v>
      </c>
      <c r="T256" s="13">
        <f t="shared" si="161"/>
        <v>3435.5613333333336</v>
      </c>
      <c r="U256" s="13">
        <f t="shared" ref="U256:U263" si="168">+IF(S256=0,T256,T256+S256)</f>
        <v>3435.5613333333336</v>
      </c>
      <c r="V256" s="13">
        <v>0</v>
      </c>
      <c r="W256" s="13">
        <f t="shared" ref="W256:W263" si="169">+N256-U256</f>
        <v>0</v>
      </c>
    </row>
    <row r="257" spans="1:23" s="9" customFormat="1">
      <c r="A257" s="15"/>
      <c r="B257" s="15"/>
      <c r="C257" s="15"/>
      <c r="D257" s="15" t="s">
        <v>82</v>
      </c>
      <c r="E257" s="15"/>
      <c r="F257" s="15"/>
      <c r="G257" s="15">
        <v>2018</v>
      </c>
      <c r="H257" s="15">
        <v>12</v>
      </c>
      <c r="I257" s="15">
        <v>0</v>
      </c>
      <c r="J257" s="15" t="s">
        <v>78</v>
      </c>
      <c r="K257" s="15">
        <f>+IF(L256-$O$3&gt;=3,L256-$O$3,3)</f>
        <v>3</v>
      </c>
      <c r="L257" s="176">
        <f t="shared" si="162"/>
        <v>2021</v>
      </c>
      <c r="M257" s="145">
        <f>+L257+(H257/12)</f>
        <v>2022</v>
      </c>
      <c r="N257" s="16">
        <f>'2180 Trucks - Orig.'!N205-'2180 Trucks'!N256</f>
        <v>858.89033333333327</v>
      </c>
      <c r="O257" s="16">
        <f>N257-N257*I257</f>
        <v>858.89033333333327</v>
      </c>
      <c r="P257" s="16">
        <f>O257/K257/12</f>
        <v>23.858064814814814</v>
      </c>
      <c r="Q257" s="16">
        <f>P257*12</f>
        <v>286.29677777777778</v>
      </c>
      <c r="R257" s="16">
        <v>286.29677777777778</v>
      </c>
      <c r="S257" s="16">
        <f t="shared" si="167"/>
        <v>0</v>
      </c>
      <c r="T257" s="16">
        <f t="shared" si="161"/>
        <v>858.89033333333327</v>
      </c>
      <c r="U257" s="16">
        <f t="shared" si="168"/>
        <v>858.89033333333327</v>
      </c>
      <c r="V257" s="16">
        <v>572.59355555555544</v>
      </c>
      <c r="W257" s="16">
        <f t="shared" si="169"/>
        <v>0</v>
      </c>
    </row>
    <row r="258" spans="1:23" s="9" customFormat="1">
      <c r="D258" s="9" t="s">
        <v>87</v>
      </c>
      <c r="E258" s="9" t="s">
        <v>88</v>
      </c>
      <c r="G258" s="9">
        <v>2006</v>
      </c>
      <c r="H258" s="9">
        <v>12</v>
      </c>
      <c r="I258" s="9">
        <v>0</v>
      </c>
      <c r="J258" s="9" t="s">
        <v>78</v>
      </c>
      <c r="K258" s="9">
        <v>5</v>
      </c>
      <c r="L258" s="9">
        <f t="shared" si="162"/>
        <v>2011</v>
      </c>
      <c r="M258" s="114">
        <f t="shared" si="163"/>
        <v>2012</v>
      </c>
      <c r="N258" s="13">
        <f>(9918.49+20060.36+141742.3)*1/36</f>
        <v>4770.031944444444</v>
      </c>
      <c r="O258" s="13">
        <f t="shared" si="164"/>
        <v>4770.031944444444</v>
      </c>
      <c r="P258" s="13">
        <f t="shared" si="165"/>
        <v>79.500532407407391</v>
      </c>
      <c r="Q258" s="13">
        <f t="shared" si="166"/>
        <v>954.00638888888875</v>
      </c>
      <c r="R258" s="13">
        <v>0</v>
      </c>
      <c r="S258" s="13">
        <f t="shared" si="167"/>
        <v>0</v>
      </c>
      <c r="T258" s="13">
        <f t="shared" si="161"/>
        <v>4770.031944444444</v>
      </c>
      <c r="U258" s="13">
        <f t="shared" si="168"/>
        <v>4770.031944444444</v>
      </c>
      <c r="V258" s="13">
        <v>0</v>
      </c>
      <c r="W258" s="13">
        <f t="shared" si="169"/>
        <v>0</v>
      </c>
    </row>
    <row r="259" spans="1:23" s="9" customFormat="1">
      <c r="D259" s="9" t="s">
        <v>95</v>
      </c>
      <c r="E259" s="9" t="s">
        <v>96</v>
      </c>
      <c r="F259" s="9" t="s">
        <v>97</v>
      </c>
      <c r="G259" s="9">
        <v>2009</v>
      </c>
      <c r="H259" s="9">
        <v>7</v>
      </c>
      <c r="I259" s="9">
        <v>0</v>
      </c>
      <c r="J259" s="9" t="s">
        <v>78</v>
      </c>
      <c r="K259" s="9">
        <v>5</v>
      </c>
      <c r="L259" s="9">
        <f t="shared" si="162"/>
        <v>2014</v>
      </c>
      <c r="M259" s="114">
        <f t="shared" si="163"/>
        <v>2014.5833333333333</v>
      </c>
      <c r="N259" s="13">
        <f>(6722.48+38653.29+641.31+1194.22+14225.95)*4/61</f>
        <v>4028.6721311475408</v>
      </c>
      <c r="O259" s="13">
        <f t="shared" si="164"/>
        <v>4028.6721311475408</v>
      </c>
      <c r="P259" s="13">
        <f t="shared" si="165"/>
        <v>67.144535519125682</v>
      </c>
      <c r="Q259" s="13">
        <f t="shared" si="166"/>
        <v>805.73442622950824</v>
      </c>
      <c r="R259" s="13">
        <v>0</v>
      </c>
      <c r="S259" s="13">
        <f t="shared" si="167"/>
        <v>0</v>
      </c>
      <c r="T259" s="13">
        <f t="shared" si="161"/>
        <v>4028.6721311475408</v>
      </c>
      <c r="U259" s="13">
        <f t="shared" si="168"/>
        <v>4028.6721311475408</v>
      </c>
      <c r="V259" s="13">
        <v>0</v>
      </c>
      <c r="W259" s="13">
        <f t="shared" si="169"/>
        <v>0</v>
      </c>
    </row>
    <row r="260" spans="1:23" s="9" customFormat="1">
      <c r="D260" s="9" t="s">
        <v>98</v>
      </c>
      <c r="E260" s="9" t="s">
        <v>99</v>
      </c>
      <c r="G260" s="9">
        <v>2009</v>
      </c>
      <c r="H260" s="9">
        <v>7</v>
      </c>
      <c r="I260" s="9">
        <v>0</v>
      </c>
      <c r="J260" s="9" t="s">
        <v>78</v>
      </c>
      <c r="K260" s="9">
        <v>5</v>
      </c>
      <c r="L260" s="9">
        <f t="shared" si="162"/>
        <v>2014</v>
      </c>
      <c r="M260" s="114">
        <f t="shared" si="163"/>
        <v>2014.5833333333333</v>
      </c>
      <c r="N260" s="13">
        <f>(34912.65+1078.65+10913.06)*1/46</f>
        <v>1019.66</v>
      </c>
      <c r="O260" s="13">
        <f t="shared" si="164"/>
        <v>1019.66</v>
      </c>
      <c r="P260" s="13">
        <f t="shared" si="165"/>
        <v>16.994333333333334</v>
      </c>
      <c r="Q260" s="13">
        <f t="shared" si="166"/>
        <v>203.93200000000002</v>
      </c>
      <c r="R260" s="13">
        <v>0</v>
      </c>
      <c r="S260" s="13">
        <f t="shared" si="167"/>
        <v>0</v>
      </c>
      <c r="T260" s="13">
        <f t="shared" si="161"/>
        <v>1019.66</v>
      </c>
      <c r="U260" s="13">
        <f t="shared" si="168"/>
        <v>1019.66</v>
      </c>
      <c r="V260" s="13">
        <v>0</v>
      </c>
      <c r="W260" s="13">
        <f t="shared" si="169"/>
        <v>0</v>
      </c>
    </row>
    <row r="261" spans="1:23" s="9" customFormat="1">
      <c r="D261" s="9" t="s">
        <v>100</v>
      </c>
      <c r="E261" s="9">
        <v>75160</v>
      </c>
      <c r="F261" s="9" t="s">
        <v>97</v>
      </c>
      <c r="G261" s="9">
        <v>2010</v>
      </c>
      <c r="H261" s="9">
        <v>6</v>
      </c>
      <c r="I261" s="9">
        <v>0</v>
      </c>
      <c r="J261" s="9" t="s">
        <v>78</v>
      </c>
      <c r="K261" s="9">
        <v>5</v>
      </c>
      <c r="L261" s="9">
        <f t="shared" si="162"/>
        <v>2015</v>
      </c>
      <c r="M261" s="114">
        <f t="shared" si="163"/>
        <v>2015.5</v>
      </c>
      <c r="N261" s="13">
        <f>16772.32*4/61</f>
        <v>1099.824262295082</v>
      </c>
      <c r="O261" s="13">
        <f t="shared" si="164"/>
        <v>1099.824262295082</v>
      </c>
      <c r="P261" s="13">
        <f t="shared" si="165"/>
        <v>18.330404371584702</v>
      </c>
      <c r="Q261" s="13">
        <f t="shared" si="166"/>
        <v>219.96485245901641</v>
      </c>
      <c r="R261" s="13">
        <v>0</v>
      </c>
      <c r="S261" s="13">
        <f t="shared" si="167"/>
        <v>0</v>
      </c>
      <c r="T261" s="13">
        <f t="shared" si="161"/>
        <v>1099.824262295082</v>
      </c>
      <c r="U261" s="13">
        <f t="shared" si="168"/>
        <v>1099.824262295082</v>
      </c>
      <c r="V261" s="13">
        <v>0</v>
      </c>
      <c r="W261" s="13">
        <f t="shared" si="169"/>
        <v>0</v>
      </c>
    </row>
    <row r="262" spans="1:23" s="9" customFormat="1">
      <c r="A262" s="9" t="s">
        <v>221</v>
      </c>
      <c r="B262" s="9" t="s">
        <v>111</v>
      </c>
      <c r="C262" s="9">
        <v>3633</v>
      </c>
      <c r="D262" s="9" t="s">
        <v>224</v>
      </c>
      <c r="E262" s="9" t="s">
        <v>225</v>
      </c>
      <c r="G262" s="9">
        <v>2012</v>
      </c>
      <c r="H262" s="9">
        <v>9</v>
      </c>
      <c r="I262" s="9">
        <v>0</v>
      </c>
      <c r="J262" s="9" t="s">
        <v>78</v>
      </c>
      <c r="K262" s="9">
        <v>10</v>
      </c>
      <c r="L262" s="9">
        <f t="shared" si="162"/>
        <v>2022</v>
      </c>
      <c r="M262" s="114">
        <f>+L262+(H262/12)</f>
        <v>2022.75</v>
      </c>
      <c r="N262" s="13">
        <f>314012-63</f>
        <v>313949</v>
      </c>
      <c r="O262" s="13">
        <f>N262-N262*I262</f>
        <v>313949</v>
      </c>
      <c r="P262" s="13">
        <f>O262/K262/12</f>
        <v>2616.2416666666668</v>
      </c>
      <c r="Q262" s="13">
        <f>P262*12</f>
        <v>31394.9</v>
      </c>
      <c r="R262" s="13">
        <v>33637.392857142855</v>
      </c>
      <c r="S262" s="13">
        <f>+IF(M262&lt;=$O$5,0,IF(L262&gt;$O$4,Q262,(P262*H262)))</f>
        <v>0</v>
      </c>
      <c r="T262" s="13">
        <f t="shared" si="161"/>
        <v>313949</v>
      </c>
      <c r="U262" s="13">
        <f t="shared" si="168"/>
        <v>313949</v>
      </c>
      <c r="V262" s="13">
        <v>11212.464285714319</v>
      </c>
      <c r="W262" s="13">
        <f t="shared" si="169"/>
        <v>0</v>
      </c>
    </row>
    <row r="263" spans="1:23" s="9" customFormat="1">
      <c r="B263" s="9" t="s">
        <v>111</v>
      </c>
      <c r="C263" s="9">
        <v>3651</v>
      </c>
      <c r="D263" s="9" t="s">
        <v>107</v>
      </c>
      <c r="E263" s="9">
        <v>132079</v>
      </c>
      <c r="G263" s="9">
        <v>2016</v>
      </c>
      <c r="H263" s="9">
        <v>4</v>
      </c>
      <c r="I263" s="9">
        <v>0</v>
      </c>
      <c r="J263" s="9" t="s">
        <v>78</v>
      </c>
      <c r="K263" s="9">
        <v>10</v>
      </c>
      <c r="L263" s="9">
        <f t="shared" si="162"/>
        <v>2026</v>
      </c>
      <c r="M263" s="114">
        <f>+L263+(H263/12)</f>
        <v>2026.3333333333333</v>
      </c>
      <c r="N263" s="13">
        <v>337626.52</v>
      </c>
      <c r="O263" s="13">
        <f>N263-N263*I263</f>
        <v>337626.52</v>
      </c>
      <c r="P263" s="13">
        <f>O263/K263/12</f>
        <v>2813.5543333333335</v>
      </c>
      <c r="Q263" s="13">
        <f>P263*12</f>
        <v>33762.652000000002</v>
      </c>
      <c r="R263" s="13">
        <v>33762.652000000002</v>
      </c>
      <c r="S263" s="13">
        <f>+IF(M263&lt;=$O$5,0,IF(L263&gt;$O$4,Q263,(P263*H263)))</f>
        <v>33762.652000000002</v>
      </c>
      <c r="T263" s="13">
        <f t="shared" si="161"/>
        <v>168813.26</v>
      </c>
      <c r="U263" s="13">
        <f t="shared" si="168"/>
        <v>202575.91200000001</v>
      </c>
      <c r="V263" s="13">
        <v>236338.56400000001</v>
      </c>
      <c r="W263" s="13">
        <f t="shared" si="169"/>
        <v>135050.60800000001</v>
      </c>
    </row>
    <row r="264" spans="1:23" s="9" customFormat="1">
      <c r="A264" s="15"/>
      <c r="B264" s="15"/>
      <c r="C264" s="15"/>
      <c r="D264" s="15" t="s">
        <v>142</v>
      </c>
      <c r="E264" s="15"/>
      <c r="F264" s="15"/>
      <c r="G264" s="15"/>
      <c r="H264" s="15"/>
      <c r="I264" s="15"/>
      <c r="J264" s="15"/>
      <c r="K264" s="15"/>
      <c r="L264" s="176"/>
      <c r="M264" s="145"/>
      <c r="N264" s="16"/>
      <c r="O264" s="16"/>
      <c r="P264" s="16"/>
      <c r="Q264" s="16"/>
      <c r="R264" s="16">
        <v>23569.484666666664</v>
      </c>
      <c r="S264" s="16">
        <f>S495+S497</f>
        <v>0</v>
      </c>
      <c r="T264" s="16"/>
      <c r="U264" s="16"/>
      <c r="V264" s="16">
        <v>0</v>
      </c>
      <c r="W264" s="16">
        <v>0</v>
      </c>
    </row>
    <row r="265" spans="1:23" s="9" customFormat="1">
      <c r="M265" s="114"/>
      <c r="N265" s="13"/>
      <c r="O265" s="13"/>
      <c r="P265" s="13"/>
      <c r="Q265" s="13"/>
      <c r="R265" s="13"/>
      <c r="S265" s="13"/>
      <c r="T265" s="13">
        <f>+IF(S265=0,N265,IF($O$3-G265&lt;1,0,(($O$3-G265)*Q265)))</f>
        <v>0</v>
      </c>
      <c r="U265" s="13"/>
      <c r="V265" s="13"/>
      <c r="W265" s="13"/>
    </row>
    <row r="266" spans="1:23" s="9" customFormat="1">
      <c r="L266" s="159" t="s">
        <v>226</v>
      </c>
      <c r="M266" s="114"/>
      <c r="N266" s="150">
        <f>SUM(N256:N265)</f>
        <v>666788.16000455373</v>
      </c>
      <c r="O266" s="150">
        <f>SUM(O256:O265)</f>
        <v>666788.16000455373</v>
      </c>
      <c r="P266" s="150">
        <f>SUM(P256:P265)</f>
        <v>5676.5234101288061</v>
      </c>
      <c r="Q266" s="150">
        <f>SUM(Q256:Q265)</f>
        <v>68118.280921545665</v>
      </c>
      <c r="R266" s="150"/>
      <c r="S266" s="150">
        <f>SUM(S256:S265)</f>
        <v>33762.652000000002</v>
      </c>
      <c r="T266" s="150">
        <f>SUM(T256:T265)</f>
        <v>497974.90000455373</v>
      </c>
      <c r="U266" s="150">
        <f>SUM(U256:U265)</f>
        <v>531737.55200455373</v>
      </c>
      <c r="V266" s="150"/>
      <c r="W266" s="150">
        <f>SUM(W256:W265)</f>
        <v>135050.60800000001</v>
      </c>
    </row>
    <row r="267" spans="1:23" s="9" customFormat="1">
      <c r="M267" s="114"/>
      <c r="N267" s="13"/>
      <c r="O267" s="13"/>
      <c r="P267" s="13"/>
      <c r="Q267" s="13"/>
      <c r="R267" s="13"/>
      <c r="S267" s="13"/>
      <c r="T267" s="13">
        <f t="shared" ref="T267:T280" si="170">+IF(S267=0,N267,IF($O$3-G267&lt;1,0,(($O$3-G267)*Q267)))</f>
        <v>0</v>
      </c>
      <c r="U267" s="13"/>
      <c r="V267" s="13"/>
      <c r="W267" s="13"/>
    </row>
    <row r="268" spans="1:23" s="9" customFormat="1">
      <c r="B268" s="142" t="s">
        <v>227</v>
      </c>
      <c r="M268" s="114"/>
      <c r="N268" s="13"/>
      <c r="O268" s="13"/>
      <c r="P268" s="13"/>
      <c r="Q268" s="13"/>
      <c r="R268" s="13"/>
      <c r="S268" s="13"/>
      <c r="T268" s="13">
        <f t="shared" si="170"/>
        <v>0</v>
      </c>
      <c r="U268" s="13"/>
      <c r="V268" s="13"/>
      <c r="W268" s="13"/>
    </row>
    <row r="269" spans="1:23" s="9" customFormat="1">
      <c r="A269" s="9" t="s">
        <v>75</v>
      </c>
      <c r="B269" s="9" t="s">
        <v>76</v>
      </c>
      <c r="C269" s="9">
        <v>1065</v>
      </c>
      <c r="D269" s="9" t="s">
        <v>91</v>
      </c>
      <c r="G269" s="9">
        <v>2007</v>
      </c>
      <c r="H269" s="9">
        <v>5</v>
      </c>
      <c r="I269" s="9">
        <v>0</v>
      </c>
      <c r="J269" s="9" t="s">
        <v>78</v>
      </c>
      <c r="K269" s="9">
        <v>7</v>
      </c>
      <c r="L269" s="9">
        <f t="shared" ref="L269:L275" si="171">G269+K269</f>
        <v>2014</v>
      </c>
      <c r="M269" s="114">
        <f t="shared" ref="M269:M275" si="172">+L269+(H269/12)</f>
        <v>2014.4166666666667</v>
      </c>
      <c r="N269" s="13">
        <f>'2180 Trucks - Orig.'!O37</f>
        <v>101874.976</v>
      </c>
      <c r="O269" s="13">
        <f t="shared" ref="O269:O275" si="173">N269-N269*I269</f>
        <v>101874.976</v>
      </c>
      <c r="P269" s="13">
        <f t="shared" ref="P269:P275" si="174">O269/K269/12</f>
        <v>1212.7973333333332</v>
      </c>
      <c r="Q269" s="13">
        <f t="shared" ref="Q269:Q275" si="175">P269*12</f>
        <v>14553.567999999999</v>
      </c>
      <c r="R269" s="13">
        <v>0</v>
      </c>
      <c r="S269" s="13">
        <f t="shared" ref="S269:S275" si="176">+IF(M269&lt;=$O$5,0,IF(L269&gt;$O$4,Q269,(P269*H269)))</f>
        <v>0</v>
      </c>
      <c r="T269" s="13">
        <f t="shared" si="170"/>
        <v>101874.976</v>
      </c>
      <c r="U269" s="13">
        <f t="shared" ref="U269:U279" si="177">+IF(S269=0,T269,T269+S269)</f>
        <v>101874.976</v>
      </c>
      <c r="V269" s="13">
        <v>0</v>
      </c>
      <c r="W269" s="13">
        <f t="shared" ref="W269:W279" si="178">+N269-U269</f>
        <v>0</v>
      </c>
    </row>
    <row r="270" spans="1:23" s="9" customFormat="1">
      <c r="A270" s="15"/>
      <c r="B270" s="15"/>
      <c r="C270" s="15"/>
      <c r="D270" s="15" t="s">
        <v>92</v>
      </c>
      <c r="E270" s="15"/>
      <c r="F270" s="15"/>
      <c r="G270" s="15">
        <v>2018</v>
      </c>
      <c r="H270" s="15">
        <v>12</v>
      </c>
      <c r="I270" s="15">
        <v>0</v>
      </c>
      <c r="J270" s="15" t="s">
        <v>78</v>
      </c>
      <c r="K270" s="15">
        <f>+IF(L269-$O$3&gt;=3,L269-$O$3,3)</f>
        <v>3</v>
      </c>
      <c r="L270" s="176">
        <f t="shared" si="171"/>
        <v>2021</v>
      </c>
      <c r="M270" s="145">
        <f t="shared" si="172"/>
        <v>2022</v>
      </c>
      <c r="N270" s="16">
        <f>'2180 Trucks - Orig.'!N37-'2180 Trucks'!N269</f>
        <v>25468.744000000006</v>
      </c>
      <c r="O270" s="16">
        <f t="shared" si="173"/>
        <v>25468.744000000006</v>
      </c>
      <c r="P270" s="16">
        <f t="shared" si="174"/>
        <v>707.46511111111124</v>
      </c>
      <c r="Q270" s="16">
        <f t="shared" si="175"/>
        <v>8489.5813333333354</v>
      </c>
      <c r="R270" s="16">
        <v>8489.5813333333354</v>
      </c>
      <c r="S270" s="16">
        <f t="shared" si="176"/>
        <v>0</v>
      </c>
      <c r="T270" s="16">
        <f t="shared" si="170"/>
        <v>25468.744000000006</v>
      </c>
      <c r="U270" s="16">
        <f t="shared" si="177"/>
        <v>25468.744000000006</v>
      </c>
      <c r="V270" s="16">
        <v>16979.162666666671</v>
      </c>
      <c r="W270" s="16">
        <f t="shared" si="178"/>
        <v>0</v>
      </c>
    </row>
    <row r="271" spans="1:23" s="9" customFormat="1">
      <c r="B271" s="9" t="s">
        <v>76</v>
      </c>
      <c r="C271" s="9">
        <v>1065</v>
      </c>
      <c r="D271" s="9" t="s">
        <v>228</v>
      </c>
      <c r="E271" s="9">
        <v>166606</v>
      </c>
      <c r="F271" s="9">
        <v>60779</v>
      </c>
      <c r="G271" s="9">
        <v>2016</v>
      </c>
      <c r="H271" s="9">
        <v>7</v>
      </c>
      <c r="I271" s="9">
        <v>0</v>
      </c>
      <c r="J271" s="9" t="s">
        <v>78</v>
      </c>
      <c r="K271" s="9">
        <v>3</v>
      </c>
      <c r="L271" s="9">
        <f t="shared" si="171"/>
        <v>2019</v>
      </c>
      <c r="M271" s="114">
        <f t="shared" si="172"/>
        <v>2019.5833333333333</v>
      </c>
      <c r="N271" s="13">
        <v>16305.92</v>
      </c>
      <c r="O271" s="13">
        <f t="shared" si="173"/>
        <v>16305.92</v>
      </c>
      <c r="P271" s="13">
        <f t="shared" si="174"/>
        <v>452.9422222222222</v>
      </c>
      <c r="Q271" s="13">
        <f t="shared" si="175"/>
        <v>5435.3066666666664</v>
      </c>
      <c r="R271" s="13">
        <v>3170.5955555555556</v>
      </c>
      <c r="S271" s="13">
        <v>0</v>
      </c>
      <c r="T271" s="13">
        <f t="shared" si="170"/>
        <v>16305.92</v>
      </c>
      <c r="U271" s="13">
        <f t="shared" si="177"/>
        <v>16305.92</v>
      </c>
      <c r="V271" s="13">
        <v>2264.7111111111117</v>
      </c>
      <c r="W271" s="13">
        <f t="shared" si="178"/>
        <v>0</v>
      </c>
    </row>
    <row r="272" spans="1:23" s="9" customFormat="1">
      <c r="C272" s="9">
        <v>1065</v>
      </c>
      <c r="D272" s="9" t="s">
        <v>229</v>
      </c>
      <c r="E272" s="9">
        <v>204837</v>
      </c>
      <c r="F272" s="9">
        <v>60779</v>
      </c>
      <c r="G272" s="9">
        <v>2018</v>
      </c>
      <c r="H272" s="9">
        <v>10</v>
      </c>
      <c r="I272" s="9">
        <v>0</v>
      </c>
      <c r="J272" s="9" t="s">
        <v>78</v>
      </c>
      <c r="K272" s="9">
        <v>3</v>
      </c>
      <c r="L272" s="9">
        <f>G272+K272</f>
        <v>2021</v>
      </c>
      <c r="M272" s="114">
        <f>+L272+(H272/12)</f>
        <v>2021.8333333333333</v>
      </c>
      <c r="N272" s="13">
        <v>14824.26</v>
      </c>
      <c r="O272" s="13">
        <f>N272-N272*I272</f>
        <v>14824.26</v>
      </c>
      <c r="P272" s="13">
        <f>O272/K272/12</f>
        <v>411.78500000000003</v>
      </c>
      <c r="Q272" s="13">
        <f>P272*12</f>
        <v>4941.42</v>
      </c>
      <c r="R272" s="13">
        <v>4941.42</v>
      </c>
      <c r="S272" s="13">
        <f>+IF(M272&lt;=$O$5,0,IF(L272&gt;$O$4,Q272,(P272*H272)))</f>
        <v>0</v>
      </c>
      <c r="T272" s="13">
        <f t="shared" si="170"/>
        <v>14824.26</v>
      </c>
      <c r="U272" s="13">
        <f t="shared" si="177"/>
        <v>14824.26</v>
      </c>
      <c r="V272" s="13">
        <v>9882.84</v>
      </c>
      <c r="W272" s="13">
        <f t="shared" si="178"/>
        <v>0</v>
      </c>
    </row>
    <row r="273" spans="1:23" s="9" customFormat="1">
      <c r="A273" s="9" t="s">
        <v>234</v>
      </c>
      <c r="B273" s="9" t="s">
        <v>117</v>
      </c>
      <c r="C273" s="9">
        <v>2039</v>
      </c>
      <c r="D273" s="9" t="s">
        <v>235</v>
      </c>
      <c r="E273" s="9" t="s">
        <v>236</v>
      </c>
      <c r="G273" s="9">
        <v>2012</v>
      </c>
      <c r="H273" s="9">
        <v>4</v>
      </c>
      <c r="I273" s="9">
        <v>0</v>
      </c>
      <c r="J273" s="9" t="s">
        <v>78</v>
      </c>
      <c r="K273" s="9">
        <v>9</v>
      </c>
      <c r="L273" s="9">
        <f>G273+K273</f>
        <v>2021</v>
      </c>
      <c r="M273" s="114">
        <f>+L273+(H273/12)</f>
        <v>2021.3333333333333</v>
      </c>
      <c r="N273" s="13">
        <f>244600+24206-47</f>
        <v>268759</v>
      </c>
      <c r="O273" s="13">
        <f>N273-N273*I273</f>
        <v>268759</v>
      </c>
      <c r="P273" s="13">
        <f>O273/K273/12</f>
        <v>2488.5092592592591</v>
      </c>
      <c r="Q273" s="13">
        <f>P273*12</f>
        <v>29862.111111111109</v>
      </c>
      <c r="R273" s="13">
        <v>0</v>
      </c>
      <c r="S273" s="13">
        <f>+IF(M273&lt;=$O$5,0,IF(L273&gt;$O$4,Q273,(P273*H273)))</f>
        <v>0</v>
      </c>
      <c r="T273" s="13">
        <f t="shared" si="170"/>
        <v>268759</v>
      </c>
      <c r="U273" s="13">
        <f t="shared" si="177"/>
        <v>268759</v>
      </c>
      <c r="V273" s="13">
        <v>0</v>
      </c>
      <c r="W273" s="13">
        <f t="shared" si="178"/>
        <v>0</v>
      </c>
    </row>
    <row r="274" spans="1:23" s="9" customFormat="1">
      <c r="A274" s="9" t="s">
        <v>75</v>
      </c>
      <c r="B274" s="9" t="s">
        <v>207</v>
      </c>
      <c r="C274" s="9">
        <v>2042</v>
      </c>
      <c r="D274" s="9" t="s">
        <v>237</v>
      </c>
      <c r="E274" s="9">
        <v>114545</v>
      </c>
      <c r="G274" s="9">
        <v>2014</v>
      </c>
      <c r="H274" s="9">
        <v>7</v>
      </c>
      <c r="I274" s="9">
        <v>0</v>
      </c>
      <c r="J274" s="9" t="s">
        <v>78</v>
      </c>
      <c r="K274" s="9">
        <v>8</v>
      </c>
      <c r="L274" s="9">
        <f t="shared" si="171"/>
        <v>2022</v>
      </c>
      <c r="M274" s="114">
        <f t="shared" si="172"/>
        <v>2022.5833333333333</v>
      </c>
      <c r="N274" s="13">
        <v>285481.71999999997</v>
      </c>
      <c r="O274" s="13">
        <f t="shared" si="173"/>
        <v>285481.71999999997</v>
      </c>
      <c r="P274" s="13">
        <f t="shared" si="174"/>
        <v>2973.7679166666662</v>
      </c>
      <c r="Q274" s="13">
        <f t="shared" si="175"/>
        <v>35685.214999999997</v>
      </c>
      <c r="R274" s="13">
        <v>35685.214999999997</v>
      </c>
      <c r="S274" s="13">
        <f t="shared" si="176"/>
        <v>0</v>
      </c>
      <c r="T274" s="13">
        <f t="shared" si="170"/>
        <v>285481.71999999997</v>
      </c>
      <c r="U274" s="13">
        <f t="shared" si="177"/>
        <v>285481.71999999997</v>
      </c>
      <c r="V274" s="13">
        <v>107055.64499999999</v>
      </c>
      <c r="W274" s="13">
        <f t="shared" si="178"/>
        <v>0</v>
      </c>
    </row>
    <row r="275" spans="1:23" s="9" customFormat="1">
      <c r="A275" s="9" t="s">
        <v>75</v>
      </c>
      <c r="B275" s="9" t="s">
        <v>207</v>
      </c>
      <c r="C275" s="9">
        <v>2043</v>
      </c>
      <c r="D275" s="9" t="s">
        <v>238</v>
      </c>
      <c r="E275" s="9" t="s">
        <v>239</v>
      </c>
      <c r="G275" s="9">
        <v>2014</v>
      </c>
      <c r="H275" s="9">
        <v>10</v>
      </c>
      <c r="I275" s="9">
        <v>0</v>
      </c>
      <c r="J275" s="9" t="s">
        <v>78</v>
      </c>
      <c r="K275" s="9">
        <v>7</v>
      </c>
      <c r="L275" s="9">
        <f t="shared" si="171"/>
        <v>2021</v>
      </c>
      <c r="M275" s="114">
        <f t="shared" si="172"/>
        <v>2021.8333333333333</v>
      </c>
      <c r="N275" s="13">
        <f>257104+22274.73+913.92</f>
        <v>280292.64999999997</v>
      </c>
      <c r="O275" s="13">
        <f t="shared" si="173"/>
        <v>280292.64999999997</v>
      </c>
      <c r="P275" s="13">
        <f t="shared" si="174"/>
        <v>3336.8172619047614</v>
      </c>
      <c r="Q275" s="13">
        <f t="shared" si="175"/>
        <v>40041.807142857135</v>
      </c>
      <c r="R275" s="13">
        <v>46715.441666666658</v>
      </c>
      <c r="S275" s="13">
        <f t="shared" si="176"/>
        <v>0</v>
      </c>
      <c r="T275" s="13">
        <f t="shared" si="170"/>
        <v>280292.64999999997</v>
      </c>
      <c r="U275" s="13">
        <f t="shared" si="177"/>
        <v>280292.64999999997</v>
      </c>
      <c r="V275" s="13">
        <v>9343.0883333333768</v>
      </c>
      <c r="W275" s="13">
        <f t="shared" si="178"/>
        <v>0</v>
      </c>
    </row>
    <row r="276" spans="1:23" s="9" customFormat="1">
      <c r="B276" s="9" t="s">
        <v>117</v>
      </c>
      <c r="C276" s="9">
        <v>2047</v>
      </c>
      <c r="D276" s="9" t="s">
        <v>118</v>
      </c>
      <c r="E276" s="9" t="s">
        <v>240</v>
      </c>
      <c r="F276" s="9" t="s">
        <v>97</v>
      </c>
      <c r="G276" s="9">
        <v>2017</v>
      </c>
      <c r="H276" s="9">
        <v>7</v>
      </c>
      <c r="I276" s="9">
        <v>0</v>
      </c>
      <c r="J276" s="9" t="s">
        <v>78</v>
      </c>
      <c r="K276" s="9">
        <v>10</v>
      </c>
      <c r="L276" s="9">
        <f>G276+K276</f>
        <v>2027</v>
      </c>
      <c r="M276" s="114">
        <f>+L276+(H276/12)</f>
        <v>2027.5833333333333</v>
      </c>
      <c r="N276" s="13">
        <f>308316.27+1720.1</f>
        <v>310036.37</v>
      </c>
      <c r="O276" s="13">
        <f>N276-N276*I276</f>
        <v>310036.37</v>
      </c>
      <c r="P276" s="13">
        <f>O276/K276/12</f>
        <v>2583.6364166666667</v>
      </c>
      <c r="Q276" s="13">
        <f>P276*12</f>
        <v>31003.637000000002</v>
      </c>
      <c r="R276" s="13">
        <v>31003.637000000002</v>
      </c>
      <c r="S276" s="13">
        <f>+IF(M276&lt;=$O$5,0,IF(L276&gt;$O$4,Q276,(P276*H276)))</f>
        <v>31003.637000000002</v>
      </c>
      <c r="T276" s="13">
        <f t="shared" si="170"/>
        <v>124014.54800000001</v>
      </c>
      <c r="U276" s="13">
        <f t="shared" si="177"/>
        <v>155018.185</v>
      </c>
      <c r="V276" s="13">
        <v>248029.09599999999</v>
      </c>
      <c r="W276" s="13">
        <f t="shared" si="178"/>
        <v>155018.185</v>
      </c>
    </row>
    <row r="277" spans="1:23" s="9" customFormat="1">
      <c r="C277" s="9">
        <v>2047</v>
      </c>
      <c r="D277" s="9" t="s">
        <v>241</v>
      </c>
      <c r="E277" s="9">
        <v>185175</v>
      </c>
      <c r="F277" s="9">
        <v>184365</v>
      </c>
      <c r="G277" s="9">
        <v>2017</v>
      </c>
      <c r="H277" s="9">
        <v>7</v>
      </c>
      <c r="I277" s="9">
        <v>0</v>
      </c>
      <c r="J277" s="9" t="s">
        <v>78</v>
      </c>
      <c r="K277" s="9">
        <v>5</v>
      </c>
      <c r="L277" s="9">
        <f>G277+K277</f>
        <v>2022</v>
      </c>
      <c r="M277" s="114">
        <f>+L277+(H277/12)</f>
        <v>2022.5833333333333</v>
      </c>
      <c r="N277" s="13">
        <v>995.61</v>
      </c>
      <c r="O277" s="13">
        <f>N277-N277*I277</f>
        <v>995.61</v>
      </c>
      <c r="P277" s="13">
        <f>O277/K277/12</f>
        <v>16.593500000000002</v>
      </c>
      <c r="Q277" s="13">
        <f>P277*12</f>
        <v>199.12200000000001</v>
      </c>
      <c r="R277" s="13">
        <v>199.12200000000001</v>
      </c>
      <c r="S277" s="13">
        <f>+IF(M277&lt;=$O$5,0,IF(L277&gt;$O$4,Q277,(P277*H277)))</f>
        <v>0</v>
      </c>
      <c r="T277" s="13">
        <f t="shared" si="170"/>
        <v>995.61</v>
      </c>
      <c r="U277" s="13">
        <f t="shared" si="177"/>
        <v>995.61</v>
      </c>
      <c r="V277" s="13">
        <v>597.36599999999999</v>
      </c>
      <c r="W277" s="13">
        <f t="shared" si="178"/>
        <v>0</v>
      </c>
    </row>
    <row r="278" spans="1:23" s="9" customFormat="1">
      <c r="C278" s="9">
        <v>2047</v>
      </c>
      <c r="D278" s="9" t="s">
        <v>242</v>
      </c>
      <c r="E278" s="9">
        <v>185086</v>
      </c>
      <c r="F278" s="9">
        <v>184365</v>
      </c>
      <c r="G278" s="9">
        <v>2017</v>
      </c>
      <c r="H278" s="9">
        <v>7</v>
      </c>
      <c r="I278" s="9">
        <v>0</v>
      </c>
      <c r="J278" s="9" t="s">
        <v>78</v>
      </c>
      <c r="K278" s="9">
        <v>10</v>
      </c>
      <c r="L278" s="9">
        <f>G278+K278</f>
        <v>2027</v>
      </c>
      <c r="M278" s="114">
        <f>+L278+(H278/12)</f>
        <v>2027.5833333333333</v>
      </c>
      <c r="N278" s="13">
        <v>7085.38</v>
      </c>
      <c r="O278" s="13">
        <f>N278-N278*I278</f>
        <v>7085.38</v>
      </c>
      <c r="P278" s="13">
        <f>O278/K278/12</f>
        <v>59.044833333333337</v>
      </c>
      <c r="Q278" s="13">
        <f>P278*12</f>
        <v>708.53800000000001</v>
      </c>
      <c r="R278" s="13">
        <v>708.53800000000001</v>
      </c>
      <c r="S278" s="13">
        <f>+IF(M278&lt;=$O$5,0,IF(L278&gt;$O$4,Q278,(P278*H278)))</f>
        <v>708.53800000000001</v>
      </c>
      <c r="T278" s="13">
        <f t="shared" si="170"/>
        <v>2834.152</v>
      </c>
      <c r="U278" s="13">
        <f t="shared" si="177"/>
        <v>3542.69</v>
      </c>
      <c r="V278" s="13">
        <v>5668.3040000000001</v>
      </c>
      <c r="W278" s="13">
        <f t="shared" si="178"/>
        <v>3542.69</v>
      </c>
    </row>
    <row r="279" spans="1:23" s="9" customFormat="1">
      <c r="C279" s="9">
        <v>2047</v>
      </c>
      <c r="D279" s="9" t="s">
        <v>243</v>
      </c>
      <c r="E279" s="9">
        <v>184563</v>
      </c>
      <c r="F279" s="9">
        <v>184365</v>
      </c>
      <c r="G279" s="9">
        <v>2017</v>
      </c>
      <c r="H279" s="9">
        <v>7</v>
      </c>
      <c r="I279" s="9">
        <v>0</v>
      </c>
      <c r="J279" s="9" t="s">
        <v>78</v>
      </c>
      <c r="K279" s="9">
        <v>5</v>
      </c>
      <c r="L279" s="9">
        <f>G279+K279</f>
        <v>2022</v>
      </c>
      <c r="M279" s="114">
        <f>+L279+(H279/12)</f>
        <v>2022.5833333333333</v>
      </c>
      <c r="N279" s="13">
        <v>1913.81</v>
      </c>
      <c r="O279" s="13">
        <f>N279-N279*I279</f>
        <v>1913.81</v>
      </c>
      <c r="P279" s="13">
        <f>O279/K279/12</f>
        <v>31.896833333333333</v>
      </c>
      <c r="Q279" s="13">
        <f>P279*12</f>
        <v>382.762</v>
      </c>
      <c r="R279" s="13">
        <v>382.762</v>
      </c>
      <c r="S279" s="13">
        <f>+IF(M279&lt;=$O$5,0,IF(L279&gt;$O$4,Q279,(P279*H279)))</f>
        <v>0</v>
      </c>
      <c r="T279" s="13">
        <f t="shared" si="170"/>
        <v>1913.81</v>
      </c>
      <c r="U279" s="13">
        <f t="shared" si="177"/>
        <v>1913.81</v>
      </c>
      <c r="V279" s="13">
        <v>1148.2860000000001</v>
      </c>
      <c r="W279" s="13">
        <f t="shared" si="178"/>
        <v>0</v>
      </c>
    </row>
    <row r="280" spans="1:23" s="9" customFormat="1">
      <c r="M280" s="114"/>
      <c r="N280" s="13"/>
      <c r="O280" s="13"/>
      <c r="P280" s="13"/>
      <c r="Q280" s="13"/>
      <c r="R280" s="13"/>
      <c r="S280" s="13"/>
      <c r="T280" s="13">
        <f t="shared" si="170"/>
        <v>0</v>
      </c>
      <c r="U280" s="13"/>
      <c r="V280" s="13"/>
      <c r="W280" s="13"/>
    </row>
    <row r="281" spans="1:23" s="9" customFormat="1">
      <c r="L281" s="159" t="s">
        <v>244</v>
      </c>
      <c r="M281" s="114"/>
      <c r="N281" s="150">
        <f>SUM(N269:N280)</f>
        <v>1313038.4400000002</v>
      </c>
      <c r="O281" s="150">
        <f>SUM(O269:O280)</f>
        <v>1313038.4400000002</v>
      </c>
      <c r="P281" s="150">
        <f>SUM(P269:P280)</f>
        <v>14275.255687830688</v>
      </c>
      <c r="Q281" s="150">
        <f>SUM(Q269:Q280)</f>
        <v>171303.06825396823</v>
      </c>
      <c r="R281" s="150"/>
      <c r="S281" s="150">
        <f>SUM(S269:S280)</f>
        <v>31712.175000000003</v>
      </c>
      <c r="T281" s="150">
        <f>SUM(T269:T280)</f>
        <v>1122765.3900000001</v>
      </c>
      <c r="U281" s="150">
        <f>SUM(U269:U280)</f>
        <v>1154477.5650000002</v>
      </c>
      <c r="V281" s="150"/>
      <c r="W281" s="150">
        <f>SUM(W269:W280)</f>
        <v>158560.875</v>
      </c>
    </row>
    <row r="282" spans="1:23" s="9" customFormat="1">
      <c r="M282" s="114"/>
      <c r="N282" s="13"/>
      <c r="O282" s="13"/>
      <c r="P282" s="13"/>
      <c r="Q282" s="13"/>
      <c r="R282" s="13"/>
      <c r="S282" s="13"/>
      <c r="T282" s="13">
        <f t="shared" ref="T282:T289" si="179">+IF(S282=0,N282,IF($O$3-G282&lt;1,0,(($O$3-G282)*Q282)))</f>
        <v>0</v>
      </c>
      <c r="U282" s="13"/>
      <c r="V282" s="13"/>
      <c r="W282" s="13"/>
    </row>
    <row r="283" spans="1:23" s="9" customFormat="1">
      <c r="B283" s="142" t="s">
        <v>245</v>
      </c>
      <c r="M283" s="114"/>
      <c r="N283" s="13"/>
      <c r="O283" s="13"/>
      <c r="P283" s="13"/>
      <c r="Q283" s="13"/>
      <c r="R283" s="13"/>
      <c r="S283" s="13"/>
      <c r="T283" s="13">
        <f t="shared" si="179"/>
        <v>0</v>
      </c>
      <c r="U283" s="13"/>
      <c r="V283" s="13"/>
      <c r="W283" s="13"/>
    </row>
    <row r="284" spans="1:23" s="9" customFormat="1">
      <c r="A284" s="9" t="s">
        <v>246</v>
      </c>
      <c r="C284" s="9">
        <v>9569</v>
      </c>
      <c r="D284" s="9" t="s">
        <v>247</v>
      </c>
      <c r="E284" s="9">
        <v>188923</v>
      </c>
      <c r="G284" s="9">
        <v>2017</v>
      </c>
      <c r="H284" s="9">
        <v>11</v>
      </c>
      <c r="I284" s="9">
        <v>0</v>
      </c>
      <c r="J284" s="9" t="s">
        <v>78</v>
      </c>
      <c r="K284" s="9">
        <v>10</v>
      </c>
      <c r="L284" s="9">
        <f t="shared" ref="L284:L289" si="180">G284+K284</f>
        <v>2027</v>
      </c>
      <c r="M284" s="114">
        <f t="shared" ref="M284:M289" si="181">+L284+(H284/12)</f>
        <v>2027.9166666666667</v>
      </c>
      <c r="N284" s="13">
        <v>68242.36</v>
      </c>
      <c r="O284" s="13">
        <f t="shared" ref="O284:O289" si="182">N284-N284*I284</f>
        <v>68242.36</v>
      </c>
      <c r="P284" s="13">
        <f t="shared" ref="P284:P289" si="183">O284/K284/12</f>
        <v>568.68633333333332</v>
      </c>
      <c r="Q284" s="13">
        <f t="shared" ref="Q284:Q289" si="184">P284*12</f>
        <v>6824.2359999999999</v>
      </c>
      <c r="R284" s="13">
        <v>6824.2359999999999</v>
      </c>
      <c r="S284" s="13">
        <f t="shared" ref="S284:S289" si="185">+IF(M284&lt;=$O$5,0,IF(L284&gt;$O$4,Q284,(P284*H284)))</f>
        <v>6824.2359999999999</v>
      </c>
      <c r="T284" s="13">
        <f t="shared" si="179"/>
        <v>27296.944</v>
      </c>
      <c r="U284" s="13">
        <f t="shared" ref="U284:U289" si="186">+IF(S284=0,T284,T284+S284)</f>
        <v>34121.18</v>
      </c>
      <c r="V284" s="13">
        <v>54593.887999999999</v>
      </c>
      <c r="W284" s="13">
        <f t="shared" ref="W284:W289" si="187">+N284-U284</f>
        <v>34121.18</v>
      </c>
    </row>
    <row r="285" spans="1:23" s="9" customFormat="1">
      <c r="C285" s="9">
        <v>9569</v>
      </c>
      <c r="D285" s="9" t="s">
        <v>109</v>
      </c>
      <c r="E285" s="9">
        <v>189846</v>
      </c>
      <c r="F285" s="9">
        <v>188923</v>
      </c>
      <c r="G285" s="9">
        <v>2017</v>
      </c>
      <c r="H285" s="9">
        <v>11</v>
      </c>
      <c r="I285" s="9">
        <v>0</v>
      </c>
      <c r="J285" s="9" t="s">
        <v>78</v>
      </c>
      <c r="K285" s="9">
        <v>5</v>
      </c>
      <c r="L285" s="9">
        <f t="shared" si="180"/>
        <v>2022</v>
      </c>
      <c r="M285" s="114">
        <f t="shared" si="181"/>
        <v>2022.9166666666667</v>
      </c>
      <c r="N285" s="13">
        <v>1460.46</v>
      </c>
      <c r="O285" s="13">
        <f t="shared" si="182"/>
        <v>1460.46</v>
      </c>
      <c r="P285" s="13">
        <f t="shared" si="183"/>
        <v>24.340999999999998</v>
      </c>
      <c r="Q285" s="13">
        <f t="shared" si="184"/>
        <v>292.09199999999998</v>
      </c>
      <c r="R285" s="13">
        <v>292.09199999999998</v>
      </c>
      <c r="S285" s="13">
        <f t="shared" si="185"/>
        <v>267.75099999999998</v>
      </c>
      <c r="T285" s="13">
        <f t="shared" si="179"/>
        <v>1168.3679999999999</v>
      </c>
      <c r="U285" s="13">
        <f t="shared" si="186"/>
        <v>1436.1189999999999</v>
      </c>
      <c r="V285" s="13">
        <v>876.27600000000007</v>
      </c>
      <c r="W285" s="13">
        <f t="shared" si="187"/>
        <v>24.341000000000122</v>
      </c>
    </row>
    <row r="286" spans="1:23" s="9" customFormat="1">
      <c r="A286" s="9" t="s">
        <v>246</v>
      </c>
      <c r="B286" s="9" t="s">
        <v>93</v>
      </c>
      <c r="C286" s="9">
        <v>9984</v>
      </c>
      <c r="D286" s="9" t="s">
        <v>248</v>
      </c>
      <c r="E286" s="9">
        <v>72658</v>
      </c>
      <c r="F286" s="9" t="s">
        <v>97</v>
      </c>
      <c r="G286" s="9">
        <v>2010</v>
      </c>
      <c r="H286" s="9">
        <v>1</v>
      </c>
      <c r="I286" s="9">
        <v>0</v>
      </c>
      <c r="J286" s="9" t="s">
        <v>78</v>
      </c>
      <c r="K286" s="9">
        <v>5</v>
      </c>
      <c r="L286" s="9">
        <f t="shared" si="180"/>
        <v>2015</v>
      </c>
      <c r="M286" s="114">
        <f t="shared" si="181"/>
        <v>2015.0833333333333</v>
      </c>
      <c r="N286" s="13">
        <f>'2180 Trucks - Orig.'!O232</f>
        <v>30854.431299999997</v>
      </c>
      <c r="O286" s="13">
        <f t="shared" si="182"/>
        <v>30854.431299999997</v>
      </c>
      <c r="P286" s="13">
        <f t="shared" si="183"/>
        <v>514.24052166666661</v>
      </c>
      <c r="Q286" s="13">
        <f t="shared" si="184"/>
        <v>6170.8862599999993</v>
      </c>
      <c r="R286" s="13">
        <v>0</v>
      </c>
      <c r="S286" s="13">
        <f t="shared" si="185"/>
        <v>0</v>
      </c>
      <c r="T286" s="13">
        <f t="shared" si="179"/>
        <v>30854.431299999997</v>
      </c>
      <c r="U286" s="13">
        <f t="shared" si="186"/>
        <v>30854.431299999997</v>
      </c>
      <c r="V286" s="13">
        <v>0</v>
      </c>
      <c r="W286" s="13">
        <f t="shared" si="187"/>
        <v>0</v>
      </c>
    </row>
    <row r="287" spans="1:23" s="15" customFormat="1">
      <c r="D287" s="15" t="s">
        <v>249</v>
      </c>
      <c r="G287" s="15">
        <v>2018</v>
      </c>
      <c r="H287" s="15">
        <v>12</v>
      </c>
      <c r="I287" s="15">
        <v>0</v>
      </c>
      <c r="J287" s="15" t="s">
        <v>78</v>
      </c>
      <c r="K287" s="15">
        <f>+IF(L286-$O$3&gt;=3,L286-$O$3,3)</f>
        <v>3</v>
      </c>
      <c r="L287" s="15">
        <f t="shared" si="180"/>
        <v>2021</v>
      </c>
      <c r="M287" s="145">
        <f t="shared" si="181"/>
        <v>2022</v>
      </c>
      <c r="N287" s="16">
        <f>'2180 Trucks - Orig.'!N232-'2180 Trucks'!N286</f>
        <v>15196.958700000003</v>
      </c>
      <c r="O287" s="16">
        <f t="shared" si="182"/>
        <v>15196.958700000003</v>
      </c>
      <c r="P287" s="16">
        <f t="shared" si="183"/>
        <v>422.13774166666673</v>
      </c>
      <c r="Q287" s="16">
        <f t="shared" si="184"/>
        <v>5065.652900000001</v>
      </c>
      <c r="R287" s="16">
        <v>5065.652900000001</v>
      </c>
      <c r="S287" s="16">
        <f t="shared" si="185"/>
        <v>0</v>
      </c>
      <c r="T287" s="16">
        <f t="shared" si="179"/>
        <v>15196.958700000003</v>
      </c>
      <c r="U287" s="16">
        <f t="shared" si="186"/>
        <v>15196.958700000003</v>
      </c>
      <c r="V287" s="16">
        <v>10131.305800000002</v>
      </c>
      <c r="W287" s="16">
        <f t="shared" si="187"/>
        <v>0</v>
      </c>
    </row>
    <row r="288" spans="1:23" s="9" customFormat="1">
      <c r="A288" s="9" t="s">
        <v>75</v>
      </c>
      <c r="B288" s="9" t="s">
        <v>93</v>
      </c>
      <c r="C288" s="9">
        <v>9981</v>
      </c>
      <c r="D288" s="9" t="s">
        <v>250</v>
      </c>
      <c r="G288" s="9">
        <v>2007</v>
      </c>
      <c r="H288" s="9">
        <v>7</v>
      </c>
      <c r="I288" s="9">
        <v>0</v>
      </c>
      <c r="J288" s="9" t="s">
        <v>78</v>
      </c>
      <c r="K288" s="9">
        <v>5</v>
      </c>
      <c r="L288" s="9">
        <f t="shared" si="180"/>
        <v>2012</v>
      </c>
      <c r="M288" s="114">
        <f t="shared" si="181"/>
        <v>2012.5833333333333</v>
      </c>
      <c r="N288" s="13">
        <f>'2180 Trucks - Orig.'!O230</f>
        <v>20046.400000000001</v>
      </c>
      <c r="O288" s="13">
        <f t="shared" si="182"/>
        <v>20046.400000000001</v>
      </c>
      <c r="P288" s="13">
        <f t="shared" si="183"/>
        <v>334.10666666666668</v>
      </c>
      <c r="Q288" s="13">
        <f t="shared" si="184"/>
        <v>4009.28</v>
      </c>
      <c r="R288" s="13">
        <v>0</v>
      </c>
      <c r="S288" s="13">
        <f t="shared" si="185"/>
        <v>0</v>
      </c>
      <c r="T288" s="13">
        <f t="shared" si="179"/>
        <v>20046.400000000001</v>
      </c>
      <c r="U288" s="13">
        <f t="shared" si="186"/>
        <v>20046.400000000001</v>
      </c>
      <c r="V288" s="13">
        <v>0</v>
      </c>
      <c r="W288" s="13">
        <f t="shared" si="187"/>
        <v>0</v>
      </c>
    </row>
    <row r="289" spans="1:23" s="15" customFormat="1">
      <c r="D289" s="15" t="s">
        <v>251</v>
      </c>
      <c r="G289" s="15">
        <v>2018</v>
      </c>
      <c r="H289" s="15">
        <v>12</v>
      </c>
      <c r="I289" s="15">
        <v>0</v>
      </c>
      <c r="J289" s="15" t="s">
        <v>78</v>
      </c>
      <c r="K289" s="15">
        <f>+IF(L288-$O$3&gt;=3,L288-$O$3,3)</f>
        <v>3</v>
      </c>
      <c r="L289" s="15">
        <f t="shared" si="180"/>
        <v>2021</v>
      </c>
      <c r="M289" s="145">
        <f t="shared" si="181"/>
        <v>2022</v>
      </c>
      <c r="N289" s="16">
        <f>'2180 Trucks - Orig.'!N230-'2180 Trucks'!N288</f>
        <v>9873.5999999999985</v>
      </c>
      <c r="O289" s="16">
        <f t="shared" si="182"/>
        <v>9873.5999999999985</v>
      </c>
      <c r="P289" s="16">
        <f t="shared" si="183"/>
        <v>274.26666666666659</v>
      </c>
      <c r="Q289" s="16">
        <f t="shared" si="184"/>
        <v>3291.1999999999989</v>
      </c>
      <c r="R289" s="16">
        <v>3291.1999999999989</v>
      </c>
      <c r="S289" s="16">
        <f t="shared" si="185"/>
        <v>0</v>
      </c>
      <c r="T289" s="16">
        <f t="shared" si="179"/>
        <v>9873.5999999999985</v>
      </c>
      <c r="U289" s="16">
        <f t="shared" si="186"/>
        <v>9873.5999999999985</v>
      </c>
      <c r="V289" s="16">
        <v>6582.4</v>
      </c>
      <c r="W289" s="16">
        <f t="shared" si="187"/>
        <v>0</v>
      </c>
    </row>
    <row r="290" spans="1:23" s="9" customFormat="1">
      <c r="M290" s="114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s="9" customFormat="1">
      <c r="L291" s="159" t="s">
        <v>252</v>
      </c>
      <c r="M291" s="114"/>
      <c r="N291" s="150">
        <f>SUM(N284:N290)</f>
        <v>145674.21000000002</v>
      </c>
      <c r="O291" s="150">
        <f>SUM(O284:O290)</f>
        <v>145674.21000000002</v>
      </c>
      <c r="P291" s="150">
        <f>SUM(P284:P290)</f>
        <v>2137.7789299999999</v>
      </c>
      <c r="Q291" s="150">
        <f>SUM(Q284:Q290)</f>
        <v>25653.347159999998</v>
      </c>
      <c r="R291" s="150"/>
      <c r="S291" s="150">
        <f>SUM(S284:S290)</f>
        <v>7091.9870000000001</v>
      </c>
      <c r="T291" s="150">
        <f>SUM(T284:T290)</f>
        <v>104436.70199999999</v>
      </c>
      <c r="U291" s="150">
        <f>SUM(U284:U290)</f>
        <v>111528.68900000001</v>
      </c>
      <c r="V291" s="150"/>
      <c r="W291" s="150">
        <f t="shared" ref="W291" si="188">SUM(W284:W290)</f>
        <v>34145.521000000001</v>
      </c>
    </row>
    <row r="292" spans="1:23" s="9" customFormat="1">
      <c r="M292" s="114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s="9" customFormat="1">
      <c r="M293" s="114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s="9" customFormat="1">
      <c r="B294" s="142" t="s">
        <v>253</v>
      </c>
      <c r="M294" s="114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s="9" customFormat="1">
      <c r="A295" s="9" t="s">
        <v>174</v>
      </c>
      <c r="B295" s="9" t="s">
        <v>76</v>
      </c>
      <c r="C295" s="9">
        <v>1026</v>
      </c>
      <c r="D295" s="9" t="s">
        <v>254</v>
      </c>
      <c r="G295" s="9">
        <v>2000</v>
      </c>
      <c r="H295" s="9">
        <v>3</v>
      </c>
      <c r="I295" s="9">
        <v>0.2</v>
      </c>
      <c r="J295" s="9" t="s">
        <v>78</v>
      </c>
      <c r="K295" s="9">
        <v>7</v>
      </c>
      <c r="L295" s="9">
        <f t="shared" ref="L295:L305" si="189">G295+K295</f>
        <v>2007</v>
      </c>
      <c r="M295" s="114">
        <f t="shared" ref="M295:M305" si="190">+L295+(H295/12)</f>
        <v>2007.25</v>
      </c>
      <c r="N295" s="13">
        <f>60270.4+34695.24+3252</f>
        <v>98217.64</v>
      </c>
      <c r="O295" s="13">
        <f t="shared" ref="O295:O305" si="191">N295-N295*I295</f>
        <v>78574.111999999994</v>
      </c>
      <c r="P295" s="13">
        <f t="shared" ref="P295:P305" si="192">O295/K295/12</f>
        <v>935.40609523809519</v>
      </c>
      <c r="Q295" s="13">
        <f t="shared" ref="Q295:Q305" si="193">P295*12</f>
        <v>11224.873142857143</v>
      </c>
      <c r="R295" s="13">
        <v>0</v>
      </c>
      <c r="S295" s="13">
        <f>+IF(M295&lt;=$O$5,0,IF(L295&gt;$O$4,Q295,(P295*H295)))</f>
        <v>0</v>
      </c>
      <c r="T295" s="13">
        <f t="shared" ref="T295:T306" si="194">+IF(S295=0,N295,IF($O$3-G295&lt;1,0,(($O$3-G295)*Q295)))</f>
        <v>98217.64</v>
      </c>
      <c r="U295" s="13">
        <f t="shared" ref="U295:U306" si="195">+IF(S295=0,T295,T295+S295)</f>
        <v>98217.64</v>
      </c>
      <c r="V295" s="13">
        <v>0</v>
      </c>
      <c r="W295" s="13">
        <f t="shared" ref="W295:W306" si="196">+N295-U295</f>
        <v>0</v>
      </c>
    </row>
    <row r="296" spans="1:23" s="9" customFormat="1">
      <c r="A296" s="9" t="s">
        <v>174</v>
      </c>
      <c r="B296" s="9" t="s">
        <v>255</v>
      </c>
      <c r="C296" s="9">
        <v>7030</v>
      </c>
      <c r="D296" s="9" t="s">
        <v>256</v>
      </c>
      <c r="G296" s="9">
        <v>2005</v>
      </c>
      <c r="H296" s="9">
        <v>9</v>
      </c>
      <c r="I296" s="9">
        <v>0.33</v>
      </c>
      <c r="J296" s="9" t="s">
        <v>78</v>
      </c>
      <c r="K296" s="9">
        <v>5</v>
      </c>
      <c r="L296" s="9">
        <f t="shared" si="189"/>
        <v>2010</v>
      </c>
      <c r="M296" s="114">
        <f t="shared" si="190"/>
        <v>2010.75</v>
      </c>
      <c r="N296" s="13">
        <v>7616</v>
      </c>
      <c r="O296" s="13">
        <f t="shared" si="191"/>
        <v>5102.7199999999993</v>
      </c>
      <c r="P296" s="13">
        <f t="shared" si="192"/>
        <v>85.045333333333318</v>
      </c>
      <c r="Q296" s="13">
        <f t="shared" si="193"/>
        <v>1020.5439999999999</v>
      </c>
      <c r="R296" s="13">
        <v>0</v>
      </c>
      <c r="S296" s="13">
        <f t="shared" ref="S296:S305" si="197">+IF(M296&lt;=$O$5,0,IF(L296&gt;$O$4,Q296,(P296*H296)))</f>
        <v>0</v>
      </c>
      <c r="T296" s="13">
        <f t="shared" si="194"/>
        <v>7616</v>
      </c>
      <c r="U296" s="13">
        <f t="shared" si="195"/>
        <v>7616</v>
      </c>
      <c r="V296" s="13">
        <v>0</v>
      </c>
      <c r="W296" s="13">
        <f t="shared" si="196"/>
        <v>0</v>
      </c>
    </row>
    <row r="297" spans="1:23" s="9" customFormat="1">
      <c r="A297" s="9" t="s">
        <v>75</v>
      </c>
      <c r="B297" s="9" t="s">
        <v>255</v>
      </c>
      <c r="C297" s="9">
        <v>7030</v>
      </c>
      <c r="D297" s="9" t="s">
        <v>257</v>
      </c>
      <c r="G297" s="9">
        <v>2006</v>
      </c>
      <c r="H297" s="9">
        <v>12</v>
      </c>
      <c r="I297" s="9">
        <v>0</v>
      </c>
      <c r="J297" s="9" t="s">
        <v>78</v>
      </c>
      <c r="K297" s="9">
        <v>7</v>
      </c>
      <c r="L297" s="9">
        <f>G297+K297</f>
        <v>2013</v>
      </c>
      <c r="M297" s="114">
        <f>+L297+(H297/12)</f>
        <v>2014</v>
      </c>
      <c r="N297" s="13">
        <f>'2180 Trucks - Orig.'!O229</f>
        <v>13926.4</v>
      </c>
      <c r="O297" s="13">
        <f>N297-N297*I297</f>
        <v>13926.4</v>
      </c>
      <c r="P297" s="13">
        <f>O297/K297/12</f>
        <v>165.7904761904762</v>
      </c>
      <c r="Q297" s="13">
        <f>P297*12</f>
        <v>1989.4857142857145</v>
      </c>
      <c r="R297" s="13">
        <v>0</v>
      </c>
      <c r="S297" s="13">
        <f>+IF(M297&lt;=$O$5,0,IF(L297&gt;$O$4,Q297,(P297*H297)))</f>
        <v>0</v>
      </c>
      <c r="T297" s="13">
        <f t="shared" si="194"/>
        <v>13926.4</v>
      </c>
      <c r="U297" s="13">
        <f t="shared" si="195"/>
        <v>13926.4</v>
      </c>
      <c r="V297" s="13">
        <v>0</v>
      </c>
      <c r="W297" s="13">
        <f t="shared" si="196"/>
        <v>0</v>
      </c>
    </row>
    <row r="298" spans="1:23" s="9" customFormat="1">
      <c r="A298" s="15"/>
      <c r="B298" s="15"/>
      <c r="C298" s="15"/>
      <c r="D298" s="15" t="s">
        <v>258</v>
      </c>
      <c r="E298" s="15"/>
      <c r="F298" s="15"/>
      <c r="G298" s="15">
        <v>2018</v>
      </c>
      <c r="H298" s="15">
        <v>12</v>
      </c>
      <c r="I298" s="15">
        <v>0</v>
      </c>
      <c r="J298" s="15" t="s">
        <v>78</v>
      </c>
      <c r="K298" s="15">
        <f>+IF(L297-$O$3&gt;=3,L297-$O$3,3)</f>
        <v>3</v>
      </c>
      <c r="L298" s="176">
        <f>G298+K298</f>
        <v>2021</v>
      </c>
      <c r="M298" s="145">
        <f>+L298+(H298/12)</f>
        <v>2022</v>
      </c>
      <c r="N298" s="16">
        <f>'2180 Trucks - Orig.'!N229-'2180 Trucks'!N297</f>
        <v>3481.6000000000004</v>
      </c>
      <c r="O298" s="16">
        <f>N298-N298*I298</f>
        <v>3481.6000000000004</v>
      </c>
      <c r="P298" s="16">
        <f>O298/K298/12</f>
        <v>96.711111111111123</v>
      </c>
      <c r="Q298" s="16">
        <f>P298*12</f>
        <v>1160.5333333333335</v>
      </c>
      <c r="R298" s="16">
        <v>1160.5333333333335</v>
      </c>
      <c r="S298" s="16">
        <f>+IF(M298&lt;=$O$5,0,IF(L298&gt;$O$4,Q298,(P298*H298)))</f>
        <v>0</v>
      </c>
      <c r="T298" s="16">
        <f t="shared" si="194"/>
        <v>3481.6000000000004</v>
      </c>
      <c r="U298" s="16">
        <f t="shared" si="195"/>
        <v>3481.6000000000004</v>
      </c>
      <c r="V298" s="16">
        <v>2321.0666666666666</v>
      </c>
      <c r="W298" s="16">
        <f t="shared" si="196"/>
        <v>0</v>
      </c>
    </row>
    <row r="299" spans="1:23" s="9" customFormat="1">
      <c r="A299" s="9" t="s">
        <v>174</v>
      </c>
      <c r="B299" s="9" t="s">
        <v>76</v>
      </c>
      <c r="C299" s="9">
        <v>1055</v>
      </c>
      <c r="D299" s="9" t="s">
        <v>91</v>
      </c>
      <c r="G299" s="9">
        <v>2007</v>
      </c>
      <c r="H299" s="9">
        <v>7</v>
      </c>
      <c r="I299" s="9">
        <v>0.2</v>
      </c>
      <c r="J299" s="9" t="s">
        <v>78</v>
      </c>
      <c r="K299" s="9">
        <v>7</v>
      </c>
      <c r="L299" s="9">
        <f t="shared" si="189"/>
        <v>2014</v>
      </c>
      <c r="M299" s="114">
        <f t="shared" si="190"/>
        <v>2014.5833333333333</v>
      </c>
      <c r="N299" s="13">
        <v>127343.72</v>
      </c>
      <c r="O299" s="13">
        <f t="shared" si="191"/>
        <v>101874.976</v>
      </c>
      <c r="P299" s="13">
        <f t="shared" si="192"/>
        <v>1212.7973333333332</v>
      </c>
      <c r="Q299" s="13">
        <f t="shared" si="193"/>
        <v>14553.567999999999</v>
      </c>
      <c r="R299" s="13">
        <v>0</v>
      </c>
      <c r="S299" s="13">
        <f t="shared" si="197"/>
        <v>0</v>
      </c>
      <c r="T299" s="13">
        <f t="shared" si="194"/>
        <v>127343.72</v>
      </c>
      <c r="U299" s="13">
        <f t="shared" si="195"/>
        <v>127343.72</v>
      </c>
      <c r="V299" s="13">
        <v>0</v>
      </c>
      <c r="W299" s="13">
        <f t="shared" si="196"/>
        <v>0</v>
      </c>
    </row>
    <row r="300" spans="1:23" s="9" customFormat="1">
      <c r="B300" s="9" t="s">
        <v>76</v>
      </c>
      <c r="C300" s="9">
        <v>1075</v>
      </c>
      <c r="D300" s="9" t="s">
        <v>259</v>
      </c>
      <c r="E300" s="9">
        <v>180930</v>
      </c>
      <c r="G300" s="9">
        <v>2011</v>
      </c>
      <c r="H300" s="9">
        <v>8</v>
      </c>
      <c r="I300" s="9">
        <v>0</v>
      </c>
      <c r="J300" s="9" t="s">
        <v>78</v>
      </c>
      <c r="K300" s="9">
        <v>10</v>
      </c>
      <c r="L300" s="9">
        <f>G300+K300</f>
        <v>2021</v>
      </c>
      <c r="M300" s="114">
        <f t="shared" si="190"/>
        <v>2021.6666666666667</v>
      </c>
      <c r="N300" s="13">
        <f>'2180 Trucks - Orig.'!O248</f>
        <v>28134.68</v>
      </c>
      <c r="O300" s="13">
        <f t="shared" si="191"/>
        <v>28134.68</v>
      </c>
      <c r="P300" s="13">
        <f t="shared" si="192"/>
        <v>234.45566666666664</v>
      </c>
      <c r="Q300" s="13">
        <f t="shared" si="193"/>
        <v>2813.4679999999998</v>
      </c>
      <c r="R300" s="13">
        <v>2813.4679999999998</v>
      </c>
      <c r="S300" s="13">
        <f t="shared" si="197"/>
        <v>0</v>
      </c>
      <c r="T300" s="13">
        <f t="shared" si="194"/>
        <v>28134.68</v>
      </c>
      <c r="U300" s="13">
        <f t="shared" si="195"/>
        <v>28134.68</v>
      </c>
      <c r="V300" s="13">
        <v>5626.9360000000015</v>
      </c>
      <c r="W300" s="13">
        <f t="shared" si="196"/>
        <v>0</v>
      </c>
    </row>
    <row r="301" spans="1:23" s="9" customFormat="1">
      <c r="A301" s="15"/>
      <c r="B301" s="15"/>
      <c r="C301" s="15"/>
      <c r="D301" s="15" t="s">
        <v>260</v>
      </c>
      <c r="E301" s="15"/>
      <c r="F301" s="15"/>
      <c r="G301" s="15">
        <v>2018</v>
      </c>
      <c r="H301" s="15">
        <v>12</v>
      </c>
      <c r="I301" s="15">
        <v>0</v>
      </c>
      <c r="J301" s="15" t="s">
        <v>78</v>
      </c>
      <c r="K301" s="15">
        <f>+IF(L300-$O$3&gt;=3,L300-$O$3,3)</f>
        <v>3</v>
      </c>
      <c r="L301" s="176">
        <f>G301+K301</f>
        <v>2021</v>
      </c>
      <c r="M301" s="145">
        <f>+L301+(H301/12)</f>
        <v>2022</v>
      </c>
      <c r="N301" s="16">
        <f>'2180 Trucks - Orig.'!N248-'2180 Trucks'!N300</f>
        <v>0</v>
      </c>
      <c r="O301" s="16">
        <f>N301-N301*I301</f>
        <v>0</v>
      </c>
      <c r="P301" s="16">
        <f>O301/K301/12</f>
        <v>0</v>
      </c>
      <c r="Q301" s="16">
        <f>P301*12</f>
        <v>0</v>
      </c>
      <c r="R301" s="16">
        <v>0</v>
      </c>
      <c r="S301" s="16">
        <f t="shared" si="197"/>
        <v>0</v>
      </c>
      <c r="T301" s="16">
        <f t="shared" si="194"/>
        <v>0</v>
      </c>
      <c r="U301" s="16">
        <f t="shared" si="195"/>
        <v>0</v>
      </c>
      <c r="V301" s="16">
        <v>0</v>
      </c>
      <c r="W301" s="16">
        <f t="shared" si="196"/>
        <v>0</v>
      </c>
    </row>
    <row r="302" spans="1:23" s="9" customFormat="1">
      <c r="A302" s="9" t="s">
        <v>234</v>
      </c>
      <c r="B302" s="9" t="s">
        <v>261</v>
      </c>
      <c r="C302" s="9">
        <v>7035</v>
      </c>
      <c r="D302" s="9" t="s">
        <v>262</v>
      </c>
      <c r="E302" s="9">
        <v>87092</v>
      </c>
      <c r="G302" s="9">
        <v>2011</v>
      </c>
      <c r="H302" s="9">
        <v>9</v>
      </c>
      <c r="I302" s="9">
        <v>0.33</v>
      </c>
      <c r="J302" s="9" t="s">
        <v>78</v>
      </c>
      <c r="K302" s="9">
        <v>6</v>
      </c>
      <c r="L302" s="9">
        <f t="shared" si="189"/>
        <v>2017</v>
      </c>
      <c r="M302" s="114">
        <f t="shared" si="190"/>
        <v>2017.75</v>
      </c>
      <c r="N302" s="13">
        <v>6230.1</v>
      </c>
      <c r="O302" s="13">
        <f t="shared" si="191"/>
        <v>4174.1670000000004</v>
      </c>
      <c r="P302" s="13">
        <f t="shared" si="192"/>
        <v>57.974541666666674</v>
      </c>
      <c r="Q302" s="13">
        <f t="shared" si="193"/>
        <v>695.69450000000006</v>
      </c>
      <c r="R302" s="13">
        <v>0</v>
      </c>
      <c r="S302" s="13">
        <f t="shared" si="197"/>
        <v>0</v>
      </c>
      <c r="T302" s="13">
        <f t="shared" si="194"/>
        <v>6230.1</v>
      </c>
      <c r="U302" s="13">
        <f t="shared" si="195"/>
        <v>6230.1</v>
      </c>
      <c r="V302" s="13">
        <v>0</v>
      </c>
      <c r="W302" s="13">
        <f t="shared" si="196"/>
        <v>0</v>
      </c>
    </row>
    <row r="303" spans="1:23" s="9" customFormat="1">
      <c r="D303" s="9" t="s">
        <v>263</v>
      </c>
      <c r="E303" s="9">
        <v>100113</v>
      </c>
      <c r="G303" s="9">
        <v>2012</v>
      </c>
      <c r="H303" s="9">
        <v>12</v>
      </c>
      <c r="I303" s="9">
        <v>0</v>
      </c>
      <c r="J303" s="9" t="s">
        <v>78</v>
      </c>
      <c r="K303" s="9">
        <v>5</v>
      </c>
      <c r="L303" s="9">
        <f t="shared" si="189"/>
        <v>2017</v>
      </c>
      <c r="M303" s="114">
        <f t="shared" si="190"/>
        <v>2018</v>
      </c>
      <c r="N303" s="13">
        <v>16556</v>
      </c>
      <c r="O303" s="13">
        <f t="shared" si="191"/>
        <v>16556</v>
      </c>
      <c r="P303" s="13">
        <f t="shared" si="192"/>
        <v>275.93333333333334</v>
      </c>
      <c r="Q303" s="13">
        <f t="shared" si="193"/>
        <v>3311.2</v>
      </c>
      <c r="R303" s="13">
        <v>0</v>
      </c>
      <c r="S303" s="13">
        <f t="shared" si="197"/>
        <v>0</v>
      </c>
      <c r="T303" s="13">
        <f t="shared" si="194"/>
        <v>16556</v>
      </c>
      <c r="U303" s="13">
        <f t="shared" si="195"/>
        <v>16556</v>
      </c>
      <c r="V303" s="13">
        <v>0</v>
      </c>
      <c r="W303" s="13">
        <f t="shared" si="196"/>
        <v>0</v>
      </c>
    </row>
    <row r="304" spans="1:23" s="9" customFormat="1">
      <c r="D304" s="9" t="s">
        <v>264</v>
      </c>
      <c r="E304" s="9">
        <v>118545</v>
      </c>
      <c r="G304" s="9">
        <v>2014</v>
      </c>
      <c r="H304" s="9">
        <v>11</v>
      </c>
      <c r="I304" s="9">
        <v>0</v>
      </c>
      <c r="J304" s="9" t="s">
        <v>78</v>
      </c>
      <c r="K304" s="9">
        <v>3</v>
      </c>
      <c r="L304" s="9">
        <f t="shared" si="189"/>
        <v>2017</v>
      </c>
      <c r="M304" s="114">
        <f t="shared" si="190"/>
        <v>2017.9166666666667</v>
      </c>
      <c r="N304" s="13">
        <v>3066</v>
      </c>
      <c r="O304" s="13">
        <f t="shared" si="191"/>
        <v>3066</v>
      </c>
      <c r="P304" s="13">
        <f t="shared" si="192"/>
        <v>85.166666666666671</v>
      </c>
      <c r="Q304" s="13">
        <f t="shared" si="193"/>
        <v>1022</v>
      </c>
      <c r="R304" s="13">
        <v>0</v>
      </c>
      <c r="S304" s="13">
        <f t="shared" si="197"/>
        <v>0</v>
      </c>
      <c r="T304" s="13">
        <f t="shared" si="194"/>
        <v>3066</v>
      </c>
      <c r="U304" s="13">
        <f t="shared" si="195"/>
        <v>3066</v>
      </c>
      <c r="V304" s="13">
        <v>0</v>
      </c>
      <c r="W304" s="13">
        <f t="shared" si="196"/>
        <v>0</v>
      </c>
    </row>
    <row r="305" spans="1:23" s="9" customFormat="1">
      <c r="A305" s="9" t="s">
        <v>174</v>
      </c>
      <c r="C305" s="9">
        <v>1055</v>
      </c>
      <c r="D305" s="9" t="s">
        <v>176</v>
      </c>
      <c r="E305" s="9">
        <v>115960</v>
      </c>
      <c r="F305" s="9">
        <v>60775</v>
      </c>
      <c r="G305" s="9">
        <v>2014</v>
      </c>
      <c r="H305" s="9">
        <v>6</v>
      </c>
      <c r="I305" s="9">
        <v>0</v>
      </c>
      <c r="J305" s="9" t="s">
        <v>78</v>
      </c>
      <c r="K305" s="9">
        <v>3</v>
      </c>
      <c r="L305" s="9">
        <f t="shared" si="189"/>
        <v>2017</v>
      </c>
      <c r="M305" s="114">
        <f t="shared" si="190"/>
        <v>2017.5</v>
      </c>
      <c r="N305" s="13">
        <v>26931.15</v>
      </c>
      <c r="O305" s="13">
        <f t="shared" si="191"/>
        <v>26931.15</v>
      </c>
      <c r="P305" s="13">
        <f t="shared" si="192"/>
        <v>748.08750000000009</v>
      </c>
      <c r="Q305" s="13">
        <f t="shared" si="193"/>
        <v>8977.0500000000011</v>
      </c>
      <c r="R305" s="13">
        <v>0</v>
      </c>
      <c r="S305" s="13">
        <f t="shared" si="197"/>
        <v>0</v>
      </c>
      <c r="T305" s="13">
        <f t="shared" si="194"/>
        <v>26931.15</v>
      </c>
      <c r="U305" s="13">
        <f t="shared" si="195"/>
        <v>26931.15</v>
      </c>
      <c r="V305" s="13">
        <v>0</v>
      </c>
      <c r="W305" s="13">
        <f t="shared" si="196"/>
        <v>0</v>
      </c>
    </row>
    <row r="306" spans="1:23" s="9" customFormat="1">
      <c r="A306" s="9" t="s">
        <v>265</v>
      </c>
      <c r="B306" s="9" t="s">
        <v>117</v>
      </c>
      <c r="C306" s="9">
        <v>2048</v>
      </c>
      <c r="D306" s="9" t="s">
        <v>118</v>
      </c>
      <c r="E306" s="9" t="s">
        <v>266</v>
      </c>
      <c r="G306" s="9">
        <v>2017</v>
      </c>
      <c r="H306" s="9">
        <v>9</v>
      </c>
      <c r="I306" s="9">
        <v>0</v>
      </c>
      <c r="J306" s="9" t="s">
        <v>78</v>
      </c>
      <c r="K306" s="9">
        <v>10</v>
      </c>
      <c r="L306" s="9">
        <f>G306+K306</f>
        <v>2027</v>
      </c>
      <c r="M306" s="114">
        <f>+L306+(H306/12)</f>
        <v>2027.75</v>
      </c>
      <c r="N306" s="13">
        <v>317746.40000000002</v>
      </c>
      <c r="O306" s="13">
        <f>N306-N306*I306</f>
        <v>317746.40000000002</v>
      </c>
      <c r="P306" s="13">
        <f>O306/K306/12</f>
        <v>2647.8866666666668</v>
      </c>
      <c r="Q306" s="13">
        <f>P306*12</f>
        <v>31774.639999999999</v>
      </c>
      <c r="R306" s="13">
        <v>31774.639999999999</v>
      </c>
      <c r="S306" s="13">
        <f>+IF(M306&lt;=$O$5,0,IF(L306&gt;$O$4,Q306,(P306*H306)))</f>
        <v>31774.639999999999</v>
      </c>
      <c r="T306" s="13">
        <f t="shared" si="194"/>
        <v>127098.56</v>
      </c>
      <c r="U306" s="13">
        <f t="shared" si="195"/>
        <v>158873.20000000001</v>
      </c>
      <c r="V306" s="13">
        <v>254197.12000000002</v>
      </c>
      <c r="W306" s="13">
        <f t="shared" si="196"/>
        <v>158873.20000000001</v>
      </c>
    </row>
    <row r="307" spans="1:23" s="9" customFormat="1">
      <c r="M307" s="114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s="9" customFormat="1">
      <c r="L308" s="159" t="s">
        <v>267</v>
      </c>
      <c r="M308" s="114"/>
      <c r="N308" s="150">
        <f t="shared" ref="N308:W308" si="198">SUM(N295:N307)</f>
        <v>649249.68999999994</v>
      </c>
      <c r="O308" s="150">
        <f t="shared" si="198"/>
        <v>599568.20500000007</v>
      </c>
      <c r="P308" s="150">
        <f t="shared" si="198"/>
        <v>6545.2547242063492</v>
      </c>
      <c r="Q308" s="150">
        <f t="shared" si="198"/>
        <v>78543.056690476194</v>
      </c>
      <c r="R308" s="150"/>
      <c r="S308" s="150">
        <f t="shared" si="198"/>
        <v>31774.639999999999</v>
      </c>
      <c r="T308" s="150">
        <f t="shared" si="198"/>
        <v>458601.85</v>
      </c>
      <c r="U308" s="150">
        <f t="shared" si="198"/>
        <v>490376.49</v>
      </c>
      <c r="V308" s="150"/>
      <c r="W308" s="150">
        <f t="shared" si="198"/>
        <v>158873.20000000001</v>
      </c>
    </row>
    <row r="309" spans="1:23" s="9" customFormat="1">
      <c r="M309" s="114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s="9" customFormat="1">
      <c r="B310" s="142" t="s">
        <v>268</v>
      </c>
      <c r="M310" s="114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s="9" customFormat="1">
      <c r="B311" s="9" t="s">
        <v>269</v>
      </c>
      <c r="C311" s="9">
        <v>5559</v>
      </c>
      <c r="D311" s="9" t="s">
        <v>270</v>
      </c>
      <c r="E311" s="9">
        <v>86830</v>
      </c>
      <c r="G311" s="9">
        <v>1998</v>
      </c>
      <c r="H311" s="9">
        <v>8</v>
      </c>
      <c r="I311" s="9">
        <v>0.2</v>
      </c>
      <c r="J311" s="9" t="s">
        <v>78</v>
      </c>
      <c r="K311" s="9">
        <v>7</v>
      </c>
      <c r="L311" s="9">
        <f t="shared" ref="L311:L319" si="199">G311+K311</f>
        <v>2005</v>
      </c>
      <c r="M311" s="114">
        <f t="shared" ref="M311:M319" si="200">+L311+(H311/12)</f>
        <v>2005.6666666666667</v>
      </c>
      <c r="N311" s="13">
        <f>21713.04+7916.49+1571.09</f>
        <v>31200.62</v>
      </c>
      <c r="O311" s="13">
        <f t="shared" ref="O311:O316" si="201">N311-N311*I311</f>
        <v>24960.495999999999</v>
      </c>
      <c r="P311" s="13">
        <f t="shared" ref="P311:P316" si="202">O311/K311/12</f>
        <v>297.1487619047619</v>
      </c>
      <c r="Q311" s="13">
        <f t="shared" ref="Q311:Q316" si="203">P311*12</f>
        <v>3565.785142857143</v>
      </c>
      <c r="R311" s="13">
        <v>0</v>
      </c>
      <c r="S311" s="13">
        <f t="shared" ref="S311:S316" si="204">+IF(M311&lt;=$O$5,0,IF(L311&gt;$O$4,Q311,(P311*H311)))</f>
        <v>0</v>
      </c>
      <c r="T311" s="13">
        <f t="shared" ref="T311:T316" si="205">+IF(S311=0,N311,IF($O$3-G311&lt;1,0,(($O$3-G311)*Q311)))</f>
        <v>31200.62</v>
      </c>
      <c r="U311" s="13">
        <f t="shared" ref="U311:U316" si="206">+IF(S311=0,T311,T311+S311)</f>
        <v>31200.62</v>
      </c>
      <c r="V311" s="13">
        <v>0</v>
      </c>
      <c r="W311" s="13">
        <f t="shared" ref="W311:W316" si="207">+N311-U311</f>
        <v>0</v>
      </c>
    </row>
    <row r="312" spans="1:23" s="9" customFormat="1">
      <c r="B312" s="9" t="s">
        <v>255</v>
      </c>
      <c r="C312" s="9">
        <v>7407</v>
      </c>
      <c r="D312" s="9" t="s">
        <v>271</v>
      </c>
      <c r="G312" s="9">
        <v>2002</v>
      </c>
      <c r="H312" s="9">
        <v>3</v>
      </c>
      <c r="I312" s="9">
        <v>0.33</v>
      </c>
      <c r="J312" s="9" t="s">
        <v>78</v>
      </c>
      <c r="K312" s="9">
        <v>5</v>
      </c>
      <c r="L312" s="9">
        <f t="shared" si="199"/>
        <v>2007</v>
      </c>
      <c r="M312" s="114">
        <f t="shared" si="200"/>
        <v>2007.25</v>
      </c>
      <c r="N312" s="13">
        <v>10645.52</v>
      </c>
      <c r="O312" s="13">
        <f t="shared" si="201"/>
        <v>7132.4984000000004</v>
      </c>
      <c r="P312" s="13">
        <f t="shared" si="202"/>
        <v>118.87497333333334</v>
      </c>
      <c r="Q312" s="13">
        <f t="shared" si="203"/>
        <v>1426.4996800000001</v>
      </c>
      <c r="R312" s="13">
        <v>0</v>
      </c>
      <c r="S312" s="13">
        <f t="shared" si="204"/>
        <v>0</v>
      </c>
      <c r="T312" s="13">
        <f t="shared" si="205"/>
        <v>10645.52</v>
      </c>
      <c r="U312" s="13">
        <f t="shared" si="206"/>
        <v>10645.52</v>
      </c>
      <c r="V312" s="13">
        <v>0</v>
      </c>
      <c r="W312" s="13">
        <f t="shared" si="207"/>
        <v>0</v>
      </c>
    </row>
    <row r="313" spans="1:23" s="9" customFormat="1">
      <c r="B313" s="9" t="s">
        <v>272</v>
      </c>
      <c r="C313" s="9">
        <v>9960</v>
      </c>
      <c r="D313" s="9" t="s">
        <v>273</v>
      </c>
      <c r="G313" s="9">
        <v>2006</v>
      </c>
      <c r="H313" s="9">
        <v>6</v>
      </c>
      <c r="I313" s="9">
        <v>0.33</v>
      </c>
      <c r="J313" s="9" t="s">
        <v>78</v>
      </c>
      <c r="K313" s="9">
        <v>5</v>
      </c>
      <c r="L313" s="9">
        <f t="shared" si="199"/>
        <v>2011</v>
      </c>
      <c r="M313" s="114">
        <f t="shared" si="200"/>
        <v>2011.5</v>
      </c>
      <c r="N313" s="13">
        <v>12512</v>
      </c>
      <c r="O313" s="13">
        <f t="shared" si="201"/>
        <v>8383.0400000000009</v>
      </c>
      <c r="P313" s="13">
        <f t="shared" si="202"/>
        <v>139.71733333333336</v>
      </c>
      <c r="Q313" s="13">
        <f t="shared" si="203"/>
        <v>1676.6080000000002</v>
      </c>
      <c r="R313" s="13">
        <v>0</v>
      </c>
      <c r="S313" s="13">
        <f t="shared" si="204"/>
        <v>0</v>
      </c>
      <c r="T313" s="13">
        <f t="shared" si="205"/>
        <v>12512</v>
      </c>
      <c r="U313" s="13">
        <f t="shared" si="206"/>
        <v>12512</v>
      </c>
      <c r="V313" s="13">
        <v>0</v>
      </c>
      <c r="W313" s="13">
        <f t="shared" si="207"/>
        <v>0</v>
      </c>
    </row>
    <row r="314" spans="1:23" s="9" customFormat="1">
      <c r="B314" s="9" t="s">
        <v>255</v>
      </c>
      <c r="C314" s="9">
        <v>7407</v>
      </c>
      <c r="D314" s="9" t="s">
        <v>274</v>
      </c>
      <c r="G314" s="9">
        <v>2009</v>
      </c>
      <c r="H314" s="9">
        <v>5</v>
      </c>
      <c r="I314" s="9">
        <v>0</v>
      </c>
      <c r="J314" s="9" t="s">
        <v>78</v>
      </c>
      <c r="K314" s="9">
        <v>3</v>
      </c>
      <c r="L314" s="9">
        <f t="shared" si="199"/>
        <v>2012</v>
      </c>
      <c r="M314" s="114">
        <f t="shared" si="200"/>
        <v>2012.4166666666667</v>
      </c>
      <c r="N314" s="13">
        <v>10496.91</v>
      </c>
      <c r="O314" s="13">
        <f t="shared" si="201"/>
        <v>10496.91</v>
      </c>
      <c r="P314" s="13">
        <f t="shared" si="202"/>
        <v>291.58083333333332</v>
      </c>
      <c r="Q314" s="13">
        <f t="shared" si="203"/>
        <v>3498.97</v>
      </c>
      <c r="R314" s="13">
        <v>0</v>
      </c>
      <c r="S314" s="13">
        <f t="shared" si="204"/>
        <v>0</v>
      </c>
      <c r="T314" s="13">
        <f t="shared" si="205"/>
        <v>10496.91</v>
      </c>
      <c r="U314" s="13">
        <f t="shared" si="206"/>
        <v>10496.91</v>
      </c>
      <c r="V314" s="13">
        <v>0</v>
      </c>
      <c r="W314" s="13">
        <f t="shared" si="207"/>
        <v>0</v>
      </c>
    </row>
    <row r="315" spans="1:23" s="9" customFormat="1">
      <c r="B315" s="9" t="s">
        <v>255</v>
      </c>
      <c r="C315" s="9">
        <v>7411</v>
      </c>
      <c r="D315" s="9" t="s">
        <v>275</v>
      </c>
      <c r="E315" s="9" t="s">
        <v>276</v>
      </c>
      <c r="F315" s="9">
        <v>79747</v>
      </c>
      <c r="G315" s="9">
        <v>2010</v>
      </c>
      <c r="H315" s="9">
        <v>12</v>
      </c>
      <c r="I315" s="9">
        <v>0.2</v>
      </c>
      <c r="J315" s="9" t="s">
        <v>78</v>
      </c>
      <c r="K315" s="9">
        <v>7</v>
      </c>
      <c r="L315" s="9">
        <f t="shared" si="199"/>
        <v>2017</v>
      </c>
      <c r="M315" s="114">
        <f t="shared" si="200"/>
        <v>2018</v>
      </c>
      <c r="N315" s="13">
        <v>169415</v>
      </c>
      <c r="O315" s="13">
        <f t="shared" si="201"/>
        <v>135532</v>
      </c>
      <c r="P315" s="13">
        <f t="shared" si="202"/>
        <v>1613.4761904761906</v>
      </c>
      <c r="Q315" s="13">
        <f t="shared" si="203"/>
        <v>19361.714285714286</v>
      </c>
      <c r="R315" s="13">
        <v>0</v>
      </c>
      <c r="S315" s="13">
        <f t="shared" si="204"/>
        <v>0</v>
      </c>
      <c r="T315" s="13">
        <f t="shared" si="205"/>
        <v>169415</v>
      </c>
      <c r="U315" s="13">
        <f t="shared" si="206"/>
        <v>169415</v>
      </c>
      <c r="V315" s="13">
        <v>0</v>
      </c>
      <c r="W315" s="13">
        <f t="shared" si="207"/>
        <v>0</v>
      </c>
    </row>
    <row r="316" spans="1:23" s="9" customFormat="1">
      <c r="B316" s="9" t="s">
        <v>255</v>
      </c>
      <c r="C316" s="9">
        <v>7366</v>
      </c>
      <c r="D316" s="9" t="s">
        <v>277</v>
      </c>
      <c r="E316" s="9">
        <v>125040</v>
      </c>
      <c r="G316" s="9">
        <v>2015</v>
      </c>
      <c r="H316" s="9">
        <v>7</v>
      </c>
      <c r="I316" s="9">
        <v>0</v>
      </c>
      <c r="J316" s="9" t="s">
        <v>78</v>
      </c>
      <c r="K316" s="9">
        <v>3</v>
      </c>
      <c r="L316" s="9">
        <f t="shared" si="199"/>
        <v>2018</v>
      </c>
      <c r="M316" s="114">
        <f t="shared" si="200"/>
        <v>2018.5833333333333</v>
      </c>
      <c r="N316" s="13">
        <v>25833</v>
      </c>
      <c r="O316" s="13">
        <f t="shared" si="201"/>
        <v>25833</v>
      </c>
      <c r="P316" s="13">
        <f t="shared" si="202"/>
        <v>717.58333333333337</v>
      </c>
      <c r="Q316" s="13">
        <f t="shared" si="203"/>
        <v>8611</v>
      </c>
      <c r="R316" s="13">
        <v>5166.6000000000004</v>
      </c>
      <c r="S316" s="13">
        <f t="shared" si="204"/>
        <v>0</v>
      </c>
      <c r="T316" s="13">
        <f t="shared" si="205"/>
        <v>25833</v>
      </c>
      <c r="U316" s="13">
        <f t="shared" si="206"/>
        <v>25833</v>
      </c>
      <c r="V316" s="13">
        <v>5166.5999999999985</v>
      </c>
      <c r="W316" s="13">
        <f t="shared" si="207"/>
        <v>0</v>
      </c>
    </row>
    <row r="317" spans="1:23" s="181" customFormat="1">
      <c r="A317" s="9"/>
      <c r="B317" s="9"/>
      <c r="C317" s="9">
        <v>7388</v>
      </c>
      <c r="D317" s="9" t="s">
        <v>1359</v>
      </c>
      <c r="E317" s="9">
        <v>250767</v>
      </c>
      <c r="F317" s="9">
        <v>250394</v>
      </c>
      <c r="G317" s="9">
        <v>2014</v>
      </c>
      <c r="H317" s="9">
        <v>12</v>
      </c>
      <c r="I317" s="9">
        <v>0</v>
      </c>
      <c r="J317" s="9" t="s">
        <v>78</v>
      </c>
      <c r="K317" s="9">
        <v>3</v>
      </c>
      <c r="L317" s="9">
        <f t="shared" si="199"/>
        <v>2017</v>
      </c>
      <c r="M317" s="114">
        <f t="shared" si="200"/>
        <v>2018</v>
      </c>
      <c r="N317" s="13">
        <v>8558.68</v>
      </c>
      <c r="O317" s="13">
        <f t="shared" ref="O317:O319" si="208">N317-N317*I317</f>
        <v>8558.68</v>
      </c>
      <c r="P317" s="13">
        <f t="shared" ref="P317:P319" si="209">O317/K317/12</f>
        <v>237.74111111111111</v>
      </c>
      <c r="Q317" s="13">
        <f t="shared" ref="Q317:Q319" si="210">P317*12</f>
        <v>2852.8933333333334</v>
      </c>
      <c r="R317" s="13">
        <v>5167.6000000000004</v>
      </c>
      <c r="S317" s="13">
        <f t="shared" ref="S317:S319" si="211">+IF(M317&lt;=$O$5,0,IF(L317&gt;$O$4,Q317,(P317*H317)))</f>
        <v>0</v>
      </c>
      <c r="T317" s="13">
        <f t="shared" ref="T317:T319" si="212">+IF(S317=0,N317,IF($O$3-G317&lt;1,0,(($O$3-G317)*Q317)))</f>
        <v>8558.68</v>
      </c>
      <c r="U317" s="13">
        <f t="shared" ref="U317:U319" si="213">+IF(S317=0,T317,T317+S317)</f>
        <v>8558.68</v>
      </c>
      <c r="V317" s="13">
        <v>5167.6000000000004</v>
      </c>
      <c r="W317" s="13">
        <f t="shared" ref="W317:W319" si="214">+N317-U317</f>
        <v>0</v>
      </c>
    </row>
    <row r="318" spans="1:23" s="181" customFormat="1">
      <c r="A318" s="9"/>
      <c r="B318" s="9"/>
      <c r="C318" s="9">
        <v>7388</v>
      </c>
      <c r="D318" s="9" t="s">
        <v>1360</v>
      </c>
      <c r="E318" s="9">
        <v>250766</v>
      </c>
      <c r="F318" s="9">
        <v>250394</v>
      </c>
      <c r="G318" s="9">
        <v>2009</v>
      </c>
      <c r="H318" s="9">
        <v>5</v>
      </c>
      <c r="I318" s="9">
        <v>0</v>
      </c>
      <c r="J318" s="9" t="s">
        <v>78</v>
      </c>
      <c r="K318" s="9">
        <v>3</v>
      </c>
      <c r="L318" s="9">
        <f t="shared" si="199"/>
        <v>2012</v>
      </c>
      <c r="M318" s="114">
        <f t="shared" si="200"/>
        <v>2012.4166666666667</v>
      </c>
      <c r="N318" s="13">
        <v>14259.78</v>
      </c>
      <c r="O318" s="13">
        <f t="shared" si="208"/>
        <v>14259.78</v>
      </c>
      <c r="P318" s="13">
        <f t="shared" si="209"/>
        <v>396.10500000000002</v>
      </c>
      <c r="Q318" s="13">
        <f t="shared" si="210"/>
        <v>4753.26</v>
      </c>
      <c r="R318" s="13">
        <v>5168.6000000000004</v>
      </c>
      <c r="S318" s="13">
        <f t="shared" si="211"/>
        <v>0</v>
      </c>
      <c r="T318" s="13">
        <f t="shared" si="212"/>
        <v>14259.78</v>
      </c>
      <c r="U318" s="13">
        <f t="shared" si="213"/>
        <v>14259.78</v>
      </c>
      <c r="V318" s="13">
        <v>5168.6000000000004</v>
      </c>
      <c r="W318" s="13">
        <f t="shared" si="214"/>
        <v>0</v>
      </c>
    </row>
    <row r="319" spans="1:23" s="181" customFormat="1">
      <c r="A319" s="9"/>
      <c r="B319" s="9"/>
      <c r="C319" s="9">
        <v>7388</v>
      </c>
      <c r="D319" s="9" t="s">
        <v>1361</v>
      </c>
      <c r="E319" s="9">
        <v>250394</v>
      </c>
      <c r="F319" s="9"/>
      <c r="G319" s="9">
        <v>2008</v>
      </c>
      <c r="H319" s="9">
        <v>11</v>
      </c>
      <c r="I319" s="9">
        <v>0</v>
      </c>
      <c r="J319" s="9" t="s">
        <v>78</v>
      </c>
      <c r="K319" s="9">
        <v>3</v>
      </c>
      <c r="L319" s="9">
        <f t="shared" si="199"/>
        <v>2011</v>
      </c>
      <c r="M319" s="114">
        <f t="shared" si="200"/>
        <v>2011.9166666666667</v>
      </c>
      <c r="N319" s="13">
        <v>2500</v>
      </c>
      <c r="O319" s="13">
        <f t="shared" si="208"/>
        <v>2500</v>
      </c>
      <c r="P319" s="13">
        <f t="shared" si="209"/>
        <v>69.444444444444443</v>
      </c>
      <c r="Q319" s="13">
        <f t="shared" si="210"/>
        <v>833.33333333333326</v>
      </c>
      <c r="R319" s="13">
        <v>5169.6000000000004</v>
      </c>
      <c r="S319" s="13">
        <f t="shared" si="211"/>
        <v>0</v>
      </c>
      <c r="T319" s="13">
        <f t="shared" si="212"/>
        <v>2500</v>
      </c>
      <c r="U319" s="13">
        <f t="shared" si="213"/>
        <v>2500</v>
      </c>
      <c r="V319" s="13">
        <v>5169.6000000000004</v>
      </c>
      <c r="W319" s="13">
        <f t="shared" si="214"/>
        <v>0</v>
      </c>
    </row>
    <row r="320" spans="1:23" s="9" customFormat="1">
      <c r="M320" s="114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s="9" customFormat="1">
      <c r="L321" s="159" t="s">
        <v>278</v>
      </c>
      <c r="M321" s="114"/>
      <c r="N321" s="150">
        <f>SUM(N311:N320)</f>
        <v>285421.51</v>
      </c>
      <c r="O321" s="150">
        <f t="shared" ref="O321:W321" si="215">SUM(O311:O320)</f>
        <v>237656.4044</v>
      </c>
      <c r="P321" s="150">
        <f t="shared" si="215"/>
        <v>3881.6719812698416</v>
      </c>
      <c r="Q321" s="150">
        <f t="shared" si="215"/>
        <v>46580.063775238101</v>
      </c>
      <c r="R321" s="150"/>
      <c r="S321" s="150">
        <f t="shared" si="215"/>
        <v>0</v>
      </c>
      <c r="T321" s="150">
        <f t="shared" si="215"/>
        <v>285421.51</v>
      </c>
      <c r="U321" s="150">
        <f t="shared" si="215"/>
        <v>285421.51</v>
      </c>
      <c r="V321" s="150"/>
      <c r="W321" s="150">
        <f t="shared" si="215"/>
        <v>0</v>
      </c>
    </row>
    <row r="322" spans="1:23" s="9" customFormat="1">
      <c r="B322" s="142"/>
      <c r="M322" s="114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s="9" customFormat="1">
      <c r="B323" s="142" t="s">
        <v>279</v>
      </c>
      <c r="M323" s="114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s="9" customFormat="1">
      <c r="A324" s="9" t="s">
        <v>280</v>
      </c>
      <c r="B324" s="9" t="s">
        <v>281</v>
      </c>
      <c r="C324" s="9">
        <v>8832</v>
      </c>
      <c r="D324" s="9" t="s">
        <v>282</v>
      </c>
      <c r="G324" s="9">
        <v>1997</v>
      </c>
      <c r="H324" s="9">
        <v>8</v>
      </c>
      <c r="I324" s="9">
        <v>0</v>
      </c>
      <c r="J324" s="9" t="s">
        <v>78</v>
      </c>
      <c r="K324" s="9">
        <v>7</v>
      </c>
      <c r="L324" s="9">
        <f t="shared" ref="L324:L361" si="216">G324+K324</f>
        <v>2004</v>
      </c>
      <c r="M324" s="114">
        <f t="shared" ref="M324:M361" si="217">+L324+(H324/12)</f>
        <v>2004.6666666666667</v>
      </c>
      <c r="N324" s="13">
        <f>'2180 Trucks - Orig.'!O265</f>
        <v>16380.632000000001</v>
      </c>
      <c r="O324" s="13">
        <f t="shared" ref="O324:O361" si="218">N324-N324*I324</f>
        <v>16380.632000000001</v>
      </c>
      <c r="P324" s="13">
        <f t="shared" ref="P324:P361" si="219">O324/K324/12</f>
        <v>195.00752380952383</v>
      </c>
      <c r="Q324" s="13">
        <f t="shared" ref="Q324:Q361" si="220">P324*12</f>
        <v>2340.090285714286</v>
      </c>
      <c r="R324" s="13">
        <v>0</v>
      </c>
      <c r="S324" s="13">
        <f>+IF(M324&lt;=$O$5,0,IF(L324&gt;$O$4,Q324,(P324*H324)))</f>
        <v>0</v>
      </c>
      <c r="T324" s="13">
        <f t="shared" ref="T324:T361" si="221">+IF(S324=0,N324,IF($O$3-G324&lt;1,0,(($O$3-G324)*Q324)))</f>
        <v>16380.632000000001</v>
      </c>
      <c r="U324" s="13">
        <f t="shared" ref="U324:U361" si="222">+IF(S324=0,T324,T324+S324)</f>
        <v>16380.632000000001</v>
      </c>
      <c r="V324" s="13">
        <v>0</v>
      </c>
      <c r="W324" s="13">
        <f t="shared" ref="W324:W361" si="223">+N324-U324</f>
        <v>0</v>
      </c>
    </row>
    <row r="325" spans="1:23" s="9" customFormat="1">
      <c r="A325" s="15"/>
      <c r="B325" s="15"/>
      <c r="C325" s="15"/>
      <c r="D325" s="15" t="s">
        <v>283</v>
      </c>
      <c r="E325" s="15"/>
      <c r="F325" s="15"/>
      <c r="G325" s="15">
        <v>2018</v>
      </c>
      <c r="H325" s="15">
        <v>12</v>
      </c>
      <c r="I325" s="15">
        <v>0</v>
      </c>
      <c r="J325" s="15" t="s">
        <v>78</v>
      </c>
      <c r="K325" s="15">
        <f>+IF(L324-$O$3&gt;=3,L324-$O$3,3)</f>
        <v>3</v>
      </c>
      <c r="L325" s="176">
        <f t="shared" si="216"/>
        <v>2021</v>
      </c>
      <c r="M325" s="145">
        <f t="shared" si="217"/>
        <v>2022</v>
      </c>
      <c r="N325" s="16">
        <f>'2180 Trucks - Orig.'!N265-'2180 Trucks'!N324</f>
        <v>4095.1579999999994</v>
      </c>
      <c r="O325" s="16">
        <f t="shared" si="218"/>
        <v>4095.1579999999994</v>
      </c>
      <c r="P325" s="16">
        <f>O325/K325/12</f>
        <v>113.75438888888887</v>
      </c>
      <c r="Q325" s="16">
        <f>P325*12</f>
        <v>1365.0526666666665</v>
      </c>
      <c r="R325" s="16">
        <v>1365.0526666666665</v>
      </c>
      <c r="S325" s="16">
        <f t="shared" ref="S325:S361" si="224">+IF(M325&lt;=$O$5,0,IF(L325&gt;$O$4,Q325,(P325*H325)))</f>
        <v>0</v>
      </c>
      <c r="T325" s="16">
        <f t="shared" si="221"/>
        <v>4095.1579999999994</v>
      </c>
      <c r="U325" s="16">
        <f t="shared" si="222"/>
        <v>4095.1579999999994</v>
      </c>
      <c r="V325" s="16">
        <v>2730.105333333333</v>
      </c>
      <c r="W325" s="16">
        <f t="shared" si="223"/>
        <v>0</v>
      </c>
    </row>
    <row r="326" spans="1:23" s="9" customFormat="1">
      <c r="A326" s="9" t="s">
        <v>280</v>
      </c>
      <c r="B326" s="9" t="s">
        <v>281</v>
      </c>
      <c r="C326" s="9">
        <v>8833</v>
      </c>
      <c r="D326" s="9" t="s">
        <v>282</v>
      </c>
      <c r="G326" s="9">
        <v>1997</v>
      </c>
      <c r="H326" s="9">
        <v>8</v>
      </c>
      <c r="I326" s="9">
        <v>0</v>
      </c>
      <c r="J326" s="9" t="s">
        <v>78</v>
      </c>
      <c r="K326" s="9">
        <v>7</v>
      </c>
      <c r="L326" s="9">
        <f t="shared" si="216"/>
        <v>2004</v>
      </c>
      <c r="M326" s="114">
        <f t="shared" si="217"/>
        <v>2004.6666666666667</v>
      </c>
      <c r="N326" s="13">
        <f>'2180 Trucks - Orig.'!O266</f>
        <v>16380.632000000001</v>
      </c>
      <c r="O326" s="13">
        <f t="shared" si="218"/>
        <v>16380.632000000001</v>
      </c>
      <c r="P326" s="13">
        <f t="shared" si="219"/>
        <v>195.00752380952383</v>
      </c>
      <c r="Q326" s="13">
        <f t="shared" si="220"/>
        <v>2340.090285714286</v>
      </c>
      <c r="R326" s="13">
        <v>0</v>
      </c>
      <c r="S326" s="13">
        <f t="shared" si="224"/>
        <v>0</v>
      </c>
      <c r="T326" s="13">
        <f t="shared" si="221"/>
        <v>16380.632000000001</v>
      </c>
      <c r="U326" s="13">
        <f t="shared" si="222"/>
        <v>16380.632000000001</v>
      </c>
      <c r="V326" s="13">
        <v>0</v>
      </c>
      <c r="W326" s="13">
        <f t="shared" si="223"/>
        <v>0</v>
      </c>
    </row>
    <row r="327" spans="1:23" s="9" customFormat="1">
      <c r="A327" s="15"/>
      <c r="B327" s="15"/>
      <c r="C327" s="15"/>
      <c r="D327" s="15" t="s">
        <v>283</v>
      </c>
      <c r="E327" s="15"/>
      <c r="F327" s="15"/>
      <c r="G327" s="15">
        <v>2018</v>
      </c>
      <c r="H327" s="15">
        <v>12</v>
      </c>
      <c r="I327" s="15">
        <v>0</v>
      </c>
      <c r="J327" s="15" t="s">
        <v>78</v>
      </c>
      <c r="K327" s="15">
        <f>+IF(L326-$O$3&gt;=3,L326-$O$3,3)</f>
        <v>3</v>
      </c>
      <c r="L327" s="176">
        <f t="shared" si="216"/>
        <v>2021</v>
      </c>
      <c r="M327" s="145">
        <f t="shared" si="217"/>
        <v>2022</v>
      </c>
      <c r="N327" s="16">
        <f>'2180 Trucks - Orig.'!N266-'2180 Trucks'!N326</f>
        <v>4095.1579999999994</v>
      </c>
      <c r="O327" s="16">
        <f t="shared" si="218"/>
        <v>4095.1579999999994</v>
      </c>
      <c r="P327" s="16">
        <f>O327/K327/12</f>
        <v>113.75438888888887</v>
      </c>
      <c r="Q327" s="16">
        <f>P327*12</f>
        <v>1365.0526666666665</v>
      </c>
      <c r="R327" s="16">
        <v>1365.0526666666665</v>
      </c>
      <c r="S327" s="16">
        <f t="shared" si="224"/>
        <v>0</v>
      </c>
      <c r="T327" s="16">
        <f t="shared" si="221"/>
        <v>4095.1579999999994</v>
      </c>
      <c r="U327" s="16">
        <f t="shared" si="222"/>
        <v>4095.1579999999994</v>
      </c>
      <c r="V327" s="16">
        <v>2730.105333333333</v>
      </c>
      <c r="W327" s="16">
        <f t="shared" si="223"/>
        <v>0</v>
      </c>
    </row>
    <row r="328" spans="1:23" s="9" customFormat="1">
      <c r="A328" s="9" t="s">
        <v>280</v>
      </c>
      <c r="B328" s="9" t="s">
        <v>281</v>
      </c>
      <c r="C328" s="9">
        <v>8837</v>
      </c>
      <c r="D328" s="9" t="s">
        <v>284</v>
      </c>
      <c r="G328" s="9">
        <v>1999</v>
      </c>
      <c r="H328" s="9">
        <v>1</v>
      </c>
      <c r="I328" s="9">
        <v>0</v>
      </c>
      <c r="J328" s="9" t="s">
        <v>78</v>
      </c>
      <c r="K328" s="9">
        <v>7</v>
      </c>
      <c r="L328" s="9">
        <f t="shared" si="216"/>
        <v>2006</v>
      </c>
      <c r="M328" s="114">
        <f t="shared" si="217"/>
        <v>2006.0833333333333</v>
      </c>
      <c r="N328" s="13">
        <f>'2180 Trucks - Orig.'!O267</f>
        <v>18920</v>
      </c>
      <c r="O328" s="13">
        <f t="shared" si="218"/>
        <v>18920</v>
      </c>
      <c r="P328" s="13">
        <f t="shared" si="219"/>
        <v>225.23809523809521</v>
      </c>
      <c r="Q328" s="13">
        <f t="shared" si="220"/>
        <v>2702.8571428571427</v>
      </c>
      <c r="R328" s="13">
        <v>0</v>
      </c>
      <c r="S328" s="13">
        <f t="shared" si="224"/>
        <v>0</v>
      </c>
      <c r="T328" s="13">
        <f t="shared" si="221"/>
        <v>18920</v>
      </c>
      <c r="U328" s="13">
        <f t="shared" si="222"/>
        <v>18920</v>
      </c>
      <c r="V328" s="13">
        <v>0</v>
      </c>
      <c r="W328" s="13">
        <f t="shared" si="223"/>
        <v>0</v>
      </c>
    </row>
    <row r="329" spans="1:23" s="9" customFormat="1">
      <c r="A329" s="15"/>
      <c r="B329" s="15"/>
      <c r="C329" s="15"/>
      <c r="D329" s="15" t="s">
        <v>285</v>
      </c>
      <c r="E329" s="15"/>
      <c r="F329" s="15"/>
      <c r="G329" s="15">
        <v>2018</v>
      </c>
      <c r="H329" s="15">
        <v>12</v>
      </c>
      <c r="I329" s="15">
        <v>0</v>
      </c>
      <c r="J329" s="15" t="s">
        <v>78</v>
      </c>
      <c r="K329" s="15">
        <f>+IF(L328-$O$3&gt;=3,L328-$O$3,3)</f>
        <v>3</v>
      </c>
      <c r="L329" s="176">
        <f t="shared" si="216"/>
        <v>2021</v>
      </c>
      <c r="M329" s="145">
        <f t="shared" si="217"/>
        <v>2022</v>
      </c>
      <c r="N329" s="16">
        <f>'2180 Trucks - Orig.'!N267-'2180 Trucks'!N328</f>
        <v>4730</v>
      </c>
      <c r="O329" s="16">
        <f t="shared" si="218"/>
        <v>4730</v>
      </c>
      <c r="P329" s="16">
        <f>O329/K329/12</f>
        <v>131.38888888888889</v>
      </c>
      <c r="Q329" s="16">
        <f>P329*12</f>
        <v>1576.6666666666665</v>
      </c>
      <c r="R329" s="16">
        <v>1576.6666666666665</v>
      </c>
      <c r="S329" s="16">
        <f t="shared" si="224"/>
        <v>0</v>
      </c>
      <c r="T329" s="16">
        <f t="shared" si="221"/>
        <v>4730</v>
      </c>
      <c r="U329" s="16">
        <f t="shared" si="222"/>
        <v>4730</v>
      </c>
      <c r="V329" s="16">
        <v>3153.3333333333335</v>
      </c>
      <c r="W329" s="16">
        <f t="shared" si="223"/>
        <v>0</v>
      </c>
    </row>
    <row r="330" spans="1:23" s="9" customFormat="1">
      <c r="A330" s="9" t="s">
        <v>280</v>
      </c>
      <c r="B330" s="9" t="s">
        <v>281</v>
      </c>
      <c r="C330" s="9">
        <v>8855</v>
      </c>
      <c r="D330" s="9" t="s">
        <v>286</v>
      </c>
      <c r="G330" s="9">
        <v>1999</v>
      </c>
      <c r="H330" s="9">
        <v>6</v>
      </c>
      <c r="I330" s="9">
        <v>0</v>
      </c>
      <c r="J330" s="9" t="s">
        <v>78</v>
      </c>
      <c r="K330" s="9">
        <v>7</v>
      </c>
      <c r="L330" s="9">
        <f t="shared" si="216"/>
        <v>2006</v>
      </c>
      <c r="M330" s="114">
        <f t="shared" si="217"/>
        <v>2006.5</v>
      </c>
      <c r="N330" s="13">
        <f>'2180 Trucks - Orig.'!O268</f>
        <v>21238.560000000001</v>
      </c>
      <c r="O330" s="13">
        <f t="shared" si="218"/>
        <v>21238.560000000001</v>
      </c>
      <c r="P330" s="13">
        <f t="shared" si="219"/>
        <v>252.84000000000003</v>
      </c>
      <c r="Q330" s="13">
        <f t="shared" si="220"/>
        <v>3034.0800000000004</v>
      </c>
      <c r="R330" s="13">
        <v>0</v>
      </c>
      <c r="S330" s="13">
        <f t="shared" si="224"/>
        <v>0</v>
      </c>
      <c r="T330" s="13">
        <f t="shared" si="221"/>
        <v>21238.560000000001</v>
      </c>
      <c r="U330" s="13">
        <f t="shared" si="222"/>
        <v>21238.560000000001</v>
      </c>
      <c r="V330" s="13">
        <v>0</v>
      </c>
      <c r="W330" s="13">
        <f t="shared" si="223"/>
        <v>0</v>
      </c>
    </row>
    <row r="331" spans="1:23" s="9" customFormat="1">
      <c r="A331" s="15"/>
      <c r="B331" s="15"/>
      <c r="C331" s="15"/>
      <c r="D331" s="15" t="s">
        <v>287</v>
      </c>
      <c r="E331" s="15"/>
      <c r="F331" s="15"/>
      <c r="G331" s="15">
        <v>2018</v>
      </c>
      <c r="H331" s="15">
        <v>12</v>
      </c>
      <c r="I331" s="15">
        <v>0</v>
      </c>
      <c r="J331" s="15" t="s">
        <v>78</v>
      </c>
      <c r="K331" s="15">
        <f>+IF(L330-$O$3&gt;=3,L330-$O$3,3)</f>
        <v>3</v>
      </c>
      <c r="L331" s="176">
        <f t="shared" si="216"/>
        <v>2021</v>
      </c>
      <c r="M331" s="145">
        <f t="shared" si="217"/>
        <v>2022</v>
      </c>
      <c r="N331" s="16">
        <f>'2180 Trucks - Orig.'!N268-'2180 Trucks'!N330</f>
        <v>5309.6399999999994</v>
      </c>
      <c r="O331" s="16">
        <f t="shared" si="218"/>
        <v>5309.6399999999994</v>
      </c>
      <c r="P331" s="16">
        <f>O331/K331/12</f>
        <v>147.48999999999998</v>
      </c>
      <c r="Q331" s="16">
        <f>P331*12</f>
        <v>1769.8799999999997</v>
      </c>
      <c r="R331" s="16">
        <v>1769.8799999999997</v>
      </c>
      <c r="S331" s="16">
        <f t="shared" si="224"/>
        <v>0</v>
      </c>
      <c r="T331" s="16">
        <f t="shared" si="221"/>
        <v>5309.6399999999994</v>
      </c>
      <c r="U331" s="16">
        <f t="shared" si="222"/>
        <v>5309.6399999999994</v>
      </c>
      <c r="V331" s="16">
        <v>3539.7599999999998</v>
      </c>
      <c r="W331" s="16">
        <f t="shared" si="223"/>
        <v>0</v>
      </c>
    </row>
    <row r="332" spans="1:23" s="9" customFormat="1">
      <c r="A332" s="9" t="s">
        <v>280</v>
      </c>
      <c r="B332" s="9" t="s">
        <v>281</v>
      </c>
      <c r="C332" s="9">
        <v>8867</v>
      </c>
      <c r="D332" s="9" t="s">
        <v>288</v>
      </c>
      <c r="G332" s="9">
        <v>2000</v>
      </c>
      <c r="H332" s="9">
        <v>5</v>
      </c>
      <c r="I332" s="9">
        <v>0</v>
      </c>
      <c r="J332" s="9" t="s">
        <v>78</v>
      </c>
      <c r="K332" s="9">
        <v>7</v>
      </c>
      <c r="L332" s="9">
        <f t="shared" si="216"/>
        <v>2007</v>
      </c>
      <c r="M332" s="114">
        <f t="shared" si="217"/>
        <v>2007.4166666666667</v>
      </c>
      <c r="N332" s="13">
        <f>'2180 Trucks - Orig.'!O271</f>
        <v>26680.640000000003</v>
      </c>
      <c r="O332" s="13">
        <f t="shared" si="218"/>
        <v>26680.640000000003</v>
      </c>
      <c r="P332" s="13">
        <f t="shared" si="219"/>
        <v>317.62666666666672</v>
      </c>
      <c r="Q332" s="13">
        <f t="shared" si="220"/>
        <v>3811.5200000000004</v>
      </c>
      <c r="R332" s="13">
        <v>0</v>
      </c>
      <c r="S332" s="13">
        <f t="shared" si="224"/>
        <v>0</v>
      </c>
      <c r="T332" s="13">
        <f t="shared" si="221"/>
        <v>26680.640000000003</v>
      </c>
      <c r="U332" s="13">
        <f t="shared" si="222"/>
        <v>26680.640000000003</v>
      </c>
      <c r="V332" s="13">
        <v>0</v>
      </c>
      <c r="W332" s="13">
        <f t="shared" si="223"/>
        <v>0</v>
      </c>
    </row>
    <row r="333" spans="1:23" s="9" customFormat="1">
      <c r="A333" s="15"/>
      <c r="B333" s="15"/>
      <c r="C333" s="15"/>
      <c r="D333" s="15" t="s">
        <v>289</v>
      </c>
      <c r="E333" s="15"/>
      <c r="F333" s="15"/>
      <c r="G333" s="15">
        <v>2018</v>
      </c>
      <c r="H333" s="15">
        <v>12</v>
      </c>
      <c r="I333" s="15">
        <v>0</v>
      </c>
      <c r="J333" s="15" t="s">
        <v>78</v>
      </c>
      <c r="K333" s="15">
        <f>+IF(L332-$O$3&gt;=3,L332-$O$3,3)</f>
        <v>3</v>
      </c>
      <c r="L333" s="176">
        <f t="shared" si="216"/>
        <v>2021</v>
      </c>
      <c r="M333" s="145">
        <f t="shared" si="217"/>
        <v>2022</v>
      </c>
      <c r="N333" s="16">
        <f>'2180 Trucks - Orig.'!N271-'2180 Trucks'!N332</f>
        <v>6670.16</v>
      </c>
      <c r="O333" s="16">
        <f t="shared" si="218"/>
        <v>6670.16</v>
      </c>
      <c r="P333" s="16">
        <f>O333/K333/12</f>
        <v>185.28222222222223</v>
      </c>
      <c r="Q333" s="16">
        <f>P333*12</f>
        <v>2223.3866666666668</v>
      </c>
      <c r="R333" s="16">
        <v>2223.3866666666668</v>
      </c>
      <c r="S333" s="16">
        <f t="shared" si="224"/>
        <v>0</v>
      </c>
      <c r="T333" s="16">
        <f t="shared" si="221"/>
        <v>6670.16</v>
      </c>
      <c r="U333" s="16">
        <f t="shared" si="222"/>
        <v>6670.16</v>
      </c>
      <c r="V333" s="16">
        <v>4446.7733333333326</v>
      </c>
      <c r="W333" s="16">
        <f t="shared" si="223"/>
        <v>0</v>
      </c>
    </row>
    <row r="334" spans="1:23" s="9" customFormat="1">
      <c r="A334" s="9" t="s">
        <v>280</v>
      </c>
      <c r="B334" s="9" t="s">
        <v>281</v>
      </c>
      <c r="C334" s="9">
        <v>8874</v>
      </c>
      <c r="D334" s="9" t="s">
        <v>290</v>
      </c>
      <c r="G334" s="9">
        <v>2003</v>
      </c>
      <c r="H334" s="9">
        <v>1</v>
      </c>
      <c r="I334" s="9">
        <v>0</v>
      </c>
      <c r="J334" s="9" t="s">
        <v>78</v>
      </c>
      <c r="K334" s="9">
        <v>7</v>
      </c>
      <c r="L334" s="9">
        <f t="shared" si="216"/>
        <v>2010</v>
      </c>
      <c r="M334" s="114">
        <f t="shared" si="217"/>
        <v>2010.0833333333333</v>
      </c>
      <c r="N334" s="13">
        <f>'2180 Trucks - Orig.'!O274</f>
        <v>32125.184000000001</v>
      </c>
      <c r="O334" s="13">
        <f t="shared" si="218"/>
        <v>32125.184000000001</v>
      </c>
      <c r="P334" s="13">
        <f t="shared" si="219"/>
        <v>382.44266666666664</v>
      </c>
      <c r="Q334" s="13">
        <f t="shared" si="220"/>
        <v>4589.3119999999999</v>
      </c>
      <c r="R334" s="13">
        <v>0</v>
      </c>
      <c r="S334" s="13">
        <f t="shared" si="224"/>
        <v>0</v>
      </c>
      <c r="T334" s="13">
        <f t="shared" si="221"/>
        <v>32125.184000000001</v>
      </c>
      <c r="U334" s="13">
        <f t="shared" si="222"/>
        <v>32125.184000000001</v>
      </c>
      <c r="V334" s="13">
        <v>0</v>
      </c>
      <c r="W334" s="13">
        <f t="shared" si="223"/>
        <v>0</v>
      </c>
    </row>
    <row r="335" spans="1:23" s="9" customFormat="1">
      <c r="A335" s="15"/>
      <c r="B335" s="15"/>
      <c r="C335" s="15"/>
      <c r="D335" s="15" t="s">
        <v>291</v>
      </c>
      <c r="E335" s="15"/>
      <c r="F335" s="15"/>
      <c r="G335" s="15">
        <v>2018</v>
      </c>
      <c r="H335" s="15">
        <v>12</v>
      </c>
      <c r="I335" s="15">
        <v>0</v>
      </c>
      <c r="J335" s="15" t="s">
        <v>78</v>
      </c>
      <c r="K335" s="15">
        <f>+IF(L334-$O$3&gt;=3,L334-$O$3,3)</f>
        <v>3</v>
      </c>
      <c r="L335" s="176">
        <f t="shared" si="216"/>
        <v>2021</v>
      </c>
      <c r="M335" s="145">
        <f t="shared" si="217"/>
        <v>2022</v>
      </c>
      <c r="N335" s="16">
        <f>'2180 Trucks - Orig.'!N274-'2180 Trucks'!N334</f>
        <v>8031.2960000000021</v>
      </c>
      <c r="O335" s="16">
        <f t="shared" si="218"/>
        <v>8031.2960000000021</v>
      </c>
      <c r="P335" s="16">
        <f>O335/K335/12</f>
        <v>223.0915555555556</v>
      </c>
      <c r="Q335" s="16">
        <f>P335*12</f>
        <v>2677.0986666666672</v>
      </c>
      <c r="R335" s="16">
        <v>2677.0986666666672</v>
      </c>
      <c r="S335" s="16">
        <f t="shared" si="224"/>
        <v>0</v>
      </c>
      <c r="T335" s="16">
        <f t="shared" si="221"/>
        <v>8031.2960000000021</v>
      </c>
      <c r="U335" s="16">
        <f t="shared" si="222"/>
        <v>8031.2960000000021</v>
      </c>
      <c r="V335" s="16">
        <v>5354.1973333333353</v>
      </c>
      <c r="W335" s="16">
        <f t="shared" si="223"/>
        <v>0</v>
      </c>
    </row>
    <row r="336" spans="1:23" s="9" customFormat="1">
      <c r="A336" s="9" t="s">
        <v>280</v>
      </c>
      <c r="B336" s="9" t="s">
        <v>281</v>
      </c>
      <c r="C336" s="9">
        <v>8875</v>
      </c>
      <c r="D336" s="9" t="s">
        <v>292</v>
      </c>
      <c r="G336" s="9">
        <v>2003</v>
      </c>
      <c r="H336" s="9">
        <v>3</v>
      </c>
      <c r="I336" s="9">
        <v>0</v>
      </c>
      <c r="J336" s="9" t="s">
        <v>78</v>
      </c>
      <c r="K336" s="9">
        <v>7</v>
      </c>
      <c r="L336" s="9">
        <f t="shared" si="216"/>
        <v>2010</v>
      </c>
      <c r="M336" s="114">
        <f t="shared" si="217"/>
        <v>2010.25</v>
      </c>
      <c r="N336" s="13">
        <f>'2180 Trucks - Orig.'!O275</f>
        <v>32125.184000000001</v>
      </c>
      <c r="O336" s="13">
        <f t="shared" si="218"/>
        <v>32125.184000000001</v>
      </c>
      <c r="P336" s="13">
        <f t="shared" si="219"/>
        <v>382.44266666666664</v>
      </c>
      <c r="Q336" s="13">
        <f t="shared" si="220"/>
        <v>4589.3119999999999</v>
      </c>
      <c r="R336" s="13">
        <v>0</v>
      </c>
      <c r="S336" s="13">
        <f t="shared" si="224"/>
        <v>0</v>
      </c>
      <c r="T336" s="13">
        <f t="shared" si="221"/>
        <v>32125.184000000001</v>
      </c>
      <c r="U336" s="13">
        <f t="shared" si="222"/>
        <v>32125.184000000001</v>
      </c>
      <c r="V336" s="13">
        <v>0</v>
      </c>
      <c r="W336" s="13">
        <f t="shared" si="223"/>
        <v>0</v>
      </c>
    </row>
    <row r="337" spans="1:23" s="9" customFormat="1">
      <c r="A337" s="15"/>
      <c r="B337" s="15"/>
      <c r="C337" s="15"/>
      <c r="D337" s="15" t="s">
        <v>293</v>
      </c>
      <c r="E337" s="15"/>
      <c r="F337" s="15"/>
      <c r="G337" s="15">
        <v>2018</v>
      </c>
      <c r="H337" s="15">
        <v>12</v>
      </c>
      <c r="I337" s="15">
        <v>0</v>
      </c>
      <c r="J337" s="15" t="s">
        <v>78</v>
      </c>
      <c r="K337" s="15">
        <f>+IF(L336-$O$3&gt;=3,L336-$O$3,3)</f>
        <v>3</v>
      </c>
      <c r="L337" s="176">
        <f t="shared" si="216"/>
        <v>2021</v>
      </c>
      <c r="M337" s="145">
        <f t="shared" si="217"/>
        <v>2022</v>
      </c>
      <c r="N337" s="16">
        <f>'2180 Trucks - Orig.'!N275-'2180 Trucks'!N336</f>
        <v>8031.2960000000021</v>
      </c>
      <c r="O337" s="16">
        <f t="shared" si="218"/>
        <v>8031.2960000000021</v>
      </c>
      <c r="P337" s="16">
        <f>O337/K337/12</f>
        <v>223.0915555555556</v>
      </c>
      <c r="Q337" s="16">
        <f>P337*12</f>
        <v>2677.0986666666672</v>
      </c>
      <c r="R337" s="16">
        <v>2677.0986666666672</v>
      </c>
      <c r="S337" s="16">
        <f t="shared" si="224"/>
        <v>0</v>
      </c>
      <c r="T337" s="16">
        <f t="shared" si="221"/>
        <v>8031.2960000000021</v>
      </c>
      <c r="U337" s="16">
        <f t="shared" si="222"/>
        <v>8031.2960000000021</v>
      </c>
      <c r="V337" s="16">
        <v>5354.1973333333353</v>
      </c>
      <c r="W337" s="16">
        <f t="shared" si="223"/>
        <v>0</v>
      </c>
    </row>
    <row r="338" spans="1:23" s="9" customFormat="1">
      <c r="A338" s="9" t="s">
        <v>280</v>
      </c>
      <c r="B338" s="9" t="s">
        <v>281</v>
      </c>
      <c r="C338" s="9">
        <v>8876</v>
      </c>
      <c r="D338" s="9" t="s">
        <v>292</v>
      </c>
      <c r="G338" s="9">
        <v>2003</v>
      </c>
      <c r="H338" s="9">
        <v>3</v>
      </c>
      <c r="I338" s="9">
        <v>0</v>
      </c>
      <c r="J338" s="9" t="s">
        <v>78</v>
      </c>
      <c r="K338" s="9">
        <v>7</v>
      </c>
      <c r="L338" s="9">
        <f t="shared" si="216"/>
        <v>2010</v>
      </c>
      <c r="M338" s="114">
        <f t="shared" si="217"/>
        <v>2010.25</v>
      </c>
      <c r="N338" s="13">
        <f>'2180 Trucks - Orig.'!O276</f>
        <v>32125.184000000001</v>
      </c>
      <c r="O338" s="13">
        <f t="shared" si="218"/>
        <v>32125.184000000001</v>
      </c>
      <c r="P338" s="13">
        <f t="shared" si="219"/>
        <v>382.44266666666664</v>
      </c>
      <c r="Q338" s="13">
        <f t="shared" si="220"/>
        <v>4589.3119999999999</v>
      </c>
      <c r="R338" s="13">
        <v>0</v>
      </c>
      <c r="S338" s="13">
        <f t="shared" si="224"/>
        <v>0</v>
      </c>
      <c r="T338" s="13">
        <f t="shared" si="221"/>
        <v>32125.184000000001</v>
      </c>
      <c r="U338" s="13">
        <f t="shared" si="222"/>
        <v>32125.184000000001</v>
      </c>
      <c r="V338" s="13">
        <v>0</v>
      </c>
      <c r="W338" s="13">
        <f t="shared" si="223"/>
        <v>0</v>
      </c>
    </row>
    <row r="339" spans="1:23" s="9" customFormat="1">
      <c r="A339" s="15"/>
      <c r="B339" s="15"/>
      <c r="C339" s="15"/>
      <c r="D339" s="15" t="s">
        <v>293</v>
      </c>
      <c r="E339" s="15"/>
      <c r="F339" s="15"/>
      <c r="G339" s="15">
        <v>2018</v>
      </c>
      <c r="H339" s="15">
        <v>12</v>
      </c>
      <c r="I339" s="15">
        <v>0</v>
      </c>
      <c r="J339" s="15" t="s">
        <v>78</v>
      </c>
      <c r="K339" s="15">
        <f>+IF(L338-$O$3&gt;=3,L338-$O$3,3)</f>
        <v>3</v>
      </c>
      <c r="L339" s="176">
        <f t="shared" si="216"/>
        <v>2021</v>
      </c>
      <c r="M339" s="145">
        <f t="shared" si="217"/>
        <v>2022</v>
      </c>
      <c r="N339" s="16">
        <f>'2180 Trucks - Orig.'!N276-'2180 Trucks'!N338</f>
        <v>8031.2960000000021</v>
      </c>
      <c r="O339" s="16">
        <f t="shared" si="218"/>
        <v>8031.2960000000021</v>
      </c>
      <c r="P339" s="16">
        <f>O339/K339/12</f>
        <v>223.0915555555556</v>
      </c>
      <c r="Q339" s="16">
        <f>P339*12</f>
        <v>2677.0986666666672</v>
      </c>
      <c r="R339" s="16">
        <v>2677.0986666666672</v>
      </c>
      <c r="S339" s="16">
        <f t="shared" si="224"/>
        <v>0</v>
      </c>
      <c r="T339" s="16">
        <f t="shared" si="221"/>
        <v>8031.2960000000021</v>
      </c>
      <c r="U339" s="16">
        <f t="shared" si="222"/>
        <v>8031.2960000000021</v>
      </c>
      <c r="V339" s="16">
        <v>5354.1973333333353</v>
      </c>
      <c r="W339" s="16">
        <f t="shared" si="223"/>
        <v>0</v>
      </c>
    </row>
    <row r="340" spans="1:23" s="9" customFormat="1">
      <c r="A340" s="9" t="s">
        <v>280</v>
      </c>
      <c r="B340" s="9" t="s">
        <v>281</v>
      </c>
      <c r="C340" s="9">
        <v>8879</v>
      </c>
      <c r="D340" s="9" t="s">
        <v>294</v>
      </c>
      <c r="G340" s="9">
        <v>2004</v>
      </c>
      <c r="H340" s="9">
        <v>4</v>
      </c>
      <c r="I340" s="9">
        <v>0</v>
      </c>
      <c r="J340" s="9" t="s">
        <v>78</v>
      </c>
      <c r="K340" s="9">
        <v>7</v>
      </c>
      <c r="L340" s="9">
        <f t="shared" si="216"/>
        <v>2011</v>
      </c>
      <c r="M340" s="114">
        <f t="shared" si="217"/>
        <v>2011.3333333333333</v>
      </c>
      <c r="N340" s="13">
        <f>'2180 Trucks - Orig.'!O277</f>
        <v>31428.864000000001</v>
      </c>
      <c r="O340" s="13">
        <f t="shared" si="218"/>
        <v>31428.864000000001</v>
      </c>
      <c r="P340" s="13">
        <f t="shared" si="219"/>
        <v>374.15314285714288</v>
      </c>
      <c r="Q340" s="13">
        <f t="shared" si="220"/>
        <v>4489.8377142857144</v>
      </c>
      <c r="R340" s="13">
        <v>0</v>
      </c>
      <c r="S340" s="13">
        <f t="shared" si="224"/>
        <v>0</v>
      </c>
      <c r="T340" s="13">
        <f t="shared" si="221"/>
        <v>31428.864000000001</v>
      </c>
      <c r="U340" s="13">
        <f t="shared" si="222"/>
        <v>31428.864000000001</v>
      </c>
      <c r="V340" s="13">
        <v>0</v>
      </c>
      <c r="W340" s="13">
        <f t="shared" si="223"/>
        <v>0</v>
      </c>
    </row>
    <row r="341" spans="1:23" s="15" customFormat="1">
      <c r="D341" s="15" t="s">
        <v>295</v>
      </c>
      <c r="G341" s="15">
        <v>2018</v>
      </c>
      <c r="H341" s="15">
        <v>12</v>
      </c>
      <c r="I341" s="15">
        <v>0</v>
      </c>
      <c r="J341" s="15" t="s">
        <v>78</v>
      </c>
      <c r="K341" s="15">
        <f>+IF(L340-$O$3&gt;=3,L340-$O$3,3)</f>
        <v>3</v>
      </c>
      <c r="L341" s="15">
        <f t="shared" si="216"/>
        <v>2021</v>
      </c>
      <c r="M341" s="145">
        <f t="shared" si="217"/>
        <v>2022</v>
      </c>
      <c r="N341" s="16">
        <f>'2180 Trucks - Orig.'!N277-'2180 Trucks'!N340</f>
        <v>7857.2160000000003</v>
      </c>
      <c r="O341" s="16">
        <f t="shared" si="218"/>
        <v>7857.2160000000003</v>
      </c>
      <c r="P341" s="16">
        <f>O341/K341/12</f>
        <v>218.256</v>
      </c>
      <c r="Q341" s="16">
        <f>P341*12</f>
        <v>2619.0720000000001</v>
      </c>
      <c r="R341" s="16">
        <v>2619.0720000000001</v>
      </c>
      <c r="S341" s="16">
        <f t="shared" si="224"/>
        <v>0</v>
      </c>
      <c r="T341" s="16">
        <f t="shared" si="221"/>
        <v>7857.2160000000003</v>
      </c>
      <c r="U341" s="16">
        <f t="shared" si="222"/>
        <v>7857.2160000000003</v>
      </c>
      <c r="V341" s="16">
        <v>5238.1440000000002</v>
      </c>
      <c r="W341" s="16">
        <f t="shared" si="223"/>
        <v>0</v>
      </c>
    </row>
    <row r="342" spans="1:23" s="9" customFormat="1">
      <c r="A342" s="9" t="s">
        <v>280</v>
      </c>
      <c r="B342" s="9" t="s">
        <v>281</v>
      </c>
      <c r="C342" s="9">
        <v>8880</v>
      </c>
      <c r="D342" s="9" t="s">
        <v>296</v>
      </c>
      <c r="G342" s="9">
        <v>2004</v>
      </c>
      <c r="H342" s="9">
        <v>4</v>
      </c>
      <c r="I342" s="9">
        <v>0</v>
      </c>
      <c r="J342" s="9" t="s">
        <v>78</v>
      </c>
      <c r="K342" s="9">
        <v>7</v>
      </c>
      <c r="L342" s="9">
        <f t="shared" si="216"/>
        <v>2011</v>
      </c>
      <c r="M342" s="114">
        <f t="shared" si="217"/>
        <v>2011.3333333333333</v>
      </c>
      <c r="N342" s="13">
        <f>'2180 Trucks - Orig.'!O278</f>
        <v>31428.864000000001</v>
      </c>
      <c r="O342" s="13">
        <f t="shared" si="218"/>
        <v>31428.864000000001</v>
      </c>
      <c r="P342" s="13">
        <f t="shared" si="219"/>
        <v>374.15314285714288</v>
      </c>
      <c r="Q342" s="13">
        <f t="shared" si="220"/>
        <v>4489.8377142857144</v>
      </c>
      <c r="R342" s="13">
        <v>0</v>
      </c>
      <c r="S342" s="13">
        <f t="shared" si="224"/>
        <v>0</v>
      </c>
      <c r="T342" s="13">
        <f t="shared" si="221"/>
        <v>31428.864000000001</v>
      </c>
      <c r="U342" s="13">
        <f t="shared" si="222"/>
        <v>31428.864000000001</v>
      </c>
      <c r="V342" s="13">
        <v>0</v>
      </c>
      <c r="W342" s="13">
        <f t="shared" si="223"/>
        <v>0</v>
      </c>
    </row>
    <row r="343" spans="1:23" s="15" customFormat="1">
      <c r="D343" s="15" t="s">
        <v>297</v>
      </c>
      <c r="G343" s="15">
        <v>2018</v>
      </c>
      <c r="H343" s="15">
        <v>12</v>
      </c>
      <c r="I343" s="15">
        <v>0</v>
      </c>
      <c r="J343" s="15" t="s">
        <v>78</v>
      </c>
      <c r="K343" s="15">
        <f>+IF(L342-$O$3&gt;=3,L342-$O$3,3)</f>
        <v>3</v>
      </c>
      <c r="L343" s="15">
        <f t="shared" si="216"/>
        <v>2021</v>
      </c>
      <c r="M343" s="145">
        <f t="shared" si="217"/>
        <v>2022</v>
      </c>
      <c r="N343" s="16">
        <f>'2180 Trucks - Orig.'!N278-'2180 Trucks'!N342</f>
        <v>7857.2160000000003</v>
      </c>
      <c r="O343" s="16">
        <f t="shared" si="218"/>
        <v>7857.2160000000003</v>
      </c>
      <c r="P343" s="16">
        <f>O343/K343/12</f>
        <v>218.256</v>
      </c>
      <c r="Q343" s="16">
        <f>P343*12</f>
        <v>2619.0720000000001</v>
      </c>
      <c r="R343" s="16">
        <v>2619.0720000000001</v>
      </c>
      <c r="S343" s="16">
        <f t="shared" si="224"/>
        <v>0</v>
      </c>
      <c r="T343" s="16">
        <f t="shared" si="221"/>
        <v>7857.2160000000003</v>
      </c>
      <c r="U343" s="16">
        <f t="shared" si="222"/>
        <v>7857.2160000000003</v>
      </c>
      <c r="V343" s="16">
        <v>5238.1440000000002</v>
      </c>
      <c r="W343" s="16">
        <f t="shared" si="223"/>
        <v>0</v>
      </c>
    </row>
    <row r="344" spans="1:23" s="9" customFormat="1">
      <c r="A344" s="9" t="s">
        <v>298</v>
      </c>
      <c r="B344" s="9" t="s">
        <v>281</v>
      </c>
      <c r="C344" s="9">
        <v>5594</v>
      </c>
      <c r="D344" s="9" t="s">
        <v>299</v>
      </c>
      <c r="G344" s="9">
        <v>2005</v>
      </c>
      <c r="H344" s="9">
        <v>12</v>
      </c>
      <c r="I344" s="9">
        <v>0</v>
      </c>
      <c r="J344" s="9" t="s">
        <v>78</v>
      </c>
      <c r="K344" s="9">
        <v>7</v>
      </c>
      <c r="L344" s="9">
        <f t="shared" si="216"/>
        <v>2012</v>
      </c>
      <c r="M344" s="114">
        <f t="shared" si="217"/>
        <v>2013</v>
      </c>
      <c r="N344" s="13">
        <f>'2180 Trucks - Orig.'!O279</f>
        <v>78167.872000000003</v>
      </c>
      <c r="O344" s="13">
        <f t="shared" si="218"/>
        <v>78167.872000000003</v>
      </c>
      <c r="P344" s="13">
        <f t="shared" si="219"/>
        <v>930.5699047619047</v>
      </c>
      <c r="Q344" s="13">
        <f t="shared" si="220"/>
        <v>11166.838857142857</v>
      </c>
      <c r="R344" s="13">
        <v>0</v>
      </c>
      <c r="S344" s="13">
        <f t="shared" si="224"/>
        <v>0</v>
      </c>
      <c r="T344" s="13">
        <f t="shared" si="221"/>
        <v>78167.872000000003</v>
      </c>
      <c r="U344" s="13">
        <f t="shared" si="222"/>
        <v>78167.872000000003</v>
      </c>
      <c r="V344" s="13">
        <v>0</v>
      </c>
      <c r="W344" s="13">
        <f t="shared" si="223"/>
        <v>0</v>
      </c>
    </row>
    <row r="345" spans="1:23" s="15" customFormat="1">
      <c r="D345" s="15" t="s">
        <v>301</v>
      </c>
      <c r="G345" s="15">
        <v>2018</v>
      </c>
      <c r="H345" s="15">
        <v>12</v>
      </c>
      <c r="I345" s="15">
        <v>0</v>
      </c>
      <c r="J345" s="15" t="s">
        <v>78</v>
      </c>
      <c r="K345" s="15">
        <f>+IF(L344-$O$3&gt;=3,L344-$O$3,3)</f>
        <v>3</v>
      </c>
      <c r="L345" s="15">
        <f t="shared" si="216"/>
        <v>2021</v>
      </c>
      <c r="M345" s="145">
        <f t="shared" si="217"/>
        <v>2022</v>
      </c>
      <c r="N345" s="16">
        <f>'2180 Trucks - Orig.'!N279-'2180 Trucks'!N344</f>
        <v>19541.967999999993</v>
      </c>
      <c r="O345" s="16">
        <f t="shared" si="218"/>
        <v>19541.967999999993</v>
      </c>
      <c r="P345" s="16">
        <f>O345/K345/12</f>
        <v>542.83244444444426</v>
      </c>
      <c r="Q345" s="16">
        <f>P345*12</f>
        <v>6513.9893333333312</v>
      </c>
      <c r="R345" s="16">
        <v>6513.9893333333312</v>
      </c>
      <c r="S345" s="16">
        <f t="shared" si="224"/>
        <v>0</v>
      </c>
      <c r="T345" s="16">
        <f t="shared" si="221"/>
        <v>19541.967999999993</v>
      </c>
      <c r="U345" s="16">
        <f t="shared" si="222"/>
        <v>19541.967999999993</v>
      </c>
      <c r="V345" s="16">
        <v>13027.978666666662</v>
      </c>
      <c r="W345" s="16">
        <f t="shared" si="223"/>
        <v>0</v>
      </c>
    </row>
    <row r="346" spans="1:23" s="9" customFormat="1">
      <c r="A346" s="9" t="s">
        <v>298</v>
      </c>
      <c r="B346" s="9" t="s">
        <v>281</v>
      </c>
      <c r="C346" s="9">
        <v>5595</v>
      </c>
      <c r="D346" s="9" t="s">
        <v>299</v>
      </c>
      <c r="G346" s="9">
        <v>2005</v>
      </c>
      <c r="H346" s="9">
        <v>12</v>
      </c>
      <c r="I346" s="9">
        <v>0</v>
      </c>
      <c r="J346" s="9" t="s">
        <v>78</v>
      </c>
      <c r="K346" s="9">
        <v>7</v>
      </c>
      <c r="L346" s="9">
        <f t="shared" si="216"/>
        <v>2012</v>
      </c>
      <c r="M346" s="114">
        <f t="shared" si="217"/>
        <v>2013</v>
      </c>
      <c r="N346" s="13">
        <f>'2180 Trucks - Orig.'!O280</f>
        <v>78167.872000000003</v>
      </c>
      <c r="O346" s="13">
        <f t="shared" si="218"/>
        <v>78167.872000000003</v>
      </c>
      <c r="P346" s="13">
        <f t="shared" si="219"/>
        <v>930.5699047619047</v>
      </c>
      <c r="Q346" s="13">
        <f t="shared" si="220"/>
        <v>11166.838857142857</v>
      </c>
      <c r="R346" s="13">
        <v>0</v>
      </c>
      <c r="S346" s="13">
        <f t="shared" si="224"/>
        <v>0</v>
      </c>
      <c r="T346" s="13">
        <f t="shared" si="221"/>
        <v>78167.872000000003</v>
      </c>
      <c r="U346" s="13">
        <f t="shared" si="222"/>
        <v>78167.872000000003</v>
      </c>
      <c r="V346" s="13">
        <v>0</v>
      </c>
      <c r="W346" s="13">
        <f t="shared" si="223"/>
        <v>0</v>
      </c>
    </row>
    <row r="347" spans="1:23" s="15" customFormat="1">
      <c r="D347" s="15" t="s">
        <v>301</v>
      </c>
      <c r="G347" s="15">
        <v>2018</v>
      </c>
      <c r="H347" s="15">
        <v>12</v>
      </c>
      <c r="I347" s="15">
        <v>0</v>
      </c>
      <c r="J347" s="15" t="s">
        <v>78</v>
      </c>
      <c r="K347" s="15">
        <f>+IF(L346-$O$3&gt;=3,L346-$O$3,3)</f>
        <v>3</v>
      </c>
      <c r="L347" s="15">
        <f t="shared" si="216"/>
        <v>2021</v>
      </c>
      <c r="M347" s="145">
        <f t="shared" si="217"/>
        <v>2022</v>
      </c>
      <c r="N347" s="16">
        <f>'2180 Trucks - Orig.'!N280-'2180 Trucks'!N346</f>
        <v>19541.967999999993</v>
      </c>
      <c r="O347" s="16">
        <f t="shared" si="218"/>
        <v>19541.967999999993</v>
      </c>
      <c r="P347" s="16">
        <f>O347/K347/12</f>
        <v>542.83244444444426</v>
      </c>
      <c r="Q347" s="16">
        <f>P347*12</f>
        <v>6513.9893333333312</v>
      </c>
      <c r="R347" s="16">
        <v>6513.9893333333312</v>
      </c>
      <c r="S347" s="16">
        <f t="shared" si="224"/>
        <v>0</v>
      </c>
      <c r="T347" s="16">
        <f t="shared" si="221"/>
        <v>19541.967999999993</v>
      </c>
      <c r="U347" s="16">
        <f t="shared" si="222"/>
        <v>19541.967999999993</v>
      </c>
      <c r="V347" s="16">
        <v>13027.978666666662</v>
      </c>
      <c r="W347" s="16">
        <f t="shared" si="223"/>
        <v>0</v>
      </c>
    </row>
    <row r="348" spans="1:23" s="9" customFormat="1">
      <c r="A348" s="9" t="s">
        <v>298</v>
      </c>
      <c r="B348" s="9" t="s">
        <v>281</v>
      </c>
      <c r="C348" s="9">
        <v>5614</v>
      </c>
      <c r="D348" s="9" t="s">
        <v>302</v>
      </c>
      <c r="G348" s="9">
        <v>2006</v>
      </c>
      <c r="H348" s="9">
        <v>12</v>
      </c>
      <c r="I348" s="9">
        <v>0</v>
      </c>
      <c r="J348" s="9" t="s">
        <v>78</v>
      </c>
      <c r="K348" s="9">
        <v>7</v>
      </c>
      <c r="L348" s="9">
        <f t="shared" si="216"/>
        <v>2013</v>
      </c>
      <c r="M348" s="114">
        <f t="shared" si="217"/>
        <v>2014</v>
      </c>
      <c r="N348" s="13">
        <f>'2180 Trucks - Orig.'!O281</f>
        <v>86154.207999999999</v>
      </c>
      <c r="O348" s="13">
        <f t="shared" si="218"/>
        <v>86154.207999999999</v>
      </c>
      <c r="P348" s="13">
        <f t="shared" si="219"/>
        <v>1025.6453333333334</v>
      </c>
      <c r="Q348" s="13">
        <f t="shared" si="220"/>
        <v>12307.744000000001</v>
      </c>
      <c r="R348" s="13">
        <v>0</v>
      </c>
      <c r="S348" s="13">
        <f t="shared" si="224"/>
        <v>0</v>
      </c>
      <c r="T348" s="13">
        <f t="shared" si="221"/>
        <v>86154.207999999999</v>
      </c>
      <c r="U348" s="13">
        <f t="shared" si="222"/>
        <v>86154.207999999999</v>
      </c>
      <c r="V348" s="13">
        <v>0</v>
      </c>
      <c r="W348" s="13">
        <f t="shared" si="223"/>
        <v>0</v>
      </c>
    </row>
    <row r="349" spans="1:23" s="15" customFormat="1">
      <c r="D349" s="15" t="s">
        <v>303</v>
      </c>
      <c r="G349" s="15">
        <v>2018</v>
      </c>
      <c r="H349" s="15">
        <v>12</v>
      </c>
      <c r="I349" s="15">
        <v>0</v>
      </c>
      <c r="J349" s="15" t="s">
        <v>78</v>
      </c>
      <c r="K349" s="15">
        <f>+IF(L348-$O$3&gt;=3,L348-$O$3,3)</f>
        <v>3</v>
      </c>
      <c r="L349" s="15">
        <f t="shared" si="216"/>
        <v>2021</v>
      </c>
      <c r="M349" s="145">
        <f t="shared" si="217"/>
        <v>2022</v>
      </c>
      <c r="N349" s="16">
        <f>'2180 Trucks - Orig.'!N281-'2180 Trucks'!N348</f>
        <v>21538.551999999996</v>
      </c>
      <c r="O349" s="16">
        <f t="shared" si="218"/>
        <v>21538.551999999996</v>
      </c>
      <c r="P349" s="16">
        <f>O349/K349/12</f>
        <v>598.29311111111099</v>
      </c>
      <c r="Q349" s="16">
        <f>P349*12</f>
        <v>7179.5173333333314</v>
      </c>
      <c r="R349" s="16">
        <v>7179.5173333333314</v>
      </c>
      <c r="S349" s="16">
        <f t="shared" si="224"/>
        <v>0</v>
      </c>
      <c r="T349" s="16">
        <f t="shared" si="221"/>
        <v>21538.551999999996</v>
      </c>
      <c r="U349" s="16">
        <f t="shared" si="222"/>
        <v>21538.551999999996</v>
      </c>
      <c r="V349" s="16">
        <v>14359.034666666665</v>
      </c>
      <c r="W349" s="16">
        <f t="shared" si="223"/>
        <v>0</v>
      </c>
    </row>
    <row r="350" spans="1:23" s="9" customFormat="1">
      <c r="A350" s="9" t="s">
        <v>298</v>
      </c>
      <c r="B350" s="9" t="s">
        <v>281</v>
      </c>
      <c r="C350" s="9">
        <v>5594</v>
      </c>
      <c r="D350" s="9" t="s">
        <v>304</v>
      </c>
      <c r="G350" s="9">
        <v>2007</v>
      </c>
      <c r="H350" s="9">
        <v>1</v>
      </c>
      <c r="I350" s="9">
        <v>0</v>
      </c>
      <c r="J350" s="9" t="s">
        <v>78</v>
      </c>
      <c r="K350" s="9">
        <v>5</v>
      </c>
      <c r="L350" s="9">
        <f t="shared" si="216"/>
        <v>2012</v>
      </c>
      <c r="M350" s="114">
        <f t="shared" si="217"/>
        <v>2012.0833333333333</v>
      </c>
      <c r="N350" s="13">
        <v>744</v>
      </c>
      <c r="O350" s="13">
        <f t="shared" si="218"/>
        <v>744</v>
      </c>
      <c r="P350" s="13">
        <f t="shared" si="219"/>
        <v>12.4</v>
      </c>
      <c r="Q350" s="13">
        <f t="shared" si="220"/>
        <v>148.80000000000001</v>
      </c>
      <c r="R350" s="13">
        <v>0</v>
      </c>
      <c r="S350" s="13">
        <f t="shared" si="224"/>
        <v>0</v>
      </c>
      <c r="T350" s="13">
        <f t="shared" si="221"/>
        <v>744</v>
      </c>
      <c r="U350" s="13">
        <f t="shared" si="222"/>
        <v>744</v>
      </c>
      <c r="V350" s="13">
        <v>0</v>
      </c>
      <c r="W350" s="13">
        <f t="shared" si="223"/>
        <v>0</v>
      </c>
    </row>
    <row r="351" spans="1:23" s="9" customFormat="1">
      <c r="A351" s="9" t="s">
        <v>298</v>
      </c>
      <c r="B351" s="9" t="s">
        <v>281</v>
      </c>
      <c r="C351" s="9">
        <v>5595</v>
      </c>
      <c r="D351" s="9" t="s">
        <v>304</v>
      </c>
      <c r="G351" s="9">
        <v>2007</v>
      </c>
      <c r="H351" s="9">
        <v>1</v>
      </c>
      <c r="I351" s="9">
        <v>0</v>
      </c>
      <c r="J351" s="9" t="s">
        <v>78</v>
      </c>
      <c r="K351" s="9">
        <v>5</v>
      </c>
      <c r="L351" s="9">
        <f t="shared" si="216"/>
        <v>2012</v>
      </c>
      <c r="M351" s="114">
        <f t="shared" si="217"/>
        <v>2012.0833333333333</v>
      </c>
      <c r="N351" s="13">
        <v>744</v>
      </c>
      <c r="O351" s="13">
        <f t="shared" si="218"/>
        <v>744</v>
      </c>
      <c r="P351" s="13">
        <f t="shared" si="219"/>
        <v>12.4</v>
      </c>
      <c r="Q351" s="13">
        <f t="shared" si="220"/>
        <v>148.80000000000001</v>
      </c>
      <c r="R351" s="13">
        <v>0</v>
      </c>
      <c r="S351" s="13">
        <f t="shared" si="224"/>
        <v>0</v>
      </c>
      <c r="T351" s="13">
        <f t="shared" si="221"/>
        <v>744</v>
      </c>
      <c r="U351" s="13">
        <f t="shared" si="222"/>
        <v>744</v>
      </c>
      <c r="V351" s="13">
        <v>0</v>
      </c>
      <c r="W351" s="13">
        <f t="shared" si="223"/>
        <v>0</v>
      </c>
    </row>
    <row r="352" spans="1:23" s="9" customFormat="1">
      <c r="A352" s="9" t="s">
        <v>298</v>
      </c>
      <c r="B352" s="9" t="s">
        <v>281</v>
      </c>
      <c r="C352" s="9">
        <v>5614</v>
      </c>
      <c r="D352" s="9" t="s">
        <v>304</v>
      </c>
      <c r="G352" s="9">
        <v>2007</v>
      </c>
      <c r="H352" s="9">
        <v>1</v>
      </c>
      <c r="I352" s="9">
        <v>0</v>
      </c>
      <c r="J352" s="9" t="s">
        <v>78</v>
      </c>
      <c r="K352" s="9">
        <v>5</v>
      </c>
      <c r="L352" s="9">
        <f t="shared" si="216"/>
        <v>2012</v>
      </c>
      <c r="M352" s="114">
        <f t="shared" si="217"/>
        <v>2012.0833333333333</v>
      </c>
      <c r="N352" s="13">
        <v>1028.8499999999999</v>
      </c>
      <c r="O352" s="13">
        <f t="shared" si="218"/>
        <v>1028.8499999999999</v>
      </c>
      <c r="P352" s="13">
        <f t="shared" si="219"/>
        <v>17.147499999999997</v>
      </c>
      <c r="Q352" s="13">
        <f t="shared" si="220"/>
        <v>205.76999999999998</v>
      </c>
      <c r="R352" s="13">
        <v>0</v>
      </c>
      <c r="S352" s="13">
        <f t="shared" si="224"/>
        <v>0</v>
      </c>
      <c r="T352" s="13">
        <f t="shared" si="221"/>
        <v>1028.8499999999999</v>
      </c>
      <c r="U352" s="13">
        <f t="shared" si="222"/>
        <v>1028.8499999999999</v>
      </c>
      <c r="V352" s="13">
        <v>0</v>
      </c>
      <c r="W352" s="13">
        <f t="shared" si="223"/>
        <v>0</v>
      </c>
    </row>
    <row r="353" spans="1:23" s="9" customFormat="1">
      <c r="A353" s="9" t="s">
        <v>298</v>
      </c>
      <c r="B353" s="9" t="s">
        <v>281</v>
      </c>
      <c r="C353" s="9">
        <v>5617</v>
      </c>
      <c r="D353" s="9" t="s">
        <v>305</v>
      </c>
      <c r="G353" s="9">
        <v>2007</v>
      </c>
      <c r="H353" s="9">
        <v>2</v>
      </c>
      <c r="I353" s="9">
        <v>0</v>
      </c>
      <c r="J353" s="9" t="s">
        <v>78</v>
      </c>
      <c r="K353" s="9">
        <v>7</v>
      </c>
      <c r="L353" s="9">
        <f t="shared" si="216"/>
        <v>2014</v>
      </c>
      <c r="M353" s="114">
        <f t="shared" si="217"/>
        <v>2014.1666666666667</v>
      </c>
      <c r="N353" s="13">
        <f>'2180 Trucks - Orig.'!O286</f>
        <v>6550.1120000000001</v>
      </c>
      <c r="O353" s="13">
        <f t="shared" si="218"/>
        <v>6550.1120000000001</v>
      </c>
      <c r="P353" s="13">
        <f t="shared" si="219"/>
        <v>77.977523809523817</v>
      </c>
      <c r="Q353" s="13">
        <f t="shared" si="220"/>
        <v>935.73028571428586</v>
      </c>
      <c r="R353" s="13">
        <v>0</v>
      </c>
      <c r="S353" s="13">
        <f t="shared" si="224"/>
        <v>0</v>
      </c>
      <c r="T353" s="13">
        <f t="shared" si="221"/>
        <v>6550.1120000000001</v>
      </c>
      <c r="U353" s="13">
        <f t="shared" si="222"/>
        <v>6550.1120000000001</v>
      </c>
      <c r="V353" s="13">
        <v>0</v>
      </c>
      <c r="W353" s="13">
        <f t="shared" si="223"/>
        <v>0</v>
      </c>
    </row>
    <row r="354" spans="1:23" s="15" customFormat="1">
      <c r="D354" s="15" t="s">
        <v>306</v>
      </c>
      <c r="G354" s="15">
        <v>2018</v>
      </c>
      <c r="H354" s="15">
        <v>12</v>
      </c>
      <c r="I354" s="15">
        <v>0</v>
      </c>
      <c r="J354" s="15" t="s">
        <v>78</v>
      </c>
      <c r="K354" s="15">
        <f>+IF(L353-$O$3&gt;=3,L353-$O$3,3)</f>
        <v>3</v>
      </c>
      <c r="L354" s="15">
        <f t="shared" si="216"/>
        <v>2021</v>
      </c>
      <c r="M354" s="145">
        <f>+L354+(H354/12)</f>
        <v>2022</v>
      </c>
      <c r="N354" s="16">
        <f>'2180 Trucks - Orig.'!N286-'2180 Trucks'!N353</f>
        <v>1637.5280000000002</v>
      </c>
      <c r="O354" s="16">
        <f>N354-N354*I354</f>
        <v>1637.5280000000002</v>
      </c>
      <c r="P354" s="16">
        <f>O354/K354/12</f>
        <v>45.486888888888899</v>
      </c>
      <c r="Q354" s="16">
        <f>P354*12</f>
        <v>545.84266666666679</v>
      </c>
      <c r="R354" s="16">
        <v>545.84266666666679</v>
      </c>
      <c r="S354" s="16">
        <f t="shared" si="224"/>
        <v>0</v>
      </c>
      <c r="T354" s="16">
        <f t="shared" si="221"/>
        <v>1637.5280000000002</v>
      </c>
      <c r="U354" s="16">
        <f t="shared" si="222"/>
        <v>1637.5280000000002</v>
      </c>
      <c r="V354" s="16">
        <v>1091.6853333333333</v>
      </c>
      <c r="W354" s="16">
        <f t="shared" si="223"/>
        <v>0</v>
      </c>
    </row>
    <row r="355" spans="1:23" s="9" customFormat="1">
      <c r="A355" s="9" t="s">
        <v>298</v>
      </c>
      <c r="B355" s="9" t="s">
        <v>281</v>
      </c>
      <c r="C355" s="9">
        <v>5617</v>
      </c>
      <c r="D355" s="9" t="s">
        <v>302</v>
      </c>
      <c r="G355" s="9">
        <v>2007</v>
      </c>
      <c r="H355" s="9">
        <v>4</v>
      </c>
      <c r="I355" s="9">
        <v>0</v>
      </c>
      <c r="J355" s="9" t="s">
        <v>78</v>
      </c>
      <c r="K355" s="9">
        <v>7</v>
      </c>
      <c r="L355" s="9">
        <f t="shared" si="216"/>
        <v>2014</v>
      </c>
      <c r="M355" s="114">
        <f t="shared" si="217"/>
        <v>2014.3333333333333</v>
      </c>
      <c r="N355" s="13">
        <f>'2180 Trucks - Orig.'!O287</f>
        <v>79295.240000000005</v>
      </c>
      <c r="O355" s="13">
        <f t="shared" si="218"/>
        <v>79295.240000000005</v>
      </c>
      <c r="P355" s="13">
        <f t="shared" si="219"/>
        <v>943.99095238095242</v>
      </c>
      <c r="Q355" s="13">
        <f t="shared" si="220"/>
        <v>11327.891428571429</v>
      </c>
      <c r="R355" s="13">
        <v>0</v>
      </c>
      <c r="S355" s="13">
        <f t="shared" si="224"/>
        <v>0</v>
      </c>
      <c r="T355" s="13">
        <f t="shared" si="221"/>
        <v>79295.240000000005</v>
      </c>
      <c r="U355" s="13">
        <f t="shared" si="222"/>
        <v>79295.240000000005</v>
      </c>
      <c r="V355" s="13">
        <v>0</v>
      </c>
      <c r="W355" s="13">
        <f t="shared" si="223"/>
        <v>0</v>
      </c>
    </row>
    <row r="356" spans="1:23" s="15" customFormat="1">
      <c r="D356" s="15" t="s">
        <v>303</v>
      </c>
      <c r="G356" s="15">
        <v>2018</v>
      </c>
      <c r="H356" s="15">
        <v>12</v>
      </c>
      <c r="I356" s="15">
        <v>0</v>
      </c>
      <c r="J356" s="15" t="s">
        <v>78</v>
      </c>
      <c r="K356" s="15">
        <f>+IF(L355-$O$3&gt;=3,L355-$O$3,3)</f>
        <v>3</v>
      </c>
      <c r="L356" s="15">
        <f t="shared" si="216"/>
        <v>2021</v>
      </c>
      <c r="M356" s="145">
        <f>+L356+(H356/12)</f>
        <v>2022</v>
      </c>
      <c r="N356" s="16">
        <f>'2180 Trucks - Orig.'!N287-'2180 Trucks'!N355</f>
        <v>19823.809999999998</v>
      </c>
      <c r="O356" s="16">
        <f>N356-N356*I356</f>
        <v>19823.809999999998</v>
      </c>
      <c r="P356" s="16">
        <f>O356/K356/12</f>
        <v>550.66138888888884</v>
      </c>
      <c r="Q356" s="16">
        <f>P356*12</f>
        <v>6607.9366666666665</v>
      </c>
      <c r="R356" s="16">
        <v>6607.9366666666665</v>
      </c>
      <c r="S356" s="16">
        <f t="shared" si="224"/>
        <v>0</v>
      </c>
      <c r="T356" s="16">
        <f t="shared" si="221"/>
        <v>19823.809999999998</v>
      </c>
      <c r="U356" s="16">
        <f t="shared" si="222"/>
        <v>19823.809999999998</v>
      </c>
      <c r="V356" s="16">
        <v>13215.873333333331</v>
      </c>
      <c r="W356" s="16">
        <f t="shared" si="223"/>
        <v>0</v>
      </c>
    </row>
    <row r="357" spans="1:23" s="9" customFormat="1">
      <c r="A357" s="9" t="s">
        <v>298</v>
      </c>
      <c r="B357" s="9" t="s">
        <v>281</v>
      </c>
      <c r="C357" s="9">
        <v>5614</v>
      </c>
      <c r="D357" s="9" t="s">
        <v>307</v>
      </c>
      <c r="G357" s="9">
        <v>2007</v>
      </c>
      <c r="H357" s="9">
        <v>7</v>
      </c>
      <c r="I357" s="9">
        <v>0</v>
      </c>
      <c r="J357" s="9" t="s">
        <v>78</v>
      </c>
      <c r="K357" s="9">
        <v>3</v>
      </c>
      <c r="L357" s="9">
        <f t="shared" si="216"/>
        <v>2010</v>
      </c>
      <c r="M357" s="114">
        <f t="shared" si="217"/>
        <v>2010.5833333333333</v>
      </c>
      <c r="N357" s="13">
        <v>8452.2000000000007</v>
      </c>
      <c r="O357" s="13">
        <f t="shared" si="218"/>
        <v>8452.2000000000007</v>
      </c>
      <c r="P357" s="13">
        <f t="shared" si="219"/>
        <v>234.78333333333333</v>
      </c>
      <c r="Q357" s="13">
        <f t="shared" si="220"/>
        <v>2817.4</v>
      </c>
      <c r="R357" s="13">
        <v>0</v>
      </c>
      <c r="S357" s="13">
        <f t="shared" si="224"/>
        <v>0</v>
      </c>
      <c r="T357" s="13">
        <f t="shared" si="221"/>
        <v>8452.2000000000007</v>
      </c>
      <c r="U357" s="13">
        <f t="shared" si="222"/>
        <v>8452.2000000000007</v>
      </c>
      <c r="V357" s="13">
        <v>0</v>
      </c>
      <c r="W357" s="13">
        <f t="shared" si="223"/>
        <v>0</v>
      </c>
    </row>
    <row r="358" spans="1:23" s="9" customFormat="1">
      <c r="A358" s="9" t="s">
        <v>308</v>
      </c>
      <c r="B358" s="9" t="s">
        <v>309</v>
      </c>
      <c r="C358" s="9">
        <v>5621</v>
      </c>
      <c r="D358" s="9" t="s">
        <v>310</v>
      </c>
      <c r="G358" s="9">
        <v>2007</v>
      </c>
      <c r="H358" s="9">
        <v>12</v>
      </c>
      <c r="I358" s="9">
        <v>0</v>
      </c>
      <c r="J358" s="9" t="s">
        <v>78</v>
      </c>
      <c r="K358" s="9">
        <v>7</v>
      </c>
      <c r="L358" s="9">
        <f t="shared" si="216"/>
        <v>2014</v>
      </c>
      <c r="M358" s="114">
        <f t="shared" si="217"/>
        <v>2015</v>
      </c>
      <c r="N358" s="13">
        <f>'2180 Trucks - Orig.'!O289</f>
        <v>92342.271999999997</v>
      </c>
      <c r="O358" s="13">
        <f t="shared" si="218"/>
        <v>92342.271999999997</v>
      </c>
      <c r="P358" s="13">
        <f t="shared" si="219"/>
        <v>1099.3127619047618</v>
      </c>
      <c r="Q358" s="13">
        <f t="shared" si="220"/>
        <v>13191.753142857142</v>
      </c>
      <c r="R358" s="13">
        <v>0</v>
      </c>
      <c r="S358" s="13">
        <f t="shared" si="224"/>
        <v>0</v>
      </c>
      <c r="T358" s="13">
        <f t="shared" si="221"/>
        <v>92342.271999999997</v>
      </c>
      <c r="U358" s="13">
        <f t="shared" si="222"/>
        <v>92342.271999999997</v>
      </c>
      <c r="V358" s="13">
        <v>0</v>
      </c>
      <c r="W358" s="13">
        <f t="shared" si="223"/>
        <v>0</v>
      </c>
    </row>
    <row r="359" spans="1:23" s="15" customFormat="1">
      <c r="D359" s="15" t="s">
        <v>311</v>
      </c>
      <c r="G359" s="15">
        <v>2018</v>
      </c>
      <c r="H359" s="15">
        <v>12</v>
      </c>
      <c r="I359" s="15">
        <v>0</v>
      </c>
      <c r="J359" s="15" t="s">
        <v>78</v>
      </c>
      <c r="K359" s="15">
        <f>+IF(L358-$O$3&gt;=3,L358-$O$3,3)</f>
        <v>3</v>
      </c>
      <c r="L359" s="15">
        <f t="shared" si="216"/>
        <v>2021</v>
      </c>
      <c r="M359" s="145">
        <f>+L359+(H359/12)</f>
        <v>2022</v>
      </c>
      <c r="N359" s="16">
        <f>'2180 Trucks - Orig.'!N289-'2180 Trucks'!N358</f>
        <v>23085.567999999999</v>
      </c>
      <c r="O359" s="16">
        <f>N359-N359*I359</f>
        <v>23085.567999999999</v>
      </c>
      <c r="P359" s="16">
        <f>O359/K359/12</f>
        <v>641.26577777777777</v>
      </c>
      <c r="Q359" s="16">
        <f>P359*12</f>
        <v>7695.1893333333337</v>
      </c>
      <c r="R359" s="16">
        <v>7695.1893333333337</v>
      </c>
      <c r="S359" s="16">
        <f t="shared" si="224"/>
        <v>0</v>
      </c>
      <c r="T359" s="16">
        <f t="shared" si="221"/>
        <v>23085.567999999999</v>
      </c>
      <c r="U359" s="16">
        <f t="shared" si="222"/>
        <v>23085.567999999999</v>
      </c>
      <c r="V359" s="16">
        <v>15390.378666666666</v>
      </c>
      <c r="W359" s="16">
        <f t="shared" si="223"/>
        <v>0</v>
      </c>
    </row>
    <row r="360" spans="1:23" s="9" customFormat="1">
      <c r="A360" s="9" t="s">
        <v>298</v>
      </c>
      <c r="C360" s="9">
        <v>5614</v>
      </c>
      <c r="D360" s="9" t="s">
        <v>312</v>
      </c>
      <c r="E360" s="9">
        <v>112504</v>
      </c>
      <c r="F360" s="9">
        <v>90536</v>
      </c>
      <c r="G360" s="9">
        <v>2014</v>
      </c>
      <c r="H360" s="9">
        <v>2</v>
      </c>
      <c r="I360" s="9">
        <v>0</v>
      </c>
      <c r="J360" s="9" t="s">
        <v>78</v>
      </c>
      <c r="K360" s="9">
        <v>3</v>
      </c>
      <c r="L360" s="9">
        <f t="shared" si="216"/>
        <v>2017</v>
      </c>
      <c r="M360" s="114">
        <f t="shared" si="217"/>
        <v>2017.1666666666667</v>
      </c>
      <c r="N360" s="13">
        <v>8067.17</v>
      </c>
      <c r="O360" s="13">
        <f t="shared" si="218"/>
        <v>8067.17</v>
      </c>
      <c r="P360" s="13">
        <f t="shared" si="219"/>
        <v>224.08805555555557</v>
      </c>
      <c r="Q360" s="13">
        <f t="shared" si="220"/>
        <v>2689.0566666666668</v>
      </c>
      <c r="R360" s="13">
        <v>0</v>
      </c>
      <c r="S360" s="13">
        <f t="shared" si="224"/>
        <v>0</v>
      </c>
      <c r="T360" s="13">
        <f t="shared" si="221"/>
        <v>8067.17</v>
      </c>
      <c r="U360" s="13">
        <f t="shared" si="222"/>
        <v>8067.17</v>
      </c>
      <c r="V360" s="13">
        <v>0</v>
      </c>
      <c r="W360" s="13">
        <f t="shared" si="223"/>
        <v>0</v>
      </c>
    </row>
    <row r="361" spans="1:23" s="9" customFormat="1">
      <c r="C361" s="9">
        <v>5594</v>
      </c>
      <c r="D361" s="9" t="s">
        <v>313</v>
      </c>
      <c r="E361" s="9">
        <v>183497</v>
      </c>
      <c r="G361" s="9">
        <v>2017</v>
      </c>
      <c r="H361" s="9">
        <v>5</v>
      </c>
      <c r="I361" s="9">
        <v>0</v>
      </c>
      <c r="J361" s="9" t="s">
        <v>78</v>
      </c>
      <c r="K361" s="9">
        <v>3</v>
      </c>
      <c r="L361" s="9">
        <f t="shared" si="216"/>
        <v>2020</v>
      </c>
      <c r="M361" s="114">
        <f t="shared" si="217"/>
        <v>2020.4166666666667</v>
      </c>
      <c r="N361" s="13">
        <v>14357</v>
      </c>
      <c r="O361" s="13">
        <f t="shared" si="218"/>
        <v>14357</v>
      </c>
      <c r="P361" s="13">
        <f t="shared" si="219"/>
        <v>398.8055555555556</v>
      </c>
      <c r="Q361" s="13">
        <f t="shared" si="220"/>
        <v>4785.666666666667</v>
      </c>
      <c r="R361" s="13">
        <v>4785.666666666667</v>
      </c>
      <c r="S361" s="13">
        <f t="shared" si="224"/>
        <v>0</v>
      </c>
      <c r="T361" s="13">
        <f t="shared" si="221"/>
        <v>14357</v>
      </c>
      <c r="U361" s="13">
        <f t="shared" si="222"/>
        <v>14357</v>
      </c>
      <c r="V361" s="13">
        <v>4785.6666666666661</v>
      </c>
      <c r="W361" s="13">
        <f t="shared" si="223"/>
        <v>0</v>
      </c>
    </row>
    <row r="362" spans="1:23" s="9" customFormat="1">
      <c r="M362" s="114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s="9" customFormat="1">
      <c r="M363" s="114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s="9" customFormat="1">
      <c r="L364" s="159" t="s">
        <v>314</v>
      </c>
      <c r="M364" s="114"/>
      <c r="N364" s="150">
        <f t="shared" ref="N364:W364" si="225">SUM(N324:N363)</f>
        <v>882782.36999999988</v>
      </c>
      <c r="O364" s="150">
        <f t="shared" si="225"/>
        <v>882782.36999999988</v>
      </c>
      <c r="P364" s="150">
        <f t="shared" si="225"/>
        <v>13707.87353174603</v>
      </c>
      <c r="Q364" s="150">
        <f t="shared" si="225"/>
        <v>164494.4823809524</v>
      </c>
      <c r="R364" s="150"/>
      <c r="S364" s="150">
        <f t="shared" si="225"/>
        <v>0</v>
      </c>
      <c r="T364" s="150">
        <f t="shared" si="225"/>
        <v>882782.36999999988</v>
      </c>
      <c r="U364" s="150">
        <f t="shared" si="225"/>
        <v>882782.36999999988</v>
      </c>
      <c r="V364" s="150"/>
      <c r="W364" s="150">
        <f t="shared" si="225"/>
        <v>0</v>
      </c>
    </row>
    <row r="365" spans="1:23" s="9" customFormat="1">
      <c r="M365" s="114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s="9" customFormat="1">
      <c r="M366" s="114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s="9" customFormat="1">
      <c r="M367" s="114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s="9" customFormat="1">
      <c r="B368" s="142" t="s">
        <v>13</v>
      </c>
      <c r="M368" s="114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s="9" customFormat="1">
      <c r="A369" s="9" t="s">
        <v>75</v>
      </c>
      <c r="B369" s="9" t="s">
        <v>93</v>
      </c>
      <c r="C369" s="9">
        <v>9578</v>
      </c>
      <c r="D369" s="9" t="s">
        <v>315</v>
      </c>
      <c r="G369" s="9">
        <v>2005</v>
      </c>
      <c r="H369" s="9">
        <v>8</v>
      </c>
      <c r="I369" s="9">
        <v>0</v>
      </c>
      <c r="J369" s="9" t="s">
        <v>78</v>
      </c>
      <c r="K369" s="9">
        <v>5</v>
      </c>
      <c r="L369" s="9">
        <f t="shared" ref="L369:L382" si="226">G369+K369</f>
        <v>2010</v>
      </c>
      <c r="M369" s="146">
        <f t="shared" ref="M369:M382" si="227">+L369+(H369/12)</f>
        <v>2010.6666666666667</v>
      </c>
      <c r="N369" s="13">
        <f>'2180 Trucks - Orig.'!O24</f>
        <v>15096.105</v>
      </c>
      <c r="O369" s="13">
        <f t="shared" ref="O369:O382" si="228">N369-N369*I369</f>
        <v>15096.105</v>
      </c>
      <c r="P369" s="13">
        <f t="shared" ref="P369:P382" si="229">O369/K369/12</f>
        <v>251.60175000000001</v>
      </c>
      <c r="Q369" s="13">
        <f t="shared" ref="Q369:Q382" si="230">P369*12</f>
        <v>3019.221</v>
      </c>
      <c r="R369" s="13">
        <v>0</v>
      </c>
      <c r="S369" s="13">
        <f t="shared" ref="S369:S382" si="231">+IF(M369&lt;=$O$5,0,IF(L369&gt;$O$4,Q369,(P369*H369)))</f>
        <v>0</v>
      </c>
      <c r="T369" s="13">
        <f t="shared" ref="T369:T382" si="232">+IF(S369=0,N369,IF($O$3-G369&lt;1,0,(($O$3-G369)*Q369)))</f>
        <v>15096.105</v>
      </c>
      <c r="U369" s="13">
        <f t="shared" ref="U369:U382" si="233">+IF(S369=0,T369,T369+S369)</f>
        <v>15096.105</v>
      </c>
      <c r="V369" s="13">
        <v>0</v>
      </c>
      <c r="W369" s="13">
        <f t="shared" ref="W369:W382" si="234">+N369-U369</f>
        <v>0</v>
      </c>
    </row>
    <row r="370" spans="1:23" s="15" customFormat="1">
      <c r="D370" s="15" t="s">
        <v>316</v>
      </c>
      <c r="G370" s="15">
        <v>2018</v>
      </c>
      <c r="H370" s="15">
        <v>12</v>
      </c>
      <c r="I370" s="15">
        <v>0</v>
      </c>
      <c r="J370" s="15" t="s">
        <v>78</v>
      </c>
      <c r="K370" s="15">
        <f>+IF(L369-$O$3&gt;=3,L369-$O$3,3)</f>
        <v>3</v>
      </c>
      <c r="L370" s="15">
        <f t="shared" si="226"/>
        <v>2021</v>
      </c>
      <c r="M370" s="178">
        <f t="shared" si="227"/>
        <v>2022</v>
      </c>
      <c r="N370" s="16">
        <f>'2180 Trucks - Orig.'!N24-'2180 Trucks'!N369</f>
        <v>7435.3950000000004</v>
      </c>
      <c r="O370" s="16">
        <f t="shared" si="228"/>
        <v>7435.3950000000004</v>
      </c>
      <c r="P370" s="16">
        <f t="shared" si="229"/>
        <v>206.53875000000002</v>
      </c>
      <c r="Q370" s="16">
        <f t="shared" si="230"/>
        <v>2478.4650000000001</v>
      </c>
      <c r="R370" s="16">
        <v>2478.4650000000001</v>
      </c>
      <c r="S370" s="16">
        <f t="shared" si="231"/>
        <v>0</v>
      </c>
      <c r="T370" s="16">
        <f t="shared" si="232"/>
        <v>7435.3950000000004</v>
      </c>
      <c r="U370" s="16">
        <f t="shared" si="233"/>
        <v>7435.3950000000004</v>
      </c>
      <c r="V370" s="16">
        <v>4956.93</v>
      </c>
      <c r="W370" s="16">
        <f t="shared" si="234"/>
        <v>0</v>
      </c>
    </row>
    <row r="371" spans="1:23" s="9" customFormat="1">
      <c r="A371" s="9" t="s">
        <v>246</v>
      </c>
      <c r="B371" s="9" t="s">
        <v>207</v>
      </c>
      <c r="C371" s="9">
        <v>4517</v>
      </c>
      <c r="D371" s="9" t="s">
        <v>317</v>
      </c>
      <c r="E371" s="9">
        <v>86841</v>
      </c>
      <c r="G371" s="9">
        <v>2004</v>
      </c>
      <c r="H371" s="9">
        <v>2</v>
      </c>
      <c r="I371" s="9">
        <v>0</v>
      </c>
      <c r="J371" s="9" t="s">
        <v>78</v>
      </c>
      <c r="K371" s="9">
        <v>7</v>
      </c>
      <c r="L371" s="9">
        <f t="shared" si="226"/>
        <v>2011</v>
      </c>
      <c r="M371" s="146">
        <f t="shared" si="227"/>
        <v>2011.1666666666667</v>
      </c>
      <c r="N371" s="13">
        <f>'2180 Trucks - Orig.'!O21</f>
        <v>57530</v>
      </c>
      <c r="O371" s="13">
        <f t="shared" si="228"/>
        <v>57530</v>
      </c>
      <c r="P371" s="13">
        <f t="shared" si="229"/>
        <v>684.88095238095241</v>
      </c>
      <c r="Q371" s="13">
        <f t="shared" si="230"/>
        <v>8218.5714285714294</v>
      </c>
      <c r="R371" s="13">
        <v>0</v>
      </c>
      <c r="S371" s="13">
        <f t="shared" si="231"/>
        <v>0</v>
      </c>
      <c r="T371" s="13">
        <f t="shared" si="232"/>
        <v>57530</v>
      </c>
      <c r="U371" s="13">
        <f t="shared" si="233"/>
        <v>57530</v>
      </c>
      <c r="V371" s="13">
        <v>0</v>
      </c>
      <c r="W371" s="13">
        <f t="shared" si="234"/>
        <v>0</v>
      </c>
    </row>
    <row r="372" spans="1:23" s="15" customFormat="1">
      <c r="D372" s="15" t="s">
        <v>318</v>
      </c>
      <c r="G372" s="15">
        <v>2018</v>
      </c>
      <c r="H372" s="15">
        <v>12</v>
      </c>
      <c r="I372" s="15">
        <v>0</v>
      </c>
      <c r="J372" s="15" t="s">
        <v>78</v>
      </c>
      <c r="K372" s="15">
        <f>+IF(L371-$O$3&gt;=3,L371-$O$3,3)</f>
        <v>3</v>
      </c>
      <c r="L372" s="15">
        <f t="shared" si="226"/>
        <v>2021</v>
      </c>
      <c r="M372" s="178">
        <f t="shared" si="227"/>
        <v>2022</v>
      </c>
      <c r="N372" s="16">
        <f>'2180 Trucks - Orig.'!N21-'2180 Trucks'!N371</f>
        <v>14382.5</v>
      </c>
      <c r="O372" s="16">
        <f t="shared" si="228"/>
        <v>14382.5</v>
      </c>
      <c r="P372" s="16">
        <f t="shared" si="229"/>
        <v>399.51388888888891</v>
      </c>
      <c r="Q372" s="16">
        <f t="shared" si="230"/>
        <v>4794.166666666667</v>
      </c>
      <c r="R372" s="16">
        <v>4794.166666666667</v>
      </c>
      <c r="S372" s="16">
        <f t="shared" si="231"/>
        <v>0</v>
      </c>
      <c r="T372" s="16">
        <f t="shared" si="232"/>
        <v>14382.5</v>
      </c>
      <c r="U372" s="16">
        <f t="shared" si="233"/>
        <v>14382.5</v>
      </c>
      <c r="V372" s="16">
        <v>9588.3333333333321</v>
      </c>
      <c r="W372" s="16">
        <f t="shared" si="234"/>
        <v>0</v>
      </c>
    </row>
    <row r="373" spans="1:23" s="9" customFormat="1">
      <c r="A373" s="9" t="s">
        <v>174</v>
      </c>
      <c r="B373" s="9" t="s">
        <v>93</v>
      </c>
      <c r="C373" s="9">
        <v>9575</v>
      </c>
      <c r="D373" s="9" t="s">
        <v>319</v>
      </c>
      <c r="G373" s="9">
        <v>2005</v>
      </c>
      <c r="H373" s="9">
        <v>11</v>
      </c>
      <c r="I373" s="9">
        <v>0</v>
      </c>
      <c r="J373" s="9" t="s">
        <v>78</v>
      </c>
      <c r="K373" s="9">
        <v>7</v>
      </c>
      <c r="L373" s="9">
        <f t="shared" si="226"/>
        <v>2012</v>
      </c>
      <c r="M373" s="146">
        <f t="shared" si="227"/>
        <v>2012.9166666666667</v>
      </c>
      <c r="N373" s="13">
        <f>'2180 Trucks - Orig.'!O184</f>
        <v>30223.408000000003</v>
      </c>
      <c r="O373" s="13">
        <f t="shared" si="228"/>
        <v>30223.408000000003</v>
      </c>
      <c r="P373" s="13">
        <f t="shared" si="229"/>
        <v>359.80247619047623</v>
      </c>
      <c r="Q373" s="13">
        <f t="shared" si="230"/>
        <v>4317.6297142857147</v>
      </c>
      <c r="R373" s="13">
        <v>0</v>
      </c>
      <c r="S373" s="13">
        <f t="shared" si="231"/>
        <v>0</v>
      </c>
      <c r="T373" s="13">
        <f t="shared" si="232"/>
        <v>30223.408000000003</v>
      </c>
      <c r="U373" s="13">
        <f t="shared" si="233"/>
        <v>30223.408000000003</v>
      </c>
      <c r="V373" s="13">
        <v>0</v>
      </c>
      <c r="W373" s="13">
        <f t="shared" si="234"/>
        <v>0</v>
      </c>
    </row>
    <row r="374" spans="1:23" s="15" customFormat="1">
      <c r="D374" s="15" t="s">
        <v>320</v>
      </c>
      <c r="G374" s="15">
        <v>2018</v>
      </c>
      <c r="H374" s="15">
        <v>12</v>
      </c>
      <c r="I374" s="15">
        <v>0</v>
      </c>
      <c r="J374" s="15" t="s">
        <v>78</v>
      </c>
      <c r="K374" s="15">
        <f>+IF(L373-$O$3&gt;=3,L373-$O$3,3)</f>
        <v>3</v>
      </c>
      <c r="L374" s="15">
        <f t="shared" si="226"/>
        <v>2021</v>
      </c>
      <c r="M374" s="178">
        <f t="shared" si="227"/>
        <v>2022</v>
      </c>
      <c r="N374" s="16">
        <f>'2180 Trucks - Orig.'!N184-'2180 Trucks'!N373</f>
        <v>7555.851999999999</v>
      </c>
      <c r="O374" s="16">
        <f t="shared" si="228"/>
        <v>7555.851999999999</v>
      </c>
      <c r="P374" s="16">
        <f t="shared" si="229"/>
        <v>209.88477777777777</v>
      </c>
      <c r="Q374" s="16">
        <f t="shared" si="230"/>
        <v>2518.6173333333331</v>
      </c>
      <c r="R374" s="16">
        <v>2518.6173333333331</v>
      </c>
      <c r="S374" s="16">
        <f t="shared" si="231"/>
        <v>0</v>
      </c>
      <c r="T374" s="16">
        <f t="shared" si="232"/>
        <v>7555.851999999999</v>
      </c>
      <c r="U374" s="16">
        <f t="shared" si="233"/>
        <v>7555.851999999999</v>
      </c>
      <c r="V374" s="16">
        <v>5037.2346666666654</v>
      </c>
      <c r="W374" s="16">
        <f t="shared" si="234"/>
        <v>0</v>
      </c>
    </row>
    <row r="375" spans="1:23" s="9" customFormat="1">
      <c r="A375" s="9" t="s">
        <v>75</v>
      </c>
      <c r="B375" s="9" t="s">
        <v>93</v>
      </c>
      <c r="C375" s="9">
        <v>9572</v>
      </c>
      <c r="D375" s="9" t="s">
        <v>321</v>
      </c>
      <c r="E375" s="9">
        <v>78951</v>
      </c>
      <c r="F375" s="9" t="s">
        <v>97</v>
      </c>
      <c r="G375" s="9">
        <v>2010</v>
      </c>
      <c r="H375" s="9">
        <v>12</v>
      </c>
      <c r="I375" s="9">
        <v>0</v>
      </c>
      <c r="J375" s="9" t="s">
        <v>78</v>
      </c>
      <c r="K375" s="9">
        <v>5</v>
      </c>
      <c r="L375" s="9">
        <f t="shared" si="226"/>
        <v>2015</v>
      </c>
      <c r="M375" s="146">
        <f t="shared" si="227"/>
        <v>2016</v>
      </c>
      <c r="N375" s="13">
        <f>'2180 Trucks - Orig.'!O56</f>
        <v>10553.5586</v>
      </c>
      <c r="O375" s="13">
        <f t="shared" si="228"/>
        <v>10553.5586</v>
      </c>
      <c r="P375" s="13">
        <f t="shared" si="229"/>
        <v>175.89264333333335</v>
      </c>
      <c r="Q375" s="13">
        <f t="shared" si="230"/>
        <v>2110.7117200000002</v>
      </c>
      <c r="R375" s="13">
        <v>0</v>
      </c>
      <c r="S375" s="13">
        <f t="shared" si="231"/>
        <v>0</v>
      </c>
      <c r="T375" s="13">
        <f t="shared" si="232"/>
        <v>10553.5586</v>
      </c>
      <c r="U375" s="13">
        <f t="shared" si="233"/>
        <v>10553.5586</v>
      </c>
      <c r="V375" s="13">
        <v>0</v>
      </c>
      <c r="W375" s="13">
        <f t="shared" si="234"/>
        <v>0</v>
      </c>
    </row>
    <row r="376" spans="1:23" s="15" customFormat="1">
      <c r="D376" s="15" t="s">
        <v>322</v>
      </c>
      <c r="G376" s="15">
        <v>2018</v>
      </c>
      <c r="H376" s="15">
        <v>12</v>
      </c>
      <c r="I376" s="15">
        <v>0</v>
      </c>
      <c r="J376" s="15" t="s">
        <v>78</v>
      </c>
      <c r="K376" s="15">
        <f>+IF(L375-$O$3&gt;=3,L375-$O$3,3)</f>
        <v>3</v>
      </c>
      <c r="L376" s="15">
        <f t="shared" si="226"/>
        <v>2021</v>
      </c>
      <c r="M376" s="178">
        <f t="shared" si="227"/>
        <v>2022</v>
      </c>
      <c r="N376" s="16">
        <f>'2180 Trucks - Orig.'!N56-'2180 Trucks'!N375</f>
        <v>5198.0213999999996</v>
      </c>
      <c r="O376" s="16">
        <f t="shared" si="228"/>
        <v>5198.0213999999996</v>
      </c>
      <c r="P376" s="16">
        <f t="shared" si="229"/>
        <v>144.38948333333332</v>
      </c>
      <c r="Q376" s="16">
        <f t="shared" si="230"/>
        <v>1732.6737999999998</v>
      </c>
      <c r="R376" s="16">
        <v>1732.6737999999998</v>
      </c>
      <c r="S376" s="16">
        <f t="shared" si="231"/>
        <v>0</v>
      </c>
      <c r="T376" s="16">
        <f t="shared" si="232"/>
        <v>5198.0213999999996</v>
      </c>
      <c r="U376" s="16">
        <f t="shared" si="233"/>
        <v>5198.0213999999996</v>
      </c>
      <c r="V376" s="16">
        <v>3465.3476000000001</v>
      </c>
      <c r="W376" s="16">
        <f t="shared" si="234"/>
        <v>0</v>
      </c>
    </row>
    <row r="377" spans="1:23" s="9" customFormat="1">
      <c r="B377" s="9" t="s">
        <v>93</v>
      </c>
      <c r="C377" s="9">
        <v>9570</v>
      </c>
      <c r="D377" s="9" t="s">
        <v>323</v>
      </c>
      <c r="E377" s="9">
        <v>105945</v>
      </c>
      <c r="G377" s="9">
        <v>2013</v>
      </c>
      <c r="H377" s="9">
        <v>7</v>
      </c>
      <c r="I377" s="9">
        <v>0</v>
      </c>
      <c r="J377" s="9" t="s">
        <v>78</v>
      </c>
      <c r="K377" s="9">
        <v>10</v>
      </c>
      <c r="L377" s="9">
        <f t="shared" si="226"/>
        <v>2023</v>
      </c>
      <c r="M377" s="146">
        <f t="shared" si="227"/>
        <v>2023.5833333333333</v>
      </c>
      <c r="N377" s="13">
        <v>53720.41</v>
      </c>
      <c r="O377" s="13">
        <f t="shared" si="228"/>
        <v>53720.41</v>
      </c>
      <c r="P377" s="13">
        <f t="shared" si="229"/>
        <v>447.67008333333337</v>
      </c>
      <c r="Q377" s="13">
        <f t="shared" si="230"/>
        <v>5372.0410000000002</v>
      </c>
      <c r="R377" s="13">
        <v>5372.0410000000002</v>
      </c>
      <c r="S377" s="13">
        <f t="shared" si="231"/>
        <v>5372.0410000000002</v>
      </c>
      <c r="T377" s="13">
        <f t="shared" si="232"/>
        <v>42976.328000000001</v>
      </c>
      <c r="U377" s="13">
        <f t="shared" si="233"/>
        <v>48348.368999999999</v>
      </c>
      <c r="V377" s="13">
        <v>21488.164000000001</v>
      </c>
      <c r="W377" s="13">
        <f t="shared" si="234"/>
        <v>5372.0410000000047</v>
      </c>
    </row>
    <row r="378" spans="1:23" s="9" customFormat="1">
      <c r="B378" s="9" t="s">
        <v>93</v>
      </c>
      <c r="C378" s="9">
        <v>3308</v>
      </c>
      <c r="D378" s="9" t="s">
        <v>324</v>
      </c>
      <c r="E378" s="9">
        <v>107324</v>
      </c>
      <c r="G378" s="9">
        <v>2013</v>
      </c>
      <c r="H378" s="9">
        <v>9</v>
      </c>
      <c r="I378" s="9">
        <v>0</v>
      </c>
      <c r="J378" s="9" t="s">
        <v>78</v>
      </c>
      <c r="K378" s="9">
        <v>6</v>
      </c>
      <c r="L378" s="9">
        <f t="shared" si="226"/>
        <v>2019</v>
      </c>
      <c r="M378" s="146">
        <f t="shared" si="227"/>
        <v>2019.75</v>
      </c>
      <c r="N378" s="13">
        <v>125924.63</v>
      </c>
      <c r="O378" s="13">
        <f t="shared" si="228"/>
        <v>125924.63</v>
      </c>
      <c r="P378" s="13">
        <f t="shared" si="229"/>
        <v>1748.9531944444445</v>
      </c>
      <c r="Q378" s="13">
        <f t="shared" si="230"/>
        <v>20987.438333333335</v>
      </c>
      <c r="R378" s="13">
        <v>15740.578750000001</v>
      </c>
      <c r="S378" s="13">
        <v>0</v>
      </c>
      <c r="T378" s="13">
        <f t="shared" si="232"/>
        <v>125924.63</v>
      </c>
      <c r="U378" s="13">
        <f t="shared" si="233"/>
        <v>125924.63</v>
      </c>
      <c r="V378" s="13">
        <v>5246.8595833333238</v>
      </c>
      <c r="W378" s="13">
        <f t="shared" si="234"/>
        <v>0</v>
      </c>
    </row>
    <row r="379" spans="1:23" s="9" customFormat="1">
      <c r="B379" s="9" t="s">
        <v>93</v>
      </c>
      <c r="C379" s="9">
        <v>3308</v>
      </c>
      <c r="D379" s="9" t="s">
        <v>325</v>
      </c>
      <c r="E379" s="9">
        <v>107573</v>
      </c>
      <c r="G379" s="9">
        <v>2013</v>
      </c>
      <c r="H379" s="9">
        <v>9</v>
      </c>
      <c r="I379" s="9">
        <v>0</v>
      </c>
      <c r="J379" s="9" t="s">
        <v>78</v>
      </c>
      <c r="K379" s="9">
        <v>7</v>
      </c>
      <c r="L379" s="9">
        <f t="shared" si="226"/>
        <v>2020</v>
      </c>
      <c r="M379" s="146">
        <f t="shared" si="227"/>
        <v>2020.75</v>
      </c>
      <c r="N379" s="13">
        <v>602.30999999999995</v>
      </c>
      <c r="O379" s="13">
        <f t="shared" si="228"/>
        <v>602.30999999999995</v>
      </c>
      <c r="P379" s="13">
        <f t="shared" si="229"/>
        <v>7.1703571428571422</v>
      </c>
      <c r="Q379" s="13">
        <f t="shared" si="230"/>
        <v>86.044285714285706</v>
      </c>
      <c r="R379" s="13">
        <v>86.044285714285706</v>
      </c>
      <c r="S379" s="13">
        <f t="shared" si="231"/>
        <v>0</v>
      </c>
      <c r="T379" s="13">
        <f t="shared" si="232"/>
        <v>602.30999999999995</v>
      </c>
      <c r="U379" s="13">
        <f t="shared" si="233"/>
        <v>602.30999999999995</v>
      </c>
      <c r="V379" s="13">
        <v>86.044285714285706</v>
      </c>
      <c r="W379" s="13">
        <f t="shared" si="234"/>
        <v>0</v>
      </c>
    </row>
    <row r="380" spans="1:23" s="9" customFormat="1">
      <c r="B380" s="9" t="s">
        <v>93</v>
      </c>
      <c r="C380" s="9">
        <v>9560</v>
      </c>
      <c r="D380" s="9" t="s">
        <v>326</v>
      </c>
      <c r="E380" s="9">
        <v>114984</v>
      </c>
      <c r="G380" s="9">
        <v>2014</v>
      </c>
      <c r="H380" s="9">
        <v>8</v>
      </c>
      <c r="I380" s="9">
        <v>0</v>
      </c>
      <c r="J380" s="9" t="s">
        <v>78</v>
      </c>
      <c r="K380" s="9">
        <v>10</v>
      </c>
      <c r="L380" s="9">
        <f t="shared" si="226"/>
        <v>2024</v>
      </c>
      <c r="M380" s="146">
        <f t="shared" si="227"/>
        <v>2024.6666666666667</v>
      </c>
      <c r="N380" s="13">
        <v>59098.89</v>
      </c>
      <c r="O380" s="13">
        <f t="shared" si="228"/>
        <v>59098.89</v>
      </c>
      <c r="P380" s="13">
        <f t="shared" si="229"/>
        <v>492.49074999999999</v>
      </c>
      <c r="Q380" s="13">
        <f t="shared" si="230"/>
        <v>5909.8890000000001</v>
      </c>
      <c r="R380" s="13">
        <v>5909.8890000000001</v>
      </c>
      <c r="S380" s="13">
        <f t="shared" si="231"/>
        <v>5909.8890000000001</v>
      </c>
      <c r="T380" s="13">
        <f t="shared" si="232"/>
        <v>41369.222999999998</v>
      </c>
      <c r="U380" s="13">
        <f t="shared" si="233"/>
        <v>47279.112000000001</v>
      </c>
      <c r="V380" s="13">
        <v>29549.445</v>
      </c>
      <c r="W380" s="13">
        <f t="shared" si="234"/>
        <v>11819.777999999998</v>
      </c>
    </row>
    <row r="381" spans="1:23" s="9" customFormat="1">
      <c r="B381" s="9" t="s">
        <v>93</v>
      </c>
      <c r="C381" s="9">
        <v>4521</v>
      </c>
      <c r="D381" s="9" t="s">
        <v>327</v>
      </c>
      <c r="E381" s="9">
        <v>169028</v>
      </c>
      <c r="G381" s="9">
        <v>2016</v>
      </c>
      <c r="H381" s="9">
        <v>9</v>
      </c>
      <c r="I381" s="9">
        <v>0</v>
      </c>
      <c r="J381" s="9" t="s">
        <v>78</v>
      </c>
      <c r="K381" s="9">
        <v>10</v>
      </c>
      <c r="L381" s="9">
        <f t="shared" si="226"/>
        <v>2026</v>
      </c>
      <c r="M381" s="146">
        <f t="shared" si="227"/>
        <v>2026.75</v>
      </c>
      <c r="N381" s="13">
        <v>198848.06</v>
      </c>
      <c r="O381" s="13">
        <f t="shared" si="228"/>
        <v>198848.06</v>
      </c>
      <c r="P381" s="13">
        <f t="shared" si="229"/>
        <v>1657.0671666666667</v>
      </c>
      <c r="Q381" s="13">
        <f t="shared" si="230"/>
        <v>19884.806</v>
      </c>
      <c r="R381" s="13">
        <v>19884.806</v>
      </c>
      <c r="S381" s="13">
        <f t="shared" si="231"/>
        <v>19884.806</v>
      </c>
      <c r="T381" s="13">
        <f t="shared" si="232"/>
        <v>99424.03</v>
      </c>
      <c r="U381" s="13">
        <f t="shared" si="233"/>
        <v>119308.836</v>
      </c>
      <c r="V381" s="13">
        <v>139193.64199999999</v>
      </c>
      <c r="W381" s="13">
        <f t="shared" si="234"/>
        <v>79539.224000000002</v>
      </c>
    </row>
    <row r="382" spans="1:23" s="9" customFormat="1">
      <c r="B382" s="9" t="s">
        <v>93</v>
      </c>
      <c r="C382" s="9">
        <v>9561</v>
      </c>
      <c r="D382" s="9" t="s">
        <v>328</v>
      </c>
      <c r="E382" s="9">
        <v>181935</v>
      </c>
      <c r="F382" s="9" t="s">
        <v>97</v>
      </c>
      <c r="G382" s="9">
        <v>2017</v>
      </c>
      <c r="H382" s="9">
        <v>5</v>
      </c>
      <c r="I382" s="9">
        <v>0</v>
      </c>
      <c r="J382" s="9" t="s">
        <v>78</v>
      </c>
      <c r="K382" s="9">
        <v>10</v>
      </c>
      <c r="L382" s="9">
        <f t="shared" si="226"/>
        <v>2027</v>
      </c>
      <c r="M382" s="146">
        <f t="shared" si="227"/>
        <v>2027.4166666666667</v>
      </c>
      <c r="N382" s="13">
        <v>60070.239999999998</v>
      </c>
      <c r="O382" s="13">
        <f t="shared" si="228"/>
        <v>60070.239999999998</v>
      </c>
      <c r="P382" s="13">
        <f t="shared" si="229"/>
        <v>500.58533333333327</v>
      </c>
      <c r="Q382" s="13">
        <f t="shared" si="230"/>
        <v>6007.0239999999994</v>
      </c>
      <c r="R382" s="13">
        <v>6007.0239999999994</v>
      </c>
      <c r="S382" s="13">
        <f t="shared" si="231"/>
        <v>6007.0239999999994</v>
      </c>
      <c r="T382" s="13">
        <f t="shared" si="232"/>
        <v>24028.095999999998</v>
      </c>
      <c r="U382" s="13">
        <f t="shared" si="233"/>
        <v>30035.119999999995</v>
      </c>
      <c r="V382" s="13">
        <v>48056.191999999995</v>
      </c>
      <c r="W382" s="13">
        <f t="shared" si="234"/>
        <v>30035.120000000003</v>
      </c>
    </row>
    <row r="383" spans="1:23" s="9" customFormat="1">
      <c r="A383" s="15"/>
      <c r="B383" s="15"/>
      <c r="C383" s="15"/>
      <c r="D383" s="15" t="s">
        <v>142</v>
      </c>
      <c r="E383" s="15"/>
      <c r="F383" s="15"/>
      <c r="G383" s="15"/>
      <c r="H383" s="15"/>
      <c r="I383" s="15"/>
      <c r="J383" s="15"/>
      <c r="K383" s="15"/>
      <c r="L383" s="176"/>
      <c r="M383" s="145"/>
      <c r="N383" s="16"/>
      <c r="O383" s="16"/>
      <c r="P383" s="16"/>
      <c r="Q383" s="16"/>
      <c r="R383" s="16">
        <v>12236.881333333333</v>
      </c>
      <c r="S383" s="16">
        <f>S505</f>
        <v>0</v>
      </c>
      <c r="T383" s="16"/>
      <c r="U383" s="16"/>
      <c r="V383" s="16">
        <v>0</v>
      </c>
      <c r="W383" s="16">
        <v>0</v>
      </c>
    </row>
    <row r="384" spans="1:23" s="9" customFormat="1">
      <c r="M384" s="114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s="9" customFormat="1">
      <c r="L385" s="159" t="s">
        <v>329</v>
      </c>
      <c r="M385" s="114"/>
      <c r="N385" s="150">
        <f t="shared" ref="N385:W385" si="235">+SUM(N369:N384)</f>
        <v>646239.38</v>
      </c>
      <c r="O385" s="150">
        <f t="shared" si="235"/>
        <v>646239.38</v>
      </c>
      <c r="P385" s="150">
        <f t="shared" si="235"/>
        <v>7286.4416068253968</v>
      </c>
      <c r="Q385" s="150">
        <f t="shared" si="235"/>
        <v>87437.299281904765</v>
      </c>
      <c r="R385" s="150"/>
      <c r="S385" s="150">
        <f t="shared" si="235"/>
        <v>37173.760000000002</v>
      </c>
      <c r="T385" s="150">
        <f t="shared" si="235"/>
        <v>482299.45700000005</v>
      </c>
      <c r="U385" s="150">
        <f t="shared" si="235"/>
        <v>519473.21700000006</v>
      </c>
      <c r="V385" s="150"/>
      <c r="W385" s="150">
        <f t="shared" si="235"/>
        <v>126766.163</v>
      </c>
    </row>
    <row r="386" spans="1:23" s="9" customFormat="1">
      <c r="M386" s="114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s="9" customFormat="1">
      <c r="L387" s="159" t="s">
        <v>330</v>
      </c>
      <c r="M387" s="114"/>
      <c r="N387" s="150">
        <f>N266+N246+N192+N134+N364+N321+N291+N281+N308+N253+N139+N385+N144</f>
        <v>35240217.165714309</v>
      </c>
      <c r="O387" s="150">
        <f>O266+O246+O192+O134+O364+O321+O291+O281+O308+O253+O139+O385+O144</f>
        <v>35117378.637114309</v>
      </c>
      <c r="P387" s="150">
        <f>P266+P246+P192+P134+P364+P321+P291+P281+P308+P253+P139+P385+P144</f>
        <v>332638.42704917985</v>
      </c>
      <c r="Q387" s="150">
        <f>Q266+Q246+Q192+Q134+Q364+Q321+Q291+Q281+Q308+Q253+Q139+Q385+Q144</f>
        <v>3991661.1245901575</v>
      </c>
      <c r="R387" s="150"/>
      <c r="S387" s="150">
        <f>S266+S246+S192+S134+S364+S321+S291+S281+S308+S253+S139+S385+S144</f>
        <v>2793791.1666666656</v>
      </c>
      <c r="T387" s="150">
        <f>T266+T246+T192+T134+T364+T321+T291+T281+T308+T253+T139+T385+T144</f>
        <v>15252298.804714283</v>
      </c>
      <c r="U387" s="150">
        <f>U266+U246+U192+U134+U364+U321+U291+U281+U308+U253+U139+U385+U144</f>
        <v>18046089.971380953</v>
      </c>
      <c r="V387" s="150"/>
      <c r="W387" s="150">
        <f>W266+W246+W192+W134+W364+W321+W291+W281+W308+W253+W139+W385+W144</f>
        <v>17194127.19433333</v>
      </c>
    </row>
    <row r="388" spans="1:23" s="9" customFormat="1">
      <c r="M388" s="114"/>
      <c r="N388" s="13"/>
      <c r="O388" s="13"/>
      <c r="P388" s="13"/>
      <c r="Q388" s="13"/>
      <c r="R388" s="13"/>
      <c r="S388" s="13"/>
      <c r="T388" s="13"/>
      <c r="U388" s="13"/>
      <c r="V388" s="13"/>
      <c r="W388" s="163" t="s">
        <v>1253</v>
      </c>
    </row>
    <row r="389" spans="1:23" s="9" customFormat="1">
      <c r="M389" s="114"/>
      <c r="N389" s="13"/>
      <c r="O389" s="13"/>
      <c r="P389" s="13"/>
      <c r="Q389" s="179" t="s">
        <v>331</v>
      </c>
      <c r="R389" s="179"/>
      <c r="S389" s="13">
        <f>SUM(S383,S264,S243,S176,S93)-SUM(S495,S497,S499,S501,S503,S505,S507,S509,S513)</f>
        <v>0</v>
      </c>
      <c r="T389" s="13"/>
      <c r="U389" s="13"/>
      <c r="V389" s="13"/>
      <c r="W389" s="13"/>
    </row>
    <row r="390" spans="1:23" s="9" customFormat="1">
      <c r="M390" s="114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s="9" customFormat="1" outlineLevel="1">
      <c r="M391" s="114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s="9" customFormat="1" outlineLevel="1">
      <c r="B392" s="142" t="s">
        <v>332</v>
      </c>
      <c r="C392" s="142"/>
      <c r="D392" s="142"/>
      <c r="M392" s="114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s="9" customFormat="1" outlineLevel="1">
      <c r="A393" s="9" t="s">
        <v>221</v>
      </c>
      <c r="B393" s="9" t="s">
        <v>111</v>
      </c>
      <c r="C393" s="9">
        <v>3577</v>
      </c>
      <c r="D393" s="9" t="s">
        <v>333</v>
      </c>
      <c r="E393" s="9">
        <v>66892</v>
      </c>
      <c r="G393" s="9">
        <v>2005</v>
      </c>
      <c r="H393" s="9">
        <v>3</v>
      </c>
      <c r="I393" s="9">
        <v>0.2</v>
      </c>
      <c r="J393" s="9" t="s">
        <v>78</v>
      </c>
      <c r="K393" s="9">
        <v>7</v>
      </c>
      <c r="L393" s="9">
        <f>G393+K393</f>
        <v>2012</v>
      </c>
      <c r="M393" s="114">
        <f>+L393+(H393/12)</f>
        <v>2012.25</v>
      </c>
      <c r="N393" s="13">
        <v>172559.21</v>
      </c>
      <c r="O393" s="13">
        <f>N393-N393*I393</f>
        <v>138047.36799999999</v>
      </c>
      <c r="P393" s="13">
        <f>O393/K393/12</f>
        <v>1643.4210476190474</v>
      </c>
      <c r="Q393" s="13">
        <f>P393*12</f>
        <v>19721.052571428569</v>
      </c>
      <c r="R393" s="13"/>
      <c r="S393" s="13">
        <f>+IF(M393&lt;=$O$5,0,IF(L393&gt;$O$4,Q393,(P393*H393)))</f>
        <v>0</v>
      </c>
      <c r="T393" s="13">
        <f>+IF(S393=0,N393,IF($O$3-G393&lt;1,0,(($O$3-G393)*Q393)))</f>
        <v>172559.21</v>
      </c>
      <c r="U393" s="13">
        <f>+IF(S393=0,T393,T393+S393)</f>
        <v>172559.21</v>
      </c>
      <c r="V393" s="13"/>
      <c r="W393" s="13">
        <f>+N393-U393</f>
        <v>0</v>
      </c>
    </row>
    <row r="394" spans="1:23" s="9" customFormat="1" outlineLevel="1">
      <c r="A394" s="9" t="s">
        <v>334</v>
      </c>
      <c r="B394" s="9" t="s">
        <v>207</v>
      </c>
      <c r="C394" s="9">
        <v>2021</v>
      </c>
      <c r="D394" s="9" t="s">
        <v>335</v>
      </c>
      <c r="E394" s="9">
        <v>60746</v>
      </c>
      <c r="G394" s="9">
        <v>2003</v>
      </c>
      <c r="H394" s="9">
        <v>7</v>
      </c>
      <c r="I394" s="9">
        <v>0.2</v>
      </c>
      <c r="J394" s="9" t="s">
        <v>78</v>
      </c>
      <c r="K394" s="9">
        <v>7</v>
      </c>
      <c r="L394" s="9">
        <f>G394+K394</f>
        <v>2010</v>
      </c>
      <c r="M394" s="114">
        <f>+L394+(H394/12)</f>
        <v>2010.5833333333333</v>
      </c>
      <c r="N394" s="13">
        <f>164889.08+6244.2</f>
        <v>171133.28</v>
      </c>
      <c r="O394" s="13">
        <f>N394-N394*I394</f>
        <v>136906.62400000001</v>
      </c>
      <c r="P394" s="13">
        <f>O394/K394/12</f>
        <v>1629.8407619047621</v>
      </c>
      <c r="Q394" s="13">
        <f>P394*12</f>
        <v>19558.089142857145</v>
      </c>
      <c r="R394" s="13"/>
      <c r="S394" s="13">
        <f>+IF(M394&lt;=$O$5,0,IF(L394&gt;$O$4,Q394,(P394*H394)))</f>
        <v>0</v>
      </c>
      <c r="T394" s="13">
        <f>+IF(S394=0,N394,IF($O$3-G394&lt;1,0,(($O$3-G394)*Q394)))</f>
        <v>171133.28</v>
      </c>
      <c r="U394" s="13">
        <f>+IF(S394=0,T394,T394+S394)</f>
        <v>171133.28</v>
      </c>
      <c r="V394" s="13"/>
      <c r="W394" s="13">
        <f>+N394-U394</f>
        <v>0</v>
      </c>
    </row>
    <row r="395" spans="1:23" s="9" customFormat="1" outlineLevel="1">
      <c r="A395" s="9" t="s">
        <v>75</v>
      </c>
      <c r="B395" s="9" t="s">
        <v>101</v>
      </c>
      <c r="C395" s="9">
        <v>627</v>
      </c>
      <c r="D395" s="9" t="s">
        <v>336</v>
      </c>
      <c r="E395" s="9">
        <v>187420</v>
      </c>
      <c r="G395" s="9">
        <v>2012</v>
      </c>
      <c r="H395" s="9">
        <v>1</v>
      </c>
      <c r="I395" s="9">
        <v>0</v>
      </c>
      <c r="J395" s="9" t="s">
        <v>78</v>
      </c>
      <c r="K395" s="9">
        <v>10</v>
      </c>
      <c r="L395" s="9">
        <f>G395+K395</f>
        <v>2022</v>
      </c>
      <c r="M395" s="114">
        <f>+L395+(H395/12)</f>
        <v>2022.0833333333333</v>
      </c>
      <c r="N395" s="13">
        <v>247726.06</v>
      </c>
      <c r="O395" s="13">
        <f>N395-N395*I395</f>
        <v>247726.06</v>
      </c>
      <c r="P395" s="13">
        <f>O395/K395/12</f>
        <v>2064.3838333333333</v>
      </c>
      <c r="Q395" s="13">
        <f>P395*12</f>
        <v>24772.606</v>
      </c>
      <c r="R395" s="13"/>
      <c r="S395" s="13">
        <f>+IF(M395&lt;=$O$5,0,IF(L395&gt;$O$4,Q395,(P395*H395)))</f>
        <v>0</v>
      </c>
      <c r="T395" s="13">
        <f>+IF(S395=0,N395,IF($O$3-G395&lt;1,0,(($O$3-G395)*Q395)))</f>
        <v>247726.06</v>
      </c>
      <c r="U395" s="13">
        <f>+IF(S395=0,T395,T395+S395)</f>
        <v>247726.06</v>
      </c>
      <c r="V395" s="13"/>
      <c r="W395" s="13">
        <f>+N395-U395</f>
        <v>0</v>
      </c>
    </row>
    <row r="396" spans="1:23" s="9" customFormat="1" outlineLevel="1">
      <c r="A396" s="9" t="s">
        <v>334</v>
      </c>
      <c r="B396" s="9" t="s">
        <v>207</v>
      </c>
      <c r="C396" s="9">
        <v>2021</v>
      </c>
      <c r="D396" s="9" t="s">
        <v>337</v>
      </c>
      <c r="E396" s="9" t="s">
        <v>338</v>
      </c>
      <c r="F396" s="9">
        <v>60747</v>
      </c>
      <c r="G396" s="9">
        <v>2010</v>
      </c>
      <c r="H396" s="9">
        <v>1</v>
      </c>
      <c r="I396" s="9">
        <v>0</v>
      </c>
      <c r="J396" s="9" t="s">
        <v>78</v>
      </c>
      <c r="K396" s="9">
        <v>3</v>
      </c>
      <c r="L396" s="9">
        <f>G396+K396</f>
        <v>2013</v>
      </c>
      <c r="M396" s="114">
        <f>+L396+(H396/12)</f>
        <v>2013.0833333333333</v>
      </c>
      <c r="N396" s="13">
        <v>10491.67</v>
      </c>
      <c r="O396" s="13">
        <f>N396-N396*I396</f>
        <v>10491.67</v>
      </c>
      <c r="P396" s="13">
        <f>O396/K396/12</f>
        <v>291.4352777777778</v>
      </c>
      <c r="Q396" s="13">
        <f>P396*12</f>
        <v>3497.2233333333334</v>
      </c>
      <c r="R396" s="13"/>
      <c r="S396" s="13">
        <f>+IF(M396&lt;=$O$5,0,IF(L396&gt;$O$4,Q396,(P396*H396)))</f>
        <v>0</v>
      </c>
      <c r="T396" s="13">
        <f>+IF(S396=0,N396,IF($O$3-G396&lt;1,0,(($O$3-G396)*Q396)))</f>
        <v>10491.67</v>
      </c>
      <c r="U396" s="13">
        <f>+IF(S396=0,T396,T396+S396)</f>
        <v>10491.67</v>
      </c>
      <c r="V396" s="13"/>
      <c r="W396" s="13">
        <f>+N396-U396</f>
        <v>0</v>
      </c>
    </row>
    <row r="397" spans="1:23" s="9" customFormat="1" outlineLevel="1">
      <c r="A397" s="9" t="s">
        <v>75</v>
      </c>
      <c r="B397" s="9" t="s">
        <v>207</v>
      </c>
      <c r="C397" s="9">
        <v>2044</v>
      </c>
      <c r="D397" s="9" t="s">
        <v>339</v>
      </c>
      <c r="E397" s="9" t="s">
        <v>340</v>
      </c>
      <c r="G397" s="9">
        <v>2014</v>
      </c>
      <c r="H397" s="9">
        <v>12</v>
      </c>
      <c r="I397" s="9">
        <v>0</v>
      </c>
      <c r="J397" s="9" t="s">
        <v>78</v>
      </c>
      <c r="K397" s="9">
        <v>5</v>
      </c>
      <c r="L397" s="9">
        <f>G397+K397</f>
        <v>2019</v>
      </c>
      <c r="M397" s="114">
        <f>+L397+(H397/12)</f>
        <v>2020</v>
      </c>
      <c r="N397" s="13">
        <f>257933.15+22647</f>
        <v>280580.15000000002</v>
      </c>
      <c r="O397" s="13">
        <f>N397-N397*I397</f>
        <v>280580.15000000002</v>
      </c>
      <c r="P397" s="13">
        <f>O397/K397/12</f>
        <v>4676.3358333333335</v>
      </c>
      <c r="Q397" s="13">
        <f>P397*12</f>
        <v>56116.03</v>
      </c>
      <c r="R397" s="13"/>
      <c r="S397" s="13">
        <f>+IF(M397&lt;=$O$5,0,IF(L397&gt;$O$4,Q397,(P397*H397)))</f>
        <v>0</v>
      </c>
      <c r="T397" s="13">
        <f>+IF(S397=0,N397,IF($O$3-G397&lt;1,0,(($O$3-G397)*Q397)))</f>
        <v>280580.15000000002</v>
      </c>
      <c r="U397" s="13">
        <f>+IF(S397=0,T397,T397+S397)</f>
        <v>280580.15000000002</v>
      </c>
      <c r="V397" s="13"/>
      <c r="W397" s="13">
        <f>+N397-U397</f>
        <v>0</v>
      </c>
    </row>
    <row r="398" spans="1:23" s="9" customFormat="1" outlineLevel="1">
      <c r="M398" s="114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s="9" customFormat="1" outlineLevel="1">
      <c r="M399" s="114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s="9" customFormat="1" outlineLevel="1">
      <c r="B400" s="142" t="s">
        <v>341</v>
      </c>
      <c r="C400" s="142"/>
      <c r="D400" s="142"/>
      <c r="M400" s="114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s="9" customFormat="1" outlineLevel="1">
      <c r="A401" s="9" t="s">
        <v>151</v>
      </c>
      <c r="B401" s="9" t="s">
        <v>152</v>
      </c>
      <c r="C401" s="9">
        <v>4051</v>
      </c>
      <c r="D401" s="9" t="s">
        <v>342</v>
      </c>
      <c r="G401" s="9">
        <v>2006</v>
      </c>
      <c r="H401" s="9">
        <v>5</v>
      </c>
      <c r="I401" s="9">
        <v>0</v>
      </c>
      <c r="J401" s="9" t="s">
        <v>78</v>
      </c>
      <c r="K401" s="9">
        <v>7</v>
      </c>
      <c r="L401" s="9">
        <f t="shared" ref="L401:L464" si="236">G401+K401</f>
        <v>2013</v>
      </c>
      <c r="M401" s="114">
        <f t="shared" ref="M401:M464" si="237">+L401+(H401/12)</f>
        <v>2013.4166666666667</v>
      </c>
      <c r="N401" s="13">
        <f>'2180 Trucks - Orig.'!O133</f>
        <v>119149.58399999999</v>
      </c>
      <c r="O401" s="13">
        <f t="shared" ref="O401:O464" si="238">N401-N401*I401</f>
        <v>119149.58399999999</v>
      </c>
      <c r="P401" s="13">
        <f t="shared" ref="P401:P464" si="239">O401/K401/12</f>
        <v>1418.4474285714284</v>
      </c>
      <c r="Q401" s="13">
        <f t="shared" ref="Q401:Q464" si="240">P401*12</f>
        <v>17021.36914285714</v>
      </c>
      <c r="R401" s="13"/>
      <c r="S401" s="13">
        <f t="shared" ref="S401:S464" si="241">+IF(M401&lt;=$O$5,0,IF(L401&gt;$O$4,Q401,(P401*H401)))</f>
        <v>0</v>
      </c>
      <c r="T401" s="13">
        <f t="shared" ref="T401:T432" si="242">+IF(S401=0,N401,IF($O$3-G401&lt;1,0,(($O$3-G401)*Q401)))</f>
        <v>119149.58399999999</v>
      </c>
      <c r="U401" s="13">
        <f t="shared" ref="U401:U432" si="243">+IF(S401=0,T401,T401+S401)</f>
        <v>119149.58399999999</v>
      </c>
      <c r="V401" s="13"/>
      <c r="W401" s="13">
        <f t="shared" ref="W401:W432" si="244">+N401-U401</f>
        <v>0</v>
      </c>
    </row>
    <row r="402" spans="1:23" s="9" customFormat="1" outlineLevel="1">
      <c r="D402" s="9" t="s">
        <v>343</v>
      </c>
      <c r="G402" s="9">
        <v>2018</v>
      </c>
      <c r="H402" s="9">
        <v>9</v>
      </c>
      <c r="I402" s="9">
        <v>0</v>
      </c>
      <c r="J402" s="9" t="s">
        <v>78</v>
      </c>
      <c r="K402" s="9">
        <f>+IF(L401-$O$3&gt;=3,L401-$O$3,3)</f>
        <v>3</v>
      </c>
      <c r="L402" s="9">
        <f t="shared" si="236"/>
        <v>2021</v>
      </c>
      <c r="M402" s="114">
        <f t="shared" si="237"/>
        <v>2021.75</v>
      </c>
      <c r="N402" s="13">
        <f>'2180 Trucks - Orig.'!N133-'2180 Trucks'!N401</f>
        <v>29787.395999999993</v>
      </c>
      <c r="O402" s="13">
        <f t="shared" si="238"/>
        <v>29787.395999999993</v>
      </c>
      <c r="P402" s="13">
        <f t="shared" si="239"/>
        <v>827.42766666666648</v>
      </c>
      <c r="Q402" s="13">
        <f t="shared" si="240"/>
        <v>9929.1319999999978</v>
      </c>
      <c r="R402" s="13"/>
      <c r="S402" s="13">
        <f t="shared" si="241"/>
        <v>0</v>
      </c>
      <c r="T402" s="13">
        <f t="shared" si="242"/>
        <v>29787.395999999993</v>
      </c>
      <c r="U402" s="13">
        <f t="shared" si="243"/>
        <v>29787.395999999993</v>
      </c>
      <c r="V402" s="13"/>
      <c r="W402" s="13">
        <f t="shared" si="244"/>
        <v>0</v>
      </c>
    </row>
    <row r="403" spans="1:23" s="9" customFormat="1" outlineLevel="1">
      <c r="C403" s="9">
        <v>4051</v>
      </c>
      <c r="D403" s="9" t="s">
        <v>158</v>
      </c>
      <c r="E403" s="9">
        <v>113248</v>
      </c>
      <c r="G403" s="9">
        <v>2014</v>
      </c>
      <c r="H403" s="9">
        <v>4</v>
      </c>
      <c r="I403" s="9">
        <v>0</v>
      </c>
      <c r="J403" s="9" t="s">
        <v>78</v>
      </c>
      <c r="K403" s="9">
        <v>5</v>
      </c>
      <c r="L403" s="9">
        <f t="shared" si="236"/>
        <v>2019</v>
      </c>
      <c r="M403" s="114">
        <f t="shared" si="237"/>
        <v>2019.3333333333333</v>
      </c>
      <c r="N403" s="13">
        <f>6778.26/7</f>
        <v>968.32285714285717</v>
      </c>
      <c r="O403" s="13">
        <f t="shared" si="238"/>
        <v>968.32285714285717</v>
      </c>
      <c r="P403" s="13">
        <f t="shared" si="239"/>
        <v>16.138714285714286</v>
      </c>
      <c r="Q403" s="13">
        <f t="shared" si="240"/>
        <v>193.66457142857143</v>
      </c>
      <c r="R403" s="13"/>
      <c r="S403" s="13">
        <f t="shared" si="241"/>
        <v>0</v>
      </c>
      <c r="T403" s="13">
        <f t="shared" si="242"/>
        <v>968.32285714285717</v>
      </c>
      <c r="U403" s="13">
        <f t="shared" si="243"/>
        <v>968.32285714285717</v>
      </c>
      <c r="V403" s="13"/>
      <c r="W403" s="13">
        <f t="shared" si="244"/>
        <v>0</v>
      </c>
    </row>
    <row r="404" spans="1:23" s="9" customFormat="1" outlineLevel="1">
      <c r="B404" s="9" t="s">
        <v>152</v>
      </c>
      <c r="C404" s="9">
        <v>4051</v>
      </c>
      <c r="D404" s="9" t="s">
        <v>161</v>
      </c>
      <c r="E404" s="9">
        <v>118510</v>
      </c>
      <c r="G404" s="9">
        <v>2014</v>
      </c>
      <c r="H404" s="9">
        <v>11</v>
      </c>
      <c r="I404" s="9">
        <v>0</v>
      </c>
      <c r="J404" s="9" t="s">
        <v>78</v>
      </c>
      <c r="K404" s="9">
        <v>3</v>
      </c>
      <c r="L404" s="9">
        <f t="shared" si="236"/>
        <v>2017</v>
      </c>
      <c r="M404" s="114">
        <f t="shared" si="237"/>
        <v>2017.9166666666667</v>
      </c>
      <c r="N404" s="13">
        <v>8921.6</v>
      </c>
      <c r="O404" s="13">
        <f t="shared" si="238"/>
        <v>8921.6</v>
      </c>
      <c r="P404" s="13">
        <f t="shared" si="239"/>
        <v>247.82222222222222</v>
      </c>
      <c r="Q404" s="13">
        <f t="shared" si="240"/>
        <v>2973.8666666666668</v>
      </c>
      <c r="R404" s="13"/>
      <c r="S404" s="13">
        <f t="shared" si="241"/>
        <v>0</v>
      </c>
      <c r="T404" s="13">
        <f t="shared" si="242"/>
        <v>8921.6</v>
      </c>
      <c r="U404" s="13">
        <f t="shared" si="243"/>
        <v>8921.6</v>
      </c>
      <c r="V404" s="13"/>
      <c r="W404" s="13">
        <f t="shared" si="244"/>
        <v>0</v>
      </c>
    </row>
    <row r="405" spans="1:23" s="9" customFormat="1" outlineLevel="1">
      <c r="A405" s="9" t="s">
        <v>151</v>
      </c>
      <c r="B405" s="9" t="s">
        <v>152</v>
      </c>
      <c r="C405" s="9">
        <v>4042</v>
      </c>
      <c r="D405" s="9" t="s">
        <v>344</v>
      </c>
      <c r="G405" s="9">
        <v>2005</v>
      </c>
      <c r="H405" s="9">
        <v>9</v>
      </c>
      <c r="I405" s="9">
        <v>0</v>
      </c>
      <c r="J405" s="9" t="s">
        <v>78</v>
      </c>
      <c r="K405" s="9">
        <v>7</v>
      </c>
      <c r="L405" s="9">
        <f t="shared" si="236"/>
        <v>2012</v>
      </c>
      <c r="M405" s="114">
        <f t="shared" si="237"/>
        <v>2012.75</v>
      </c>
      <c r="N405" s="13">
        <f>'2180 Trucks - Orig.'!O132</f>
        <v>116925.36000000002</v>
      </c>
      <c r="O405" s="13">
        <f t="shared" si="238"/>
        <v>116925.36000000002</v>
      </c>
      <c r="P405" s="13">
        <f t="shared" si="239"/>
        <v>1391.9685714285715</v>
      </c>
      <c r="Q405" s="13">
        <f t="shared" si="240"/>
        <v>16703.622857142858</v>
      </c>
      <c r="R405" s="13"/>
      <c r="S405" s="13">
        <f t="shared" si="241"/>
        <v>0</v>
      </c>
      <c r="T405" s="13">
        <f t="shared" si="242"/>
        <v>116925.36000000002</v>
      </c>
      <c r="U405" s="13">
        <f t="shared" si="243"/>
        <v>116925.36000000002</v>
      </c>
      <c r="V405" s="13"/>
      <c r="W405" s="13">
        <f t="shared" si="244"/>
        <v>0</v>
      </c>
    </row>
    <row r="406" spans="1:23" s="9" customFormat="1" outlineLevel="1">
      <c r="D406" s="9" t="s">
        <v>345</v>
      </c>
      <c r="G406" s="9">
        <v>2018</v>
      </c>
      <c r="H406" s="9">
        <v>9</v>
      </c>
      <c r="I406" s="9">
        <v>0</v>
      </c>
      <c r="J406" s="9" t="s">
        <v>78</v>
      </c>
      <c r="K406" s="9">
        <f>+IF(L405-$O$3&gt;=3,L405-$O$3,3)</f>
        <v>3</v>
      </c>
      <c r="L406" s="9">
        <f t="shared" si="236"/>
        <v>2021</v>
      </c>
      <c r="M406" s="114">
        <f t="shared" si="237"/>
        <v>2021.75</v>
      </c>
      <c r="N406" s="13">
        <f>'2180 Trucks - Orig.'!N132-'2180 Trucks'!N405</f>
        <v>29231.339999999997</v>
      </c>
      <c r="O406" s="13">
        <f t="shared" si="238"/>
        <v>29231.339999999997</v>
      </c>
      <c r="P406" s="13">
        <f t="shared" si="239"/>
        <v>811.98166666666657</v>
      </c>
      <c r="Q406" s="13">
        <f t="shared" si="240"/>
        <v>9743.7799999999988</v>
      </c>
      <c r="R406" s="13"/>
      <c r="S406" s="13">
        <f t="shared" si="241"/>
        <v>0</v>
      </c>
      <c r="T406" s="13">
        <f t="shared" si="242"/>
        <v>29231.339999999997</v>
      </c>
      <c r="U406" s="13">
        <f t="shared" si="243"/>
        <v>29231.339999999997</v>
      </c>
      <c r="V406" s="13"/>
      <c r="W406" s="13">
        <f t="shared" si="244"/>
        <v>0</v>
      </c>
    </row>
    <row r="407" spans="1:23" s="9" customFormat="1" outlineLevel="1">
      <c r="B407" s="9" t="s">
        <v>152</v>
      </c>
      <c r="C407" s="9">
        <v>4042</v>
      </c>
      <c r="D407" s="9" t="s">
        <v>158</v>
      </c>
      <c r="E407" s="9">
        <v>113248</v>
      </c>
      <c r="G407" s="9">
        <v>2014</v>
      </c>
      <c r="H407" s="9">
        <v>4</v>
      </c>
      <c r="I407" s="9">
        <v>0</v>
      </c>
      <c r="J407" s="9" t="s">
        <v>78</v>
      </c>
      <c r="K407" s="9">
        <v>5</v>
      </c>
      <c r="L407" s="9">
        <f t="shared" si="236"/>
        <v>2019</v>
      </c>
      <c r="M407" s="114">
        <f t="shared" si="237"/>
        <v>2019.3333333333333</v>
      </c>
      <c r="N407" s="13">
        <f>6778.26/7</f>
        <v>968.32285714285717</v>
      </c>
      <c r="O407" s="13">
        <f t="shared" si="238"/>
        <v>968.32285714285717</v>
      </c>
      <c r="P407" s="13">
        <f t="shared" si="239"/>
        <v>16.138714285714286</v>
      </c>
      <c r="Q407" s="13">
        <f t="shared" si="240"/>
        <v>193.66457142857143</v>
      </c>
      <c r="R407" s="13"/>
      <c r="S407" s="13">
        <f t="shared" si="241"/>
        <v>0</v>
      </c>
      <c r="T407" s="13">
        <f t="shared" si="242"/>
        <v>968.32285714285717</v>
      </c>
      <c r="U407" s="13">
        <f t="shared" si="243"/>
        <v>968.32285714285717</v>
      </c>
      <c r="V407" s="13"/>
      <c r="W407" s="13">
        <f t="shared" si="244"/>
        <v>0</v>
      </c>
    </row>
    <row r="408" spans="1:23" s="9" customFormat="1" outlineLevel="1">
      <c r="B408" s="9" t="s">
        <v>152</v>
      </c>
      <c r="C408" s="9">
        <v>4042</v>
      </c>
      <c r="D408" s="9" t="s">
        <v>161</v>
      </c>
      <c r="E408" s="9">
        <v>118509</v>
      </c>
      <c r="G408" s="9">
        <v>2014</v>
      </c>
      <c r="H408" s="9">
        <v>11</v>
      </c>
      <c r="I408" s="9">
        <v>0</v>
      </c>
      <c r="J408" s="9" t="s">
        <v>78</v>
      </c>
      <c r="K408" s="9">
        <v>3</v>
      </c>
      <c r="L408" s="9">
        <f t="shared" si="236"/>
        <v>2017</v>
      </c>
      <c r="M408" s="114">
        <f t="shared" si="237"/>
        <v>2017.9166666666667</v>
      </c>
      <c r="N408" s="13">
        <v>8921.6</v>
      </c>
      <c r="O408" s="13">
        <f t="shared" si="238"/>
        <v>8921.6</v>
      </c>
      <c r="P408" s="13">
        <f t="shared" si="239"/>
        <v>247.82222222222222</v>
      </c>
      <c r="Q408" s="13">
        <f t="shared" si="240"/>
        <v>2973.8666666666668</v>
      </c>
      <c r="R408" s="13"/>
      <c r="S408" s="13">
        <f t="shared" si="241"/>
        <v>0</v>
      </c>
      <c r="T408" s="13">
        <f t="shared" si="242"/>
        <v>8921.6</v>
      </c>
      <c r="U408" s="13">
        <f t="shared" si="243"/>
        <v>8921.6</v>
      </c>
      <c r="V408" s="13"/>
      <c r="W408" s="13">
        <f t="shared" si="244"/>
        <v>0</v>
      </c>
    </row>
    <row r="409" spans="1:23" s="9" customFormat="1" outlineLevel="1">
      <c r="A409" s="9" t="s">
        <v>246</v>
      </c>
      <c r="B409" s="9" t="s">
        <v>111</v>
      </c>
      <c r="C409" s="9">
        <v>3584</v>
      </c>
      <c r="D409" s="9" t="s">
        <v>346</v>
      </c>
      <c r="G409" s="9">
        <v>2006</v>
      </c>
      <c r="H409" s="9">
        <v>1</v>
      </c>
      <c r="I409" s="9">
        <v>0.2</v>
      </c>
      <c r="J409" s="9" t="s">
        <v>78</v>
      </c>
      <c r="K409" s="9">
        <v>7</v>
      </c>
      <c r="L409" s="9">
        <f t="shared" si="236"/>
        <v>2013</v>
      </c>
      <c r="M409" s="114">
        <f t="shared" si="237"/>
        <v>2013.0833333333333</v>
      </c>
      <c r="N409" s="13"/>
      <c r="O409" s="13">
        <f t="shared" si="238"/>
        <v>0</v>
      </c>
      <c r="P409" s="13">
        <f t="shared" si="239"/>
        <v>0</v>
      </c>
      <c r="Q409" s="13">
        <f t="shared" si="240"/>
        <v>0</v>
      </c>
      <c r="R409" s="13"/>
      <c r="S409" s="13">
        <f t="shared" si="241"/>
        <v>0</v>
      </c>
      <c r="T409" s="13">
        <f t="shared" si="242"/>
        <v>0</v>
      </c>
      <c r="U409" s="13">
        <f t="shared" si="243"/>
        <v>0</v>
      </c>
      <c r="V409" s="13"/>
      <c r="W409" s="13">
        <f t="shared" si="244"/>
        <v>0</v>
      </c>
    </row>
    <row r="410" spans="1:23" s="9" customFormat="1" outlineLevel="1">
      <c r="A410" s="9" t="s">
        <v>174</v>
      </c>
      <c r="B410" s="9" t="s">
        <v>111</v>
      </c>
      <c r="C410" s="9">
        <v>3583</v>
      </c>
      <c r="D410" s="9" t="s">
        <v>333</v>
      </c>
      <c r="G410" s="9">
        <v>2005</v>
      </c>
      <c r="H410" s="9">
        <v>6</v>
      </c>
      <c r="I410" s="9">
        <v>0</v>
      </c>
      <c r="J410" s="9" t="s">
        <v>78</v>
      </c>
      <c r="K410" s="9">
        <v>7</v>
      </c>
      <c r="L410" s="9">
        <f t="shared" si="236"/>
        <v>2012</v>
      </c>
      <c r="M410" s="114">
        <f t="shared" si="237"/>
        <v>2012.5</v>
      </c>
      <c r="N410" s="13">
        <f>'2180 Trucks - Orig.'!O183</f>
        <v>135175.36799999999</v>
      </c>
      <c r="O410" s="13">
        <f t="shared" si="238"/>
        <v>135175.36799999999</v>
      </c>
      <c r="P410" s="13">
        <f t="shared" si="239"/>
        <v>1609.2305714285712</v>
      </c>
      <c r="Q410" s="13">
        <f t="shared" si="240"/>
        <v>19310.766857142855</v>
      </c>
      <c r="R410" s="13"/>
      <c r="S410" s="13">
        <f t="shared" si="241"/>
        <v>0</v>
      </c>
      <c r="T410" s="13">
        <f t="shared" si="242"/>
        <v>135175.36799999999</v>
      </c>
      <c r="U410" s="13">
        <f t="shared" si="243"/>
        <v>135175.36799999999</v>
      </c>
      <c r="V410" s="13"/>
      <c r="W410" s="13">
        <f t="shared" si="244"/>
        <v>0</v>
      </c>
    </row>
    <row r="411" spans="1:23" s="9" customFormat="1" outlineLevel="1">
      <c r="D411" s="9" t="s">
        <v>347</v>
      </c>
      <c r="G411" s="9">
        <v>2018</v>
      </c>
      <c r="H411" s="9">
        <v>9</v>
      </c>
      <c r="I411" s="9">
        <v>0</v>
      </c>
      <c r="J411" s="9" t="s">
        <v>78</v>
      </c>
      <c r="K411" s="9">
        <f>+IF(L410-$O$3&gt;=3,L410-$O$3,3)</f>
        <v>3</v>
      </c>
      <c r="L411" s="9">
        <f t="shared" si="236"/>
        <v>2021</v>
      </c>
      <c r="M411" s="114">
        <f t="shared" si="237"/>
        <v>2021.75</v>
      </c>
      <c r="N411" s="13">
        <f>'2180 Trucks - Orig.'!N183-'2180 Trucks'!N410</f>
        <v>33793.842000000004</v>
      </c>
      <c r="O411" s="13">
        <f t="shared" si="238"/>
        <v>33793.842000000004</v>
      </c>
      <c r="P411" s="13">
        <f t="shared" si="239"/>
        <v>938.71783333333349</v>
      </c>
      <c r="Q411" s="13">
        <f t="shared" si="240"/>
        <v>11264.614000000001</v>
      </c>
      <c r="R411" s="13"/>
      <c r="S411" s="13">
        <f t="shared" si="241"/>
        <v>0</v>
      </c>
      <c r="T411" s="13">
        <f t="shared" si="242"/>
        <v>33793.842000000004</v>
      </c>
      <c r="U411" s="13">
        <f t="shared" si="243"/>
        <v>33793.842000000004</v>
      </c>
      <c r="V411" s="13"/>
      <c r="W411" s="13">
        <f t="shared" si="244"/>
        <v>0</v>
      </c>
    </row>
    <row r="412" spans="1:23" s="9" customFormat="1" outlineLevel="1">
      <c r="A412" s="9" t="s">
        <v>174</v>
      </c>
      <c r="C412" s="9">
        <v>3583</v>
      </c>
      <c r="D412" s="9" t="s">
        <v>348</v>
      </c>
      <c r="G412" s="9">
        <v>2006</v>
      </c>
      <c r="H412" s="9">
        <v>9</v>
      </c>
      <c r="I412" s="9">
        <v>0</v>
      </c>
      <c r="J412" s="9" t="s">
        <v>78</v>
      </c>
      <c r="K412" s="9">
        <v>7</v>
      </c>
      <c r="L412" s="9">
        <f t="shared" si="236"/>
        <v>2013</v>
      </c>
      <c r="M412" s="114">
        <f t="shared" si="237"/>
        <v>2013.75</v>
      </c>
      <c r="N412" s="13">
        <f>'2180 Trucks - Orig.'!O186</f>
        <v>3159.5520000000001</v>
      </c>
      <c r="O412" s="13">
        <f t="shared" si="238"/>
        <v>3159.5520000000001</v>
      </c>
      <c r="P412" s="13">
        <f t="shared" si="239"/>
        <v>37.613714285714288</v>
      </c>
      <c r="Q412" s="13">
        <f t="shared" si="240"/>
        <v>451.36457142857148</v>
      </c>
      <c r="R412" s="13"/>
      <c r="S412" s="13">
        <f t="shared" si="241"/>
        <v>0</v>
      </c>
      <c r="T412" s="13">
        <f t="shared" si="242"/>
        <v>3159.5520000000001</v>
      </c>
      <c r="U412" s="13">
        <f t="shared" si="243"/>
        <v>3159.5520000000001</v>
      </c>
      <c r="V412" s="13"/>
      <c r="W412" s="13">
        <f t="shared" si="244"/>
        <v>0</v>
      </c>
    </row>
    <row r="413" spans="1:23" s="9" customFormat="1" outlineLevel="1">
      <c r="D413" s="9" t="s">
        <v>349</v>
      </c>
      <c r="G413" s="9">
        <v>2018</v>
      </c>
      <c r="H413" s="9">
        <v>9</v>
      </c>
      <c r="I413" s="9">
        <v>0</v>
      </c>
      <c r="J413" s="9" t="s">
        <v>78</v>
      </c>
      <c r="K413" s="9">
        <f>+IF(L412-$O$3&gt;=3,L412-$O$3,3)</f>
        <v>3</v>
      </c>
      <c r="L413" s="9">
        <f t="shared" si="236"/>
        <v>2021</v>
      </c>
      <c r="M413" s="114">
        <f t="shared" si="237"/>
        <v>2021.75</v>
      </c>
      <c r="N413" s="13">
        <f>'2180 Trucks - Orig.'!N186-'2180 Trucks'!N412</f>
        <v>789.88799999999992</v>
      </c>
      <c r="O413" s="13">
        <f t="shared" si="238"/>
        <v>789.88799999999992</v>
      </c>
      <c r="P413" s="13">
        <f t="shared" si="239"/>
        <v>21.941333333333333</v>
      </c>
      <c r="Q413" s="13">
        <f t="shared" si="240"/>
        <v>263.29599999999999</v>
      </c>
      <c r="R413" s="13"/>
      <c r="S413" s="13">
        <f t="shared" si="241"/>
        <v>0</v>
      </c>
      <c r="T413" s="13">
        <f t="shared" si="242"/>
        <v>789.88799999999992</v>
      </c>
      <c r="U413" s="13">
        <f t="shared" si="243"/>
        <v>789.88799999999992</v>
      </c>
      <c r="V413" s="13"/>
      <c r="W413" s="13">
        <f t="shared" si="244"/>
        <v>0</v>
      </c>
    </row>
    <row r="414" spans="1:23" s="9" customFormat="1" outlineLevel="1">
      <c r="A414" s="9" t="s">
        <v>174</v>
      </c>
      <c r="B414" s="9" t="s">
        <v>111</v>
      </c>
      <c r="C414" s="9">
        <v>3582</v>
      </c>
      <c r="D414" s="9" t="s">
        <v>350</v>
      </c>
      <c r="G414" s="9">
        <v>2005</v>
      </c>
      <c r="H414" s="9">
        <v>5</v>
      </c>
      <c r="I414" s="9">
        <v>0</v>
      </c>
      <c r="J414" s="9" t="s">
        <v>78</v>
      </c>
      <c r="K414" s="9">
        <v>7</v>
      </c>
      <c r="L414" s="9">
        <f t="shared" si="236"/>
        <v>2012</v>
      </c>
      <c r="M414" s="114">
        <f t="shared" si="237"/>
        <v>2012.4166666666667</v>
      </c>
      <c r="N414" s="13">
        <f>'2180 Trucks - Orig.'!O182</f>
        <v>138047.36799999999</v>
      </c>
      <c r="O414" s="13">
        <f t="shared" si="238"/>
        <v>138047.36799999999</v>
      </c>
      <c r="P414" s="13">
        <f t="shared" si="239"/>
        <v>1643.4210476190474</v>
      </c>
      <c r="Q414" s="13">
        <f t="shared" si="240"/>
        <v>19721.052571428569</v>
      </c>
      <c r="R414" s="13"/>
      <c r="S414" s="13">
        <f t="shared" si="241"/>
        <v>0</v>
      </c>
      <c r="T414" s="13">
        <f t="shared" si="242"/>
        <v>138047.36799999999</v>
      </c>
      <c r="U414" s="13">
        <f t="shared" si="243"/>
        <v>138047.36799999999</v>
      </c>
      <c r="V414" s="13"/>
      <c r="W414" s="13">
        <f t="shared" si="244"/>
        <v>0</v>
      </c>
    </row>
    <row r="415" spans="1:23" s="9" customFormat="1" outlineLevel="1">
      <c r="D415" s="9" t="s">
        <v>351</v>
      </c>
      <c r="G415" s="9">
        <v>2018</v>
      </c>
      <c r="H415" s="9">
        <v>9</v>
      </c>
      <c r="I415" s="9">
        <v>0</v>
      </c>
      <c r="J415" s="9" t="s">
        <v>78</v>
      </c>
      <c r="K415" s="9">
        <f>+IF(L414-$O$3&gt;=3,L414-$O$3,3)</f>
        <v>3</v>
      </c>
      <c r="L415" s="9">
        <f t="shared" si="236"/>
        <v>2021</v>
      </c>
      <c r="M415" s="114">
        <f t="shared" si="237"/>
        <v>2021.75</v>
      </c>
      <c r="N415" s="13">
        <f>'2180 Trucks - Orig.'!N182-'2180 Trucks'!N414</f>
        <v>34511.842000000004</v>
      </c>
      <c r="O415" s="13">
        <f t="shared" si="238"/>
        <v>34511.842000000004</v>
      </c>
      <c r="P415" s="13">
        <f t="shared" si="239"/>
        <v>958.66227777777794</v>
      </c>
      <c r="Q415" s="13">
        <f t="shared" si="240"/>
        <v>11503.947333333335</v>
      </c>
      <c r="R415" s="13"/>
      <c r="S415" s="13">
        <f t="shared" si="241"/>
        <v>0</v>
      </c>
      <c r="T415" s="13">
        <f t="shared" si="242"/>
        <v>34511.842000000004</v>
      </c>
      <c r="U415" s="13">
        <f t="shared" si="243"/>
        <v>34511.842000000004</v>
      </c>
      <c r="V415" s="13"/>
      <c r="W415" s="13">
        <f t="shared" si="244"/>
        <v>0</v>
      </c>
    </row>
    <row r="416" spans="1:23" s="9" customFormat="1" outlineLevel="1">
      <c r="A416" s="9" t="s">
        <v>221</v>
      </c>
      <c r="B416" s="9" t="s">
        <v>111</v>
      </c>
      <c r="C416" s="9">
        <v>3581</v>
      </c>
      <c r="D416" s="9" t="s">
        <v>352</v>
      </c>
      <c r="G416" s="9">
        <v>2005</v>
      </c>
      <c r="H416" s="9">
        <v>5</v>
      </c>
      <c r="I416" s="9">
        <v>0</v>
      </c>
      <c r="J416" s="9" t="s">
        <v>78</v>
      </c>
      <c r="K416" s="9">
        <v>7</v>
      </c>
      <c r="L416" s="9">
        <f t="shared" si="236"/>
        <v>2012</v>
      </c>
      <c r="M416" s="114">
        <f t="shared" si="237"/>
        <v>2012.4166666666667</v>
      </c>
      <c r="N416" s="13">
        <f>'2180 Trucks - Orig.'!O209</f>
        <v>135989.16800000001</v>
      </c>
      <c r="O416" s="13">
        <f t="shared" si="238"/>
        <v>135989.16800000001</v>
      </c>
      <c r="P416" s="13">
        <f t="shared" si="239"/>
        <v>1618.9186666666667</v>
      </c>
      <c r="Q416" s="13">
        <f t="shared" si="240"/>
        <v>19427.024000000001</v>
      </c>
      <c r="R416" s="13"/>
      <c r="S416" s="13">
        <f t="shared" si="241"/>
        <v>0</v>
      </c>
      <c r="T416" s="13">
        <f t="shared" si="242"/>
        <v>135989.16800000001</v>
      </c>
      <c r="U416" s="13">
        <f t="shared" si="243"/>
        <v>135989.16800000001</v>
      </c>
      <c r="V416" s="13"/>
      <c r="W416" s="13">
        <f t="shared" si="244"/>
        <v>0</v>
      </c>
    </row>
    <row r="417" spans="1:23" s="9" customFormat="1" outlineLevel="1">
      <c r="D417" s="9" t="s">
        <v>353</v>
      </c>
      <c r="G417" s="9">
        <v>2018</v>
      </c>
      <c r="H417" s="9">
        <v>9</v>
      </c>
      <c r="I417" s="9">
        <v>0</v>
      </c>
      <c r="J417" s="9" t="s">
        <v>78</v>
      </c>
      <c r="K417" s="9">
        <f>+IF(L416-$O$3&gt;=3,L416-$O$3,3)</f>
        <v>3</v>
      </c>
      <c r="L417" s="9">
        <f t="shared" si="236"/>
        <v>2021</v>
      </c>
      <c r="M417" s="114">
        <f t="shared" si="237"/>
        <v>2021.75</v>
      </c>
      <c r="N417" s="13">
        <f>'2180 Trucks - Orig.'!N209-'2180 Trucks'!N416</f>
        <v>33997.291999999987</v>
      </c>
      <c r="O417" s="13">
        <f t="shared" si="238"/>
        <v>33997.291999999987</v>
      </c>
      <c r="P417" s="13">
        <f t="shared" si="239"/>
        <v>944.36922222222177</v>
      </c>
      <c r="Q417" s="13">
        <f t="shared" si="240"/>
        <v>11332.430666666662</v>
      </c>
      <c r="R417" s="13"/>
      <c r="S417" s="13">
        <f t="shared" si="241"/>
        <v>0</v>
      </c>
      <c r="T417" s="13">
        <f t="shared" si="242"/>
        <v>33997.291999999987</v>
      </c>
      <c r="U417" s="13">
        <f t="shared" si="243"/>
        <v>33997.291999999987</v>
      </c>
      <c r="V417" s="13"/>
      <c r="W417" s="13">
        <f t="shared" si="244"/>
        <v>0</v>
      </c>
    </row>
    <row r="418" spans="1:23" s="9" customFormat="1" outlineLevel="1">
      <c r="A418" s="9" t="s">
        <v>221</v>
      </c>
      <c r="C418" s="9">
        <v>3581</v>
      </c>
      <c r="D418" s="9" t="s">
        <v>354</v>
      </c>
      <c r="G418" s="9">
        <v>2009</v>
      </c>
      <c r="H418" s="9">
        <v>6</v>
      </c>
      <c r="I418" s="9">
        <v>0</v>
      </c>
      <c r="J418" s="9" t="s">
        <v>78</v>
      </c>
      <c r="K418" s="9">
        <v>3</v>
      </c>
      <c r="L418" s="9">
        <f t="shared" si="236"/>
        <v>2012</v>
      </c>
      <c r="M418" s="114">
        <f t="shared" si="237"/>
        <v>2012.5</v>
      </c>
      <c r="N418" s="13">
        <v>5983.2</v>
      </c>
      <c r="O418" s="13">
        <f t="shared" si="238"/>
        <v>5983.2</v>
      </c>
      <c r="P418" s="13">
        <f t="shared" si="239"/>
        <v>166.2</v>
      </c>
      <c r="Q418" s="13">
        <f t="shared" si="240"/>
        <v>1994.3999999999999</v>
      </c>
      <c r="R418" s="13"/>
      <c r="S418" s="13">
        <f t="shared" si="241"/>
        <v>0</v>
      </c>
      <c r="T418" s="13">
        <f t="shared" si="242"/>
        <v>5983.2</v>
      </c>
      <c r="U418" s="13">
        <f t="shared" si="243"/>
        <v>5983.2</v>
      </c>
      <c r="V418" s="13"/>
      <c r="W418" s="13">
        <f t="shared" si="244"/>
        <v>0</v>
      </c>
    </row>
    <row r="419" spans="1:23" s="9" customFormat="1" outlineLevel="1">
      <c r="A419" s="9" t="s">
        <v>221</v>
      </c>
      <c r="B419" s="9" t="s">
        <v>111</v>
      </c>
      <c r="C419" s="9">
        <v>3579</v>
      </c>
      <c r="D419" s="9" t="s">
        <v>352</v>
      </c>
      <c r="G419" s="9">
        <v>2005</v>
      </c>
      <c r="H419" s="9">
        <v>3</v>
      </c>
      <c r="I419" s="9">
        <v>0</v>
      </c>
      <c r="J419" s="9" t="s">
        <v>78</v>
      </c>
      <c r="K419" s="9">
        <v>7</v>
      </c>
      <c r="L419" s="9">
        <f t="shared" si="236"/>
        <v>2012</v>
      </c>
      <c r="M419" s="114">
        <f t="shared" si="237"/>
        <v>2012.25</v>
      </c>
      <c r="N419" s="13">
        <f>'2180 Trucks - Orig.'!O207</f>
        <v>135991.24</v>
      </c>
      <c r="O419" s="13">
        <f t="shared" si="238"/>
        <v>135991.24</v>
      </c>
      <c r="P419" s="13">
        <f t="shared" si="239"/>
        <v>1618.9433333333334</v>
      </c>
      <c r="Q419" s="13">
        <f t="shared" si="240"/>
        <v>19427.32</v>
      </c>
      <c r="R419" s="13"/>
      <c r="S419" s="13">
        <f t="shared" si="241"/>
        <v>0</v>
      </c>
      <c r="T419" s="13">
        <f t="shared" si="242"/>
        <v>135991.24</v>
      </c>
      <c r="U419" s="13">
        <f t="shared" si="243"/>
        <v>135991.24</v>
      </c>
      <c r="V419" s="13"/>
      <c r="W419" s="13">
        <f t="shared" si="244"/>
        <v>0</v>
      </c>
    </row>
    <row r="420" spans="1:23" s="9" customFormat="1" outlineLevel="1">
      <c r="D420" s="9" t="s">
        <v>353</v>
      </c>
      <c r="G420" s="9">
        <v>2018</v>
      </c>
      <c r="H420" s="9">
        <v>9</v>
      </c>
      <c r="I420" s="9">
        <v>0</v>
      </c>
      <c r="J420" s="9" t="s">
        <v>78</v>
      </c>
      <c r="K420" s="9">
        <f>+IF(L419-$O$3&gt;=3,L419-$O$3,3)</f>
        <v>3</v>
      </c>
      <c r="L420" s="9">
        <f t="shared" si="236"/>
        <v>2021</v>
      </c>
      <c r="M420" s="114">
        <f t="shared" si="237"/>
        <v>2021.75</v>
      </c>
      <c r="N420" s="13">
        <f>'2180 Trucks - Orig.'!N207-'2180 Trucks'!N419</f>
        <v>33997.81</v>
      </c>
      <c r="O420" s="13">
        <f t="shared" si="238"/>
        <v>33997.81</v>
      </c>
      <c r="P420" s="13">
        <f t="shared" si="239"/>
        <v>944.38361111111101</v>
      </c>
      <c r="Q420" s="13">
        <f t="shared" si="240"/>
        <v>11332.603333333333</v>
      </c>
      <c r="R420" s="13"/>
      <c r="S420" s="13">
        <f t="shared" si="241"/>
        <v>0</v>
      </c>
      <c r="T420" s="13">
        <f t="shared" si="242"/>
        <v>33997.81</v>
      </c>
      <c r="U420" s="13">
        <f t="shared" si="243"/>
        <v>33997.81</v>
      </c>
      <c r="V420" s="13"/>
      <c r="W420" s="13">
        <f t="shared" si="244"/>
        <v>0</v>
      </c>
    </row>
    <row r="421" spans="1:23" s="9" customFormat="1" outlineLevel="1">
      <c r="A421" s="9" t="s">
        <v>221</v>
      </c>
      <c r="B421" s="9" t="s">
        <v>111</v>
      </c>
      <c r="C421" s="9">
        <v>3576</v>
      </c>
      <c r="D421" s="9" t="s">
        <v>355</v>
      </c>
      <c r="E421" s="9">
        <v>66891</v>
      </c>
      <c r="G421" s="9">
        <v>2005</v>
      </c>
      <c r="H421" s="9">
        <v>3</v>
      </c>
      <c r="I421" s="9">
        <v>0</v>
      </c>
      <c r="J421" s="9" t="s">
        <v>78</v>
      </c>
      <c r="K421" s="9">
        <v>7</v>
      </c>
      <c r="L421" s="9">
        <f t="shared" si="236"/>
        <v>2012</v>
      </c>
      <c r="M421" s="114">
        <f t="shared" si="237"/>
        <v>2012.25</v>
      </c>
      <c r="N421" s="13">
        <f>'2180 Trucks - Orig.'!O206</f>
        <v>134058.44</v>
      </c>
      <c r="O421" s="13">
        <f t="shared" si="238"/>
        <v>134058.44</v>
      </c>
      <c r="P421" s="13">
        <f t="shared" si="239"/>
        <v>1595.9338095238097</v>
      </c>
      <c r="Q421" s="13">
        <f t="shared" si="240"/>
        <v>19151.205714285716</v>
      </c>
      <c r="R421" s="13"/>
      <c r="S421" s="13">
        <f t="shared" si="241"/>
        <v>0</v>
      </c>
      <c r="T421" s="13">
        <f t="shared" si="242"/>
        <v>134058.44</v>
      </c>
      <c r="U421" s="13">
        <f t="shared" si="243"/>
        <v>134058.44</v>
      </c>
      <c r="V421" s="13"/>
      <c r="W421" s="13">
        <f t="shared" si="244"/>
        <v>0</v>
      </c>
    </row>
    <row r="422" spans="1:23" s="9" customFormat="1" outlineLevel="1">
      <c r="D422" s="9" t="s">
        <v>356</v>
      </c>
      <c r="G422" s="9">
        <v>2018</v>
      </c>
      <c r="H422" s="9">
        <v>9</v>
      </c>
      <c r="I422" s="9">
        <v>0</v>
      </c>
      <c r="J422" s="9" t="s">
        <v>78</v>
      </c>
      <c r="K422" s="9">
        <f>+IF(L421-$O$3&gt;=3,L421-$O$3,3)</f>
        <v>3</v>
      </c>
      <c r="L422" s="9">
        <f t="shared" si="236"/>
        <v>2021</v>
      </c>
      <c r="M422" s="114">
        <f t="shared" si="237"/>
        <v>2021.75</v>
      </c>
      <c r="N422" s="13">
        <f>'2180 Trucks - Orig.'!N206-'2180 Trucks'!N421</f>
        <v>33514.609999999986</v>
      </c>
      <c r="O422" s="13">
        <f t="shared" si="238"/>
        <v>33514.609999999986</v>
      </c>
      <c r="P422" s="13">
        <f t="shared" si="239"/>
        <v>930.96138888888845</v>
      </c>
      <c r="Q422" s="13">
        <f t="shared" si="240"/>
        <v>11171.536666666661</v>
      </c>
      <c r="R422" s="13"/>
      <c r="S422" s="13">
        <f t="shared" si="241"/>
        <v>0</v>
      </c>
      <c r="T422" s="13">
        <f t="shared" si="242"/>
        <v>33514.609999999986</v>
      </c>
      <c r="U422" s="13">
        <f t="shared" si="243"/>
        <v>33514.609999999986</v>
      </c>
      <c r="V422" s="13"/>
      <c r="W422" s="13">
        <f t="shared" si="244"/>
        <v>0</v>
      </c>
    </row>
    <row r="423" spans="1:23" s="9" customFormat="1" outlineLevel="1">
      <c r="A423" s="9" t="s">
        <v>174</v>
      </c>
      <c r="C423" s="9">
        <v>3576</v>
      </c>
      <c r="D423" s="9" t="s">
        <v>357</v>
      </c>
      <c r="E423" s="9">
        <v>111599</v>
      </c>
      <c r="F423" s="9">
        <v>66891</v>
      </c>
      <c r="G423" s="9">
        <v>2014</v>
      </c>
      <c r="H423" s="9">
        <v>3</v>
      </c>
      <c r="I423" s="9">
        <v>0</v>
      </c>
      <c r="J423" s="9" t="s">
        <v>78</v>
      </c>
      <c r="K423" s="9">
        <v>3</v>
      </c>
      <c r="L423" s="9">
        <f t="shared" si="236"/>
        <v>2017</v>
      </c>
      <c r="M423" s="114">
        <f t="shared" si="237"/>
        <v>2017.25</v>
      </c>
      <c r="N423" s="13">
        <v>6019.77</v>
      </c>
      <c r="O423" s="13">
        <f t="shared" si="238"/>
        <v>6019.77</v>
      </c>
      <c r="P423" s="13">
        <f t="shared" si="239"/>
        <v>167.21583333333334</v>
      </c>
      <c r="Q423" s="13">
        <f t="shared" si="240"/>
        <v>2006.5900000000001</v>
      </c>
      <c r="R423" s="13"/>
      <c r="S423" s="13">
        <f t="shared" si="241"/>
        <v>0</v>
      </c>
      <c r="T423" s="13">
        <f t="shared" si="242"/>
        <v>6019.77</v>
      </c>
      <c r="U423" s="13">
        <f t="shared" si="243"/>
        <v>6019.77</v>
      </c>
      <c r="V423" s="13"/>
      <c r="W423" s="13">
        <f t="shared" si="244"/>
        <v>0</v>
      </c>
    </row>
    <row r="424" spans="1:23" s="9" customFormat="1" outlineLevel="1">
      <c r="A424" s="9" t="s">
        <v>174</v>
      </c>
      <c r="B424" s="9" t="s">
        <v>111</v>
      </c>
      <c r="C424" s="9">
        <v>3574</v>
      </c>
      <c r="D424" s="9" t="s">
        <v>358</v>
      </c>
      <c r="G424" s="9">
        <v>2003</v>
      </c>
      <c r="H424" s="9">
        <v>7</v>
      </c>
      <c r="I424" s="9">
        <v>0</v>
      </c>
      <c r="J424" s="9" t="s">
        <v>78</v>
      </c>
      <c r="K424" s="9">
        <v>7</v>
      </c>
      <c r="L424" s="9">
        <f t="shared" si="236"/>
        <v>2010</v>
      </c>
      <c r="M424" s="114">
        <f t="shared" si="237"/>
        <v>2010.5833333333333</v>
      </c>
      <c r="N424" s="13">
        <f>'2180 Trucks - Orig.'!O179</f>
        <v>128501.81599999999</v>
      </c>
      <c r="O424" s="13">
        <f t="shared" si="238"/>
        <v>128501.81599999999</v>
      </c>
      <c r="P424" s="13">
        <f t="shared" si="239"/>
        <v>1529.7835238095238</v>
      </c>
      <c r="Q424" s="13">
        <f t="shared" si="240"/>
        <v>18357.402285714285</v>
      </c>
      <c r="R424" s="13"/>
      <c r="S424" s="13">
        <f t="shared" si="241"/>
        <v>0</v>
      </c>
      <c r="T424" s="13">
        <f t="shared" si="242"/>
        <v>128501.81599999999</v>
      </c>
      <c r="U424" s="13">
        <f t="shared" si="243"/>
        <v>128501.81599999999</v>
      </c>
      <c r="V424" s="13"/>
      <c r="W424" s="13">
        <f t="shared" si="244"/>
        <v>0</v>
      </c>
    </row>
    <row r="425" spans="1:23" s="9" customFormat="1" outlineLevel="1">
      <c r="D425" s="9" t="s">
        <v>359</v>
      </c>
      <c r="G425" s="9">
        <v>2018</v>
      </c>
      <c r="H425" s="9">
        <v>9</v>
      </c>
      <c r="I425" s="9">
        <v>0</v>
      </c>
      <c r="J425" s="9" t="s">
        <v>78</v>
      </c>
      <c r="K425" s="9">
        <f>+IF(L424-$O$3&gt;=3,L424-$O$3,3)</f>
        <v>3</v>
      </c>
      <c r="L425" s="9">
        <f t="shared" si="236"/>
        <v>2021</v>
      </c>
      <c r="M425" s="114">
        <f t="shared" si="237"/>
        <v>2021.75</v>
      </c>
      <c r="N425" s="13">
        <f>'2180 Trucks - Orig.'!N179-'2180 Trucks'!N424</f>
        <v>32125.453999999998</v>
      </c>
      <c r="O425" s="13">
        <f t="shared" si="238"/>
        <v>32125.453999999998</v>
      </c>
      <c r="P425" s="13">
        <f t="shared" si="239"/>
        <v>892.37372222222211</v>
      </c>
      <c r="Q425" s="13">
        <f t="shared" si="240"/>
        <v>10708.484666666665</v>
      </c>
      <c r="R425" s="13"/>
      <c r="S425" s="13">
        <f t="shared" si="241"/>
        <v>0</v>
      </c>
      <c r="T425" s="13">
        <f t="shared" si="242"/>
        <v>32125.453999999998</v>
      </c>
      <c r="U425" s="13">
        <f t="shared" si="243"/>
        <v>32125.453999999998</v>
      </c>
      <c r="V425" s="13"/>
      <c r="W425" s="13">
        <f t="shared" si="244"/>
        <v>0</v>
      </c>
    </row>
    <row r="426" spans="1:23" s="9" customFormat="1" outlineLevel="1">
      <c r="A426" s="9" t="s">
        <v>221</v>
      </c>
      <c r="B426" s="9" t="s">
        <v>111</v>
      </c>
      <c r="C426" s="9">
        <v>3573</v>
      </c>
      <c r="D426" s="9" t="s">
        <v>360</v>
      </c>
      <c r="G426" s="9">
        <v>2003</v>
      </c>
      <c r="H426" s="9">
        <v>5</v>
      </c>
      <c r="I426" s="9">
        <v>0</v>
      </c>
      <c r="J426" s="9" t="s">
        <v>78</v>
      </c>
      <c r="K426" s="9">
        <v>7</v>
      </c>
      <c r="L426" s="9">
        <f t="shared" si="236"/>
        <v>2010</v>
      </c>
      <c r="M426" s="114">
        <f t="shared" si="237"/>
        <v>2010.4166666666667</v>
      </c>
      <c r="N426" s="13">
        <f>'2180 Trucks - Orig.'!O204</f>
        <v>128501.81599999999</v>
      </c>
      <c r="O426" s="13">
        <f t="shared" si="238"/>
        <v>128501.81599999999</v>
      </c>
      <c r="P426" s="13">
        <f t="shared" si="239"/>
        <v>1529.7835238095238</v>
      </c>
      <c r="Q426" s="13">
        <f t="shared" si="240"/>
        <v>18357.402285714285</v>
      </c>
      <c r="R426" s="13"/>
      <c r="S426" s="13">
        <f t="shared" si="241"/>
        <v>0</v>
      </c>
      <c r="T426" s="13">
        <f t="shared" si="242"/>
        <v>128501.81599999999</v>
      </c>
      <c r="U426" s="13">
        <f t="shared" si="243"/>
        <v>128501.81599999999</v>
      </c>
      <c r="V426" s="13"/>
      <c r="W426" s="13">
        <f t="shared" si="244"/>
        <v>0</v>
      </c>
    </row>
    <row r="427" spans="1:23" s="9" customFormat="1" outlineLevel="1">
      <c r="D427" s="9" t="s">
        <v>361</v>
      </c>
      <c r="G427" s="9">
        <v>2018</v>
      </c>
      <c r="H427" s="9">
        <v>9</v>
      </c>
      <c r="I427" s="9">
        <v>0</v>
      </c>
      <c r="J427" s="9" t="s">
        <v>78</v>
      </c>
      <c r="K427" s="9">
        <f>+IF(L426-$O$3&gt;=3,L426-$O$3,3)</f>
        <v>3</v>
      </c>
      <c r="L427" s="9">
        <f t="shared" si="236"/>
        <v>2021</v>
      </c>
      <c r="M427" s="114">
        <f t="shared" si="237"/>
        <v>2021.75</v>
      </c>
      <c r="N427" s="13">
        <f>'2180 Trucks - Orig.'!N204-'2180 Trucks'!N426</f>
        <v>32125.453999999998</v>
      </c>
      <c r="O427" s="13">
        <f t="shared" si="238"/>
        <v>32125.453999999998</v>
      </c>
      <c r="P427" s="13">
        <f t="shared" si="239"/>
        <v>892.37372222222211</v>
      </c>
      <c r="Q427" s="13">
        <f t="shared" si="240"/>
        <v>10708.484666666665</v>
      </c>
      <c r="R427" s="13"/>
      <c r="S427" s="13">
        <f t="shared" si="241"/>
        <v>0</v>
      </c>
      <c r="T427" s="13">
        <f t="shared" si="242"/>
        <v>32125.453999999998</v>
      </c>
      <c r="U427" s="13">
        <f t="shared" si="243"/>
        <v>32125.453999999998</v>
      </c>
      <c r="V427" s="13"/>
      <c r="W427" s="13">
        <f t="shared" si="244"/>
        <v>0</v>
      </c>
    </row>
    <row r="428" spans="1:23" s="9" customFormat="1" outlineLevel="1">
      <c r="A428" s="9" t="s">
        <v>334</v>
      </c>
      <c r="B428" s="9" t="s">
        <v>207</v>
      </c>
      <c r="C428" s="9">
        <v>2024</v>
      </c>
      <c r="D428" s="9" t="s">
        <v>362</v>
      </c>
      <c r="G428" s="9">
        <v>2006</v>
      </c>
      <c r="H428" s="9">
        <v>6</v>
      </c>
      <c r="I428" s="9">
        <v>0</v>
      </c>
      <c r="J428" s="9" t="s">
        <v>78</v>
      </c>
      <c r="K428" s="9">
        <v>5</v>
      </c>
      <c r="L428" s="9">
        <f t="shared" si="236"/>
        <v>2011</v>
      </c>
      <c r="M428" s="114">
        <f t="shared" si="237"/>
        <v>2011.5</v>
      </c>
      <c r="N428" s="13">
        <f>'2180 Trucks - Orig.'!O221</f>
        <v>135862.6201</v>
      </c>
      <c r="O428" s="13">
        <f t="shared" si="238"/>
        <v>135862.6201</v>
      </c>
      <c r="P428" s="13">
        <f t="shared" si="239"/>
        <v>2264.3770016666667</v>
      </c>
      <c r="Q428" s="13">
        <f t="shared" si="240"/>
        <v>27172.524020000001</v>
      </c>
      <c r="R428" s="13"/>
      <c r="S428" s="13">
        <f t="shared" si="241"/>
        <v>0</v>
      </c>
      <c r="T428" s="13">
        <f t="shared" si="242"/>
        <v>135862.6201</v>
      </c>
      <c r="U428" s="13">
        <f t="shared" si="243"/>
        <v>135862.6201</v>
      </c>
      <c r="V428" s="13"/>
      <c r="W428" s="13">
        <f t="shared" si="244"/>
        <v>0</v>
      </c>
    </row>
    <row r="429" spans="1:23" s="9" customFormat="1" outlineLevel="1">
      <c r="D429" s="9" t="s">
        <v>363</v>
      </c>
      <c r="G429" s="9">
        <v>2018</v>
      </c>
      <c r="H429" s="9">
        <v>9</v>
      </c>
      <c r="I429" s="9">
        <v>0</v>
      </c>
      <c r="J429" s="9" t="s">
        <v>78</v>
      </c>
      <c r="K429" s="9">
        <f>+IF(L428-$O$3&gt;=3,L428-$O$3,3)</f>
        <v>3</v>
      </c>
      <c r="L429" s="9">
        <f t="shared" si="236"/>
        <v>2021</v>
      </c>
      <c r="M429" s="114">
        <f t="shared" si="237"/>
        <v>2021.75</v>
      </c>
      <c r="N429" s="13">
        <f>'2180 Trucks - Orig.'!N221-'2180 Trucks'!N428</f>
        <v>66917.409899999999</v>
      </c>
      <c r="O429" s="13">
        <f t="shared" si="238"/>
        <v>66917.409899999999</v>
      </c>
      <c r="P429" s="13">
        <f t="shared" si="239"/>
        <v>1858.8169416666667</v>
      </c>
      <c r="Q429" s="13">
        <f t="shared" si="240"/>
        <v>22305.8033</v>
      </c>
      <c r="R429" s="13"/>
      <c r="S429" s="13">
        <f t="shared" si="241"/>
        <v>0</v>
      </c>
      <c r="T429" s="13">
        <f t="shared" si="242"/>
        <v>66917.409899999999</v>
      </c>
      <c r="U429" s="13">
        <f t="shared" si="243"/>
        <v>66917.409899999999</v>
      </c>
      <c r="V429" s="13"/>
      <c r="W429" s="13">
        <f t="shared" si="244"/>
        <v>0</v>
      </c>
    </row>
    <row r="430" spans="1:23" s="9" customFormat="1" outlineLevel="1">
      <c r="A430" s="9" t="s">
        <v>364</v>
      </c>
      <c r="B430" s="9" t="s">
        <v>207</v>
      </c>
      <c r="C430" s="9">
        <v>2023</v>
      </c>
      <c r="D430" s="9" t="s">
        <v>365</v>
      </c>
      <c r="G430" s="9">
        <v>2005</v>
      </c>
      <c r="H430" s="9">
        <v>5</v>
      </c>
      <c r="I430" s="9">
        <v>0</v>
      </c>
      <c r="J430" s="9" t="s">
        <v>78</v>
      </c>
      <c r="K430" s="9">
        <v>7</v>
      </c>
      <c r="L430" s="9">
        <f t="shared" si="236"/>
        <v>2012</v>
      </c>
      <c r="M430" s="114">
        <f t="shared" si="237"/>
        <v>2012.4166666666667</v>
      </c>
      <c r="N430" s="13">
        <f>'2180 Trucks - Orig.'!O23</f>
        <v>152335.67199999999</v>
      </c>
      <c r="O430" s="13">
        <f t="shared" si="238"/>
        <v>152335.67199999999</v>
      </c>
      <c r="P430" s="13">
        <f t="shared" si="239"/>
        <v>1813.5199047619046</v>
      </c>
      <c r="Q430" s="13">
        <f t="shared" si="240"/>
        <v>21762.238857142856</v>
      </c>
      <c r="R430" s="13"/>
      <c r="S430" s="13">
        <f t="shared" si="241"/>
        <v>0</v>
      </c>
      <c r="T430" s="13">
        <f t="shared" si="242"/>
        <v>152335.67199999999</v>
      </c>
      <c r="U430" s="13">
        <f t="shared" si="243"/>
        <v>152335.67199999999</v>
      </c>
      <c r="V430" s="13"/>
      <c r="W430" s="13">
        <f t="shared" si="244"/>
        <v>0</v>
      </c>
    </row>
    <row r="431" spans="1:23" s="9" customFormat="1" outlineLevel="1">
      <c r="D431" s="9" t="s">
        <v>366</v>
      </c>
      <c r="G431" s="9">
        <v>2018</v>
      </c>
      <c r="H431" s="9">
        <v>9</v>
      </c>
      <c r="I431" s="9">
        <v>0</v>
      </c>
      <c r="J431" s="9" t="s">
        <v>78</v>
      </c>
      <c r="K431" s="9">
        <f>+IF(L430-$O$3&gt;=3,L430-$O$3,3)</f>
        <v>3</v>
      </c>
      <c r="L431" s="9">
        <f t="shared" si="236"/>
        <v>2021</v>
      </c>
      <c r="M431" s="114">
        <f t="shared" si="237"/>
        <v>2021.75</v>
      </c>
      <c r="N431" s="13">
        <f>'2180 Trucks - Orig.'!N23-'2180 Trucks'!N430</f>
        <v>38083.918000000005</v>
      </c>
      <c r="O431" s="13">
        <f t="shared" si="238"/>
        <v>38083.918000000005</v>
      </c>
      <c r="P431" s="13">
        <f t="shared" si="239"/>
        <v>1057.8866111111113</v>
      </c>
      <c r="Q431" s="13">
        <f t="shared" si="240"/>
        <v>12694.639333333336</v>
      </c>
      <c r="R431" s="13"/>
      <c r="S431" s="13">
        <f t="shared" si="241"/>
        <v>0</v>
      </c>
      <c r="T431" s="13">
        <f t="shared" si="242"/>
        <v>38083.918000000005</v>
      </c>
      <c r="U431" s="13">
        <f t="shared" si="243"/>
        <v>38083.918000000005</v>
      </c>
      <c r="V431" s="13"/>
      <c r="W431" s="13">
        <f t="shared" si="244"/>
        <v>0</v>
      </c>
    </row>
    <row r="432" spans="1:23" s="9" customFormat="1" outlineLevel="1">
      <c r="A432" s="9" t="s">
        <v>334</v>
      </c>
      <c r="B432" s="9" t="s">
        <v>76</v>
      </c>
      <c r="C432" s="9">
        <v>1033</v>
      </c>
      <c r="D432" s="9" t="s">
        <v>367</v>
      </c>
      <c r="G432" s="9">
        <v>2002</v>
      </c>
      <c r="H432" s="9">
        <v>6</v>
      </c>
      <c r="I432" s="9">
        <v>0</v>
      </c>
      <c r="J432" s="9" t="s">
        <v>78</v>
      </c>
      <c r="K432" s="9">
        <v>7</v>
      </c>
      <c r="L432" s="9">
        <f t="shared" si="236"/>
        <v>2009</v>
      </c>
      <c r="M432" s="114">
        <f t="shared" si="237"/>
        <v>2009.5</v>
      </c>
      <c r="N432" s="13">
        <f>'2180 Trucks - Orig.'!O220</f>
        <v>81505.2</v>
      </c>
      <c r="O432" s="13">
        <f t="shared" si="238"/>
        <v>81505.2</v>
      </c>
      <c r="P432" s="13">
        <f t="shared" si="239"/>
        <v>970.30000000000007</v>
      </c>
      <c r="Q432" s="13">
        <f t="shared" si="240"/>
        <v>11643.6</v>
      </c>
      <c r="R432" s="13"/>
      <c r="S432" s="13">
        <f t="shared" si="241"/>
        <v>0</v>
      </c>
      <c r="T432" s="13">
        <f t="shared" si="242"/>
        <v>81505.2</v>
      </c>
      <c r="U432" s="13">
        <f t="shared" si="243"/>
        <v>81505.2</v>
      </c>
      <c r="V432" s="13"/>
      <c r="W432" s="13">
        <f t="shared" si="244"/>
        <v>0</v>
      </c>
    </row>
    <row r="433" spans="1:23" s="9" customFormat="1" outlineLevel="1">
      <c r="D433" s="9" t="s">
        <v>368</v>
      </c>
      <c r="G433" s="9">
        <v>2018</v>
      </c>
      <c r="H433" s="9">
        <v>9</v>
      </c>
      <c r="I433" s="9">
        <v>0</v>
      </c>
      <c r="J433" s="9" t="s">
        <v>78</v>
      </c>
      <c r="K433" s="9">
        <f>+IF(L432-$O$3&gt;=3,L432-$O$3,3)</f>
        <v>3</v>
      </c>
      <c r="L433" s="9">
        <f t="shared" si="236"/>
        <v>2021</v>
      </c>
      <c r="M433" s="114">
        <f t="shared" si="237"/>
        <v>2021.75</v>
      </c>
      <c r="N433" s="13">
        <f>'2180 Trucks - Orig.'!N220-'2180 Trucks'!N432</f>
        <v>20376.300000000003</v>
      </c>
      <c r="O433" s="13">
        <f t="shared" si="238"/>
        <v>20376.300000000003</v>
      </c>
      <c r="P433" s="13">
        <f t="shared" si="239"/>
        <v>566.00833333333344</v>
      </c>
      <c r="Q433" s="13">
        <f t="shared" si="240"/>
        <v>6792.1000000000013</v>
      </c>
      <c r="R433" s="13"/>
      <c r="S433" s="13">
        <f t="shared" si="241"/>
        <v>0</v>
      </c>
      <c r="T433" s="13">
        <f t="shared" ref="T433:T464" si="245">+IF(S433=0,N433,IF($O$3-G433&lt;1,0,(($O$3-G433)*Q433)))</f>
        <v>20376.300000000003</v>
      </c>
      <c r="U433" s="13">
        <f t="shared" ref="U433:U464" si="246">+IF(S433=0,T433,T433+S433)</f>
        <v>20376.300000000003</v>
      </c>
      <c r="V433" s="13"/>
      <c r="W433" s="13">
        <f t="shared" ref="W433:W464" si="247">+N433-U433</f>
        <v>0</v>
      </c>
    </row>
    <row r="434" spans="1:23" s="9" customFormat="1" outlineLevel="1">
      <c r="B434" s="9" t="s">
        <v>76</v>
      </c>
      <c r="C434" s="9">
        <v>1033</v>
      </c>
      <c r="D434" s="9" t="s">
        <v>369</v>
      </c>
      <c r="E434" s="9">
        <v>73806</v>
      </c>
      <c r="F434" s="9" t="s">
        <v>370</v>
      </c>
      <c r="G434" s="9">
        <v>2010</v>
      </c>
      <c r="H434" s="9">
        <v>5</v>
      </c>
      <c r="I434" s="9">
        <v>0</v>
      </c>
      <c r="J434" s="9" t="s">
        <v>78</v>
      </c>
      <c r="K434" s="9">
        <v>3</v>
      </c>
      <c r="L434" s="9">
        <f t="shared" si="236"/>
        <v>2013</v>
      </c>
      <c r="M434" s="114">
        <f t="shared" si="237"/>
        <v>2013.4166666666667</v>
      </c>
      <c r="N434" s="13">
        <v>12083.88</v>
      </c>
      <c r="O434" s="13">
        <f t="shared" si="238"/>
        <v>12083.88</v>
      </c>
      <c r="P434" s="13">
        <f t="shared" si="239"/>
        <v>335.6633333333333</v>
      </c>
      <c r="Q434" s="13">
        <f t="shared" si="240"/>
        <v>4027.9599999999996</v>
      </c>
      <c r="R434" s="13"/>
      <c r="S434" s="13">
        <f t="shared" si="241"/>
        <v>0</v>
      </c>
      <c r="T434" s="13">
        <f t="shared" si="245"/>
        <v>12083.88</v>
      </c>
      <c r="U434" s="13">
        <f t="shared" si="246"/>
        <v>12083.88</v>
      </c>
      <c r="V434" s="13"/>
      <c r="W434" s="13">
        <f t="shared" si="247"/>
        <v>0</v>
      </c>
    </row>
    <row r="435" spans="1:23" s="9" customFormat="1" outlineLevel="1">
      <c r="A435" s="9" t="s">
        <v>371</v>
      </c>
      <c r="B435" s="9" t="s">
        <v>76</v>
      </c>
      <c r="C435" s="9">
        <v>1032</v>
      </c>
      <c r="D435" s="9" t="s">
        <v>372</v>
      </c>
      <c r="G435" s="9">
        <v>2002</v>
      </c>
      <c r="H435" s="9">
        <v>6</v>
      </c>
      <c r="I435" s="9">
        <v>0</v>
      </c>
      <c r="J435" s="9" t="s">
        <v>78</v>
      </c>
      <c r="K435" s="9">
        <v>7</v>
      </c>
      <c r="L435" s="9">
        <f t="shared" si="236"/>
        <v>2009</v>
      </c>
      <c r="M435" s="114">
        <f t="shared" si="237"/>
        <v>2009.5</v>
      </c>
      <c r="N435" s="13">
        <f>'2180 Trucks - Orig.'!O19</f>
        <v>81505.2</v>
      </c>
      <c r="O435" s="13">
        <f t="shared" si="238"/>
        <v>81505.2</v>
      </c>
      <c r="P435" s="13">
        <f t="shared" si="239"/>
        <v>970.30000000000007</v>
      </c>
      <c r="Q435" s="13">
        <f t="shared" si="240"/>
        <v>11643.6</v>
      </c>
      <c r="R435" s="13"/>
      <c r="S435" s="13">
        <f t="shared" si="241"/>
        <v>0</v>
      </c>
      <c r="T435" s="13">
        <f t="shared" si="245"/>
        <v>81505.2</v>
      </c>
      <c r="U435" s="13">
        <f t="shared" si="246"/>
        <v>81505.2</v>
      </c>
      <c r="V435" s="13"/>
      <c r="W435" s="13">
        <f t="shared" si="247"/>
        <v>0</v>
      </c>
    </row>
    <row r="436" spans="1:23" s="9" customFormat="1" outlineLevel="1">
      <c r="D436" s="9" t="s">
        <v>373</v>
      </c>
      <c r="G436" s="9">
        <v>2018</v>
      </c>
      <c r="H436" s="9">
        <v>9</v>
      </c>
      <c r="I436" s="9">
        <v>0</v>
      </c>
      <c r="J436" s="9" t="s">
        <v>78</v>
      </c>
      <c r="K436" s="9">
        <f>+IF(L435-$O$3&gt;=3,L435-$O$3,3)</f>
        <v>3</v>
      </c>
      <c r="L436" s="9">
        <f t="shared" si="236"/>
        <v>2021</v>
      </c>
      <c r="M436" s="114">
        <f t="shared" si="237"/>
        <v>2021.75</v>
      </c>
      <c r="N436" s="13">
        <f>'2180 Trucks - Orig.'!N19-'2180 Trucks'!N435</f>
        <v>20376.300000000003</v>
      </c>
      <c r="O436" s="13">
        <f t="shared" si="238"/>
        <v>20376.300000000003</v>
      </c>
      <c r="P436" s="13">
        <f t="shared" si="239"/>
        <v>566.00833333333344</v>
      </c>
      <c r="Q436" s="13">
        <f t="shared" si="240"/>
        <v>6792.1000000000013</v>
      </c>
      <c r="R436" s="13"/>
      <c r="S436" s="13">
        <f t="shared" si="241"/>
        <v>0</v>
      </c>
      <c r="T436" s="13">
        <f t="shared" si="245"/>
        <v>20376.300000000003</v>
      </c>
      <c r="U436" s="13">
        <f t="shared" si="246"/>
        <v>20376.300000000003</v>
      </c>
      <c r="V436" s="13"/>
      <c r="W436" s="13">
        <f t="shared" si="247"/>
        <v>0</v>
      </c>
    </row>
    <row r="437" spans="1:23" s="9" customFormat="1" outlineLevel="1">
      <c r="A437" s="9" t="s">
        <v>75</v>
      </c>
      <c r="B437" s="9" t="s">
        <v>76</v>
      </c>
      <c r="C437" s="9">
        <v>1027</v>
      </c>
      <c r="D437" s="9" t="s">
        <v>374</v>
      </c>
      <c r="E437" s="9">
        <v>94206</v>
      </c>
      <c r="G437" s="9">
        <v>2000</v>
      </c>
      <c r="H437" s="9">
        <v>6</v>
      </c>
      <c r="I437" s="9">
        <v>0</v>
      </c>
      <c r="J437" s="9" t="s">
        <v>78</v>
      </c>
      <c r="K437" s="9">
        <v>7</v>
      </c>
      <c r="L437" s="9">
        <f t="shared" si="236"/>
        <v>2007</v>
      </c>
      <c r="M437" s="114">
        <f t="shared" si="237"/>
        <v>2007.5</v>
      </c>
      <c r="N437" s="13">
        <f>'2180 Trucks - Orig.'!O18</f>
        <v>76101.127999999997</v>
      </c>
      <c r="O437" s="13">
        <f t="shared" si="238"/>
        <v>76101.127999999997</v>
      </c>
      <c r="P437" s="13">
        <f t="shared" si="239"/>
        <v>905.96580952380953</v>
      </c>
      <c r="Q437" s="13">
        <f t="shared" si="240"/>
        <v>10871.589714285714</v>
      </c>
      <c r="R437" s="13"/>
      <c r="S437" s="13">
        <f t="shared" si="241"/>
        <v>0</v>
      </c>
      <c r="T437" s="13">
        <f t="shared" si="245"/>
        <v>76101.127999999997</v>
      </c>
      <c r="U437" s="13">
        <f t="shared" si="246"/>
        <v>76101.127999999997</v>
      </c>
      <c r="V437" s="13"/>
      <c r="W437" s="13">
        <f t="shared" si="247"/>
        <v>0</v>
      </c>
    </row>
    <row r="438" spans="1:23" s="9" customFormat="1" outlineLevel="1">
      <c r="D438" s="9" t="s">
        <v>375</v>
      </c>
      <c r="G438" s="9">
        <v>2018</v>
      </c>
      <c r="H438" s="9">
        <v>9</v>
      </c>
      <c r="I438" s="9">
        <v>0</v>
      </c>
      <c r="J438" s="9" t="s">
        <v>78</v>
      </c>
      <c r="K438" s="9">
        <f>+IF(L437-$O$3&gt;=3,L437-$O$3,3)</f>
        <v>3</v>
      </c>
      <c r="L438" s="9">
        <f t="shared" si="236"/>
        <v>2021</v>
      </c>
      <c r="M438" s="114">
        <f t="shared" si="237"/>
        <v>2021.75</v>
      </c>
      <c r="N438" s="13">
        <f>'2180 Trucks - Orig.'!N18-'2180 Trucks'!N437</f>
        <v>19025.282000000007</v>
      </c>
      <c r="O438" s="13">
        <f t="shared" si="238"/>
        <v>19025.282000000007</v>
      </c>
      <c r="P438" s="13">
        <f t="shared" si="239"/>
        <v>528.48005555555574</v>
      </c>
      <c r="Q438" s="13">
        <f t="shared" si="240"/>
        <v>6341.7606666666688</v>
      </c>
      <c r="R438" s="13"/>
      <c r="S438" s="13">
        <f t="shared" si="241"/>
        <v>0</v>
      </c>
      <c r="T438" s="13">
        <f t="shared" si="245"/>
        <v>19025.282000000007</v>
      </c>
      <c r="U438" s="13">
        <f t="shared" si="246"/>
        <v>19025.282000000007</v>
      </c>
      <c r="V438" s="13"/>
      <c r="W438" s="13">
        <f t="shared" si="247"/>
        <v>0</v>
      </c>
    </row>
    <row r="439" spans="1:23" s="9" customFormat="1" outlineLevel="1">
      <c r="B439" s="9" t="s">
        <v>76</v>
      </c>
      <c r="C439" s="9">
        <v>1027</v>
      </c>
      <c r="D439" s="9" t="s">
        <v>376</v>
      </c>
      <c r="E439" s="9">
        <v>94208</v>
      </c>
      <c r="G439" s="9">
        <v>2011</v>
      </c>
      <c r="H439" s="9">
        <v>6</v>
      </c>
      <c r="I439" s="9">
        <v>0</v>
      </c>
      <c r="J439" s="9" t="s">
        <v>78</v>
      </c>
      <c r="K439" s="9">
        <v>3</v>
      </c>
      <c r="L439" s="9">
        <f t="shared" si="236"/>
        <v>2014</v>
      </c>
      <c r="M439" s="114">
        <f t="shared" si="237"/>
        <v>2014.5</v>
      </c>
      <c r="N439" s="13">
        <v>7121.09</v>
      </c>
      <c r="O439" s="13">
        <f t="shared" si="238"/>
        <v>7121.09</v>
      </c>
      <c r="P439" s="13">
        <f t="shared" si="239"/>
        <v>197.80805555555557</v>
      </c>
      <c r="Q439" s="13">
        <f t="shared" si="240"/>
        <v>2373.6966666666667</v>
      </c>
      <c r="R439" s="13"/>
      <c r="S439" s="13">
        <f t="shared" si="241"/>
        <v>0</v>
      </c>
      <c r="T439" s="13">
        <f t="shared" si="245"/>
        <v>7121.09</v>
      </c>
      <c r="U439" s="13">
        <f t="shared" si="246"/>
        <v>7121.09</v>
      </c>
      <c r="V439" s="13"/>
      <c r="W439" s="13">
        <f t="shared" si="247"/>
        <v>0</v>
      </c>
    </row>
    <row r="440" spans="1:23" s="9" customFormat="1" outlineLevel="1">
      <c r="C440" s="9">
        <v>1027</v>
      </c>
      <c r="D440" s="9" t="s">
        <v>377</v>
      </c>
      <c r="E440" s="9">
        <v>94207</v>
      </c>
      <c r="G440" s="9">
        <v>2012</v>
      </c>
      <c r="H440" s="9">
        <v>1</v>
      </c>
      <c r="I440" s="9">
        <v>0</v>
      </c>
      <c r="J440" s="9" t="s">
        <v>78</v>
      </c>
      <c r="K440" s="9">
        <v>3</v>
      </c>
      <c r="L440" s="9">
        <f t="shared" si="236"/>
        <v>2015</v>
      </c>
      <c r="M440" s="114">
        <f t="shared" si="237"/>
        <v>2015.0833333333333</v>
      </c>
      <c r="N440" s="13">
        <v>9199.7800000000007</v>
      </c>
      <c r="O440" s="13">
        <f t="shared" si="238"/>
        <v>9199.7800000000007</v>
      </c>
      <c r="P440" s="13">
        <f t="shared" si="239"/>
        <v>255.54944444444448</v>
      </c>
      <c r="Q440" s="13">
        <f t="shared" si="240"/>
        <v>3066.5933333333337</v>
      </c>
      <c r="R440" s="13"/>
      <c r="S440" s="13">
        <f t="shared" si="241"/>
        <v>0</v>
      </c>
      <c r="T440" s="13">
        <f t="shared" si="245"/>
        <v>9199.7800000000007</v>
      </c>
      <c r="U440" s="13">
        <f t="shared" si="246"/>
        <v>9199.7800000000007</v>
      </c>
      <c r="V440" s="13"/>
      <c r="W440" s="13">
        <f t="shared" si="247"/>
        <v>0</v>
      </c>
    </row>
    <row r="441" spans="1:23" s="9" customFormat="1" outlineLevel="1">
      <c r="A441" s="9" t="s">
        <v>75</v>
      </c>
      <c r="B441" s="9" t="s">
        <v>378</v>
      </c>
      <c r="C441" s="9">
        <v>1023</v>
      </c>
      <c r="D441" s="9" t="s">
        <v>379</v>
      </c>
      <c r="G441" s="9">
        <v>2000</v>
      </c>
      <c r="H441" s="9">
        <v>1</v>
      </c>
      <c r="I441" s="9">
        <v>0</v>
      </c>
      <c r="J441" s="9" t="s">
        <v>78</v>
      </c>
      <c r="K441" s="9">
        <v>7</v>
      </c>
      <c r="L441" s="9">
        <f t="shared" si="236"/>
        <v>2007</v>
      </c>
      <c r="M441" s="114">
        <f t="shared" si="237"/>
        <v>2007.0833333333333</v>
      </c>
      <c r="N441" s="13">
        <f>'2180 Trucks - Orig.'!O16</f>
        <v>76101.127999999997</v>
      </c>
      <c r="O441" s="13">
        <f t="shared" si="238"/>
        <v>76101.127999999997</v>
      </c>
      <c r="P441" s="13">
        <f t="shared" si="239"/>
        <v>905.96580952380953</v>
      </c>
      <c r="Q441" s="13">
        <f t="shared" si="240"/>
        <v>10871.589714285714</v>
      </c>
      <c r="R441" s="13"/>
      <c r="S441" s="13">
        <f t="shared" si="241"/>
        <v>0</v>
      </c>
      <c r="T441" s="13">
        <f t="shared" si="245"/>
        <v>76101.127999999997</v>
      </c>
      <c r="U441" s="13">
        <f t="shared" si="246"/>
        <v>76101.127999999997</v>
      </c>
      <c r="V441" s="13"/>
      <c r="W441" s="13">
        <f t="shared" si="247"/>
        <v>0</v>
      </c>
    </row>
    <row r="442" spans="1:23" s="9" customFormat="1" outlineLevel="1">
      <c r="D442" s="9" t="s">
        <v>380</v>
      </c>
      <c r="G442" s="9">
        <v>2018</v>
      </c>
      <c r="H442" s="9">
        <v>9</v>
      </c>
      <c r="I442" s="9">
        <v>0</v>
      </c>
      <c r="J442" s="9" t="s">
        <v>78</v>
      </c>
      <c r="K442" s="9">
        <f>+IF(L441-$O$3&gt;=3,L441-$O$3,3)</f>
        <v>3</v>
      </c>
      <c r="L442" s="9">
        <f t="shared" si="236"/>
        <v>2021</v>
      </c>
      <c r="M442" s="114">
        <f t="shared" si="237"/>
        <v>2021.75</v>
      </c>
      <c r="N442" s="13">
        <f>'2180 Trucks - Orig.'!N16-'2180 Trucks'!N441</f>
        <v>19025.282000000007</v>
      </c>
      <c r="O442" s="13">
        <f t="shared" si="238"/>
        <v>19025.282000000007</v>
      </c>
      <c r="P442" s="13">
        <f t="shared" si="239"/>
        <v>528.48005555555574</v>
      </c>
      <c r="Q442" s="13">
        <f t="shared" si="240"/>
        <v>6341.7606666666688</v>
      </c>
      <c r="R442" s="13"/>
      <c r="S442" s="13">
        <f t="shared" si="241"/>
        <v>0</v>
      </c>
      <c r="T442" s="13">
        <f t="shared" si="245"/>
        <v>19025.282000000007</v>
      </c>
      <c r="U442" s="13">
        <f t="shared" si="246"/>
        <v>19025.282000000007</v>
      </c>
      <c r="V442" s="13"/>
      <c r="W442" s="13">
        <f t="shared" si="247"/>
        <v>0</v>
      </c>
    </row>
    <row r="443" spans="1:23" s="9" customFormat="1" outlineLevel="1">
      <c r="A443" s="9" t="s">
        <v>75</v>
      </c>
      <c r="B443" s="9" t="s">
        <v>378</v>
      </c>
      <c r="C443" s="9">
        <v>1023</v>
      </c>
      <c r="D443" s="9" t="s">
        <v>381</v>
      </c>
      <c r="G443" s="9">
        <v>2000</v>
      </c>
      <c r="H443" s="9">
        <v>2</v>
      </c>
      <c r="I443" s="9">
        <v>0</v>
      </c>
      <c r="J443" s="9" t="s">
        <v>78</v>
      </c>
      <c r="K443" s="9">
        <v>7</v>
      </c>
      <c r="L443" s="9">
        <f t="shared" si="236"/>
        <v>2007</v>
      </c>
      <c r="M443" s="114">
        <f t="shared" si="237"/>
        <v>2007.1666666666667</v>
      </c>
      <c r="N443" s="13">
        <f>'2180 Trucks - Orig.'!O17</f>
        <v>2601.6</v>
      </c>
      <c r="O443" s="13">
        <f t="shared" si="238"/>
        <v>2601.6</v>
      </c>
      <c r="P443" s="13">
        <f t="shared" si="239"/>
        <v>30.971428571428572</v>
      </c>
      <c r="Q443" s="13">
        <f t="shared" si="240"/>
        <v>371.65714285714284</v>
      </c>
      <c r="R443" s="13"/>
      <c r="S443" s="13">
        <f t="shared" si="241"/>
        <v>0</v>
      </c>
      <c r="T443" s="13">
        <f t="shared" si="245"/>
        <v>2601.6</v>
      </c>
      <c r="U443" s="13">
        <f t="shared" si="246"/>
        <v>2601.6</v>
      </c>
      <c r="V443" s="13"/>
      <c r="W443" s="13">
        <f t="shared" si="247"/>
        <v>0</v>
      </c>
    </row>
    <row r="444" spans="1:23" s="9" customFormat="1" outlineLevel="1">
      <c r="D444" s="9" t="s">
        <v>382</v>
      </c>
      <c r="G444" s="9">
        <v>2018</v>
      </c>
      <c r="H444" s="9">
        <v>9</v>
      </c>
      <c r="I444" s="9">
        <v>0</v>
      </c>
      <c r="J444" s="9" t="s">
        <v>78</v>
      </c>
      <c r="K444" s="9">
        <f>+IF(L443-$O$3&gt;=3,L443-$O$3,3)</f>
        <v>3</v>
      </c>
      <c r="L444" s="9">
        <f t="shared" si="236"/>
        <v>2021</v>
      </c>
      <c r="M444" s="114">
        <f t="shared" si="237"/>
        <v>2021.75</v>
      </c>
      <c r="N444" s="13">
        <f>'2180 Trucks - Orig.'!N17-'2180 Trucks'!N443</f>
        <v>650.40000000000009</v>
      </c>
      <c r="O444" s="13">
        <f t="shared" si="238"/>
        <v>650.40000000000009</v>
      </c>
      <c r="P444" s="13">
        <f t="shared" si="239"/>
        <v>18.06666666666667</v>
      </c>
      <c r="Q444" s="13">
        <f t="shared" si="240"/>
        <v>216.80000000000004</v>
      </c>
      <c r="R444" s="13"/>
      <c r="S444" s="13">
        <f t="shared" si="241"/>
        <v>0</v>
      </c>
      <c r="T444" s="13">
        <f t="shared" si="245"/>
        <v>650.40000000000009</v>
      </c>
      <c r="U444" s="13">
        <f t="shared" si="246"/>
        <v>650.40000000000009</v>
      </c>
      <c r="V444" s="13"/>
      <c r="W444" s="13">
        <f t="shared" si="247"/>
        <v>0</v>
      </c>
    </row>
    <row r="445" spans="1:23" s="9" customFormat="1" outlineLevel="1">
      <c r="A445" s="9" t="s">
        <v>174</v>
      </c>
      <c r="B445" s="9" t="s">
        <v>378</v>
      </c>
      <c r="C445" s="9">
        <v>1023</v>
      </c>
      <c r="D445" s="9" t="s">
        <v>383</v>
      </c>
      <c r="E445" s="9">
        <v>73239</v>
      </c>
      <c r="F445" s="9" t="s">
        <v>384</v>
      </c>
      <c r="G445" s="9">
        <v>2010</v>
      </c>
      <c r="H445" s="9">
        <v>4</v>
      </c>
      <c r="I445" s="9">
        <v>0</v>
      </c>
      <c r="J445" s="9" t="s">
        <v>78</v>
      </c>
      <c r="K445" s="9">
        <v>3</v>
      </c>
      <c r="L445" s="9">
        <f t="shared" si="236"/>
        <v>2013</v>
      </c>
      <c r="M445" s="114">
        <f t="shared" si="237"/>
        <v>2013.3333333333333</v>
      </c>
      <c r="N445" s="13">
        <v>9991.58</v>
      </c>
      <c r="O445" s="13">
        <f t="shared" si="238"/>
        <v>9991.58</v>
      </c>
      <c r="P445" s="13">
        <f t="shared" si="239"/>
        <v>277.54388888888889</v>
      </c>
      <c r="Q445" s="13">
        <f t="shared" si="240"/>
        <v>3330.5266666666666</v>
      </c>
      <c r="R445" s="13"/>
      <c r="S445" s="13">
        <f t="shared" si="241"/>
        <v>0</v>
      </c>
      <c r="T445" s="13">
        <f t="shared" si="245"/>
        <v>9991.58</v>
      </c>
      <c r="U445" s="13">
        <f t="shared" si="246"/>
        <v>9991.58</v>
      </c>
      <c r="V445" s="13"/>
      <c r="W445" s="13">
        <f t="shared" si="247"/>
        <v>0</v>
      </c>
    </row>
    <row r="446" spans="1:23" s="9" customFormat="1" outlineLevel="1">
      <c r="A446" s="9" t="s">
        <v>385</v>
      </c>
      <c r="B446" s="9" t="s">
        <v>111</v>
      </c>
      <c r="C446" s="9">
        <v>3578</v>
      </c>
      <c r="D446" s="9" t="s">
        <v>386</v>
      </c>
      <c r="G446" s="9">
        <v>2005</v>
      </c>
      <c r="H446" s="9">
        <v>3</v>
      </c>
      <c r="I446" s="9">
        <v>0</v>
      </c>
      <c r="J446" s="9" t="s">
        <v>78</v>
      </c>
      <c r="K446" s="9">
        <v>7</v>
      </c>
      <c r="L446" s="9">
        <f t="shared" si="236"/>
        <v>2012</v>
      </c>
      <c r="M446" s="114">
        <f t="shared" si="237"/>
        <v>2012.25</v>
      </c>
      <c r="N446" s="13">
        <f>'2180 Trucks - Orig.'!O181</f>
        <v>138047.36799999999</v>
      </c>
      <c r="O446" s="13">
        <f t="shared" si="238"/>
        <v>138047.36799999999</v>
      </c>
      <c r="P446" s="13">
        <f t="shared" si="239"/>
        <v>1643.4210476190474</v>
      </c>
      <c r="Q446" s="13">
        <f t="shared" si="240"/>
        <v>19721.052571428569</v>
      </c>
      <c r="R446" s="13"/>
      <c r="S446" s="13">
        <f t="shared" si="241"/>
        <v>0</v>
      </c>
      <c r="T446" s="13">
        <f t="shared" si="245"/>
        <v>138047.36799999999</v>
      </c>
      <c r="U446" s="13">
        <f t="shared" si="246"/>
        <v>138047.36799999999</v>
      </c>
      <c r="V446" s="13"/>
      <c r="W446" s="13">
        <f t="shared" si="247"/>
        <v>0</v>
      </c>
    </row>
    <row r="447" spans="1:23" s="9" customFormat="1" outlineLevel="1">
      <c r="D447" s="9" t="s">
        <v>387</v>
      </c>
      <c r="G447" s="9">
        <v>2018</v>
      </c>
      <c r="H447" s="9">
        <v>9</v>
      </c>
      <c r="I447" s="9">
        <v>0</v>
      </c>
      <c r="J447" s="9" t="s">
        <v>78</v>
      </c>
      <c r="K447" s="9">
        <f>+IF(L446-$O$3&gt;=3,L446-$O$3,3)</f>
        <v>3</v>
      </c>
      <c r="L447" s="9">
        <f t="shared" si="236"/>
        <v>2021</v>
      </c>
      <c r="M447" s="114">
        <f t="shared" si="237"/>
        <v>2021.75</v>
      </c>
      <c r="N447" s="13">
        <f>'2180 Trucks - Orig.'!N181-'2180 Trucks'!N446</f>
        <v>34511.842000000004</v>
      </c>
      <c r="O447" s="13">
        <f t="shared" si="238"/>
        <v>34511.842000000004</v>
      </c>
      <c r="P447" s="13">
        <f t="shared" si="239"/>
        <v>958.66227777777794</v>
      </c>
      <c r="Q447" s="13">
        <f t="shared" si="240"/>
        <v>11503.947333333335</v>
      </c>
      <c r="R447" s="13"/>
      <c r="S447" s="13">
        <f t="shared" si="241"/>
        <v>0</v>
      </c>
      <c r="T447" s="13">
        <f t="shared" si="245"/>
        <v>34511.842000000004</v>
      </c>
      <c r="U447" s="13">
        <f t="shared" si="246"/>
        <v>34511.842000000004</v>
      </c>
      <c r="V447" s="13"/>
      <c r="W447" s="13">
        <f t="shared" si="247"/>
        <v>0</v>
      </c>
    </row>
    <row r="448" spans="1:23" s="9" customFormat="1" outlineLevel="1">
      <c r="C448" s="9">
        <v>3578</v>
      </c>
      <c r="D448" s="9" t="s">
        <v>388</v>
      </c>
      <c r="E448" s="9">
        <v>120991</v>
      </c>
      <c r="G448" s="9">
        <v>2015</v>
      </c>
      <c r="H448" s="9">
        <v>2</v>
      </c>
      <c r="I448" s="9">
        <v>0</v>
      </c>
      <c r="J448" s="9" t="s">
        <v>78</v>
      </c>
      <c r="K448" s="9">
        <v>3</v>
      </c>
      <c r="L448" s="9">
        <f t="shared" si="236"/>
        <v>2018</v>
      </c>
      <c r="M448" s="114">
        <f t="shared" si="237"/>
        <v>2018.1666666666667</v>
      </c>
      <c r="N448" s="13">
        <v>7629.49</v>
      </c>
      <c r="O448" s="13">
        <f t="shared" si="238"/>
        <v>7629.49</v>
      </c>
      <c r="P448" s="13">
        <f t="shared" si="239"/>
        <v>211.93027777777777</v>
      </c>
      <c r="Q448" s="13">
        <f t="shared" si="240"/>
        <v>2543.1633333333334</v>
      </c>
      <c r="R448" s="13"/>
      <c r="S448" s="13">
        <f t="shared" si="241"/>
        <v>0</v>
      </c>
      <c r="T448" s="13">
        <f t="shared" si="245"/>
        <v>7629.49</v>
      </c>
      <c r="U448" s="13">
        <f t="shared" si="246"/>
        <v>7629.49</v>
      </c>
      <c r="V448" s="13"/>
      <c r="W448" s="13">
        <f t="shared" si="247"/>
        <v>0</v>
      </c>
    </row>
    <row r="449" spans="1:23" s="9" customFormat="1" outlineLevel="1">
      <c r="A449" s="9" t="s">
        <v>75</v>
      </c>
      <c r="B449" s="9" t="s">
        <v>207</v>
      </c>
      <c r="C449" s="9">
        <v>2025</v>
      </c>
      <c r="D449" s="9" t="s">
        <v>389</v>
      </c>
      <c r="G449" s="9">
        <v>2006</v>
      </c>
      <c r="H449" s="9">
        <v>8</v>
      </c>
      <c r="I449" s="9">
        <v>0</v>
      </c>
      <c r="J449" s="9" t="s">
        <v>78</v>
      </c>
      <c r="K449" s="9">
        <v>7</v>
      </c>
      <c r="L449" s="9">
        <f t="shared" si="236"/>
        <v>2013</v>
      </c>
      <c r="M449" s="114">
        <f t="shared" si="237"/>
        <v>2013.6666666666667</v>
      </c>
      <c r="N449" s="13">
        <f>'2180 Trucks - Orig.'!O29</f>
        <v>166993.89600000001</v>
      </c>
      <c r="O449" s="13">
        <f t="shared" si="238"/>
        <v>166993.89600000001</v>
      </c>
      <c r="P449" s="13">
        <f t="shared" si="239"/>
        <v>1988.0225714285716</v>
      </c>
      <c r="Q449" s="13">
        <f t="shared" si="240"/>
        <v>23856.270857142859</v>
      </c>
      <c r="R449" s="13"/>
      <c r="S449" s="13">
        <f t="shared" si="241"/>
        <v>0</v>
      </c>
      <c r="T449" s="13">
        <f t="shared" si="245"/>
        <v>166993.89600000001</v>
      </c>
      <c r="U449" s="13">
        <f t="shared" si="246"/>
        <v>166993.89600000001</v>
      </c>
      <c r="V449" s="13"/>
      <c r="W449" s="13">
        <f t="shared" si="247"/>
        <v>0</v>
      </c>
    </row>
    <row r="450" spans="1:23" s="9" customFormat="1" outlineLevel="1">
      <c r="D450" s="9" t="s">
        <v>390</v>
      </c>
      <c r="G450" s="9">
        <v>2018</v>
      </c>
      <c r="H450" s="9">
        <v>9</v>
      </c>
      <c r="I450" s="9">
        <v>0</v>
      </c>
      <c r="J450" s="9" t="s">
        <v>78</v>
      </c>
      <c r="K450" s="9">
        <f>+IF(L449-$O$3&gt;=3,L449-$O$3,3)</f>
        <v>3</v>
      </c>
      <c r="L450" s="9">
        <f t="shared" si="236"/>
        <v>2021</v>
      </c>
      <c r="M450" s="114">
        <f t="shared" si="237"/>
        <v>2021.75</v>
      </c>
      <c r="N450" s="13">
        <f>'2180 Trucks - Orig.'!N29-'2180 Trucks'!N449</f>
        <v>41748.473999999987</v>
      </c>
      <c r="O450" s="13">
        <f t="shared" si="238"/>
        <v>41748.473999999987</v>
      </c>
      <c r="P450" s="13">
        <f t="shared" si="239"/>
        <v>1159.6798333333329</v>
      </c>
      <c r="Q450" s="13">
        <f t="shared" si="240"/>
        <v>13916.157999999996</v>
      </c>
      <c r="R450" s="13"/>
      <c r="S450" s="13">
        <f t="shared" si="241"/>
        <v>0</v>
      </c>
      <c r="T450" s="13">
        <f t="shared" si="245"/>
        <v>41748.473999999987</v>
      </c>
      <c r="U450" s="13">
        <f t="shared" si="246"/>
        <v>41748.473999999987</v>
      </c>
      <c r="V450" s="13"/>
      <c r="W450" s="13">
        <f t="shared" si="247"/>
        <v>0</v>
      </c>
    </row>
    <row r="451" spans="1:23" s="9" customFormat="1" outlineLevel="1">
      <c r="B451" s="9" t="s">
        <v>207</v>
      </c>
      <c r="C451" s="9">
        <v>2025</v>
      </c>
      <c r="D451" s="9" t="s">
        <v>391</v>
      </c>
      <c r="E451" s="9">
        <v>167817</v>
      </c>
      <c r="F451" s="9">
        <v>90545</v>
      </c>
      <c r="G451" s="9">
        <v>2016</v>
      </c>
      <c r="H451" s="9">
        <v>8</v>
      </c>
      <c r="I451" s="9">
        <v>0</v>
      </c>
      <c r="J451" s="9" t="s">
        <v>78</v>
      </c>
      <c r="K451" s="9">
        <v>3</v>
      </c>
      <c r="L451" s="9">
        <f t="shared" si="236"/>
        <v>2019</v>
      </c>
      <c r="M451" s="114">
        <f t="shared" si="237"/>
        <v>2019.6666666666667</v>
      </c>
      <c r="N451" s="13">
        <v>10785.31</v>
      </c>
      <c r="O451" s="13">
        <f t="shared" si="238"/>
        <v>10785.31</v>
      </c>
      <c r="P451" s="13">
        <f t="shared" si="239"/>
        <v>299.59194444444444</v>
      </c>
      <c r="Q451" s="13">
        <f t="shared" si="240"/>
        <v>3595.1033333333335</v>
      </c>
      <c r="R451" s="13"/>
      <c r="S451" s="13">
        <f t="shared" si="241"/>
        <v>0</v>
      </c>
      <c r="T451" s="13">
        <f t="shared" si="245"/>
        <v>10785.31</v>
      </c>
      <c r="U451" s="13">
        <f t="shared" si="246"/>
        <v>10785.31</v>
      </c>
      <c r="V451" s="13"/>
      <c r="W451" s="13">
        <f t="shared" si="247"/>
        <v>0</v>
      </c>
    </row>
    <row r="452" spans="1:23" s="9" customFormat="1" outlineLevel="1">
      <c r="A452" s="9" t="s">
        <v>298</v>
      </c>
      <c r="B452" s="9" t="s">
        <v>281</v>
      </c>
      <c r="C452" s="9">
        <v>5567</v>
      </c>
      <c r="D452" s="9" t="s">
        <v>392</v>
      </c>
      <c r="G452" s="9">
        <v>2000</v>
      </c>
      <c r="H452" s="9">
        <v>4</v>
      </c>
      <c r="I452" s="9">
        <v>0</v>
      </c>
      <c r="J452" s="9" t="s">
        <v>78</v>
      </c>
      <c r="K452" s="9">
        <v>7</v>
      </c>
      <c r="L452" s="9">
        <f t="shared" si="236"/>
        <v>2007</v>
      </c>
      <c r="M452" s="114">
        <f t="shared" si="237"/>
        <v>2007.3333333333333</v>
      </c>
      <c r="N452" s="13">
        <f>'2180 Trucks - Orig.'!O270</f>
        <v>68002.720000000001</v>
      </c>
      <c r="O452" s="13">
        <f t="shared" si="238"/>
        <v>68002.720000000001</v>
      </c>
      <c r="P452" s="13">
        <f t="shared" si="239"/>
        <v>809.55619047619041</v>
      </c>
      <c r="Q452" s="13">
        <f t="shared" si="240"/>
        <v>9714.6742857142854</v>
      </c>
      <c r="R452" s="13"/>
      <c r="S452" s="13">
        <f t="shared" si="241"/>
        <v>0</v>
      </c>
      <c r="T452" s="13">
        <f t="shared" si="245"/>
        <v>68002.720000000001</v>
      </c>
      <c r="U452" s="13">
        <f t="shared" si="246"/>
        <v>68002.720000000001</v>
      </c>
      <c r="V452" s="13"/>
      <c r="W452" s="13">
        <f t="shared" si="247"/>
        <v>0</v>
      </c>
    </row>
    <row r="453" spans="1:23" s="9" customFormat="1" outlineLevel="1">
      <c r="D453" s="9" t="s">
        <v>393</v>
      </c>
      <c r="G453" s="9">
        <v>2018</v>
      </c>
      <c r="H453" s="9">
        <v>9</v>
      </c>
      <c r="I453" s="9">
        <v>0</v>
      </c>
      <c r="J453" s="9" t="s">
        <v>78</v>
      </c>
      <c r="K453" s="9">
        <f>+IF(L452-$O$3&gt;=3,L452-$O$3,3)</f>
        <v>3</v>
      </c>
      <c r="L453" s="9">
        <f t="shared" si="236"/>
        <v>2021</v>
      </c>
      <c r="M453" s="114">
        <f t="shared" si="237"/>
        <v>2021.75</v>
      </c>
      <c r="N453" s="13">
        <f>'2180 Trucks - Orig.'!N270-'2180 Trucks'!N452</f>
        <v>17000.679999999993</v>
      </c>
      <c r="O453" s="13">
        <f t="shared" si="238"/>
        <v>17000.679999999993</v>
      </c>
      <c r="P453" s="13">
        <f t="shared" si="239"/>
        <v>472.24111111111091</v>
      </c>
      <c r="Q453" s="13">
        <f t="shared" si="240"/>
        <v>5666.8933333333307</v>
      </c>
      <c r="R453" s="13"/>
      <c r="S453" s="13">
        <f t="shared" si="241"/>
        <v>0</v>
      </c>
      <c r="T453" s="13">
        <f t="shared" si="245"/>
        <v>17000.679999999993</v>
      </c>
      <c r="U453" s="13">
        <f t="shared" si="246"/>
        <v>17000.679999999993</v>
      </c>
      <c r="V453" s="13"/>
      <c r="W453" s="13">
        <f t="shared" si="247"/>
        <v>0</v>
      </c>
    </row>
    <row r="454" spans="1:23" s="9" customFormat="1" outlineLevel="1">
      <c r="A454" s="9" t="s">
        <v>298</v>
      </c>
      <c r="B454" s="9">
        <v>2182</v>
      </c>
      <c r="C454" s="9">
        <v>5565</v>
      </c>
      <c r="D454" s="9" t="s">
        <v>394</v>
      </c>
      <c r="G454" s="9">
        <v>2000</v>
      </c>
      <c r="H454" s="9">
        <v>4</v>
      </c>
      <c r="I454" s="9">
        <v>0</v>
      </c>
      <c r="J454" s="9" t="s">
        <v>78</v>
      </c>
      <c r="K454" s="9">
        <v>7</v>
      </c>
      <c r="L454" s="9">
        <f t="shared" si="236"/>
        <v>2007</v>
      </c>
      <c r="M454" s="114">
        <f t="shared" si="237"/>
        <v>2007.3333333333333</v>
      </c>
      <c r="N454" s="13">
        <f>'2180 Trucks - Orig.'!O269</f>
        <v>70722.152000000002</v>
      </c>
      <c r="O454" s="13">
        <f t="shared" si="238"/>
        <v>70722.152000000002</v>
      </c>
      <c r="P454" s="13">
        <f t="shared" si="239"/>
        <v>841.93038095238092</v>
      </c>
      <c r="Q454" s="13">
        <f t="shared" si="240"/>
        <v>10103.164571428571</v>
      </c>
      <c r="R454" s="13"/>
      <c r="S454" s="13">
        <f t="shared" si="241"/>
        <v>0</v>
      </c>
      <c r="T454" s="13">
        <f t="shared" si="245"/>
        <v>70722.152000000002</v>
      </c>
      <c r="U454" s="13">
        <f t="shared" si="246"/>
        <v>70722.152000000002</v>
      </c>
      <c r="V454" s="13"/>
      <c r="W454" s="13">
        <f t="shared" si="247"/>
        <v>0</v>
      </c>
    </row>
    <row r="455" spans="1:23" s="9" customFormat="1" outlineLevel="1">
      <c r="B455" s="9">
        <v>2182</v>
      </c>
      <c r="D455" s="9" t="s">
        <v>395</v>
      </c>
      <c r="G455" s="9">
        <v>2018</v>
      </c>
      <c r="H455" s="9">
        <v>12</v>
      </c>
      <c r="I455" s="9">
        <v>0</v>
      </c>
      <c r="J455" s="9" t="s">
        <v>78</v>
      </c>
      <c r="K455" s="9">
        <f>+IF(L454-$O$3&gt;=3,L454-$O$3,3)</f>
        <v>3</v>
      </c>
      <c r="L455" s="9">
        <f t="shared" si="236"/>
        <v>2021</v>
      </c>
      <c r="M455" s="114">
        <f t="shared" si="237"/>
        <v>2022</v>
      </c>
      <c r="N455" s="13">
        <f>'2180 Trucks - Orig.'!N269-'2180 Trucks'!N454</f>
        <v>17680.538</v>
      </c>
      <c r="O455" s="13">
        <f t="shared" si="238"/>
        <v>17680.538</v>
      </c>
      <c r="P455" s="13">
        <f t="shared" si="239"/>
        <v>491.12605555555552</v>
      </c>
      <c r="Q455" s="13">
        <f t="shared" si="240"/>
        <v>5893.5126666666665</v>
      </c>
      <c r="R455" s="13"/>
      <c r="S455" s="13">
        <f t="shared" si="241"/>
        <v>0</v>
      </c>
      <c r="T455" s="13">
        <f t="shared" si="245"/>
        <v>17680.538</v>
      </c>
      <c r="U455" s="13">
        <f t="shared" si="246"/>
        <v>17680.538</v>
      </c>
      <c r="V455" s="13"/>
      <c r="W455" s="13">
        <f t="shared" si="247"/>
        <v>0</v>
      </c>
    </row>
    <row r="456" spans="1:23" s="9" customFormat="1" outlineLevel="1">
      <c r="A456" s="9" t="s">
        <v>280</v>
      </c>
      <c r="B456" s="9">
        <v>2182</v>
      </c>
      <c r="C456" s="9">
        <v>8152</v>
      </c>
      <c r="D456" s="9" t="s">
        <v>396</v>
      </c>
      <c r="E456" s="9">
        <v>130862</v>
      </c>
      <c r="G456" s="9">
        <v>2008</v>
      </c>
      <c r="H456" s="9">
        <v>11</v>
      </c>
      <c r="I456" s="9">
        <v>0</v>
      </c>
      <c r="J456" s="9" t="s">
        <v>78</v>
      </c>
      <c r="K456" s="9">
        <v>5</v>
      </c>
      <c r="L456" s="9">
        <f t="shared" si="236"/>
        <v>2013</v>
      </c>
      <c r="M456" s="114">
        <f t="shared" si="237"/>
        <v>2013.9166666666667</v>
      </c>
      <c r="N456" s="13">
        <f>'2180 Trucks - Orig.'!O290</f>
        <v>17420</v>
      </c>
      <c r="O456" s="13">
        <f t="shared" si="238"/>
        <v>17420</v>
      </c>
      <c r="P456" s="13">
        <f t="shared" si="239"/>
        <v>290.33333333333331</v>
      </c>
      <c r="Q456" s="13">
        <f t="shared" si="240"/>
        <v>3484</v>
      </c>
      <c r="R456" s="13"/>
      <c r="S456" s="13">
        <f t="shared" si="241"/>
        <v>0</v>
      </c>
      <c r="T456" s="13">
        <f t="shared" si="245"/>
        <v>17420</v>
      </c>
      <c r="U456" s="13">
        <f t="shared" si="246"/>
        <v>17420</v>
      </c>
      <c r="V456" s="13"/>
      <c r="W456" s="13">
        <f t="shared" si="247"/>
        <v>0</v>
      </c>
    </row>
    <row r="457" spans="1:23" s="9" customFormat="1" outlineLevel="1">
      <c r="B457" s="9">
        <v>2182</v>
      </c>
      <c r="D457" s="9" t="s">
        <v>397</v>
      </c>
      <c r="G457" s="9">
        <v>2018</v>
      </c>
      <c r="H457" s="9">
        <v>12</v>
      </c>
      <c r="I457" s="9">
        <v>0</v>
      </c>
      <c r="J457" s="9" t="s">
        <v>78</v>
      </c>
      <c r="K457" s="9">
        <f>+IF(L456-$O$3&gt;=3,L456-$O$3,3)</f>
        <v>3</v>
      </c>
      <c r="L457" s="9">
        <f t="shared" si="236"/>
        <v>2021</v>
      </c>
      <c r="M457" s="114">
        <f t="shared" si="237"/>
        <v>2022</v>
      </c>
      <c r="N457" s="13">
        <f>'2180 Trucks - Orig.'!N290-'2180 Trucks'!N456</f>
        <v>8580</v>
      </c>
      <c r="O457" s="13">
        <f t="shared" si="238"/>
        <v>8580</v>
      </c>
      <c r="P457" s="13">
        <f t="shared" si="239"/>
        <v>238.33333333333334</v>
      </c>
      <c r="Q457" s="13">
        <f t="shared" si="240"/>
        <v>2860</v>
      </c>
      <c r="R457" s="13"/>
      <c r="S457" s="13">
        <f t="shared" si="241"/>
        <v>0</v>
      </c>
      <c r="T457" s="13">
        <f t="shared" si="245"/>
        <v>8580</v>
      </c>
      <c r="U457" s="13">
        <f t="shared" si="246"/>
        <v>8580</v>
      </c>
      <c r="V457" s="13"/>
      <c r="W457" s="13">
        <f t="shared" si="247"/>
        <v>0</v>
      </c>
    </row>
    <row r="458" spans="1:23" s="9" customFormat="1" outlineLevel="1">
      <c r="B458" s="9">
        <v>2182</v>
      </c>
      <c r="D458" s="9" t="s">
        <v>98</v>
      </c>
      <c r="E458" s="9" t="s">
        <v>99</v>
      </c>
      <c r="G458" s="9">
        <v>2009</v>
      </c>
      <c r="H458" s="9">
        <v>7</v>
      </c>
      <c r="I458" s="9">
        <v>0</v>
      </c>
      <c r="J458" s="9" t="s">
        <v>78</v>
      </c>
      <c r="K458" s="9">
        <v>5</v>
      </c>
      <c r="L458" s="9">
        <f t="shared" si="236"/>
        <v>2014</v>
      </c>
      <c r="M458" s="114">
        <f t="shared" si="237"/>
        <v>2014.5833333333333</v>
      </c>
      <c r="N458" s="13">
        <f>(34912.65+1078.65+10913.06)*10/46</f>
        <v>10196.6</v>
      </c>
      <c r="O458" s="13">
        <f t="shared" si="238"/>
        <v>10196.6</v>
      </c>
      <c r="P458" s="13">
        <f t="shared" si="239"/>
        <v>169.94333333333336</v>
      </c>
      <c r="Q458" s="13">
        <f t="shared" si="240"/>
        <v>2039.3200000000002</v>
      </c>
      <c r="R458" s="13"/>
      <c r="S458" s="13">
        <f t="shared" si="241"/>
        <v>0</v>
      </c>
      <c r="T458" s="13">
        <f t="shared" si="245"/>
        <v>10196.6</v>
      </c>
      <c r="U458" s="13">
        <f t="shared" si="246"/>
        <v>10196.6</v>
      </c>
      <c r="V458" s="13"/>
      <c r="W458" s="13">
        <f t="shared" si="247"/>
        <v>0</v>
      </c>
    </row>
    <row r="459" spans="1:23" s="9" customFormat="1" outlineLevel="1">
      <c r="A459" s="9" t="s">
        <v>280</v>
      </c>
      <c r="B459" s="9">
        <v>2182</v>
      </c>
      <c r="C459" s="9">
        <v>8157</v>
      </c>
      <c r="D459" s="9" t="s">
        <v>398</v>
      </c>
      <c r="G459" s="9">
        <v>2000</v>
      </c>
      <c r="H459" s="9">
        <v>6</v>
      </c>
      <c r="I459" s="9">
        <v>0</v>
      </c>
      <c r="J459" s="9" t="s">
        <v>78</v>
      </c>
      <c r="K459" s="9">
        <v>5</v>
      </c>
      <c r="L459" s="9">
        <f t="shared" si="236"/>
        <v>2005</v>
      </c>
      <c r="M459" s="114">
        <f t="shared" si="237"/>
        <v>2005.5</v>
      </c>
      <c r="N459" s="13">
        <f>'2180 Trucks - Orig.'!O272</f>
        <v>907.84999999999991</v>
      </c>
      <c r="O459" s="13">
        <f t="shared" si="238"/>
        <v>907.84999999999991</v>
      </c>
      <c r="P459" s="13">
        <f t="shared" si="239"/>
        <v>15.130833333333333</v>
      </c>
      <c r="Q459" s="13">
        <f t="shared" si="240"/>
        <v>181.57</v>
      </c>
      <c r="R459" s="13"/>
      <c r="S459" s="13">
        <f t="shared" si="241"/>
        <v>0</v>
      </c>
      <c r="T459" s="13">
        <f t="shared" si="245"/>
        <v>907.84999999999991</v>
      </c>
      <c r="U459" s="13">
        <f t="shared" si="246"/>
        <v>907.84999999999991</v>
      </c>
      <c r="V459" s="13"/>
      <c r="W459" s="13">
        <f t="shared" si="247"/>
        <v>0</v>
      </c>
    </row>
    <row r="460" spans="1:23" s="9" customFormat="1" outlineLevel="1">
      <c r="B460" s="9">
        <v>2182</v>
      </c>
      <c r="D460" s="9" t="s">
        <v>399</v>
      </c>
      <c r="G460" s="9">
        <v>2018</v>
      </c>
      <c r="H460" s="9">
        <v>12</v>
      </c>
      <c r="I460" s="9">
        <v>0</v>
      </c>
      <c r="J460" s="9" t="s">
        <v>78</v>
      </c>
      <c r="K460" s="9">
        <f>+IF(L459-$O$3&gt;=3,L459-$O$3,3)</f>
        <v>3</v>
      </c>
      <c r="L460" s="9">
        <f t="shared" si="236"/>
        <v>2021</v>
      </c>
      <c r="M460" s="114">
        <f t="shared" si="237"/>
        <v>2022</v>
      </c>
      <c r="N460" s="13">
        <f>'2180 Trucks - Orig.'!N272-'2180 Trucks'!N459</f>
        <v>447.15000000000009</v>
      </c>
      <c r="O460" s="13">
        <f t="shared" si="238"/>
        <v>447.15000000000009</v>
      </c>
      <c r="P460" s="13">
        <f t="shared" si="239"/>
        <v>12.420833333333336</v>
      </c>
      <c r="Q460" s="13">
        <f t="shared" si="240"/>
        <v>149.05000000000004</v>
      </c>
      <c r="R460" s="13"/>
      <c r="S460" s="13">
        <f t="shared" si="241"/>
        <v>0</v>
      </c>
      <c r="T460" s="13">
        <f t="shared" si="245"/>
        <v>447.15000000000009</v>
      </c>
      <c r="U460" s="13">
        <f t="shared" si="246"/>
        <v>447.15000000000009</v>
      </c>
      <c r="V460" s="13"/>
      <c r="W460" s="13">
        <f t="shared" si="247"/>
        <v>0</v>
      </c>
    </row>
    <row r="461" spans="1:23" s="9" customFormat="1" outlineLevel="1">
      <c r="A461" s="9" t="s">
        <v>280</v>
      </c>
      <c r="B461" s="9">
        <v>2182</v>
      </c>
      <c r="C461" s="9">
        <v>8158</v>
      </c>
      <c r="D461" s="9" t="s">
        <v>400</v>
      </c>
      <c r="G461" s="9">
        <v>2000</v>
      </c>
      <c r="H461" s="9">
        <v>6</v>
      </c>
      <c r="I461" s="9">
        <v>0</v>
      </c>
      <c r="J461" s="9" t="s">
        <v>78</v>
      </c>
      <c r="K461" s="9">
        <v>5</v>
      </c>
      <c r="L461" s="9">
        <f t="shared" si="236"/>
        <v>2005</v>
      </c>
      <c r="M461" s="114">
        <f t="shared" si="237"/>
        <v>2005.5</v>
      </c>
      <c r="N461" s="13">
        <f>'2180 Trucks - Orig.'!O273</f>
        <v>907.84999999999991</v>
      </c>
      <c r="O461" s="13">
        <f t="shared" si="238"/>
        <v>907.84999999999991</v>
      </c>
      <c r="P461" s="13">
        <f t="shared" si="239"/>
        <v>15.130833333333333</v>
      </c>
      <c r="Q461" s="13">
        <f t="shared" si="240"/>
        <v>181.57</v>
      </c>
      <c r="R461" s="13"/>
      <c r="S461" s="13">
        <f t="shared" si="241"/>
        <v>0</v>
      </c>
      <c r="T461" s="13">
        <f t="shared" si="245"/>
        <v>907.84999999999991</v>
      </c>
      <c r="U461" s="13">
        <f t="shared" si="246"/>
        <v>907.84999999999991</v>
      </c>
      <c r="V461" s="13"/>
      <c r="W461" s="13">
        <f t="shared" si="247"/>
        <v>0</v>
      </c>
    </row>
    <row r="462" spans="1:23" s="9" customFormat="1" outlineLevel="1">
      <c r="B462" s="9">
        <v>2182</v>
      </c>
      <c r="D462" s="9" t="s">
        <v>399</v>
      </c>
      <c r="G462" s="9">
        <v>2018</v>
      </c>
      <c r="H462" s="9">
        <v>12</v>
      </c>
      <c r="I462" s="9">
        <v>0</v>
      </c>
      <c r="J462" s="9" t="s">
        <v>78</v>
      </c>
      <c r="K462" s="9">
        <f>+IF(L461-$O$3&gt;=3,L461-$O$3,3)</f>
        <v>3</v>
      </c>
      <c r="L462" s="9">
        <f t="shared" si="236"/>
        <v>2021</v>
      </c>
      <c r="M462" s="114">
        <f t="shared" si="237"/>
        <v>2022</v>
      </c>
      <c r="N462" s="13">
        <f>'2180 Trucks - Orig.'!N273-'2180 Trucks'!N461</f>
        <v>447.15000000000009</v>
      </c>
      <c r="O462" s="13">
        <f t="shared" si="238"/>
        <v>447.15000000000009</v>
      </c>
      <c r="P462" s="13">
        <f t="shared" si="239"/>
        <v>12.420833333333336</v>
      </c>
      <c r="Q462" s="13">
        <f t="shared" si="240"/>
        <v>149.05000000000004</v>
      </c>
      <c r="R462" s="13"/>
      <c r="S462" s="13">
        <f t="shared" si="241"/>
        <v>0</v>
      </c>
      <c r="T462" s="13">
        <f t="shared" si="245"/>
        <v>447.15000000000009</v>
      </c>
      <c r="U462" s="13">
        <f t="shared" si="246"/>
        <v>447.15000000000009</v>
      </c>
      <c r="V462" s="13"/>
      <c r="W462" s="13">
        <f t="shared" si="247"/>
        <v>0</v>
      </c>
    </row>
    <row r="463" spans="1:23" s="9" customFormat="1" outlineLevel="1">
      <c r="A463" s="9" t="s">
        <v>298</v>
      </c>
      <c r="B463" s="9">
        <v>2182</v>
      </c>
      <c r="C463" s="9">
        <v>8030</v>
      </c>
      <c r="D463" s="9" t="s">
        <v>401</v>
      </c>
      <c r="G463" s="9">
        <v>2006</v>
      </c>
      <c r="H463" s="9">
        <v>5</v>
      </c>
      <c r="I463" s="9">
        <v>0</v>
      </c>
      <c r="J463" s="9" t="s">
        <v>78</v>
      </c>
      <c r="K463" s="9">
        <v>5</v>
      </c>
      <c r="L463" s="9">
        <f t="shared" si="236"/>
        <v>2011</v>
      </c>
      <c r="M463" s="114">
        <f t="shared" si="237"/>
        <v>2011.4166666666667</v>
      </c>
      <c r="N463" s="13">
        <f>'2180 Trucks - Orig.'!O282</f>
        <v>9523.3464999999997</v>
      </c>
      <c r="O463" s="13">
        <f t="shared" si="238"/>
        <v>9523.3464999999997</v>
      </c>
      <c r="P463" s="13">
        <f t="shared" si="239"/>
        <v>158.72244166666667</v>
      </c>
      <c r="Q463" s="13">
        <f t="shared" si="240"/>
        <v>1904.6693</v>
      </c>
      <c r="R463" s="13"/>
      <c r="S463" s="13">
        <f t="shared" si="241"/>
        <v>0</v>
      </c>
      <c r="T463" s="13">
        <f t="shared" si="245"/>
        <v>9523.3464999999997</v>
      </c>
      <c r="U463" s="13">
        <f t="shared" si="246"/>
        <v>9523.3464999999997</v>
      </c>
      <c r="V463" s="13"/>
      <c r="W463" s="13">
        <f t="shared" si="247"/>
        <v>0</v>
      </c>
    </row>
    <row r="464" spans="1:23" s="9" customFormat="1" outlineLevel="1">
      <c r="B464" s="9">
        <v>2182</v>
      </c>
      <c r="D464" s="9" t="s">
        <v>402</v>
      </c>
      <c r="G464" s="9">
        <v>2018</v>
      </c>
      <c r="H464" s="9">
        <v>12</v>
      </c>
      <c r="I464" s="9">
        <v>0</v>
      </c>
      <c r="J464" s="9" t="s">
        <v>78</v>
      </c>
      <c r="K464" s="9">
        <f>+IF(L463-$O$3&gt;=3,L463-$O$3,3)</f>
        <v>3</v>
      </c>
      <c r="L464" s="9">
        <f t="shared" si="236"/>
        <v>2021</v>
      </c>
      <c r="M464" s="114">
        <f t="shared" si="237"/>
        <v>2022</v>
      </c>
      <c r="N464" s="13">
        <f>'2180 Trucks - Orig.'!N282-'2180 Trucks'!N463</f>
        <v>4690.6035000000011</v>
      </c>
      <c r="O464" s="13">
        <f t="shared" si="238"/>
        <v>4690.6035000000011</v>
      </c>
      <c r="P464" s="13">
        <f t="shared" si="239"/>
        <v>130.2945416666667</v>
      </c>
      <c r="Q464" s="13">
        <f t="shared" si="240"/>
        <v>1563.5345000000004</v>
      </c>
      <c r="R464" s="13"/>
      <c r="S464" s="13">
        <f t="shared" si="241"/>
        <v>0</v>
      </c>
      <c r="T464" s="13">
        <f t="shared" si="245"/>
        <v>4690.6035000000011</v>
      </c>
      <c r="U464" s="13">
        <f t="shared" si="246"/>
        <v>4690.6035000000011</v>
      </c>
      <c r="V464" s="13"/>
      <c r="W464" s="13">
        <f t="shared" si="247"/>
        <v>0</v>
      </c>
    </row>
    <row r="465" spans="2:23" s="9" customFormat="1" outlineLevel="1">
      <c r="B465" s="9">
        <v>2182</v>
      </c>
      <c r="C465" s="9">
        <v>5653</v>
      </c>
      <c r="D465" s="9" t="s">
        <v>403</v>
      </c>
      <c r="E465" s="9">
        <v>195818</v>
      </c>
      <c r="F465" s="9" t="s">
        <v>97</v>
      </c>
      <c r="G465" s="9">
        <v>2018</v>
      </c>
      <c r="H465" s="9">
        <v>4</v>
      </c>
      <c r="I465" s="9">
        <v>0</v>
      </c>
      <c r="J465" s="9" t="s">
        <v>78</v>
      </c>
      <c r="K465" s="9">
        <v>8</v>
      </c>
      <c r="L465" s="9">
        <f t="shared" ref="L465:L487" si="248">G465+K465</f>
        <v>2026</v>
      </c>
      <c r="M465" s="114">
        <f t="shared" ref="M465:M511" si="249">+L465+(H465/12)</f>
        <v>2026.3333333333333</v>
      </c>
      <c r="N465" s="13">
        <v>116812</v>
      </c>
      <c r="O465" s="13">
        <f t="shared" ref="O465:O511" si="250">N465-N465*I465</f>
        <v>116812</v>
      </c>
      <c r="P465" s="13">
        <f t="shared" ref="P465:P511" si="251">O465/K465/12</f>
        <v>1216.7916666666667</v>
      </c>
      <c r="Q465" s="13">
        <f t="shared" ref="Q465:Q511" si="252">P465*12</f>
        <v>14601.5</v>
      </c>
      <c r="R465" s="13"/>
      <c r="S465" s="13">
        <f t="shared" ref="S465:S511" si="253">+IF(M465&lt;=$O$5,0,IF(L465&gt;$O$4,Q465,(P465*H465)))</f>
        <v>14601.5</v>
      </c>
      <c r="T465" s="13">
        <f t="shared" ref="T465:T484" si="254">+IF(S465=0,N465,IF($O$3-G465&lt;1,0,(($O$3-G465)*Q465)))</f>
        <v>43804.5</v>
      </c>
      <c r="U465" s="13">
        <f t="shared" ref="U465:U496" si="255">+IF(S465=0,T465,T465+S465)</f>
        <v>58406</v>
      </c>
      <c r="V465" s="13"/>
      <c r="W465" s="13">
        <f t="shared" ref="W465:W496" si="256">+N465-U465</f>
        <v>58406</v>
      </c>
    </row>
    <row r="466" spans="2:23" s="9" customFormat="1" outlineLevel="1">
      <c r="B466" s="9">
        <v>2182</v>
      </c>
      <c r="C466" s="9">
        <v>5653</v>
      </c>
      <c r="D466" s="9" t="s">
        <v>404</v>
      </c>
      <c r="E466" s="9">
        <v>199419</v>
      </c>
      <c r="F466" s="9">
        <v>195818</v>
      </c>
      <c r="G466" s="9">
        <v>2018</v>
      </c>
      <c r="H466" s="9">
        <v>4</v>
      </c>
      <c r="I466" s="9">
        <v>0</v>
      </c>
      <c r="J466" s="9" t="s">
        <v>78</v>
      </c>
      <c r="K466" s="9">
        <v>8</v>
      </c>
      <c r="L466" s="9">
        <f t="shared" si="248"/>
        <v>2026</v>
      </c>
      <c r="M466" s="114">
        <f t="shared" si="249"/>
        <v>2026.3333333333333</v>
      </c>
      <c r="N466" s="13">
        <v>6467.4</v>
      </c>
      <c r="O466" s="13">
        <f t="shared" si="250"/>
        <v>6467.4</v>
      </c>
      <c r="P466" s="13">
        <f t="shared" si="251"/>
        <v>67.368749999999991</v>
      </c>
      <c r="Q466" s="13">
        <f t="shared" si="252"/>
        <v>808.42499999999995</v>
      </c>
      <c r="R466" s="13"/>
      <c r="S466" s="13">
        <f t="shared" si="253"/>
        <v>808.42499999999995</v>
      </c>
      <c r="T466" s="13">
        <f t="shared" si="254"/>
        <v>2425.2749999999996</v>
      </c>
      <c r="U466" s="13">
        <f t="shared" si="255"/>
        <v>3233.7</v>
      </c>
      <c r="V466" s="13"/>
      <c r="W466" s="13">
        <f t="shared" si="256"/>
        <v>3233.7</v>
      </c>
    </row>
    <row r="467" spans="2:23" s="9" customFormat="1" outlineLevel="1">
      <c r="B467" s="9">
        <v>2182</v>
      </c>
      <c r="C467" s="9">
        <v>5654</v>
      </c>
      <c r="D467" s="9" t="s">
        <v>403</v>
      </c>
      <c r="E467" s="9">
        <v>195819</v>
      </c>
      <c r="F467" s="9" t="s">
        <v>97</v>
      </c>
      <c r="G467" s="9">
        <v>2018</v>
      </c>
      <c r="H467" s="9">
        <v>4</v>
      </c>
      <c r="I467" s="9">
        <v>0</v>
      </c>
      <c r="J467" s="9" t="s">
        <v>78</v>
      </c>
      <c r="K467" s="9">
        <v>8</v>
      </c>
      <c r="L467" s="9">
        <f t="shared" si="248"/>
        <v>2026</v>
      </c>
      <c r="M467" s="114">
        <f t="shared" si="249"/>
        <v>2026.3333333333333</v>
      </c>
      <c r="N467" s="13">
        <v>116812</v>
      </c>
      <c r="O467" s="13">
        <f t="shared" si="250"/>
        <v>116812</v>
      </c>
      <c r="P467" s="13">
        <f t="shared" si="251"/>
        <v>1216.7916666666667</v>
      </c>
      <c r="Q467" s="13">
        <f t="shared" si="252"/>
        <v>14601.5</v>
      </c>
      <c r="R467" s="13"/>
      <c r="S467" s="13">
        <f t="shared" si="253"/>
        <v>14601.5</v>
      </c>
      <c r="T467" s="13">
        <f t="shared" si="254"/>
        <v>43804.5</v>
      </c>
      <c r="U467" s="13">
        <f t="shared" si="255"/>
        <v>58406</v>
      </c>
      <c r="V467" s="13"/>
      <c r="W467" s="13">
        <f t="shared" si="256"/>
        <v>58406</v>
      </c>
    </row>
    <row r="468" spans="2:23" s="9" customFormat="1" outlineLevel="1">
      <c r="B468" s="9">
        <v>2182</v>
      </c>
      <c r="C468" s="9">
        <v>5654</v>
      </c>
      <c r="D468" s="9" t="s">
        <v>404</v>
      </c>
      <c r="E468" s="9">
        <v>199420</v>
      </c>
      <c r="F468" s="9">
        <v>195819</v>
      </c>
      <c r="G468" s="9">
        <v>2018</v>
      </c>
      <c r="H468" s="9">
        <v>4</v>
      </c>
      <c r="I468" s="9">
        <v>0</v>
      </c>
      <c r="J468" s="9" t="s">
        <v>78</v>
      </c>
      <c r="K468" s="9">
        <v>8</v>
      </c>
      <c r="L468" s="9">
        <f t="shared" si="248"/>
        <v>2026</v>
      </c>
      <c r="M468" s="114">
        <f t="shared" si="249"/>
        <v>2026.3333333333333</v>
      </c>
      <c r="N468" s="13">
        <v>6467.4</v>
      </c>
      <c r="O468" s="13">
        <f t="shared" si="250"/>
        <v>6467.4</v>
      </c>
      <c r="P468" s="13">
        <f t="shared" si="251"/>
        <v>67.368749999999991</v>
      </c>
      <c r="Q468" s="13">
        <f t="shared" si="252"/>
        <v>808.42499999999995</v>
      </c>
      <c r="R468" s="13"/>
      <c r="S468" s="13">
        <f t="shared" si="253"/>
        <v>808.42499999999995</v>
      </c>
      <c r="T468" s="13">
        <f t="shared" si="254"/>
        <v>2425.2749999999996</v>
      </c>
      <c r="U468" s="13">
        <f t="shared" si="255"/>
        <v>3233.7</v>
      </c>
      <c r="V468" s="13"/>
      <c r="W468" s="13">
        <f t="shared" si="256"/>
        <v>3233.7</v>
      </c>
    </row>
    <row r="469" spans="2:23" s="9" customFormat="1" outlineLevel="1">
      <c r="B469" s="9">
        <v>2182</v>
      </c>
      <c r="C469" s="9">
        <v>5655</v>
      </c>
      <c r="D469" s="9" t="s">
        <v>403</v>
      </c>
      <c r="E469" s="9">
        <v>205799</v>
      </c>
      <c r="F469" s="9" t="s">
        <v>97</v>
      </c>
      <c r="G469" s="9">
        <v>2018</v>
      </c>
      <c r="H469" s="9">
        <v>11</v>
      </c>
      <c r="I469" s="9">
        <v>0</v>
      </c>
      <c r="J469" s="9" t="s">
        <v>78</v>
      </c>
      <c r="K469" s="9">
        <v>7</v>
      </c>
      <c r="L469" s="9">
        <f t="shared" si="248"/>
        <v>2025</v>
      </c>
      <c r="M469" s="114">
        <f t="shared" si="249"/>
        <v>2025.9166666666667</v>
      </c>
      <c r="N469" s="13">
        <v>110200</v>
      </c>
      <c r="O469" s="13">
        <f t="shared" si="250"/>
        <v>110200</v>
      </c>
      <c r="P469" s="13">
        <f t="shared" si="251"/>
        <v>1311.9047619047619</v>
      </c>
      <c r="Q469" s="13">
        <f t="shared" si="252"/>
        <v>15742.857142857143</v>
      </c>
      <c r="R469" s="13"/>
      <c r="S469" s="13">
        <f t="shared" si="253"/>
        <v>15742.857142857143</v>
      </c>
      <c r="T469" s="13">
        <f t="shared" si="254"/>
        <v>47228.571428571428</v>
      </c>
      <c r="U469" s="13">
        <f t="shared" si="255"/>
        <v>62971.428571428572</v>
      </c>
      <c r="V469" s="13"/>
      <c r="W469" s="13">
        <f t="shared" si="256"/>
        <v>47228.571428571428</v>
      </c>
    </row>
    <row r="470" spans="2:23" s="9" customFormat="1" outlineLevel="1">
      <c r="B470" s="9">
        <v>2182</v>
      </c>
      <c r="C470" s="9">
        <v>5657</v>
      </c>
      <c r="D470" s="9" t="s">
        <v>403</v>
      </c>
      <c r="E470" s="9">
        <v>205800</v>
      </c>
      <c r="F470" s="9" t="s">
        <v>97</v>
      </c>
      <c r="G470" s="9">
        <v>2018</v>
      </c>
      <c r="H470" s="9">
        <v>11</v>
      </c>
      <c r="I470" s="9">
        <v>0</v>
      </c>
      <c r="J470" s="9" t="s">
        <v>78</v>
      </c>
      <c r="K470" s="9">
        <v>7</v>
      </c>
      <c r="L470" s="9">
        <f t="shared" si="248"/>
        <v>2025</v>
      </c>
      <c r="M470" s="114">
        <f t="shared" si="249"/>
        <v>2025.9166666666667</v>
      </c>
      <c r="N470" s="13">
        <v>113506</v>
      </c>
      <c r="O470" s="13">
        <f t="shared" si="250"/>
        <v>113506</v>
      </c>
      <c r="P470" s="13">
        <f t="shared" si="251"/>
        <v>1351.2619047619048</v>
      </c>
      <c r="Q470" s="13">
        <f t="shared" si="252"/>
        <v>16215.142857142859</v>
      </c>
      <c r="R470" s="13"/>
      <c r="S470" s="13">
        <f t="shared" si="253"/>
        <v>16215.142857142859</v>
      </c>
      <c r="T470" s="13">
        <f t="shared" si="254"/>
        <v>48645.42857142858</v>
      </c>
      <c r="U470" s="13">
        <f t="shared" si="255"/>
        <v>64860.571428571435</v>
      </c>
      <c r="V470" s="13"/>
      <c r="W470" s="13">
        <f t="shared" si="256"/>
        <v>48645.428571428565</v>
      </c>
    </row>
    <row r="471" spans="2:23" s="9" customFormat="1" outlineLevel="1">
      <c r="B471" s="9">
        <v>2182</v>
      </c>
      <c r="C471" s="9">
        <v>5656</v>
      </c>
      <c r="D471" s="9" t="s">
        <v>403</v>
      </c>
      <c r="E471" s="9">
        <v>205801</v>
      </c>
      <c r="F471" s="9" t="s">
        <v>97</v>
      </c>
      <c r="G471" s="9">
        <v>2018</v>
      </c>
      <c r="H471" s="9">
        <v>11</v>
      </c>
      <c r="I471" s="9">
        <v>0</v>
      </c>
      <c r="J471" s="9" t="s">
        <v>78</v>
      </c>
      <c r="K471" s="9">
        <v>7</v>
      </c>
      <c r="L471" s="9">
        <f t="shared" si="248"/>
        <v>2025</v>
      </c>
      <c r="M471" s="114">
        <f t="shared" si="249"/>
        <v>2025.9166666666667</v>
      </c>
      <c r="N471" s="13">
        <v>110200</v>
      </c>
      <c r="O471" s="13">
        <f t="shared" si="250"/>
        <v>110200</v>
      </c>
      <c r="P471" s="13">
        <f t="shared" si="251"/>
        <v>1311.9047619047619</v>
      </c>
      <c r="Q471" s="13">
        <f t="shared" si="252"/>
        <v>15742.857142857143</v>
      </c>
      <c r="R471" s="13"/>
      <c r="S471" s="13">
        <f t="shared" si="253"/>
        <v>15742.857142857143</v>
      </c>
      <c r="T471" s="13">
        <f t="shared" si="254"/>
        <v>47228.571428571428</v>
      </c>
      <c r="U471" s="13">
        <f t="shared" si="255"/>
        <v>62971.428571428572</v>
      </c>
      <c r="V471" s="13"/>
      <c r="W471" s="13">
        <f t="shared" si="256"/>
        <v>47228.571428571428</v>
      </c>
    </row>
    <row r="472" spans="2:23" s="9" customFormat="1" outlineLevel="1">
      <c r="B472" s="9">
        <v>2182</v>
      </c>
      <c r="C472" s="9">
        <v>5656</v>
      </c>
      <c r="D472" s="9" t="s">
        <v>405</v>
      </c>
      <c r="E472" s="9">
        <v>206192</v>
      </c>
      <c r="F472" s="9">
        <v>205636</v>
      </c>
      <c r="G472" s="9">
        <v>2018</v>
      </c>
      <c r="H472" s="9">
        <v>11</v>
      </c>
      <c r="I472" s="9">
        <v>0</v>
      </c>
      <c r="J472" s="9" t="s">
        <v>78</v>
      </c>
      <c r="K472" s="9">
        <v>7</v>
      </c>
      <c r="L472" s="9">
        <f t="shared" si="248"/>
        <v>2025</v>
      </c>
      <c r="M472" s="114">
        <f t="shared" si="249"/>
        <v>2025.9166666666667</v>
      </c>
      <c r="N472" s="13">
        <v>7210.63</v>
      </c>
      <c r="O472" s="13">
        <f t="shared" si="250"/>
        <v>7210.63</v>
      </c>
      <c r="P472" s="13">
        <f t="shared" si="251"/>
        <v>85.840833333333322</v>
      </c>
      <c r="Q472" s="13">
        <f t="shared" si="252"/>
        <v>1030.0899999999999</v>
      </c>
      <c r="R472" s="13"/>
      <c r="S472" s="13">
        <f t="shared" si="253"/>
        <v>1030.0899999999999</v>
      </c>
      <c r="T472" s="13">
        <f t="shared" si="254"/>
        <v>3090.2699999999995</v>
      </c>
      <c r="U472" s="13">
        <f t="shared" si="255"/>
        <v>4120.3599999999997</v>
      </c>
      <c r="V472" s="13"/>
      <c r="W472" s="13">
        <f t="shared" si="256"/>
        <v>3090.2700000000004</v>
      </c>
    </row>
    <row r="473" spans="2:23" s="9" customFormat="1" outlineLevel="1">
      <c r="B473" s="9">
        <v>2182</v>
      </c>
      <c r="C473" s="9">
        <v>5655</v>
      </c>
      <c r="D473" s="9" t="s">
        <v>406</v>
      </c>
      <c r="E473" s="9">
        <v>206191</v>
      </c>
      <c r="F473" s="9">
        <v>205799</v>
      </c>
      <c r="G473" s="9">
        <v>2018</v>
      </c>
      <c r="H473" s="9">
        <v>11</v>
      </c>
      <c r="I473" s="9">
        <v>0</v>
      </c>
      <c r="J473" s="9" t="s">
        <v>78</v>
      </c>
      <c r="K473" s="9">
        <v>7</v>
      </c>
      <c r="L473" s="9">
        <f t="shared" si="248"/>
        <v>2025</v>
      </c>
      <c r="M473" s="114">
        <f t="shared" si="249"/>
        <v>2025.9166666666667</v>
      </c>
      <c r="N473" s="13">
        <v>7210.63</v>
      </c>
      <c r="O473" s="13">
        <f t="shared" si="250"/>
        <v>7210.63</v>
      </c>
      <c r="P473" s="13">
        <f t="shared" si="251"/>
        <v>85.840833333333322</v>
      </c>
      <c r="Q473" s="13">
        <f t="shared" si="252"/>
        <v>1030.0899999999999</v>
      </c>
      <c r="R473" s="13"/>
      <c r="S473" s="13">
        <f t="shared" si="253"/>
        <v>1030.0899999999999</v>
      </c>
      <c r="T473" s="13">
        <f t="shared" si="254"/>
        <v>3090.2699999999995</v>
      </c>
      <c r="U473" s="13">
        <f t="shared" si="255"/>
        <v>4120.3599999999997</v>
      </c>
      <c r="V473" s="13"/>
      <c r="W473" s="13">
        <f t="shared" si="256"/>
        <v>3090.2700000000004</v>
      </c>
    </row>
    <row r="474" spans="2:23" s="9" customFormat="1" outlineLevel="1">
      <c r="B474" s="9">
        <v>2182</v>
      </c>
      <c r="C474" s="9">
        <v>5657</v>
      </c>
      <c r="D474" s="9" t="s">
        <v>405</v>
      </c>
      <c r="E474" s="9">
        <v>206193</v>
      </c>
      <c r="F474" s="9">
        <v>205800</v>
      </c>
      <c r="G474" s="9">
        <v>2018</v>
      </c>
      <c r="H474" s="9">
        <v>11</v>
      </c>
      <c r="I474" s="9">
        <v>0</v>
      </c>
      <c r="J474" s="9" t="s">
        <v>78</v>
      </c>
      <c r="K474" s="9">
        <v>8</v>
      </c>
      <c r="L474" s="9">
        <f t="shared" si="248"/>
        <v>2026</v>
      </c>
      <c r="M474" s="114">
        <f t="shared" si="249"/>
        <v>2026.9166666666667</v>
      </c>
      <c r="N474" s="13">
        <v>7210.63</v>
      </c>
      <c r="O474" s="13">
        <f t="shared" si="250"/>
        <v>7210.63</v>
      </c>
      <c r="P474" s="13">
        <f t="shared" si="251"/>
        <v>75.110729166666673</v>
      </c>
      <c r="Q474" s="13">
        <f t="shared" si="252"/>
        <v>901.32875000000013</v>
      </c>
      <c r="R474" s="13"/>
      <c r="S474" s="13">
        <f t="shared" si="253"/>
        <v>901.32875000000013</v>
      </c>
      <c r="T474" s="13">
        <f t="shared" si="254"/>
        <v>2703.9862500000004</v>
      </c>
      <c r="U474" s="13">
        <f t="shared" si="255"/>
        <v>3605.3150000000005</v>
      </c>
      <c r="V474" s="13"/>
      <c r="W474" s="13">
        <f t="shared" si="256"/>
        <v>3605.3149999999996</v>
      </c>
    </row>
    <row r="475" spans="2:23" s="9" customFormat="1" outlineLevel="1">
      <c r="B475" s="9">
        <v>2182</v>
      </c>
      <c r="C475" s="9">
        <v>5656</v>
      </c>
      <c r="D475" s="9" t="s">
        <v>405</v>
      </c>
      <c r="E475" s="9">
        <v>206194</v>
      </c>
      <c r="F475" s="9">
        <v>205801</v>
      </c>
      <c r="G475" s="9">
        <v>2018</v>
      </c>
      <c r="H475" s="9">
        <v>11</v>
      </c>
      <c r="I475" s="9">
        <v>0</v>
      </c>
      <c r="J475" s="9" t="s">
        <v>78</v>
      </c>
      <c r="K475" s="9">
        <v>7</v>
      </c>
      <c r="L475" s="9">
        <f t="shared" si="248"/>
        <v>2025</v>
      </c>
      <c r="M475" s="114">
        <f t="shared" si="249"/>
        <v>2025.9166666666667</v>
      </c>
      <c r="N475" s="13">
        <v>7210.63</v>
      </c>
      <c r="O475" s="13">
        <f t="shared" si="250"/>
        <v>7210.63</v>
      </c>
      <c r="P475" s="13">
        <f t="shared" si="251"/>
        <v>85.840833333333322</v>
      </c>
      <c r="Q475" s="13">
        <f t="shared" si="252"/>
        <v>1030.0899999999999</v>
      </c>
      <c r="R475" s="13"/>
      <c r="S475" s="13">
        <f t="shared" si="253"/>
        <v>1030.0899999999999</v>
      </c>
      <c r="T475" s="13">
        <f t="shared" si="254"/>
        <v>3090.2699999999995</v>
      </c>
      <c r="U475" s="13">
        <f t="shared" si="255"/>
        <v>4120.3599999999997</v>
      </c>
      <c r="V475" s="13"/>
      <c r="W475" s="13">
        <f t="shared" si="256"/>
        <v>3090.2700000000004</v>
      </c>
    </row>
    <row r="476" spans="2:23" s="9" customFormat="1" outlineLevel="1">
      <c r="B476" s="9">
        <v>2182</v>
      </c>
      <c r="C476" s="9">
        <v>5653</v>
      </c>
      <c r="D476" s="9" t="s">
        <v>407</v>
      </c>
      <c r="E476" s="9">
        <v>206278</v>
      </c>
      <c r="F476" s="9">
        <v>195818</v>
      </c>
      <c r="G476" s="9">
        <v>2018</v>
      </c>
      <c r="H476" s="9">
        <v>4</v>
      </c>
      <c r="I476" s="9">
        <v>0</v>
      </c>
      <c r="J476" s="9" t="s">
        <v>78</v>
      </c>
      <c r="K476" s="9">
        <v>5</v>
      </c>
      <c r="L476" s="9">
        <f t="shared" si="248"/>
        <v>2023</v>
      </c>
      <c r="M476" s="114">
        <f t="shared" si="249"/>
        <v>2023.3333333333333</v>
      </c>
      <c r="N476" s="13">
        <v>437.72</v>
      </c>
      <c r="O476" s="13">
        <f t="shared" si="250"/>
        <v>437.72</v>
      </c>
      <c r="P476" s="13">
        <f t="shared" si="251"/>
        <v>7.2953333333333346</v>
      </c>
      <c r="Q476" s="13">
        <f t="shared" si="252"/>
        <v>87.544000000000011</v>
      </c>
      <c r="R476" s="13"/>
      <c r="S476" s="13">
        <f t="shared" si="253"/>
        <v>87.544000000000011</v>
      </c>
      <c r="T476" s="13">
        <f t="shared" si="254"/>
        <v>262.63200000000006</v>
      </c>
      <c r="U476" s="13">
        <f t="shared" si="255"/>
        <v>350.17600000000004</v>
      </c>
      <c r="V476" s="13"/>
      <c r="W476" s="13">
        <f t="shared" si="256"/>
        <v>87.543999999999983</v>
      </c>
    </row>
    <row r="477" spans="2:23" s="9" customFormat="1" outlineLevel="1">
      <c r="B477" s="9">
        <v>2182</v>
      </c>
      <c r="C477" s="9">
        <v>5654</v>
      </c>
      <c r="D477" s="9" t="s">
        <v>407</v>
      </c>
      <c r="E477" s="9">
        <v>206279</v>
      </c>
      <c r="F477" s="9">
        <v>195819</v>
      </c>
      <c r="G477" s="9">
        <v>2018</v>
      </c>
      <c r="H477" s="9">
        <v>4</v>
      </c>
      <c r="I477" s="9">
        <v>0</v>
      </c>
      <c r="J477" s="9" t="s">
        <v>78</v>
      </c>
      <c r="K477" s="9">
        <v>5</v>
      </c>
      <c r="L477" s="9">
        <f t="shared" si="248"/>
        <v>2023</v>
      </c>
      <c r="M477" s="114">
        <f t="shared" si="249"/>
        <v>2023.3333333333333</v>
      </c>
      <c r="N477" s="13">
        <v>437.71</v>
      </c>
      <c r="O477" s="13">
        <f t="shared" si="250"/>
        <v>437.71</v>
      </c>
      <c r="P477" s="13">
        <f t="shared" si="251"/>
        <v>7.2951666666666668</v>
      </c>
      <c r="Q477" s="13">
        <f t="shared" si="252"/>
        <v>87.542000000000002</v>
      </c>
      <c r="R477" s="13"/>
      <c r="S477" s="13">
        <f t="shared" si="253"/>
        <v>87.542000000000002</v>
      </c>
      <c r="T477" s="13">
        <f t="shared" si="254"/>
        <v>262.62599999999998</v>
      </c>
      <c r="U477" s="13">
        <f t="shared" si="255"/>
        <v>350.16800000000001</v>
      </c>
      <c r="V477" s="13"/>
      <c r="W477" s="13">
        <f t="shared" si="256"/>
        <v>87.541999999999973</v>
      </c>
    </row>
    <row r="478" spans="2:23" s="9" customFormat="1" outlineLevel="1">
      <c r="B478" s="9">
        <v>2182</v>
      </c>
      <c r="C478" s="9">
        <v>5659</v>
      </c>
      <c r="D478" s="9" t="s">
        <v>408</v>
      </c>
      <c r="E478" s="9">
        <v>205636</v>
      </c>
      <c r="F478" s="9" t="s">
        <v>97</v>
      </c>
      <c r="G478" s="9">
        <v>2018</v>
      </c>
      <c r="H478" s="9">
        <v>10</v>
      </c>
      <c r="I478" s="9">
        <v>0</v>
      </c>
      <c r="J478" s="9" t="s">
        <v>78</v>
      </c>
      <c r="K478" s="9">
        <v>7</v>
      </c>
      <c r="L478" s="9">
        <f t="shared" si="248"/>
        <v>2025</v>
      </c>
      <c r="M478" s="114">
        <f t="shared" si="249"/>
        <v>2025.8333333333333</v>
      </c>
      <c r="N478" s="13">
        <v>110200</v>
      </c>
      <c r="O478" s="13">
        <f t="shared" si="250"/>
        <v>110200</v>
      </c>
      <c r="P478" s="13">
        <f t="shared" si="251"/>
        <v>1311.9047619047619</v>
      </c>
      <c r="Q478" s="13">
        <f t="shared" si="252"/>
        <v>15742.857142857143</v>
      </c>
      <c r="R478" s="13"/>
      <c r="S478" s="13">
        <f t="shared" si="253"/>
        <v>15742.857142857143</v>
      </c>
      <c r="T478" s="13">
        <f t="shared" si="254"/>
        <v>47228.571428571428</v>
      </c>
      <c r="U478" s="13">
        <f t="shared" si="255"/>
        <v>62971.428571428572</v>
      </c>
      <c r="V478" s="13"/>
      <c r="W478" s="13">
        <f t="shared" si="256"/>
        <v>47228.571428571428</v>
      </c>
    </row>
    <row r="479" spans="2:23" s="9" customFormat="1" outlineLevel="1">
      <c r="B479" s="9">
        <v>2182</v>
      </c>
      <c r="C479" s="9">
        <v>5659</v>
      </c>
      <c r="D479" s="9" t="s">
        <v>407</v>
      </c>
      <c r="E479" s="9">
        <v>206275</v>
      </c>
      <c r="F479" s="9">
        <v>205636</v>
      </c>
      <c r="G479" s="9">
        <v>2018</v>
      </c>
      <c r="H479" s="9">
        <v>11</v>
      </c>
      <c r="I479" s="9">
        <v>0</v>
      </c>
      <c r="J479" s="9" t="s">
        <v>78</v>
      </c>
      <c r="K479" s="9">
        <v>5</v>
      </c>
      <c r="L479" s="9">
        <f t="shared" si="248"/>
        <v>2023</v>
      </c>
      <c r="M479" s="114">
        <f t="shared" si="249"/>
        <v>2023.9166666666667</v>
      </c>
      <c r="N479" s="13">
        <v>437.72</v>
      </c>
      <c r="O479" s="13">
        <f t="shared" si="250"/>
        <v>437.72</v>
      </c>
      <c r="P479" s="13">
        <f t="shared" si="251"/>
        <v>7.2953333333333346</v>
      </c>
      <c r="Q479" s="13">
        <f t="shared" si="252"/>
        <v>87.544000000000011</v>
      </c>
      <c r="R479" s="13"/>
      <c r="S479" s="13">
        <f t="shared" si="253"/>
        <v>87.544000000000011</v>
      </c>
      <c r="T479" s="13">
        <f t="shared" si="254"/>
        <v>262.63200000000006</v>
      </c>
      <c r="U479" s="13">
        <f t="shared" si="255"/>
        <v>350.17600000000004</v>
      </c>
      <c r="V479" s="13"/>
      <c r="W479" s="13">
        <f t="shared" si="256"/>
        <v>87.543999999999983</v>
      </c>
    </row>
    <row r="480" spans="2:23" s="9" customFormat="1" outlineLevel="1">
      <c r="B480" s="9">
        <v>2182</v>
      </c>
      <c r="C480" s="9">
        <v>5655</v>
      </c>
      <c r="D480" s="9" t="s">
        <v>407</v>
      </c>
      <c r="E480" s="9">
        <v>206274</v>
      </c>
      <c r="F480" s="9">
        <v>205799</v>
      </c>
      <c r="G480" s="9">
        <v>2018</v>
      </c>
      <c r="H480" s="9">
        <v>11</v>
      </c>
      <c r="I480" s="9">
        <v>0</v>
      </c>
      <c r="J480" s="9" t="s">
        <v>78</v>
      </c>
      <c r="K480" s="9">
        <v>5</v>
      </c>
      <c r="L480" s="9">
        <f t="shared" si="248"/>
        <v>2023</v>
      </c>
      <c r="M480" s="114">
        <f t="shared" si="249"/>
        <v>2023.9166666666667</v>
      </c>
      <c r="N480" s="13">
        <v>437.72</v>
      </c>
      <c r="O480" s="13">
        <f t="shared" si="250"/>
        <v>437.72</v>
      </c>
      <c r="P480" s="13">
        <f t="shared" si="251"/>
        <v>7.2953333333333346</v>
      </c>
      <c r="Q480" s="13">
        <f t="shared" si="252"/>
        <v>87.544000000000011</v>
      </c>
      <c r="R480" s="13"/>
      <c r="S480" s="13">
        <f t="shared" si="253"/>
        <v>87.544000000000011</v>
      </c>
      <c r="T480" s="13">
        <f t="shared" si="254"/>
        <v>262.63200000000006</v>
      </c>
      <c r="U480" s="13">
        <f t="shared" si="255"/>
        <v>350.17600000000004</v>
      </c>
      <c r="V480" s="13"/>
      <c r="W480" s="13">
        <f t="shared" si="256"/>
        <v>87.543999999999983</v>
      </c>
    </row>
    <row r="481" spans="1:23" s="9" customFormat="1" outlineLevel="1">
      <c r="B481" s="9">
        <v>2182</v>
      </c>
      <c r="C481" s="9">
        <v>5657</v>
      </c>
      <c r="D481" s="9" t="s">
        <v>407</v>
      </c>
      <c r="E481" s="9">
        <v>206276</v>
      </c>
      <c r="F481" s="9">
        <v>205800</v>
      </c>
      <c r="G481" s="9">
        <v>2018</v>
      </c>
      <c r="H481" s="9">
        <v>11</v>
      </c>
      <c r="I481" s="9">
        <v>0</v>
      </c>
      <c r="J481" s="9" t="s">
        <v>78</v>
      </c>
      <c r="K481" s="9">
        <v>5</v>
      </c>
      <c r="L481" s="9">
        <f t="shared" si="248"/>
        <v>2023</v>
      </c>
      <c r="M481" s="114">
        <f t="shared" si="249"/>
        <v>2023.9166666666667</v>
      </c>
      <c r="N481" s="13">
        <v>437.72</v>
      </c>
      <c r="O481" s="13">
        <f t="shared" si="250"/>
        <v>437.72</v>
      </c>
      <c r="P481" s="13">
        <f t="shared" si="251"/>
        <v>7.2953333333333346</v>
      </c>
      <c r="Q481" s="13">
        <f t="shared" si="252"/>
        <v>87.544000000000011</v>
      </c>
      <c r="R481" s="13"/>
      <c r="S481" s="13">
        <f t="shared" si="253"/>
        <v>87.544000000000011</v>
      </c>
      <c r="T481" s="13">
        <f t="shared" si="254"/>
        <v>262.63200000000006</v>
      </c>
      <c r="U481" s="13">
        <f t="shared" si="255"/>
        <v>350.17600000000004</v>
      </c>
      <c r="V481" s="13"/>
      <c r="W481" s="13">
        <f t="shared" si="256"/>
        <v>87.543999999999983</v>
      </c>
    </row>
    <row r="482" spans="1:23" s="9" customFormat="1" outlineLevel="1">
      <c r="B482" s="9">
        <v>2182</v>
      </c>
      <c r="C482" s="9">
        <v>5656</v>
      </c>
      <c r="D482" s="9" t="s">
        <v>407</v>
      </c>
      <c r="E482" s="9">
        <v>206277</v>
      </c>
      <c r="F482" s="9">
        <v>205801</v>
      </c>
      <c r="G482" s="9">
        <v>2018</v>
      </c>
      <c r="H482" s="9">
        <v>11</v>
      </c>
      <c r="I482" s="9">
        <v>0</v>
      </c>
      <c r="J482" s="9" t="s">
        <v>78</v>
      </c>
      <c r="K482" s="9">
        <v>5</v>
      </c>
      <c r="L482" s="9">
        <f t="shared" si="248"/>
        <v>2023</v>
      </c>
      <c r="M482" s="114">
        <f t="shared" si="249"/>
        <v>2023.9166666666667</v>
      </c>
      <c r="N482" s="13">
        <v>437.72</v>
      </c>
      <c r="O482" s="13">
        <f t="shared" si="250"/>
        <v>437.72</v>
      </c>
      <c r="P482" s="13">
        <f t="shared" si="251"/>
        <v>7.2953333333333346</v>
      </c>
      <c r="Q482" s="13">
        <f t="shared" si="252"/>
        <v>87.544000000000011</v>
      </c>
      <c r="R482" s="13"/>
      <c r="S482" s="13">
        <f t="shared" si="253"/>
        <v>87.544000000000011</v>
      </c>
      <c r="T482" s="13">
        <f t="shared" si="254"/>
        <v>262.63200000000006</v>
      </c>
      <c r="U482" s="13">
        <f t="shared" si="255"/>
        <v>350.17600000000004</v>
      </c>
      <c r="V482" s="13"/>
      <c r="W482" s="13">
        <f t="shared" si="256"/>
        <v>87.543999999999983</v>
      </c>
    </row>
    <row r="483" spans="1:23" s="9" customFormat="1" outlineLevel="1">
      <c r="B483" s="9">
        <v>2182</v>
      </c>
      <c r="C483" s="9">
        <v>8058</v>
      </c>
      <c r="D483" s="9" t="s">
        <v>409</v>
      </c>
      <c r="E483" s="9">
        <v>205802</v>
      </c>
      <c r="F483" s="9" t="s">
        <v>97</v>
      </c>
      <c r="G483" s="9">
        <v>2018</v>
      </c>
      <c r="H483" s="9">
        <v>8</v>
      </c>
      <c r="I483" s="9">
        <v>0</v>
      </c>
      <c r="J483" s="9" t="s">
        <v>78</v>
      </c>
      <c r="K483" s="9">
        <v>7</v>
      </c>
      <c r="L483" s="9">
        <f t="shared" si="248"/>
        <v>2025</v>
      </c>
      <c r="M483" s="114">
        <f t="shared" si="249"/>
        <v>2025.6666666666667</v>
      </c>
      <c r="N483" s="13">
        <v>116470.17</v>
      </c>
      <c r="O483" s="13">
        <f t="shared" si="250"/>
        <v>116470.17</v>
      </c>
      <c r="P483" s="13">
        <f t="shared" si="251"/>
        <v>1386.549642857143</v>
      </c>
      <c r="Q483" s="13">
        <f t="shared" si="252"/>
        <v>16638.595714285715</v>
      </c>
      <c r="R483" s="13"/>
      <c r="S483" s="13">
        <f t="shared" si="253"/>
        <v>16638.595714285715</v>
      </c>
      <c r="T483" s="13">
        <f t="shared" si="254"/>
        <v>49915.787142857145</v>
      </c>
      <c r="U483" s="13">
        <f t="shared" si="255"/>
        <v>66554.38285714286</v>
      </c>
      <c r="V483" s="13"/>
      <c r="W483" s="13">
        <f t="shared" si="256"/>
        <v>49915.787142857138</v>
      </c>
    </row>
    <row r="484" spans="1:23" s="9" customFormat="1" outlineLevel="1">
      <c r="B484" s="9">
        <v>2182</v>
      </c>
      <c r="C484" s="9">
        <v>8059</v>
      </c>
      <c r="D484" s="9" t="s">
        <v>409</v>
      </c>
      <c r="E484" s="9">
        <v>205803</v>
      </c>
      <c r="F484" s="9" t="s">
        <v>97</v>
      </c>
      <c r="G484" s="9">
        <v>2018</v>
      </c>
      <c r="H484" s="9">
        <v>8</v>
      </c>
      <c r="I484" s="9">
        <v>0</v>
      </c>
      <c r="J484" s="9" t="s">
        <v>78</v>
      </c>
      <c r="K484" s="9">
        <v>7</v>
      </c>
      <c r="L484" s="9">
        <f t="shared" si="248"/>
        <v>2025</v>
      </c>
      <c r="M484" s="114">
        <f t="shared" si="249"/>
        <v>2025.6666666666667</v>
      </c>
      <c r="N484" s="13">
        <v>116470.17</v>
      </c>
      <c r="O484" s="13">
        <f t="shared" si="250"/>
        <v>116470.17</v>
      </c>
      <c r="P484" s="13">
        <f t="shared" si="251"/>
        <v>1386.549642857143</v>
      </c>
      <c r="Q484" s="13">
        <f t="shared" si="252"/>
        <v>16638.595714285715</v>
      </c>
      <c r="R484" s="13"/>
      <c r="S484" s="13">
        <f t="shared" si="253"/>
        <v>16638.595714285715</v>
      </c>
      <c r="T484" s="13">
        <f t="shared" si="254"/>
        <v>49915.787142857145</v>
      </c>
      <c r="U484" s="13">
        <f t="shared" si="255"/>
        <v>66554.38285714286</v>
      </c>
      <c r="V484" s="13"/>
      <c r="W484" s="13">
        <f t="shared" si="256"/>
        <v>49915.787142857138</v>
      </c>
    </row>
    <row r="485" spans="1:23" s="9" customFormat="1" outlineLevel="1">
      <c r="B485" s="9">
        <v>2182</v>
      </c>
      <c r="C485" s="9">
        <v>8060</v>
      </c>
      <c r="D485" s="9" t="s">
        <v>410</v>
      </c>
      <c r="E485" s="9">
        <v>203762</v>
      </c>
      <c r="F485" s="9" t="s">
        <v>97</v>
      </c>
      <c r="G485" s="9">
        <v>2018</v>
      </c>
      <c r="H485" s="9">
        <v>9</v>
      </c>
      <c r="I485" s="9">
        <v>0</v>
      </c>
      <c r="J485" s="9" t="s">
        <v>78</v>
      </c>
      <c r="K485" s="9">
        <v>7</v>
      </c>
      <c r="L485" s="9">
        <f>G485+K485</f>
        <v>2025</v>
      </c>
      <c r="M485" s="114">
        <f>+L485+(H485/12)</f>
        <v>2025.75</v>
      </c>
      <c r="N485" s="13">
        <v>118109.67</v>
      </c>
      <c r="O485" s="13">
        <f>N485-N485*I485</f>
        <v>118109.67</v>
      </c>
      <c r="P485" s="13">
        <f>O485/K485/12</f>
        <v>1406.0675000000001</v>
      </c>
      <c r="Q485" s="13">
        <f>P485*12</f>
        <v>16872.810000000001</v>
      </c>
      <c r="R485" s="13"/>
      <c r="S485" s="13">
        <f>+IF(M485&lt;='2180 Other'!$O$5,0,IF(L485&gt;'2180 Other'!$O$4,Q485,(P485*H485)))</f>
        <v>16872.810000000001</v>
      </c>
      <c r="T485" s="13">
        <f>+IF(S485=0,N485,IF('2180 Other'!$O$3-G485&lt;1,0,(('2180 Other'!$O$3-G485)*Q485)))</f>
        <v>50618.430000000008</v>
      </c>
      <c r="U485" s="13">
        <f t="shared" si="255"/>
        <v>67491.240000000005</v>
      </c>
      <c r="V485" s="13"/>
      <c r="W485" s="13">
        <f t="shared" si="256"/>
        <v>50618.429999999993</v>
      </c>
    </row>
    <row r="486" spans="1:23" s="9" customFormat="1" outlineLevel="1">
      <c r="B486" s="9">
        <v>2182</v>
      </c>
      <c r="C486" s="9">
        <v>8061</v>
      </c>
      <c r="D486" s="9" t="s">
        <v>410</v>
      </c>
      <c r="E486" s="9">
        <v>203763</v>
      </c>
      <c r="F486" s="9" t="s">
        <v>97</v>
      </c>
      <c r="G486" s="9">
        <v>2018</v>
      </c>
      <c r="H486" s="9">
        <v>9</v>
      </c>
      <c r="I486" s="9">
        <v>0</v>
      </c>
      <c r="J486" s="9" t="s">
        <v>78</v>
      </c>
      <c r="K486" s="9">
        <v>7</v>
      </c>
      <c r="L486" s="9">
        <f>G486+K486</f>
        <v>2025</v>
      </c>
      <c r="M486" s="114">
        <f>+L486+(H486/12)</f>
        <v>2025.75</v>
      </c>
      <c r="N486" s="13">
        <v>118109.67</v>
      </c>
      <c r="O486" s="13">
        <f>N486-N486*I486</f>
        <v>118109.67</v>
      </c>
      <c r="P486" s="13">
        <f>O486/K486/12</f>
        <v>1406.0675000000001</v>
      </c>
      <c r="Q486" s="13">
        <f>P486*12</f>
        <v>16872.810000000001</v>
      </c>
      <c r="R486" s="13"/>
      <c r="S486" s="13">
        <f>+IF(M486&lt;='2180 Other'!$O$5,0,IF(L486&gt;'2180 Other'!$O$4,Q486,(P486*H486)))</f>
        <v>16872.810000000001</v>
      </c>
      <c r="T486" s="13">
        <f>+IF(S486=0,N486,IF('2180 Other'!$O$3-G486&lt;1,0,(('2180 Other'!$O$3-G486)*Q486)))</f>
        <v>50618.430000000008</v>
      </c>
      <c r="U486" s="13">
        <f t="shared" si="255"/>
        <v>67491.240000000005</v>
      </c>
      <c r="V486" s="13"/>
      <c r="W486" s="13">
        <f t="shared" si="256"/>
        <v>50618.429999999993</v>
      </c>
    </row>
    <row r="487" spans="1:23" s="9" customFormat="1" outlineLevel="1">
      <c r="B487" s="9">
        <v>2182</v>
      </c>
      <c r="D487" s="9" t="s">
        <v>411</v>
      </c>
      <c r="E487" s="9">
        <v>204838</v>
      </c>
      <c r="F487" s="9" t="s">
        <v>97</v>
      </c>
      <c r="G487" s="9">
        <v>2018</v>
      </c>
      <c r="H487" s="9">
        <v>10</v>
      </c>
      <c r="I487" s="9">
        <v>0</v>
      </c>
      <c r="J487" s="9" t="s">
        <v>78</v>
      </c>
      <c r="K487" s="9">
        <v>3</v>
      </c>
      <c r="L487" s="9">
        <f t="shared" si="248"/>
        <v>2021</v>
      </c>
      <c r="M487" s="114">
        <f t="shared" si="249"/>
        <v>2021.8333333333333</v>
      </c>
      <c r="N487" s="13">
        <v>24231</v>
      </c>
      <c r="O487" s="13">
        <f t="shared" si="250"/>
        <v>24231</v>
      </c>
      <c r="P487" s="13">
        <f t="shared" si="251"/>
        <v>673.08333333333337</v>
      </c>
      <c r="Q487" s="13">
        <f t="shared" si="252"/>
        <v>8077</v>
      </c>
      <c r="R487" s="13"/>
      <c r="S487" s="13">
        <f t="shared" si="253"/>
        <v>0</v>
      </c>
      <c r="T487" s="13">
        <f t="shared" ref="T487:T513" si="257">+IF(S487=0,N487,IF($O$3-G487&lt;1,0,(($O$3-G487)*Q487)))</f>
        <v>24231</v>
      </c>
      <c r="U487" s="13">
        <f t="shared" si="255"/>
        <v>24231</v>
      </c>
      <c r="V487" s="13"/>
      <c r="W487" s="13">
        <f t="shared" si="256"/>
        <v>0</v>
      </c>
    </row>
    <row r="488" spans="1:23" s="9" customFormat="1" outlineLevel="1">
      <c r="B488" s="9">
        <v>2182</v>
      </c>
      <c r="D488" s="9" t="s">
        <v>412</v>
      </c>
      <c r="E488" s="9">
        <v>210111</v>
      </c>
      <c r="F488" s="9" t="s">
        <v>97</v>
      </c>
      <c r="G488" s="9">
        <v>2019</v>
      </c>
      <c r="H488" s="9">
        <v>1</v>
      </c>
      <c r="I488" s="9">
        <v>0</v>
      </c>
      <c r="J488" s="9" t="s">
        <v>78</v>
      </c>
      <c r="K488" s="9">
        <v>10</v>
      </c>
      <c r="L488" s="9">
        <f>G488+K488</f>
        <v>2029</v>
      </c>
      <c r="M488" s="114">
        <f t="shared" si="249"/>
        <v>2029.0833333333333</v>
      </c>
      <c r="N488" s="13">
        <v>160403.81</v>
      </c>
      <c r="O488" s="13">
        <f t="shared" si="250"/>
        <v>160403.81</v>
      </c>
      <c r="P488" s="13">
        <f t="shared" si="251"/>
        <v>1336.6984166666666</v>
      </c>
      <c r="Q488" s="13">
        <f t="shared" si="252"/>
        <v>16040.380999999999</v>
      </c>
      <c r="R488" s="13"/>
      <c r="S488" s="13">
        <f t="shared" si="253"/>
        <v>16040.380999999999</v>
      </c>
      <c r="T488" s="13">
        <f t="shared" si="257"/>
        <v>32080.761999999999</v>
      </c>
      <c r="U488" s="13">
        <f t="shared" si="255"/>
        <v>48121.142999999996</v>
      </c>
      <c r="V488" s="13"/>
      <c r="W488" s="13">
        <f t="shared" si="256"/>
        <v>112282.667</v>
      </c>
    </row>
    <row r="489" spans="1:23" s="9" customFormat="1" outlineLevel="1">
      <c r="B489" s="9">
        <v>2182</v>
      </c>
      <c r="D489" s="9" t="s">
        <v>413</v>
      </c>
      <c r="E489" s="9">
        <v>209797</v>
      </c>
      <c r="F489" s="9">
        <v>210111</v>
      </c>
      <c r="G489" s="9">
        <v>2019</v>
      </c>
      <c r="H489" s="9">
        <v>1</v>
      </c>
      <c r="I489" s="9">
        <v>0</v>
      </c>
      <c r="J489" s="9" t="s">
        <v>78</v>
      </c>
      <c r="K489" s="9">
        <v>10</v>
      </c>
      <c r="L489" s="9">
        <f>G489+K489</f>
        <v>2029</v>
      </c>
      <c r="M489" s="114">
        <f t="shared" si="249"/>
        <v>2029.0833333333333</v>
      </c>
      <c r="N489" s="13">
        <v>7210.63</v>
      </c>
      <c r="O489" s="13">
        <f t="shared" si="250"/>
        <v>7210.63</v>
      </c>
      <c r="P489" s="13">
        <f t="shared" si="251"/>
        <v>60.088583333333332</v>
      </c>
      <c r="Q489" s="13">
        <f t="shared" si="252"/>
        <v>721.06299999999999</v>
      </c>
      <c r="R489" s="13"/>
      <c r="S489" s="13">
        <f t="shared" si="253"/>
        <v>721.06299999999999</v>
      </c>
      <c r="T489" s="13">
        <f t="shared" si="257"/>
        <v>1442.126</v>
      </c>
      <c r="U489" s="13">
        <f t="shared" si="255"/>
        <v>2163.1889999999999</v>
      </c>
      <c r="V489" s="13"/>
      <c r="W489" s="13">
        <f t="shared" si="256"/>
        <v>5047.4410000000007</v>
      </c>
    </row>
    <row r="490" spans="1:23" s="9" customFormat="1" outlineLevel="1">
      <c r="B490" s="9">
        <v>2182</v>
      </c>
      <c r="C490" s="9">
        <v>8054</v>
      </c>
      <c r="D490" s="9" t="s">
        <v>414</v>
      </c>
      <c r="E490" s="9">
        <v>212764</v>
      </c>
      <c r="F490" s="9" t="s">
        <v>97</v>
      </c>
      <c r="G490" s="9">
        <v>2019</v>
      </c>
      <c r="H490" s="9">
        <v>5</v>
      </c>
      <c r="I490" s="9">
        <v>0</v>
      </c>
      <c r="J490" s="9" t="s">
        <v>78</v>
      </c>
      <c r="K490" s="9">
        <v>7</v>
      </c>
      <c r="L490" s="9">
        <f>G490+K490</f>
        <v>2026</v>
      </c>
      <c r="M490" s="114">
        <f t="shared" si="249"/>
        <v>2026.4166666666667</v>
      </c>
      <c r="N490" s="13">
        <v>100030</v>
      </c>
      <c r="O490" s="13">
        <f t="shared" si="250"/>
        <v>100030</v>
      </c>
      <c r="P490" s="13">
        <f t="shared" si="251"/>
        <v>1190.8333333333333</v>
      </c>
      <c r="Q490" s="13">
        <f t="shared" si="252"/>
        <v>14290</v>
      </c>
      <c r="R490" s="13"/>
      <c r="S490" s="13">
        <f t="shared" si="253"/>
        <v>14290</v>
      </c>
      <c r="T490" s="13">
        <f t="shared" si="257"/>
        <v>28580</v>
      </c>
      <c r="U490" s="13">
        <f t="shared" si="255"/>
        <v>42870</v>
      </c>
      <c r="V490" s="13"/>
      <c r="W490" s="13">
        <f t="shared" si="256"/>
        <v>57160</v>
      </c>
    </row>
    <row r="491" spans="1:23" s="9" customFormat="1" outlineLevel="1">
      <c r="A491" s="9" t="s">
        <v>280</v>
      </c>
      <c r="B491" s="9" t="s">
        <v>415</v>
      </c>
      <c r="C491" s="9">
        <v>8169</v>
      </c>
      <c r="D491" s="9" t="s">
        <v>416</v>
      </c>
      <c r="G491" s="9">
        <v>1999</v>
      </c>
      <c r="H491" s="9">
        <v>4</v>
      </c>
      <c r="I491" s="9">
        <v>0</v>
      </c>
      <c r="J491" s="9" t="s">
        <v>78</v>
      </c>
      <c r="K491" s="9">
        <v>7</v>
      </c>
      <c r="L491" s="9">
        <f>G491+K491</f>
        <v>2006</v>
      </c>
      <c r="M491" s="114">
        <f t="shared" si="249"/>
        <v>2006.3333333333333</v>
      </c>
      <c r="N491" s="13">
        <f>'2180 Trucks - Orig.'!O228</f>
        <v>11571.856</v>
      </c>
      <c r="O491" s="13">
        <f t="shared" si="250"/>
        <v>11571.856</v>
      </c>
      <c r="P491" s="13">
        <f t="shared" si="251"/>
        <v>137.76019047619047</v>
      </c>
      <c r="Q491" s="13">
        <f t="shared" si="252"/>
        <v>1653.1222857142857</v>
      </c>
      <c r="R491" s="13"/>
      <c r="S491" s="13">
        <f t="shared" si="253"/>
        <v>0</v>
      </c>
      <c r="T491" s="13">
        <f t="shared" si="257"/>
        <v>11571.856</v>
      </c>
      <c r="U491" s="13">
        <f t="shared" si="255"/>
        <v>11571.856</v>
      </c>
      <c r="V491" s="13"/>
      <c r="W491" s="13">
        <f t="shared" si="256"/>
        <v>0</v>
      </c>
    </row>
    <row r="492" spans="1:23" s="9" customFormat="1" outlineLevel="1">
      <c r="D492" s="9" t="s">
        <v>417</v>
      </c>
      <c r="G492" s="9">
        <v>2018</v>
      </c>
      <c r="H492" s="9">
        <v>12</v>
      </c>
      <c r="I492" s="9">
        <v>0</v>
      </c>
      <c r="J492" s="9" t="s">
        <v>78</v>
      </c>
      <c r="K492" s="9">
        <f>+IF(L491-$O$3&gt;=3,L491-$O$3,3)</f>
        <v>3</v>
      </c>
      <c r="L492" s="9">
        <f>G492+K492</f>
        <v>2021</v>
      </c>
      <c r="M492" s="114">
        <f t="shared" si="249"/>
        <v>2022</v>
      </c>
      <c r="N492" s="13">
        <f>'2180 Trucks - Orig.'!N228-'2180 Trucks'!N491</f>
        <v>2892.9639999999999</v>
      </c>
      <c r="O492" s="13">
        <f t="shared" si="250"/>
        <v>2892.9639999999999</v>
      </c>
      <c r="P492" s="13">
        <f t="shared" si="251"/>
        <v>80.360111111111109</v>
      </c>
      <c r="Q492" s="13">
        <f t="shared" si="252"/>
        <v>964.32133333333331</v>
      </c>
      <c r="R492" s="13"/>
      <c r="S492" s="13">
        <f t="shared" si="253"/>
        <v>0</v>
      </c>
      <c r="T492" s="13">
        <f t="shared" si="257"/>
        <v>2892.9639999999999</v>
      </c>
      <c r="U492" s="13">
        <f t="shared" si="255"/>
        <v>2892.9639999999999</v>
      </c>
      <c r="V492" s="13"/>
      <c r="W492" s="13">
        <f t="shared" si="256"/>
        <v>0</v>
      </c>
    </row>
    <row r="493" spans="1:23" s="9" customFormat="1" outlineLevel="1">
      <c r="A493" s="9" t="s">
        <v>75</v>
      </c>
      <c r="B493" s="9" t="s">
        <v>207</v>
      </c>
      <c r="C493" s="9">
        <v>2014</v>
      </c>
      <c r="D493" s="9" t="s">
        <v>418</v>
      </c>
      <c r="E493" s="9" t="s">
        <v>419</v>
      </c>
      <c r="F493" s="9">
        <v>90561</v>
      </c>
      <c r="G493" s="9">
        <v>2014</v>
      </c>
      <c r="H493" s="9">
        <v>8</v>
      </c>
      <c r="I493" s="9">
        <v>0</v>
      </c>
      <c r="J493" s="9" t="s">
        <v>78</v>
      </c>
      <c r="K493" s="9">
        <v>3</v>
      </c>
      <c r="L493" s="9">
        <f t="shared" ref="L493:L511" si="258">G493+K493</f>
        <v>2017</v>
      </c>
      <c r="M493" s="114">
        <f t="shared" si="249"/>
        <v>2017.6666666666667</v>
      </c>
      <c r="N493" s="13">
        <f>27837.41+4073.63</f>
        <v>31911.040000000001</v>
      </c>
      <c r="O493" s="13">
        <f t="shared" si="250"/>
        <v>31911.040000000001</v>
      </c>
      <c r="P493" s="13">
        <f t="shared" si="251"/>
        <v>886.41777777777781</v>
      </c>
      <c r="Q493" s="13">
        <f t="shared" si="252"/>
        <v>10637.013333333334</v>
      </c>
      <c r="R493" s="13"/>
      <c r="S493" s="13">
        <f t="shared" si="253"/>
        <v>0</v>
      </c>
      <c r="T493" s="13">
        <f t="shared" si="257"/>
        <v>31911.040000000001</v>
      </c>
      <c r="U493" s="13">
        <f t="shared" si="255"/>
        <v>31911.040000000001</v>
      </c>
      <c r="V493" s="13"/>
      <c r="W493" s="13">
        <f t="shared" si="256"/>
        <v>0</v>
      </c>
    </row>
    <row r="494" spans="1:23" s="9" customFormat="1" ht="16.5" customHeight="1" outlineLevel="1">
      <c r="A494" s="9" t="s">
        <v>221</v>
      </c>
      <c r="B494" s="9" t="s">
        <v>111</v>
      </c>
      <c r="C494" s="9">
        <v>3595</v>
      </c>
      <c r="D494" s="9" t="s">
        <v>420</v>
      </c>
      <c r="G494" s="9">
        <v>2006</v>
      </c>
      <c r="H494" s="9">
        <v>12</v>
      </c>
      <c r="I494" s="9">
        <v>0</v>
      </c>
      <c r="J494" s="9" t="s">
        <v>78</v>
      </c>
      <c r="K494" s="9">
        <v>7</v>
      </c>
      <c r="L494" s="9">
        <f t="shared" si="258"/>
        <v>2013</v>
      </c>
      <c r="M494" s="114">
        <f t="shared" si="249"/>
        <v>2014</v>
      </c>
      <c r="N494" s="13">
        <f>'2180 Trucks - Orig.'!O32</f>
        <v>146842.576</v>
      </c>
      <c r="O494" s="13">
        <f t="shared" si="250"/>
        <v>146842.576</v>
      </c>
      <c r="P494" s="13">
        <f t="shared" si="251"/>
        <v>1748.1259047619048</v>
      </c>
      <c r="Q494" s="13">
        <f t="shared" si="252"/>
        <v>20977.510857142857</v>
      </c>
      <c r="R494" s="13"/>
      <c r="S494" s="13">
        <f t="shared" si="253"/>
        <v>0</v>
      </c>
      <c r="T494" s="13">
        <f t="shared" si="257"/>
        <v>146842.576</v>
      </c>
      <c r="U494" s="13">
        <f t="shared" si="255"/>
        <v>146842.576</v>
      </c>
      <c r="V494" s="13"/>
      <c r="W494" s="13">
        <f t="shared" si="256"/>
        <v>0</v>
      </c>
    </row>
    <row r="495" spans="1:23" s="9" customFormat="1" outlineLevel="1">
      <c r="A495" s="15"/>
      <c r="B495" s="15"/>
      <c r="C495" s="15"/>
      <c r="D495" s="15" t="s">
        <v>421</v>
      </c>
      <c r="E495" s="15"/>
      <c r="F495" s="15"/>
      <c r="G495" s="15">
        <v>2018</v>
      </c>
      <c r="H495" s="15">
        <v>12</v>
      </c>
      <c r="I495" s="15">
        <v>0</v>
      </c>
      <c r="J495" s="15" t="s">
        <v>78</v>
      </c>
      <c r="K495" s="15">
        <f>+IF(L494-$O$3&gt;=3,L494-$O$3,3)</f>
        <v>3</v>
      </c>
      <c r="L495" s="176">
        <f t="shared" si="258"/>
        <v>2021</v>
      </c>
      <c r="M495" s="145">
        <f t="shared" si="249"/>
        <v>2022</v>
      </c>
      <c r="N495" s="16">
        <f>'2180 Trucks - Orig.'!N32-'2180 Trucks'!N494</f>
        <v>36710.644</v>
      </c>
      <c r="O495" s="16">
        <f t="shared" si="250"/>
        <v>36710.644</v>
      </c>
      <c r="P495" s="16">
        <f t="shared" si="251"/>
        <v>1019.7401111111111</v>
      </c>
      <c r="Q495" s="16">
        <f t="shared" si="252"/>
        <v>12236.881333333333</v>
      </c>
      <c r="R495" s="16"/>
      <c r="S495" s="16">
        <f t="shared" si="253"/>
        <v>0</v>
      </c>
      <c r="T495" s="16">
        <f t="shared" si="257"/>
        <v>36710.644</v>
      </c>
      <c r="U495" s="16">
        <f t="shared" si="255"/>
        <v>36710.644</v>
      </c>
      <c r="V495" s="16"/>
      <c r="W495" s="16">
        <f t="shared" si="256"/>
        <v>0</v>
      </c>
    </row>
    <row r="496" spans="1:23" s="9" customFormat="1" outlineLevel="1">
      <c r="A496" s="9" t="s">
        <v>221</v>
      </c>
      <c r="B496" s="9" t="s">
        <v>111</v>
      </c>
      <c r="C496" s="9">
        <v>3580</v>
      </c>
      <c r="D496" s="9" t="s">
        <v>422</v>
      </c>
      <c r="G496" s="9">
        <v>2005</v>
      </c>
      <c r="H496" s="9">
        <v>4</v>
      </c>
      <c r="I496" s="9">
        <v>0</v>
      </c>
      <c r="J496" s="9" t="s">
        <v>78</v>
      </c>
      <c r="K496" s="9">
        <v>7</v>
      </c>
      <c r="L496" s="9">
        <f t="shared" si="258"/>
        <v>2012</v>
      </c>
      <c r="M496" s="114">
        <f t="shared" si="249"/>
        <v>2012.3333333333333</v>
      </c>
      <c r="N496" s="13">
        <f>'2180 Trucks - Orig.'!O208</f>
        <v>135991.24</v>
      </c>
      <c r="O496" s="13">
        <f t="shared" si="250"/>
        <v>135991.24</v>
      </c>
      <c r="P496" s="13">
        <f t="shared" si="251"/>
        <v>1618.9433333333334</v>
      </c>
      <c r="Q496" s="13">
        <f t="shared" si="252"/>
        <v>19427.32</v>
      </c>
      <c r="R496" s="13"/>
      <c r="S496" s="13">
        <f t="shared" si="253"/>
        <v>0</v>
      </c>
      <c r="T496" s="13">
        <f t="shared" si="257"/>
        <v>135991.24</v>
      </c>
      <c r="U496" s="13">
        <f t="shared" si="255"/>
        <v>135991.24</v>
      </c>
      <c r="V496" s="13"/>
      <c r="W496" s="13">
        <f t="shared" si="256"/>
        <v>0</v>
      </c>
    </row>
    <row r="497" spans="1:23" s="9" customFormat="1" outlineLevel="1">
      <c r="A497" s="15"/>
      <c r="B497" s="15"/>
      <c r="C497" s="15"/>
      <c r="D497" s="15" t="s">
        <v>423</v>
      </c>
      <c r="E497" s="15"/>
      <c r="F497" s="15"/>
      <c r="G497" s="15">
        <v>2018</v>
      </c>
      <c r="H497" s="15">
        <v>12</v>
      </c>
      <c r="I497" s="15">
        <v>0</v>
      </c>
      <c r="J497" s="15" t="s">
        <v>78</v>
      </c>
      <c r="K497" s="15">
        <f>+IF(L496-$O$3&gt;=3,L496-$O$3,3)</f>
        <v>3</v>
      </c>
      <c r="L497" s="176">
        <f t="shared" si="258"/>
        <v>2021</v>
      </c>
      <c r="M497" s="145">
        <f t="shared" si="249"/>
        <v>2022</v>
      </c>
      <c r="N497" s="16">
        <f>'2180 Trucks - Orig.'!N208-'2180 Trucks'!N496</f>
        <v>33997.81</v>
      </c>
      <c r="O497" s="16">
        <f t="shared" si="250"/>
        <v>33997.81</v>
      </c>
      <c r="P497" s="16">
        <f t="shared" si="251"/>
        <v>944.38361111111101</v>
      </c>
      <c r="Q497" s="16">
        <f t="shared" si="252"/>
        <v>11332.603333333333</v>
      </c>
      <c r="R497" s="16"/>
      <c r="S497" s="16">
        <f t="shared" si="253"/>
        <v>0</v>
      </c>
      <c r="T497" s="16">
        <f t="shared" si="257"/>
        <v>33997.81</v>
      </c>
      <c r="U497" s="16">
        <f t="shared" ref="U497:U513" si="259">+IF(S497=0,T497,T497+S497)</f>
        <v>33997.81</v>
      </c>
      <c r="V497" s="16"/>
      <c r="W497" s="16">
        <f t="shared" ref="W497:W513" si="260">+N497-U497</f>
        <v>0</v>
      </c>
    </row>
    <row r="498" spans="1:23" s="9" customFormat="1" outlineLevel="1">
      <c r="A498" s="9" t="s">
        <v>75</v>
      </c>
      <c r="B498" s="9" t="s">
        <v>76</v>
      </c>
      <c r="C498" s="9">
        <v>1043</v>
      </c>
      <c r="D498" s="9" t="s">
        <v>424</v>
      </c>
      <c r="G498" s="9">
        <v>2005</v>
      </c>
      <c r="H498" s="9">
        <v>12</v>
      </c>
      <c r="I498" s="9">
        <v>0</v>
      </c>
      <c r="J498" s="9" t="s">
        <v>78</v>
      </c>
      <c r="K498" s="9">
        <v>7</v>
      </c>
      <c r="L498" s="9">
        <f t="shared" si="258"/>
        <v>2012</v>
      </c>
      <c r="M498" s="114">
        <f t="shared" si="249"/>
        <v>2013</v>
      </c>
      <c r="N498" s="13">
        <f>'2180 Trucks - Orig.'!O25</f>
        <v>100690.08</v>
      </c>
      <c r="O498" s="13">
        <f t="shared" si="250"/>
        <v>100690.08</v>
      </c>
      <c r="P498" s="13">
        <f t="shared" si="251"/>
        <v>1198.6914285714286</v>
      </c>
      <c r="Q498" s="13">
        <f t="shared" si="252"/>
        <v>14384.297142857144</v>
      </c>
      <c r="R498" s="13"/>
      <c r="S498" s="13">
        <f t="shared" si="253"/>
        <v>0</v>
      </c>
      <c r="T498" s="13">
        <f t="shared" si="257"/>
        <v>100690.08</v>
      </c>
      <c r="U498" s="13">
        <f t="shared" si="259"/>
        <v>100690.08</v>
      </c>
      <c r="V498" s="13"/>
      <c r="W498" s="13">
        <f t="shared" si="260"/>
        <v>0</v>
      </c>
    </row>
    <row r="499" spans="1:23" s="9" customFormat="1" outlineLevel="1">
      <c r="A499" s="15"/>
      <c r="B499" s="15"/>
      <c r="C499" s="15"/>
      <c r="D499" s="15" t="s">
        <v>425</v>
      </c>
      <c r="E499" s="15"/>
      <c r="F499" s="15"/>
      <c r="G499" s="15">
        <v>2018</v>
      </c>
      <c r="H499" s="15">
        <v>12</v>
      </c>
      <c r="I499" s="15">
        <v>0</v>
      </c>
      <c r="J499" s="15" t="s">
        <v>78</v>
      </c>
      <c r="K499" s="15">
        <f>+IF(L498-$O$3&gt;=3,L498-$O$3,3)</f>
        <v>3</v>
      </c>
      <c r="L499" s="15">
        <f t="shared" si="258"/>
        <v>2021</v>
      </c>
      <c r="M499" s="145">
        <f t="shared" si="249"/>
        <v>2022</v>
      </c>
      <c r="N499" s="16">
        <f>'2180 Trucks - Orig.'!N25-'2180 Trucks'!N498</f>
        <v>25172.520000000004</v>
      </c>
      <c r="O499" s="16">
        <f t="shared" si="250"/>
        <v>25172.520000000004</v>
      </c>
      <c r="P499" s="16">
        <f t="shared" si="251"/>
        <v>699.23666666666679</v>
      </c>
      <c r="Q499" s="16">
        <f t="shared" si="252"/>
        <v>8390.840000000002</v>
      </c>
      <c r="R499" s="16"/>
      <c r="S499" s="16">
        <f t="shared" si="253"/>
        <v>0</v>
      </c>
      <c r="T499" s="16">
        <f t="shared" si="257"/>
        <v>25172.520000000004</v>
      </c>
      <c r="U499" s="16">
        <f t="shared" si="259"/>
        <v>25172.520000000004</v>
      </c>
      <c r="V499" s="16"/>
      <c r="W499" s="16">
        <f t="shared" si="260"/>
        <v>0</v>
      </c>
    </row>
    <row r="500" spans="1:23" s="9" customFormat="1" outlineLevel="1">
      <c r="A500" s="9" t="s">
        <v>75</v>
      </c>
      <c r="B500" s="9" t="s">
        <v>76</v>
      </c>
      <c r="C500" s="9">
        <v>1044</v>
      </c>
      <c r="D500" s="9" t="s">
        <v>426</v>
      </c>
      <c r="G500" s="9">
        <v>2006</v>
      </c>
      <c r="H500" s="9">
        <v>2</v>
      </c>
      <c r="I500" s="9">
        <v>0</v>
      </c>
      <c r="J500" s="9" t="s">
        <v>78</v>
      </c>
      <c r="K500" s="9">
        <v>7</v>
      </c>
      <c r="L500" s="9">
        <f t="shared" si="258"/>
        <v>2013</v>
      </c>
      <c r="M500" s="114">
        <f t="shared" si="249"/>
        <v>2013.1666666666667</v>
      </c>
      <c r="N500" s="13">
        <f>'2180 Trucks - Orig.'!O27</f>
        <v>97828.648000000001</v>
      </c>
      <c r="O500" s="13">
        <f t="shared" si="250"/>
        <v>97828.648000000001</v>
      </c>
      <c r="P500" s="13">
        <f t="shared" si="251"/>
        <v>1164.6267619047619</v>
      </c>
      <c r="Q500" s="13">
        <f t="shared" si="252"/>
        <v>13975.521142857142</v>
      </c>
      <c r="R500" s="13"/>
      <c r="S500" s="13">
        <f t="shared" si="253"/>
        <v>0</v>
      </c>
      <c r="T500" s="13">
        <f t="shared" si="257"/>
        <v>97828.648000000001</v>
      </c>
      <c r="U500" s="13">
        <f t="shared" si="259"/>
        <v>97828.648000000001</v>
      </c>
      <c r="V500" s="13"/>
      <c r="W500" s="13">
        <f t="shared" si="260"/>
        <v>0</v>
      </c>
    </row>
    <row r="501" spans="1:23" s="9" customFormat="1" outlineLevel="1">
      <c r="A501" s="15"/>
      <c r="B501" s="15"/>
      <c r="C501" s="15"/>
      <c r="D501" s="15" t="s">
        <v>427</v>
      </c>
      <c r="E501" s="15"/>
      <c r="F501" s="15"/>
      <c r="G501" s="15">
        <v>2018</v>
      </c>
      <c r="H501" s="15">
        <v>12</v>
      </c>
      <c r="I501" s="15">
        <v>0</v>
      </c>
      <c r="J501" s="15" t="s">
        <v>78</v>
      </c>
      <c r="K501" s="15">
        <f>+IF(L500-$O$3&gt;=3,L500-$O$3,3)</f>
        <v>3</v>
      </c>
      <c r="L501" s="15">
        <f t="shared" si="258"/>
        <v>2021</v>
      </c>
      <c r="M501" s="145">
        <f t="shared" si="249"/>
        <v>2022</v>
      </c>
      <c r="N501" s="16">
        <f>'2180 Trucks - Orig.'!N27-'2180 Trucks'!N500</f>
        <v>24457.161999999997</v>
      </c>
      <c r="O501" s="16">
        <f t="shared" si="250"/>
        <v>24457.161999999997</v>
      </c>
      <c r="P501" s="16">
        <f t="shared" si="251"/>
        <v>679.36561111111098</v>
      </c>
      <c r="Q501" s="16">
        <f t="shared" si="252"/>
        <v>8152.3873333333322</v>
      </c>
      <c r="R501" s="16"/>
      <c r="S501" s="16">
        <f t="shared" si="253"/>
        <v>0</v>
      </c>
      <c r="T501" s="16">
        <f t="shared" si="257"/>
        <v>24457.161999999997</v>
      </c>
      <c r="U501" s="16">
        <f t="shared" si="259"/>
        <v>24457.161999999997</v>
      </c>
      <c r="V501" s="16"/>
      <c r="W501" s="16">
        <f t="shared" si="260"/>
        <v>0</v>
      </c>
    </row>
    <row r="502" spans="1:23" s="9" customFormat="1" outlineLevel="1">
      <c r="A502" s="9" t="s">
        <v>177</v>
      </c>
      <c r="B502" s="9" t="s">
        <v>111</v>
      </c>
      <c r="C502" s="9">
        <v>3585</v>
      </c>
      <c r="D502" s="9" t="s">
        <v>428</v>
      </c>
      <c r="G502" s="9">
        <v>2006</v>
      </c>
      <c r="H502" s="9">
        <v>1</v>
      </c>
      <c r="I502" s="9">
        <v>0</v>
      </c>
      <c r="J502" s="9" t="s">
        <v>78</v>
      </c>
      <c r="K502" s="9">
        <v>7</v>
      </c>
      <c r="L502" s="9">
        <f t="shared" si="258"/>
        <v>2013</v>
      </c>
      <c r="M502" s="114">
        <f t="shared" si="249"/>
        <v>2013.0833333333333</v>
      </c>
      <c r="N502" s="13">
        <f>'2180 Trucks - Orig.'!O199</f>
        <v>146338.79999999999</v>
      </c>
      <c r="O502" s="13">
        <f t="shared" si="250"/>
        <v>146338.79999999999</v>
      </c>
      <c r="P502" s="13">
        <f t="shared" si="251"/>
        <v>1742.1285714285714</v>
      </c>
      <c r="Q502" s="13">
        <f t="shared" si="252"/>
        <v>20905.542857142857</v>
      </c>
      <c r="R502" s="13"/>
      <c r="S502" s="13">
        <f t="shared" si="253"/>
        <v>0</v>
      </c>
      <c r="T502" s="13">
        <f t="shared" si="257"/>
        <v>146338.79999999999</v>
      </c>
      <c r="U502" s="13">
        <f t="shared" si="259"/>
        <v>146338.79999999999</v>
      </c>
      <c r="V502" s="13"/>
      <c r="W502" s="13">
        <f t="shared" si="260"/>
        <v>0</v>
      </c>
    </row>
    <row r="503" spans="1:23" s="9" customFormat="1" outlineLevel="1">
      <c r="A503" s="15"/>
      <c r="B503" s="15"/>
      <c r="C503" s="15"/>
      <c r="D503" s="15" t="s">
        <v>429</v>
      </c>
      <c r="E503" s="15"/>
      <c r="F503" s="15"/>
      <c r="G503" s="15">
        <v>2018</v>
      </c>
      <c r="H503" s="15">
        <v>12</v>
      </c>
      <c r="I503" s="15">
        <v>0</v>
      </c>
      <c r="J503" s="15" t="s">
        <v>78</v>
      </c>
      <c r="K503" s="15">
        <f>+IF(L502-$O$3&gt;=3,L502-$O$3,3)</f>
        <v>3</v>
      </c>
      <c r="L503" s="176">
        <f t="shared" si="258"/>
        <v>2021</v>
      </c>
      <c r="M503" s="145">
        <f t="shared" si="249"/>
        <v>2022</v>
      </c>
      <c r="N503" s="16">
        <f>'2180 Trucks - Orig.'!N199-'2180 Trucks'!N502</f>
        <v>36584.700000000012</v>
      </c>
      <c r="O503" s="16">
        <f t="shared" si="250"/>
        <v>36584.700000000012</v>
      </c>
      <c r="P503" s="16">
        <f t="shared" si="251"/>
        <v>1016.2416666666669</v>
      </c>
      <c r="Q503" s="16">
        <f t="shared" si="252"/>
        <v>12194.900000000003</v>
      </c>
      <c r="R503" s="16"/>
      <c r="S503" s="16">
        <f t="shared" si="253"/>
        <v>0</v>
      </c>
      <c r="T503" s="16">
        <f t="shared" si="257"/>
        <v>36584.700000000012</v>
      </c>
      <c r="U503" s="16">
        <f t="shared" si="259"/>
        <v>36584.700000000012</v>
      </c>
      <c r="V503" s="16"/>
      <c r="W503" s="16">
        <f t="shared" si="260"/>
        <v>0</v>
      </c>
    </row>
    <row r="504" spans="1:23" s="9" customFormat="1" outlineLevel="1">
      <c r="A504" s="9" t="s">
        <v>246</v>
      </c>
      <c r="B504" s="9" t="s">
        <v>111</v>
      </c>
      <c r="C504" s="9">
        <v>3588</v>
      </c>
      <c r="D504" s="9" t="s">
        <v>346</v>
      </c>
      <c r="G504" s="9">
        <v>2006</v>
      </c>
      <c r="H504" s="9">
        <v>6</v>
      </c>
      <c r="I504" s="9">
        <v>0</v>
      </c>
      <c r="J504" s="9" t="s">
        <v>78</v>
      </c>
      <c r="K504" s="9">
        <v>7</v>
      </c>
      <c r="L504" s="9">
        <f t="shared" si="258"/>
        <v>2013</v>
      </c>
      <c r="M504" s="114">
        <f t="shared" si="249"/>
        <v>2013.5</v>
      </c>
      <c r="N504" s="13">
        <f>'2180 Trucks - Orig.'!O185</f>
        <v>146842.576</v>
      </c>
      <c r="O504" s="13">
        <f t="shared" si="250"/>
        <v>146842.576</v>
      </c>
      <c r="P504" s="13">
        <f t="shared" si="251"/>
        <v>1748.1259047619048</v>
      </c>
      <c r="Q504" s="13">
        <f t="shared" si="252"/>
        <v>20977.510857142857</v>
      </c>
      <c r="R504" s="13"/>
      <c r="S504" s="13">
        <f t="shared" si="253"/>
        <v>0</v>
      </c>
      <c r="T504" s="13">
        <f t="shared" si="257"/>
        <v>146842.576</v>
      </c>
      <c r="U504" s="13">
        <f t="shared" si="259"/>
        <v>146842.576</v>
      </c>
      <c r="V504" s="13"/>
      <c r="W504" s="13">
        <f t="shared" si="260"/>
        <v>0</v>
      </c>
    </row>
    <row r="505" spans="1:23" s="9" customFormat="1" outlineLevel="1">
      <c r="A505" s="15"/>
      <c r="B505" s="15"/>
      <c r="C505" s="15"/>
      <c r="D505" s="15" t="s">
        <v>430</v>
      </c>
      <c r="E505" s="15"/>
      <c r="F505" s="15"/>
      <c r="G505" s="15">
        <v>2018</v>
      </c>
      <c r="H505" s="15">
        <v>12</v>
      </c>
      <c r="I505" s="15">
        <v>0</v>
      </c>
      <c r="J505" s="15" t="s">
        <v>78</v>
      </c>
      <c r="K505" s="15">
        <f>+IF(L504-$O$3&gt;=3,L504-$O$3,3)</f>
        <v>3</v>
      </c>
      <c r="L505" s="176">
        <f t="shared" si="258"/>
        <v>2021</v>
      </c>
      <c r="M505" s="145">
        <f t="shared" si="249"/>
        <v>2022</v>
      </c>
      <c r="N505" s="16">
        <f>'2180 Trucks - Orig.'!N185-'2180 Trucks'!N504</f>
        <v>36710.644</v>
      </c>
      <c r="O505" s="16">
        <f t="shared" si="250"/>
        <v>36710.644</v>
      </c>
      <c r="P505" s="16">
        <f t="shared" si="251"/>
        <v>1019.7401111111111</v>
      </c>
      <c r="Q505" s="16">
        <f t="shared" si="252"/>
        <v>12236.881333333333</v>
      </c>
      <c r="R505" s="16"/>
      <c r="S505" s="16">
        <f t="shared" si="253"/>
        <v>0</v>
      </c>
      <c r="T505" s="16">
        <f t="shared" si="257"/>
        <v>36710.644</v>
      </c>
      <c r="U505" s="16">
        <f t="shared" si="259"/>
        <v>36710.644</v>
      </c>
      <c r="V505" s="16"/>
      <c r="W505" s="16">
        <f t="shared" si="260"/>
        <v>0</v>
      </c>
    </row>
    <row r="506" spans="1:23" s="9" customFormat="1" outlineLevel="1">
      <c r="A506" s="9" t="s">
        <v>75</v>
      </c>
      <c r="B506" s="9" t="s">
        <v>207</v>
      </c>
      <c r="C506" s="9">
        <v>2028</v>
      </c>
      <c r="D506" s="9" t="s">
        <v>431</v>
      </c>
      <c r="G506" s="9">
        <v>2007</v>
      </c>
      <c r="H506" s="9">
        <v>1</v>
      </c>
      <c r="I506" s="9">
        <v>0</v>
      </c>
      <c r="J506" s="9" t="s">
        <v>78</v>
      </c>
      <c r="K506" s="9">
        <v>7</v>
      </c>
      <c r="L506" s="9">
        <f t="shared" si="258"/>
        <v>2014</v>
      </c>
      <c r="M506" s="114">
        <f t="shared" si="249"/>
        <v>2014.0833333333333</v>
      </c>
      <c r="N506" s="13">
        <f>'2180 Trucks - Orig.'!O35</f>
        <v>170218.78400000001</v>
      </c>
      <c r="O506" s="13">
        <f t="shared" si="250"/>
        <v>170218.78400000001</v>
      </c>
      <c r="P506" s="13">
        <f t="shared" si="251"/>
        <v>2026.4140952380956</v>
      </c>
      <c r="Q506" s="13">
        <f t="shared" si="252"/>
        <v>24316.969142857146</v>
      </c>
      <c r="R506" s="13"/>
      <c r="S506" s="13">
        <f t="shared" si="253"/>
        <v>0</v>
      </c>
      <c r="T506" s="13">
        <f t="shared" si="257"/>
        <v>170218.78400000001</v>
      </c>
      <c r="U506" s="13">
        <f t="shared" si="259"/>
        <v>170218.78400000001</v>
      </c>
      <c r="V506" s="13"/>
      <c r="W506" s="13">
        <f t="shared" si="260"/>
        <v>0</v>
      </c>
    </row>
    <row r="507" spans="1:23" s="9" customFormat="1" outlineLevel="1">
      <c r="A507" s="15"/>
      <c r="B507" s="15"/>
      <c r="C507" s="15"/>
      <c r="D507" s="15" t="s">
        <v>432</v>
      </c>
      <c r="E507" s="15"/>
      <c r="F507" s="15"/>
      <c r="G507" s="15">
        <v>2018</v>
      </c>
      <c r="H507" s="15">
        <v>12</v>
      </c>
      <c r="I507" s="15">
        <v>0</v>
      </c>
      <c r="J507" s="15" t="s">
        <v>78</v>
      </c>
      <c r="K507" s="15">
        <f>+IF(L506-$O$3&gt;=3,L506-$O$3,3)</f>
        <v>3</v>
      </c>
      <c r="L507" s="176">
        <f t="shared" si="258"/>
        <v>2021</v>
      </c>
      <c r="M507" s="145">
        <f t="shared" si="249"/>
        <v>2022</v>
      </c>
      <c r="N507" s="16">
        <f>'2180 Trucks - Orig.'!N35-'2180 Trucks'!N506</f>
        <v>42554.695999999996</v>
      </c>
      <c r="O507" s="16">
        <f t="shared" si="250"/>
        <v>42554.695999999996</v>
      </c>
      <c r="P507" s="16">
        <f t="shared" si="251"/>
        <v>1182.0748888888888</v>
      </c>
      <c r="Q507" s="16">
        <f t="shared" si="252"/>
        <v>14184.898666666666</v>
      </c>
      <c r="R507" s="16"/>
      <c r="S507" s="16">
        <f t="shared" si="253"/>
        <v>0</v>
      </c>
      <c r="T507" s="16">
        <f t="shared" si="257"/>
        <v>42554.695999999996</v>
      </c>
      <c r="U507" s="16">
        <f t="shared" si="259"/>
        <v>42554.695999999996</v>
      </c>
      <c r="V507" s="16"/>
      <c r="W507" s="16">
        <f t="shared" si="260"/>
        <v>0</v>
      </c>
    </row>
    <row r="508" spans="1:23" s="9" customFormat="1" outlineLevel="1">
      <c r="A508" s="9" t="s">
        <v>151</v>
      </c>
      <c r="B508" s="9" t="s">
        <v>152</v>
      </c>
      <c r="C508" s="9">
        <v>4052</v>
      </c>
      <c r="D508" s="9" t="s">
        <v>433</v>
      </c>
      <c r="G508" s="9">
        <v>2006</v>
      </c>
      <c r="H508" s="9">
        <v>12</v>
      </c>
      <c r="I508" s="9">
        <v>0</v>
      </c>
      <c r="J508" s="9" t="s">
        <v>78</v>
      </c>
      <c r="K508" s="9">
        <v>7</v>
      </c>
      <c r="L508" s="123">
        <f t="shared" si="258"/>
        <v>2013</v>
      </c>
      <c r="M508" s="114">
        <f t="shared" si="249"/>
        <v>2014</v>
      </c>
      <c r="N508" s="13">
        <f>'2180 Trucks - Orig.'!O134</f>
        <v>124361.63200000001</v>
      </c>
      <c r="O508" s="13">
        <f t="shared" si="250"/>
        <v>124361.63200000001</v>
      </c>
      <c r="P508" s="13">
        <f t="shared" si="251"/>
        <v>1480.4956190476194</v>
      </c>
      <c r="Q508" s="13">
        <f t="shared" si="252"/>
        <v>17765.947428571431</v>
      </c>
      <c r="R508" s="13"/>
      <c r="S508" s="13">
        <f t="shared" si="253"/>
        <v>0</v>
      </c>
      <c r="T508" s="13">
        <f t="shared" si="257"/>
        <v>124361.63200000001</v>
      </c>
      <c r="U508" s="13">
        <f t="shared" si="259"/>
        <v>124361.63200000001</v>
      </c>
      <c r="V508" s="13"/>
      <c r="W508" s="13">
        <f t="shared" si="260"/>
        <v>0</v>
      </c>
    </row>
    <row r="509" spans="1:23" s="9" customFormat="1" outlineLevel="1">
      <c r="A509" s="15"/>
      <c r="B509" s="15"/>
      <c r="C509" s="15"/>
      <c r="D509" s="15" t="s">
        <v>434</v>
      </c>
      <c r="E509" s="15"/>
      <c r="F509" s="15"/>
      <c r="G509" s="15">
        <v>2018</v>
      </c>
      <c r="H509" s="15">
        <v>12</v>
      </c>
      <c r="I509" s="15">
        <v>0</v>
      </c>
      <c r="J509" s="15" t="s">
        <v>78</v>
      </c>
      <c r="K509" s="15">
        <f>+IF(L508-$O$3&gt;=3,L508-$O$3,3)</f>
        <v>3</v>
      </c>
      <c r="L509" s="176">
        <f t="shared" si="258"/>
        <v>2021</v>
      </c>
      <c r="M509" s="145">
        <f t="shared" si="249"/>
        <v>2022</v>
      </c>
      <c r="N509" s="16">
        <f>'2180 Trucks - Orig.'!N134-'2180 Trucks'!N508</f>
        <v>31090.407999999996</v>
      </c>
      <c r="O509" s="16">
        <f t="shared" si="250"/>
        <v>31090.407999999996</v>
      </c>
      <c r="P509" s="16">
        <f t="shared" si="251"/>
        <v>863.62244444444434</v>
      </c>
      <c r="Q509" s="16">
        <f t="shared" si="252"/>
        <v>10363.469333333333</v>
      </c>
      <c r="R509" s="16"/>
      <c r="S509" s="16">
        <f t="shared" si="253"/>
        <v>0</v>
      </c>
      <c r="T509" s="16">
        <f t="shared" si="257"/>
        <v>31090.407999999996</v>
      </c>
      <c r="U509" s="16">
        <f t="shared" si="259"/>
        <v>31090.407999999996</v>
      </c>
      <c r="V509" s="16"/>
      <c r="W509" s="16">
        <f t="shared" si="260"/>
        <v>0</v>
      </c>
    </row>
    <row r="510" spans="1:23" s="9" customFormat="1" outlineLevel="1">
      <c r="C510" s="9">
        <v>4052</v>
      </c>
      <c r="D510" s="9" t="s">
        <v>158</v>
      </c>
      <c r="E510" s="9">
        <v>113248</v>
      </c>
      <c r="G510" s="9">
        <v>2014</v>
      </c>
      <c r="H510" s="9">
        <v>4</v>
      </c>
      <c r="I510" s="9">
        <v>0</v>
      </c>
      <c r="J510" s="9" t="s">
        <v>78</v>
      </c>
      <c r="K510" s="9">
        <v>5</v>
      </c>
      <c r="L510" s="123">
        <f t="shared" si="258"/>
        <v>2019</v>
      </c>
      <c r="M510" s="114">
        <f t="shared" si="249"/>
        <v>2019.3333333333333</v>
      </c>
      <c r="N510" s="13">
        <f>6778.26/7</f>
        <v>968.32285714285717</v>
      </c>
      <c r="O510" s="13">
        <f t="shared" si="250"/>
        <v>968.32285714285717</v>
      </c>
      <c r="P510" s="13">
        <f t="shared" si="251"/>
        <v>16.138714285714286</v>
      </c>
      <c r="Q510" s="13">
        <f t="shared" si="252"/>
        <v>193.66457142857143</v>
      </c>
      <c r="R510" s="13"/>
      <c r="S510" s="13">
        <f t="shared" si="253"/>
        <v>0</v>
      </c>
      <c r="T510" s="13">
        <f t="shared" si="257"/>
        <v>968.32285714285717</v>
      </c>
      <c r="U510" s="13">
        <f t="shared" si="259"/>
        <v>968.32285714285717</v>
      </c>
      <c r="V510" s="13"/>
      <c r="W510" s="13">
        <f t="shared" si="260"/>
        <v>0</v>
      </c>
    </row>
    <row r="511" spans="1:23" s="9" customFormat="1" outlineLevel="1">
      <c r="B511" s="9" t="s">
        <v>152</v>
      </c>
      <c r="C511" s="9">
        <v>4052</v>
      </c>
      <c r="D511" s="9" t="s">
        <v>161</v>
      </c>
      <c r="E511" s="9">
        <v>118511</v>
      </c>
      <c r="G511" s="9">
        <v>2014</v>
      </c>
      <c r="H511" s="9">
        <v>11</v>
      </c>
      <c r="I511" s="9">
        <v>0</v>
      </c>
      <c r="J511" s="9" t="s">
        <v>78</v>
      </c>
      <c r="K511" s="9">
        <v>3</v>
      </c>
      <c r="L511" s="123">
        <f t="shared" si="258"/>
        <v>2017</v>
      </c>
      <c r="M511" s="114">
        <f t="shared" si="249"/>
        <v>2017.9166666666667</v>
      </c>
      <c r="N511" s="13">
        <v>8921.6</v>
      </c>
      <c r="O511" s="13">
        <f t="shared" si="250"/>
        <v>8921.6</v>
      </c>
      <c r="P511" s="13">
        <f t="shared" si="251"/>
        <v>247.82222222222222</v>
      </c>
      <c r="Q511" s="13">
        <f t="shared" si="252"/>
        <v>2973.8666666666668</v>
      </c>
      <c r="R511" s="13"/>
      <c r="S511" s="13">
        <f t="shared" si="253"/>
        <v>0</v>
      </c>
      <c r="T511" s="13">
        <f t="shared" si="257"/>
        <v>8921.6</v>
      </c>
      <c r="U511" s="13">
        <f t="shared" si="259"/>
        <v>8921.6</v>
      </c>
      <c r="V511" s="13"/>
      <c r="W511" s="13">
        <f t="shared" si="260"/>
        <v>0</v>
      </c>
    </row>
    <row r="512" spans="1:23" s="9" customFormat="1" outlineLevel="1">
      <c r="A512" s="9" t="s">
        <v>151</v>
      </c>
      <c r="B512" s="9" t="s">
        <v>152</v>
      </c>
      <c r="C512" s="9">
        <v>4056</v>
      </c>
      <c r="D512" s="9" t="s">
        <v>435</v>
      </c>
      <c r="G512" s="9">
        <v>2007</v>
      </c>
      <c r="H512" s="9">
        <v>4</v>
      </c>
      <c r="I512" s="9">
        <v>0</v>
      </c>
      <c r="J512" s="9" t="s">
        <v>78</v>
      </c>
      <c r="K512" s="9">
        <v>7</v>
      </c>
      <c r="L512" s="123">
        <f>G512+K512</f>
        <v>2014</v>
      </c>
      <c r="M512" s="114">
        <f>+L512+(H512/12)</f>
        <v>2014.3333333333333</v>
      </c>
      <c r="N512" s="13">
        <f>'2180 Trucks - Orig.'!O136</f>
        <v>125666.272</v>
      </c>
      <c r="O512" s="13">
        <f>N512-N512*I512</f>
        <v>125666.272</v>
      </c>
      <c r="P512" s="13">
        <f>O512/K512/12</f>
        <v>1496.0270476190474</v>
      </c>
      <c r="Q512" s="13">
        <f>P512*12</f>
        <v>17952.324571428569</v>
      </c>
      <c r="R512" s="13"/>
      <c r="S512" s="13">
        <f>+IF(M512&lt;=$O$5,0,IF(L512&gt;$O$4,Q512,(P512*H512)))</f>
        <v>0</v>
      </c>
      <c r="T512" s="13">
        <f t="shared" si="257"/>
        <v>125666.272</v>
      </c>
      <c r="U512" s="13">
        <f t="shared" si="259"/>
        <v>125666.272</v>
      </c>
      <c r="V512" s="13"/>
      <c r="W512" s="13">
        <f t="shared" si="260"/>
        <v>0</v>
      </c>
    </row>
    <row r="513" spans="1:23" s="9" customFormat="1" outlineLevel="1">
      <c r="A513" s="15"/>
      <c r="B513" s="15"/>
      <c r="C513" s="15"/>
      <c r="D513" s="15" t="s">
        <v>436</v>
      </c>
      <c r="E513" s="15"/>
      <c r="F513" s="15"/>
      <c r="G513" s="15">
        <v>2018</v>
      </c>
      <c r="H513" s="15">
        <v>12</v>
      </c>
      <c r="I513" s="15">
        <v>0</v>
      </c>
      <c r="J513" s="15" t="s">
        <v>78</v>
      </c>
      <c r="K513" s="15">
        <f>+IF(L512-$O$3&gt;=3,L512-$O$3,3)</f>
        <v>3</v>
      </c>
      <c r="L513" s="176">
        <f>G513+K513</f>
        <v>2021</v>
      </c>
      <c r="M513" s="145">
        <f>+L513+(H513/12)</f>
        <v>2022</v>
      </c>
      <c r="N513" s="16">
        <f>'2180 Trucks - Orig.'!N136-'2180 Trucks'!N512</f>
        <v>31416.567999999999</v>
      </c>
      <c r="O513" s="16">
        <f>N513-N513*I513</f>
        <v>31416.567999999999</v>
      </c>
      <c r="P513" s="16">
        <f>O513/K513/12</f>
        <v>872.68244444444451</v>
      </c>
      <c r="Q513" s="16">
        <f>P513*12</f>
        <v>10472.189333333334</v>
      </c>
      <c r="R513" s="16"/>
      <c r="S513" s="16">
        <f>+IF(M513&lt;=$O$5,0,IF(L513&gt;$O$4,Q513,(P513*H513)))</f>
        <v>0</v>
      </c>
      <c r="T513" s="16">
        <f t="shared" si="257"/>
        <v>31416.567999999999</v>
      </c>
      <c r="U513" s="16">
        <f t="shared" si="259"/>
        <v>31416.567999999999</v>
      </c>
      <c r="V513" s="16"/>
      <c r="W513" s="16">
        <f t="shared" si="260"/>
        <v>0</v>
      </c>
    </row>
    <row r="514" spans="1:23" s="9" customFormat="1" outlineLevel="1">
      <c r="M514" s="114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s="9" customFormat="1" outlineLevel="1">
      <c r="D515" s="15" t="s">
        <v>1346</v>
      </c>
      <c r="M515" s="114"/>
    </row>
    <row r="516" spans="1:23" s="9" customFormat="1">
      <c r="A516" s="9" t="s">
        <v>75</v>
      </c>
      <c r="B516" s="9" t="s">
        <v>207</v>
      </c>
      <c r="C516" s="9">
        <v>2030</v>
      </c>
      <c r="D516" s="9" t="s">
        <v>230</v>
      </c>
      <c r="G516" s="9">
        <v>2007</v>
      </c>
      <c r="H516" s="9">
        <v>7</v>
      </c>
      <c r="I516" s="9">
        <v>0</v>
      </c>
      <c r="J516" s="9" t="s">
        <v>78</v>
      </c>
      <c r="K516" s="9">
        <v>7</v>
      </c>
      <c r="L516" s="9">
        <f t="shared" ref="L516:L536" si="261">G516+K516</f>
        <v>2014</v>
      </c>
      <c r="M516" s="114">
        <f t="shared" ref="M516:M536" si="262">+L516+(H516/12)</f>
        <v>2014.5833333333333</v>
      </c>
      <c r="N516" s="13">
        <f>'2180 Trucks - Orig.'!O478</f>
        <v>0</v>
      </c>
      <c r="O516" s="13">
        <f t="shared" ref="O516:O536" si="263">N516-N516*I516</f>
        <v>0</v>
      </c>
      <c r="P516" s="13">
        <f t="shared" ref="P516:P536" si="264">O516/K516/12</f>
        <v>0</v>
      </c>
      <c r="Q516" s="13">
        <f t="shared" ref="Q516:Q536" si="265">P516*12</f>
        <v>0</v>
      </c>
      <c r="R516" s="13">
        <v>0</v>
      </c>
      <c r="S516" s="13">
        <f>+IF(M516&lt;=$O$5,0,IF(L516&gt;$O$4,Q516,(P516*H516)))</f>
        <v>0</v>
      </c>
      <c r="T516" s="13">
        <f t="shared" ref="T516" si="266">+IF(S516=0,N516,IF($O$3-G516&lt;1,0,(($O$3-G516)*Q516)))</f>
        <v>0</v>
      </c>
      <c r="U516" s="13">
        <f t="shared" ref="U516" si="267">+IF(S516=0,T516,T516+S516)</f>
        <v>0</v>
      </c>
      <c r="V516" s="13">
        <v>0</v>
      </c>
      <c r="W516" s="13">
        <f t="shared" ref="W516" si="268">+N516-U516</f>
        <v>0</v>
      </c>
    </row>
    <row r="517" spans="1:23" s="9" customFormat="1">
      <c r="A517" s="9" t="s">
        <v>75</v>
      </c>
      <c r="B517" s="9" t="s">
        <v>117</v>
      </c>
      <c r="C517" s="9">
        <v>2038</v>
      </c>
      <c r="D517" s="9" t="s">
        <v>232</v>
      </c>
      <c r="E517" s="9" t="s">
        <v>233</v>
      </c>
      <c r="G517" s="9">
        <v>2012</v>
      </c>
      <c r="H517" s="9">
        <v>3</v>
      </c>
      <c r="I517" s="9">
        <v>0</v>
      </c>
      <c r="J517" s="9" t="s">
        <v>78</v>
      </c>
      <c r="K517" s="9">
        <v>9</v>
      </c>
      <c r="L517" s="9">
        <f t="shared" si="261"/>
        <v>2021</v>
      </c>
      <c r="M517" s="114">
        <f t="shared" si="262"/>
        <v>2021.25</v>
      </c>
      <c r="N517" s="13">
        <f>244600+23417</f>
        <v>268017</v>
      </c>
      <c r="O517" s="13">
        <f t="shared" si="263"/>
        <v>268017</v>
      </c>
      <c r="P517" s="13">
        <f t="shared" si="264"/>
        <v>2481.6388888888891</v>
      </c>
      <c r="Q517" s="13">
        <f t="shared" si="265"/>
        <v>29779.666666666672</v>
      </c>
      <c r="R517" s="13">
        <v>0</v>
      </c>
      <c r="S517" s="13">
        <f>+IF(M517&lt;=$O$5,0,IF(L517&gt;$O$4,Q517,(P517*H517)))</f>
        <v>0</v>
      </c>
      <c r="T517" s="13">
        <f t="shared" ref="T517:T536" si="269">+IF(S517=0,N517,IF($O$3-G517&lt;1,0,(($O$3-G517)*Q517)))</f>
        <v>268017</v>
      </c>
      <c r="U517" s="13">
        <f t="shared" ref="U517:U536" si="270">+IF(S517=0,T517,T517+S517)</f>
        <v>268017</v>
      </c>
      <c r="V517" s="13">
        <v>0</v>
      </c>
      <c r="W517" s="13">
        <f t="shared" ref="W517:W536" si="271">+N517-U517</f>
        <v>0</v>
      </c>
    </row>
    <row r="518" spans="1:23" s="9" customFormat="1">
      <c r="A518" s="9" t="s">
        <v>151</v>
      </c>
      <c r="B518" s="9" t="s">
        <v>152</v>
      </c>
      <c r="C518" s="9">
        <v>4070</v>
      </c>
      <c r="D518" s="9" t="s">
        <v>155</v>
      </c>
      <c r="E518" s="9">
        <v>60796</v>
      </c>
      <c r="F518" s="9" t="s">
        <v>97</v>
      </c>
      <c r="G518" s="9">
        <v>2008</v>
      </c>
      <c r="H518" s="9">
        <v>11</v>
      </c>
      <c r="I518" s="9">
        <v>0</v>
      </c>
      <c r="J518" s="9" t="s">
        <v>78</v>
      </c>
      <c r="K518" s="9">
        <v>7</v>
      </c>
      <c r="L518" s="123">
        <f t="shared" si="261"/>
        <v>2015</v>
      </c>
      <c r="M518" s="114">
        <f t="shared" si="262"/>
        <v>2015.9166666666667</v>
      </c>
      <c r="N518" s="13">
        <f>'2180 Trucks - Orig.'!O139</f>
        <v>27581.088</v>
      </c>
      <c r="O518" s="13">
        <f t="shared" si="263"/>
        <v>27581.088</v>
      </c>
      <c r="P518" s="13">
        <f t="shared" si="264"/>
        <v>328.34628571428573</v>
      </c>
      <c r="Q518" s="13">
        <f t="shared" si="265"/>
        <v>3940.1554285714287</v>
      </c>
      <c r="R518" s="13">
        <v>0</v>
      </c>
      <c r="S518" s="13">
        <f>+IF(M518&lt;=$O$5,0,IF(L518&gt;$O$4,Q518,(P518*H518)))</f>
        <v>0</v>
      </c>
      <c r="T518" s="13">
        <f t="shared" si="269"/>
        <v>27581.088</v>
      </c>
      <c r="U518" s="13">
        <f t="shared" si="270"/>
        <v>27581.088</v>
      </c>
      <c r="V518" s="13">
        <v>0</v>
      </c>
      <c r="W518" s="13">
        <f t="shared" si="271"/>
        <v>0</v>
      </c>
    </row>
    <row r="519" spans="1:23" s="9" customFormat="1">
      <c r="A519" s="15"/>
      <c r="B519" s="15"/>
      <c r="C519" s="15"/>
      <c r="D519" s="15" t="s">
        <v>156</v>
      </c>
      <c r="E519" s="15"/>
      <c r="F519" s="15"/>
      <c r="G519" s="15">
        <v>2018</v>
      </c>
      <c r="H519" s="15">
        <v>12</v>
      </c>
      <c r="I519" s="15">
        <v>0</v>
      </c>
      <c r="J519" s="15" t="s">
        <v>78</v>
      </c>
      <c r="K519" s="15">
        <f>+IF(L518-$O$3&gt;=3,L518-$O$3,3)</f>
        <v>3</v>
      </c>
      <c r="L519" s="176">
        <f t="shared" si="261"/>
        <v>2021</v>
      </c>
      <c r="M519" s="145">
        <f t="shared" si="262"/>
        <v>2022</v>
      </c>
      <c r="N519" s="16">
        <f>'2180 Trucks - Orig.'!N139-'2180 Trucks'!N518</f>
        <v>6895.2720000000008</v>
      </c>
      <c r="O519" s="16">
        <f t="shared" si="263"/>
        <v>6895.2720000000008</v>
      </c>
      <c r="P519" s="16">
        <f t="shared" si="264"/>
        <v>191.53533333333337</v>
      </c>
      <c r="Q519" s="16">
        <f t="shared" si="265"/>
        <v>2298.4240000000004</v>
      </c>
      <c r="R519" s="16">
        <v>2298.4240000000004</v>
      </c>
      <c r="S519" s="16">
        <f>+IF(M519&lt;=$O$5,0,IF(L519&gt;$O$4,Q519,(P519*H519)))</f>
        <v>0</v>
      </c>
      <c r="T519" s="16">
        <f t="shared" si="269"/>
        <v>6895.2720000000008</v>
      </c>
      <c r="U519" s="16">
        <f t="shared" si="270"/>
        <v>6895.2720000000008</v>
      </c>
      <c r="V519" s="16">
        <v>4596.848</v>
      </c>
      <c r="W519" s="16">
        <f t="shared" si="271"/>
        <v>0</v>
      </c>
    </row>
    <row r="520" spans="1:23" s="9" customFormat="1">
      <c r="B520" s="9" t="s">
        <v>152</v>
      </c>
      <c r="C520" s="9">
        <v>4070</v>
      </c>
      <c r="D520" s="9" t="s">
        <v>159</v>
      </c>
      <c r="E520" s="9">
        <v>113896</v>
      </c>
      <c r="F520" s="9">
        <v>60796</v>
      </c>
      <c r="G520" s="9">
        <v>2014</v>
      </c>
      <c r="H520" s="9">
        <v>4</v>
      </c>
      <c r="I520" s="9">
        <v>0</v>
      </c>
      <c r="J520" s="9" t="s">
        <v>78</v>
      </c>
      <c r="K520" s="9">
        <v>5</v>
      </c>
      <c r="L520" s="123">
        <f t="shared" si="261"/>
        <v>2019</v>
      </c>
      <c r="M520" s="114">
        <f t="shared" si="262"/>
        <v>2019.3333333333333</v>
      </c>
      <c r="N520" s="13">
        <f>1936.34/2</f>
        <v>968.17</v>
      </c>
      <c r="O520" s="13">
        <f t="shared" si="263"/>
        <v>968.17</v>
      </c>
      <c r="P520" s="13">
        <f t="shared" si="264"/>
        <v>16.136166666666664</v>
      </c>
      <c r="Q520" s="13">
        <f t="shared" si="265"/>
        <v>193.63399999999996</v>
      </c>
      <c r="R520" s="13">
        <v>64.544666666666657</v>
      </c>
      <c r="S520" s="13">
        <v>0</v>
      </c>
      <c r="T520" s="13">
        <f t="shared" si="269"/>
        <v>968.17</v>
      </c>
      <c r="U520" s="13">
        <f t="shared" si="270"/>
        <v>968.17</v>
      </c>
      <c r="V520" s="13">
        <v>129.08933333333346</v>
      </c>
      <c r="W520" s="13">
        <f t="shared" si="271"/>
        <v>0</v>
      </c>
    </row>
    <row r="521" spans="1:23" s="9" customFormat="1">
      <c r="A521" s="9" t="s">
        <v>151</v>
      </c>
      <c r="B521" s="9" t="s">
        <v>152</v>
      </c>
      <c r="C521" s="9">
        <v>4070</v>
      </c>
      <c r="D521" s="9" t="s">
        <v>157</v>
      </c>
      <c r="G521" s="9">
        <v>2009</v>
      </c>
      <c r="H521" s="9">
        <v>1</v>
      </c>
      <c r="I521" s="9">
        <v>0</v>
      </c>
      <c r="J521" s="9" t="s">
        <v>78</v>
      </c>
      <c r="K521" s="9">
        <v>3</v>
      </c>
      <c r="L521" s="123">
        <f t="shared" si="261"/>
        <v>2012</v>
      </c>
      <c r="M521" s="114">
        <f t="shared" si="262"/>
        <v>2012.0833333333333</v>
      </c>
      <c r="N521" s="13">
        <v>3895.03</v>
      </c>
      <c r="O521" s="13">
        <f t="shared" si="263"/>
        <v>3895.03</v>
      </c>
      <c r="P521" s="13">
        <f t="shared" si="264"/>
        <v>108.19527777777779</v>
      </c>
      <c r="Q521" s="13">
        <f t="shared" si="265"/>
        <v>1298.3433333333335</v>
      </c>
      <c r="R521" s="13">
        <v>0</v>
      </c>
      <c r="S521" s="13">
        <f>+IF(M521&lt;=$O$5,0,IF(L521&gt;$O$4,Q521,(P521*H521)))</f>
        <v>0</v>
      </c>
      <c r="T521" s="13">
        <f t="shared" si="269"/>
        <v>3895.03</v>
      </c>
      <c r="U521" s="13">
        <f t="shared" si="270"/>
        <v>3895.03</v>
      </c>
      <c r="V521" s="13">
        <v>0</v>
      </c>
      <c r="W521" s="13">
        <f t="shared" si="271"/>
        <v>0</v>
      </c>
    </row>
    <row r="522" spans="1:23" s="9" customFormat="1">
      <c r="B522" s="9" t="s">
        <v>152</v>
      </c>
      <c r="C522" s="9">
        <v>4070</v>
      </c>
      <c r="D522" s="9" t="s">
        <v>161</v>
      </c>
      <c r="E522" s="9">
        <v>118516</v>
      </c>
      <c r="G522" s="9">
        <v>2014</v>
      </c>
      <c r="H522" s="9">
        <v>12</v>
      </c>
      <c r="I522" s="9">
        <v>0</v>
      </c>
      <c r="J522" s="9" t="s">
        <v>78</v>
      </c>
      <c r="K522" s="9">
        <v>3</v>
      </c>
      <c r="L522" s="123">
        <f t="shared" si="261"/>
        <v>2017</v>
      </c>
      <c r="M522" s="114">
        <f t="shared" si="262"/>
        <v>2018</v>
      </c>
      <c r="N522" s="13">
        <v>8921.6</v>
      </c>
      <c r="O522" s="13">
        <f t="shared" si="263"/>
        <v>8921.6</v>
      </c>
      <c r="P522" s="13">
        <f t="shared" si="264"/>
        <v>247.82222222222222</v>
      </c>
      <c r="Q522" s="13">
        <f t="shared" si="265"/>
        <v>2973.8666666666668</v>
      </c>
      <c r="R522" s="13">
        <v>0</v>
      </c>
      <c r="S522" s="13">
        <f>+IF(M522&lt;=$O$5,0,IF(L522&gt;$O$4,Q522,(P522*H522)))</f>
        <v>0</v>
      </c>
      <c r="T522" s="13">
        <f t="shared" si="269"/>
        <v>8921.6</v>
      </c>
      <c r="U522" s="13">
        <f t="shared" si="270"/>
        <v>8921.6</v>
      </c>
      <c r="V522" s="13">
        <v>0</v>
      </c>
      <c r="W522" s="13">
        <f t="shared" si="271"/>
        <v>0</v>
      </c>
    </row>
    <row r="523" spans="1:23" s="9" customFormat="1">
      <c r="C523" s="9">
        <v>4072</v>
      </c>
      <c r="D523" s="9" t="s">
        <v>160</v>
      </c>
      <c r="E523" s="9">
        <v>113896</v>
      </c>
      <c r="F523" s="9">
        <v>60797</v>
      </c>
      <c r="G523" s="9">
        <v>2014</v>
      </c>
      <c r="H523" s="9">
        <v>4</v>
      </c>
      <c r="I523" s="9">
        <v>0</v>
      </c>
      <c r="J523" s="9" t="s">
        <v>78</v>
      </c>
      <c r="K523" s="9">
        <v>5</v>
      </c>
      <c r="L523" s="123">
        <f t="shared" si="261"/>
        <v>2019</v>
      </c>
      <c r="M523" s="114">
        <f t="shared" si="262"/>
        <v>2019.3333333333333</v>
      </c>
      <c r="N523" s="13">
        <f>1936.34/2</f>
        <v>968.17</v>
      </c>
      <c r="O523" s="13">
        <f t="shared" si="263"/>
        <v>968.17</v>
      </c>
      <c r="P523" s="13">
        <f t="shared" si="264"/>
        <v>16.136166666666664</v>
      </c>
      <c r="Q523" s="13">
        <f t="shared" si="265"/>
        <v>193.63399999999996</v>
      </c>
      <c r="R523" s="13">
        <v>64.544666666666657</v>
      </c>
      <c r="S523" s="13">
        <v>0</v>
      </c>
      <c r="T523" s="13">
        <f t="shared" si="269"/>
        <v>968.17</v>
      </c>
      <c r="U523" s="13">
        <f t="shared" si="270"/>
        <v>968.17</v>
      </c>
      <c r="V523" s="13">
        <v>129.08933333333346</v>
      </c>
      <c r="W523" s="13">
        <f t="shared" si="271"/>
        <v>0</v>
      </c>
    </row>
    <row r="524" spans="1:23" s="9" customFormat="1">
      <c r="B524" s="9" t="s">
        <v>152</v>
      </c>
      <c r="C524" s="9">
        <v>4072</v>
      </c>
      <c r="D524" s="9" t="s">
        <v>161</v>
      </c>
      <c r="E524" s="9">
        <v>118518</v>
      </c>
      <c r="F524" s="9">
        <v>60797</v>
      </c>
      <c r="G524" s="9">
        <v>2014</v>
      </c>
      <c r="H524" s="9">
        <v>12</v>
      </c>
      <c r="I524" s="9">
        <v>0</v>
      </c>
      <c r="J524" s="9" t="s">
        <v>78</v>
      </c>
      <c r="K524" s="9">
        <v>3</v>
      </c>
      <c r="L524" s="123">
        <f t="shared" si="261"/>
        <v>2017</v>
      </c>
      <c r="M524" s="114">
        <f t="shared" si="262"/>
        <v>2018</v>
      </c>
      <c r="N524" s="13">
        <v>8921.6</v>
      </c>
      <c r="O524" s="13">
        <f t="shared" si="263"/>
        <v>8921.6</v>
      </c>
      <c r="P524" s="13">
        <f t="shared" si="264"/>
        <v>247.82222222222222</v>
      </c>
      <c r="Q524" s="13">
        <f t="shared" si="265"/>
        <v>2973.8666666666668</v>
      </c>
      <c r="R524" s="13">
        <v>0</v>
      </c>
      <c r="S524" s="13">
        <f t="shared" ref="S524:S536" si="272">+IF(M524&lt;=$O$5,0,IF(L524&gt;$O$4,Q524,(P524*H524)))</f>
        <v>0</v>
      </c>
      <c r="T524" s="13">
        <f t="shared" si="269"/>
        <v>8921.6</v>
      </c>
      <c r="U524" s="13">
        <f t="shared" si="270"/>
        <v>8921.6</v>
      </c>
      <c r="V524" s="13">
        <v>0</v>
      </c>
      <c r="W524" s="13">
        <f t="shared" si="271"/>
        <v>0</v>
      </c>
    </row>
    <row r="525" spans="1:23" s="9" customFormat="1">
      <c r="B525" s="9" t="s">
        <v>152</v>
      </c>
      <c r="C525" s="9">
        <v>4056</v>
      </c>
      <c r="D525" s="9" t="s">
        <v>161</v>
      </c>
      <c r="E525" s="9">
        <v>118514</v>
      </c>
      <c r="G525" s="9">
        <v>2014</v>
      </c>
      <c r="H525" s="9">
        <v>11</v>
      </c>
      <c r="I525" s="9">
        <v>0</v>
      </c>
      <c r="J525" s="9" t="s">
        <v>78</v>
      </c>
      <c r="K525" s="9">
        <v>3</v>
      </c>
      <c r="L525" s="123">
        <f t="shared" si="261"/>
        <v>2017</v>
      </c>
      <c r="M525" s="114">
        <f t="shared" si="262"/>
        <v>2017.9166666666667</v>
      </c>
      <c r="N525" s="13">
        <v>8921.6</v>
      </c>
      <c r="O525" s="13">
        <f t="shared" si="263"/>
        <v>8921.6</v>
      </c>
      <c r="P525" s="13">
        <f t="shared" si="264"/>
        <v>247.82222222222222</v>
      </c>
      <c r="Q525" s="13">
        <f t="shared" si="265"/>
        <v>2973.8666666666668</v>
      </c>
      <c r="R525" s="13">
        <v>0</v>
      </c>
      <c r="S525" s="13">
        <f t="shared" si="272"/>
        <v>0</v>
      </c>
      <c r="T525" s="13">
        <f t="shared" si="269"/>
        <v>8921.6</v>
      </c>
      <c r="U525" s="13">
        <f t="shared" si="270"/>
        <v>8921.6</v>
      </c>
      <c r="V525" s="13">
        <v>0</v>
      </c>
      <c r="W525" s="13">
        <f t="shared" si="271"/>
        <v>0</v>
      </c>
    </row>
    <row r="526" spans="1:23" s="9" customFormat="1">
      <c r="A526" s="9" t="s">
        <v>221</v>
      </c>
      <c r="B526" s="9" t="s">
        <v>111</v>
      </c>
      <c r="C526" s="9">
        <v>3594</v>
      </c>
      <c r="D526" s="9" t="s">
        <v>222</v>
      </c>
      <c r="G526" s="9">
        <v>2006</v>
      </c>
      <c r="H526" s="9">
        <v>5</v>
      </c>
      <c r="I526" s="9">
        <v>0</v>
      </c>
      <c r="J526" s="9" t="s">
        <v>78</v>
      </c>
      <c r="K526" s="9">
        <v>7</v>
      </c>
      <c r="L526" s="9">
        <f t="shared" si="261"/>
        <v>2013</v>
      </c>
      <c r="M526" s="114">
        <f t="shared" si="262"/>
        <v>2013.4166666666667</v>
      </c>
      <c r="N526" s="13">
        <f>'2180 Trucks - Orig.'!O28</f>
        <v>146842.576</v>
      </c>
      <c r="O526" s="13">
        <f t="shared" si="263"/>
        <v>146842.576</v>
      </c>
      <c r="P526" s="13">
        <f t="shared" si="264"/>
        <v>1748.1259047619048</v>
      </c>
      <c r="Q526" s="13">
        <f t="shared" si="265"/>
        <v>20977.510857142857</v>
      </c>
      <c r="R526" s="13">
        <v>0</v>
      </c>
      <c r="S526" s="13">
        <f t="shared" si="272"/>
        <v>0</v>
      </c>
      <c r="T526" s="13">
        <f t="shared" si="269"/>
        <v>146842.576</v>
      </c>
      <c r="U526" s="13">
        <f t="shared" si="270"/>
        <v>146842.576</v>
      </c>
      <c r="V526" s="13">
        <v>0</v>
      </c>
      <c r="W526" s="13">
        <f t="shared" si="271"/>
        <v>0</v>
      </c>
    </row>
    <row r="527" spans="1:23" s="9" customFormat="1">
      <c r="A527" s="15"/>
      <c r="B527" s="15"/>
      <c r="C527" s="15"/>
      <c r="D527" s="15" t="s">
        <v>223</v>
      </c>
      <c r="E527" s="15"/>
      <c r="F527" s="15"/>
      <c r="G527" s="15">
        <v>2018</v>
      </c>
      <c r="H527" s="15">
        <v>12</v>
      </c>
      <c r="I527" s="15">
        <v>0</v>
      </c>
      <c r="J527" s="15" t="s">
        <v>78</v>
      </c>
      <c r="K527" s="15">
        <f>+IF(L526-$O$3&gt;=3,L526-$O$3,3)</f>
        <v>3</v>
      </c>
      <c r="L527" s="176">
        <f t="shared" si="261"/>
        <v>2021</v>
      </c>
      <c r="M527" s="145">
        <f t="shared" si="262"/>
        <v>2022</v>
      </c>
      <c r="N527" s="16">
        <f>'2180 Trucks - Orig.'!N28-'2180 Trucks'!N526</f>
        <v>36710.644</v>
      </c>
      <c r="O527" s="16">
        <f t="shared" si="263"/>
        <v>36710.644</v>
      </c>
      <c r="P527" s="16">
        <f t="shared" si="264"/>
        <v>1019.7401111111111</v>
      </c>
      <c r="Q527" s="16">
        <f t="shared" si="265"/>
        <v>12236.881333333333</v>
      </c>
      <c r="R527" s="16">
        <v>12236.881333333333</v>
      </c>
      <c r="S527" s="16">
        <f t="shared" si="272"/>
        <v>0</v>
      </c>
      <c r="T527" s="16">
        <f t="shared" si="269"/>
        <v>36710.644</v>
      </c>
      <c r="U527" s="16">
        <f t="shared" si="270"/>
        <v>36710.644</v>
      </c>
      <c r="V527" s="16">
        <v>24473.762666666669</v>
      </c>
      <c r="W527" s="16">
        <f t="shared" si="271"/>
        <v>0</v>
      </c>
    </row>
    <row r="528" spans="1:23" s="9" customFormat="1">
      <c r="B528" s="9" t="s">
        <v>111</v>
      </c>
      <c r="C528" s="9">
        <v>3610</v>
      </c>
      <c r="D528" s="9" t="s">
        <v>200</v>
      </c>
      <c r="E528" s="9">
        <v>105110</v>
      </c>
      <c r="F528" s="9">
        <v>60784</v>
      </c>
      <c r="G528" s="9">
        <v>2013</v>
      </c>
      <c r="H528" s="9">
        <v>6</v>
      </c>
      <c r="I528" s="9">
        <v>0</v>
      </c>
      <c r="J528" s="9" t="s">
        <v>78</v>
      </c>
      <c r="K528" s="9">
        <v>3</v>
      </c>
      <c r="L528" s="9">
        <f t="shared" si="261"/>
        <v>2016</v>
      </c>
      <c r="M528" s="114">
        <f t="shared" si="262"/>
        <v>2016.5</v>
      </c>
      <c r="N528" s="13">
        <v>19105.150000000001</v>
      </c>
      <c r="O528" s="13">
        <f t="shared" si="263"/>
        <v>19105.150000000001</v>
      </c>
      <c r="P528" s="13">
        <f t="shared" si="264"/>
        <v>530.69861111111118</v>
      </c>
      <c r="Q528" s="13">
        <f t="shared" si="265"/>
        <v>6368.3833333333341</v>
      </c>
      <c r="R528" s="13">
        <v>0</v>
      </c>
      <c r="S528" s="13">
        <f t="shared" si="272"/>
        <v>0</v>
      </c>
      <c r="T528" s="13">
        <f t="shared" si="269"/>
        <v>19105.150000000001</v>
      </c>
      <c r="U528" s="13">
        <f t="shared" si="270"/>
        <v>19105.150000000001</v>
      </c>
      <c r="V528" s="13">
        <v>0</v>
      </c>
      <c r="W528" s="13">
        <f t="shared" si="271"/>
        <v>0</v>
      </c>
    </row>
    <row r="529" spans="1:23" s="9" customFormat="1">
      <c r="A529" s="9" t="s">
        <v>177</v>
      </c>
      <c r="B529" s="9" t="s">
        <v>111</v>
      </c>
      <c r="C529" s="9">
        <v>3610</v>
      </c>
      <c r="D529" s="9" t="s">
        <v>178</v>
      </c>
      <c r="G529" s="9">
        <v>2007</v>
      </c>
      <c r="H529" s="9">
        <v>8</v>
      </c>
      <c r="I529" s="9">
        <v>0</v>
      </c>
      <c r="J529" s="9" t="s">
        <v>78</v>
      </c>
      <c r="K529" s="9">
        <v>7</v>
      </c>
      <c r="L529" s="9">
        <f t="shared" si="261"/>
        <v>2014</v>
      </c>
      <c r="M529" s="114">
        <f t="shared" si="262"/>
        <v>2014.6666666666667</v>
      </c>
      <c r="N529" s="13">
        <f>'2180 Trucks - Orig.'!O41</f>
        <v>155764.03200000001</v>
      </c>
      <c r="O529" s="13">
        <f t="shared" si="263"/>
        <v>155764.03200000001</v>
      </c>
      <c r="P529" s="13">
        <f t="shared" si="264"/>
        <v>1854.3337142857144</v>
      </c>
      <c r="Q529" s="13">
        <f t="shared" si="265"/>
        <v>22252.004571428573</v>
      </c>
      <c r="R529" s="13">
        <v>0</v>
      </c>
      <c r="S529" s="13">
        <f t="shared" si="272"/>
        <v>0</v>
      </c>
      <c r="T529" s="13">
        <f t="shared" si="269"/>
        <v>155764.03200000001</v>
      </c>
      <c r="U529" s="13">
        <f t="shared" si="270"/>
        <v>155764.03200000001</v>
      </c>
      <c r="V529" s="13">
        <v>0</v>
      </c>
      <c r="W529" s="13">
        <f t="shared" si="271"/>
        <v>0</v>
      </c>
    </row>
    <row r="530" spans="1:23" s="9" customFormat="1">
      <c r="A530" s="15"/>
      <c r="B530" s="15"/>
      <c r="C530" s="15"/>
      <c r="D530" s="15" t="s">
        <v>179</v>
      </c>
      <c r="E530" s="15"/>
      <c r="F530" s="15"/>
      <c r="G530" s="15">
        <v>2018</v>
      </c>
      <c r="H530" s="15">
        <v>12</v>
      </c>
      <c r="I530" s="15">
        <v>0</v>
      </c>
      <c r="J530" s="15" t="s">
        <v>78</v>
      </c>
      <c r="K530" s="15">
        <f>+IF(L529-$O$3&gt;=3,L529-$O$3,3)</f>
        <v>3</v>
      </c>
      <c r="L530" s="176">
        <f t="shared" si="261"/>
        <v>2021</v>
      </c>
      <c r="M530" s="145">
        <f t="shared" si="262"/>
        <v>2022</v>
      </c>
      <c r="N530" s="16">
        <f>'2180 Trucks - Orig.'!N41-'2180 Trucks'!N529</f>
        <v>38941.008000000002</v>
      </c>
      <c r="O530" s="16">
        <f t="shared" si="263"/>
        <v>38941.008000000002</v>
      </c>
      <c r="P530" s="16">
        <f t="shared" si="264"/>
        <v>1081.6946666666668</v>
      </c>
      <c r="Q530" s="16">
        <f t="shared" si="265"/>
        <v>12980.336000000001</v>
      </c>
      <c r="R530" s="16">
        <v>12980.336000000001</v>
      </c>
      <c r="S530" s="16">
        <f t="shared" si="272"/>
        <v>0</v>
      </c>
      <c r="T530" s="16">
        <f t="shared" si="269"/>
        <v>38941.008000000002</v>
      </c>
      <c r="U530" s="16">
        <f t="shared" si="270"/>
        <v>38941.008000000002</v>
      </c>
      <c r="V530" s="16">
        <v>25960.671999999999</v>
      </c>
      <c r="W530" s="16">
        <f t="shared" si="271"/>
        <v>0</v>
      </c>
    </row>
    <row r="531" spans="1:23" s="9" customFormat="1">
      <c r="A531" s="9" t="s">
        <v>177</v>
      </c>
      <c r="B531" s="9" t="s">
        <v>111</v>
      </c>
      <c r="C531" s="9">
        <v>3611</v>
      </c>
      <c r="D531" s="9" t="s">
        <v>178</v>
      </c>
      <c r="G531" s="9">
        <v>2007</v>
      </c>
      <c r="H531" s="9">
        <v>8</v>
      </c>
      <c r="I531" s="9">
        <v>0</v>
      </c>
      <c r="J531" s="9" t="s">
        <v>78</v>
      </c>
      <c r="K531" s="9">
        <v>7</v>
      </c>
      <c r="L531" s="9">
        <f t="shared" si="261"/>
        <v>2014</v>
      </c>
      <c r="M531" s="114">
        <f t="shared" si="262"/>
        <v>2014.6666666666667</v>
      </c>
      <c r="N531" s="13">
        <f>'2180 Trucks - Orig.'!O42</f>
        <v>155764.03200000001</v>
      </c>
      <c r="O531" s="13">
        <f t="shared" si="263"/>
        <v>155764.03200000001</v>
      </c>
      <c r="P531" s="13">
        <f t="shared" si="264"/>
        <v>1854.3337142857144</v>
      </c>
      <c r="Q531" s="13">
        <f t="shared" si="265"/>
        <v>22252.004571428573</v>
      </c>
      <c r="R531" s="13">
        <v>0</v>
      </c>
      <c r="S531" s="13">
        <f t="shared" si="272"/>
        <v>0</v>
      </c>
      <c r="T531" s="13">
        <f t="shared" si="269"/>
        <v>155764.03200000001</v>
      </c>
      <c r="U531" s="13">
        <f t="shared" si="270"/>
        <v>155764.03200000001</v>
      </c>
      <c r="V531" s="13">
        <v>0</v>
      </c>
      <c r="W531" s="13">
        <f t="shared" si="271"/>
        <v>0</v>
      </c>
    </row>
    <row r="532" spans="1:23" s="9" customFormat="1">
      <c r="A532" s="15"/>
      <c r="B532" s="15"/>
      <c r="C532" s="15"/>
      <c r="D532" s="15" t="s">
        <v>179</v>
      </c>
      <c r="E532" s="15"/>
      <c r="F532" s="15"/>
      <c r="G532" s="15">
        <v>2018</v>
      </c>
      <c r="H532" s="15">
        <v>12</v>
      </c>
      <c r="I532" s="15">
        <v>0</v>
      </c>
      <c r="J532" s="15" t="s">
        <v>78</v>
      </c>
      <c r="K532" s="15">
        <f>+IF(L531-$O$3&gt;=3,L531-$O$3,3)</f>
        <v>3</v>
      </c>
      <c r="L532" s="176">
        <f t="shared" si="261"/>
        <v>2021</v>
      </c>
      <c r="M532" s="145">
        <f t="shared" si="262"/>
        <v>2022</v>
      </c>
      <c r="N532" s="16">
        <f>'2180 Trucks - Orig.'!N42-'2180 Trucks'!N531</f>
        <v>38941.008000000002</v>
      </c>
      <c r="O532" s="16">
        <f t="shared" si="263"/>
        <v>38941.008000000002</v>
      </c>
      <c r="P532" s="16">
        <f t="shared" si="264"/>
        <v>1081.6946666666668</v>
      </c>
      <c r="Q532" s="16">
        <f t="shared" si="265"/>
        <v>12980.336000000001</v>
      </c>
      <c r="R532" s="16">
        <v>12980.336000000001</v>
      </c>
      <c r="S532" s="16">
        <f t="shared" si="272"/>
        <v>0</v>
      </c>
      <c r="T532" s="16">
        <f t="shared" si="269"/>
        <v>38941.008000000002</v>
      </c>
      <c r="U532" s="16">
        <f t="shared" si="270"/>
        <v>38941.008000000002</v>
      </c>
      <c r="V532" s="16">
        <v>25960.671999999999</v>
      </c>
      <c r="W532" s="16">
        <f t="shared" si="271"/>
        <v>0</v>
      </c>
    </row>
    <row r="533" spans="1:23" s="9" customFormat="1">
      <c r="A533" s="9" t="s">
        <v>75</v>
      </c>
      <c r="B533" s="9" t="s">
        <v>207</v>
      </c>
      <c r="C533" s="9">
        <v>2030</v>
      </c>
      <c r="D533" s="9" t="s">
        <v>230</v>
      </c>
      <c r="G533" s="9">
        <v>2007</v>
      </c>
      <c r="H533" s="9">
        <v>7</v>
      </c>
      <c r="I533" s="9">
        <v>0</v>
      </c>
      <c r="J533" s="9" t="s">
        <v>78</v>
      </c>
      <c r="K533" s="9">
        <v>7</v>
      </c>
      <c r="L533" s="9">
        <f t="shared" si="261"/>
        <v>2014</v>
      </c>
      <c r="M533" s="114">
        <f t="shared" si="262"/>
        <v>2014.5833333333333</v>
      </c>
      <c r="N533" s="13">
        <f>'2180 Trucks - Orig.'!O231</f>
        <v>172457.95199999999</v>
      </c>
      <c r="O533" s="13">
        <f t="shared" si="263"/>
        <v>172457.95199999999</v>
      </c>
      <c r="P533" s="13">
        <f t="shared" si="264"/>
        <v>2053.0708571428572</v>
      </c>
      <c r="Q533" s="13">
        <f t="shared" si="265"/>
        <v>24636.850285714288</v>
      </c>
      <c r="R533" s="13">
        <v>0</v>
      </c>
      <c r="S533" s="13">
        <f t="shared" si="272"/>
        <v>0</v>
      </c>
      <c r="T533" s="13">
        <f t="shared" si="269"/>
        <v>172457.95199999999</v>
      </c>
      <c r="U533" s="13">
        <f t="shared" si="270"/>
        <v>172457.95199999999</v>
      </c>
      <c r="V533" s="13">
        <v>0</v>
      </c>
      <c r="W533" s="13">
        <f t="shared" si="271"/>
        <v>0</v>
      </c>
    </row>
    <row r="534" spans="1:23" s="9" customFormat="1">
      <c r="A534" s="15"/>
      <c r="B534" s="15"/>
      <c r="C534" s="15"/>
      <c r="D534" s="15" t="s">
        <v>231</v>
      </c>
      <c r="E534" s="15"/>
      <c r="F534" s="15"/>
      <c r="G534" s="15">
        <v>2018</v>
      </c>
      <c r="H534" s="15">
        <v>12</v>
      </c>
      <c r="I534" s="15">
        <v>0</v>
      </c>
      <c r="J534" s="15" t="s">
        <v>78</v>
      </c>
      <c r="K534" s="15">
        <f>+IF(L533-$O$3&gt;=3,L533-$O$3,3)</f>
        <v>3</v>
      </c>
      <c r="L534" s="176">
        <f t="shared" si="261"/>
        <v>2021</v>
      </c>
      <c r="M534" s="145">
        <f t="shared" si="262"/>
        <v>2022</v>
      </c>
      <c r="N534" s="16">
        <f>'2180 Trucks - Orig.'!N231-'2180 Trucks'!N533</f>
        <v>43114.488000000012</v>
      </c>
      <c r="O534" s="16">
        <f t="shared" si="263"/>
        <v>43114.488000000012</v>
      </c>
      <c r="P534" s="16">
        <f t="shared" si="264"/>
        <v>1197.6246666666671</v>
      </c>
      <c r="Q534" s="16">
        <f t="shared" si="265"/>
        <v>14371.496000000005</v>
      </c>
      <c r="R534" s="16">
        <v>14371.496000000005</v>
      </c>
      <c r="S534" s="16">
        <f t="shared" si="272"/>
        <v>0</v>
      </c>
      <c r="T534" s="16">
        <f t="shared" si="269"/>
        <v>43114.488000000012</v>
      </c>
      <c r="U534" s="16">
        <f t="shared" si="270"/>
        <v>43114.488000000012</v>
      </c>
      <c r="V534" s="16">
        <v>28742.992000000006</v>
      </c>
      <c r="W534" s="16">
        <f t="shared" si="271"/>
        <v>0</v>
      </c>
    </row>
    <row r="535" spans="1:23" s="9" customFormat="1">
      <c r="B535" s="9" t="s">
        <v>76</v>
      </c>
      <c r="C535" s="9">
        <v>1034</v>
      </c>
      <c r="D535" s="9" t="s">
        <v>79</v>
      </c>
      <c r="G535" s="9">
        <v>2002</v>
      </c>
      <c r="H535" s="9">
        <v>6</v>
      </c>
      <c r="I535" s="9">
        <v>0</v>
      </c>
      <c r="J535" s="9" t="s">
        <v>78</v>
      </c>
      <c r="K535" s="9">
        <v>7</v>
      </c>
      <c r="L535" s="9">
        <f t="shared" si="261"/>
        <v>2009</v>
      </c>
      <c r="M535" s="114">
        <f t="shared" si="262"/>
        <v>2009.5</v>
      </c>
      <c r="N535" s="13">
        <f>'2180 Trucks - Orig.'!O20</f>
        <v>81506</v>
      </c>
      <c r="O535" s="13">
        <f t="shared" si="263"/>
        <v>81506</v>
      </c>
      <c r="P535" s="13">
        <f t="shared" si="264"/>
        <v>970.30952380952385</v>
      </c>
      <c r="Q535" s="13">
        <f t="shared" si="265"/>
        <v>11643.714285714286</v>
      </c>
      <c r="R535" s="13">
        <v>0</v>
      </c>
      <c r="S535" s="13">
        <f t="shared" si="272"/>
        <v>0</v>
      </c>
      <c r="T535" s="13">
        <f t="shared" si="269"/>
        <v>81506</v>
      </c>
      <c r="U535" s="13">
        <f t="shared" si="270"/>
        <v>81506</v>
      </c>
      <c r="V535" s="13">
        <v>0</v>
      </c>
      <c r="W535" s="13">
        <f t="shared" si="271"/>
        <v>0</v>
      </c>
    </row>
    <row r="536" spans="1:23" s="9" customFormat="1">
      <c r="A536" s="15"/>
      <c r="B536" s="15"/>
      <c r="C536" s="15"/>
      <c r="D536" s="15" t="s">
        <v>80</v>
      </c>
      <c r="E536" s="15"/>
      <c r="F536" s="15"/>
      <c r="G536" s="15">
        <v>2018</v>
      </c>
      <c r="H536" s="15">
        <v>12</v>
      </c>
      <c r="I536" s="15">
        <v>0</v>
      </c>
      <c r="J536" s="15" t="s">
        <v>78</v>
      </c>
      <c r="K536" s="15">
        <f>+IF(L535-$O$3&gt;=3,L535-$O$3,3)</f>
        <v>3</v>
      </c>
      <c r="L536" s="15">
        <f t="shared" si="261"/>
        <v>2021</v>
      </c>
      <c r="M536" s="145">
        <f t="shared" si="262"/>
        <v>2022</v>
      </c>
      <c r="N536" s="16">
        <f>'2180 Trucks - Orig.'!N20-'2180 Trucks'!N535</f>
        <v>20376.5</v>
      </c>
      <c r="O536" s="16">
        <f t="shared" si="263"/>
        <v>20376.5</v>
      </c>
      <c r="P536" s="16">
        <f t="shared" si="264"/>
        <v>566.01388888888891</v>
      </c>
      <c r="Q536" s="16">
        <f t="shared" si="265"/>
        <v>6792.166666666667</v>
      </c>
      <c r="R536" s="16">
        <v>6792.166666666667</v>
      </c>
      <c r="S536" s="16">
        <f t="shared" si="272"/>
        <v>0</v>
      </c>
      <c r="T536" s="16">
        <f t="shared" si="269"/>
        <v>20376.5</v>
      </c>
      <c r="U536" s="16">
        <f t="shared" si="270"/>
        <v>20376.5</v>
      </c>
      <c r="V536" s="16">
        <v>13584.333333333332</v>
      </c>
      <c r="W536" s="16">
        <f t="shared" si="271"/>
        <v>0</v>
      </c>
    </row>
    <row r="537" spans="1:23" s="9" customFormat="1"/>
    <row r="538" spans="1:23" s="9" customFormat="1" outlineLevel="1">
      <c r="A538" s="142" t="s">
        <v>437</v>
      </c>
      <c r="M538" s="114"/>
    </row>
    <row r="539" spans="1:23" s="9" customFormat="1" outlineLevel="1">
      <c r="A539" s="9" t="s">
        <v>151</v>
      </c>
      <c r="B539" s="9" t="s">
        <v>152</v>
      </c>
      <c r="C539" s="9">
        <v>4063</v>
      </c>
      <c r="D539" s="9" t="s">
        <v>438</v>
      </c>
      <c r="G539" s="9">
        <v>2007</v>
      </c>
      <c r="H539" s="9">
        <v>11</v>
      </c>
      <c r="I539" s="9">
        <v>0</v>
      </c>
      <c r="J539" s="9" t="s">
        <v>78</v>
      </c>
      <c r="K539" s="9">
        <v>7</v>
      </c>
      <c r="L539" s="123">
        <f t="shared" ref="L539:L548" si="273">G539+K539</f>
        <v>2014</v>
      </c>
      <c r="M539" s="114">
        <f t="shared" ref="M539:M548" si="274">+L539+(H539/12)</f>
        <v>2014.9166666666667</v>
      </c>
      <c r="N539" s="13">
        <f>'2180 Trucks - Orig.'!O138</f>
        <v>130586.89599999999</v>
      </c>
      <c r="O539" s="13">
        <f t="shared" ref="O539:O548" si="275">N539-N539*I539</f>
        <v>130586.89599999999</v>
      </c>
      <c r="P539" s="13">
        <f t="shared" ref="P539:P548" si="276">O539/K539/12</f>
        <v>1554.6059047619046</v>
      </c>
      <c r="Q539" s="13">
        <f t="shared" ref="Q539:Q548" si="277">P539*12</f>
        <v>18655.270857142856</v>
      </c>
      <c r="R539" s="13"/>
      <c r="S539" s="13">
        <f t="shared" ref="S539:S548" si="278">+IF(M539&lt;=$O$5,0,IF(L539&gt;$O$4,Q539,(P539*H539)))</f>
        <v>0</v>
      </c>
      <c r="T539" s="13">
        <f t="shared" ref="T539:T548" si="279">+IF(S539=0,N539,IF($O$3-G539&lt;1,0,(($O$3-G539)*Q539)))</f>
        <v>130586.89599999999</v>
      </c>
      <c r="U539" s="13">
        <f t="shared" ref="U539:U548" si="280">+IF(S539=0,T539,T539+S539)</f>
        <v>130586.89599999999</v>
      </c>
      <c r="V539" s="13"/>
      <c r="W539" s="13">
        <f t="shared" ref="W539:W548" si="281">+N539-U539</f>
        <v>0</v>
      </c>
    </row>
    <row r="540" spans="1:23" s="9" customFormat="1" outlineLevel="1">
      <c r="A540" s="15"/>
      <c r="B540" s="15"/>
      <c r="C540" s="15"/>
      <c r="D540" s="15" t="s">
        <v>439</v>
      </c>
      <c r="E540" s="15"/>
      <c r="F540" s="15"/>
      <c r="G540" s="15">
        <v>2018</v>
      </c>
      <c r="H540" s="15">
        <v>12</v>
      </c>
      <c r="I540" s="15">
        <v>0</v>
      </c>
      <c r="J540" s="15" t="s">
        <v>78</v>
      </c>
      <c r="K540" s="15">
        <f>+IF(L539-$O$3&gt;=3,L539-$O$3,3)</f>
        <v>3</v>
      </c>
      <c r="L540" s="176">
        <f t="shared" si="273"/>
        <v>2021</v>
      </c>
      <c r="M540" s="145">
        <f t="shared" si="274"/>
        <v>2022</v>
      </c>
      <c r="N540" s="16">
        <f>'2180 Trucks - Orig.'!N138-'2180 Trucks'!N539</f>
        <v>32646.724000000002</v>
      </c>
      <c r="O540" s="16">
        <f t="shared" si="275"/>
        <v>32646.724000000002</v>
      </c>
      <c r="P540" s="16">
        <f t="shared" si="276"/>
        <v>906.85344444444445</v>
      </c>
      <c r="Q540" s="16">
        <f t="shared" si="277"/>
        <v>10882.241333333333</v>
      </c>
      <c r="R540" s="16"/>
      <c r="S540" s="16">
        <f t="shared" si="278"/>
        <v>0</v>
      </c>
      <c r="T540" s="16">
        <f t="shared" si="279"/>
        <v>32646.724000000002</v>
      </c>
      <c r="U540" s="16">
        <f t="shared" si="280"/>
        <v>32646.724000000002</v>
      </c>
      <c r="V540" s="16"/>
      <c r="W540" s="16">
        <f t="shared" si="281"/>
        <v>0</v>
      </c>
    </row>
    <row r="541" spans="1:23" s="9" customFormat="1" outlineLevel="1">
      <c r="A541" s="9" t="s">
        <v>151</v>
      </c>
      <c r="B541" s="9" t="s">
        <v>152</v>
      </c>
      <c r="C541" s="9">
        <v>4067</v>
      </c>
      <c r="D541" s="9" t="s">
        <v>440</v>
      </c>
      <c r="E541" s="9">
        <v>60862</v>
      </c>
      <c r="G541" s="9">
        <v>2009</v>
      </c>
      <c r="H541" s="9">
        <v>1</v>
      </c>
      <c r="I541" s="9">
        <v>0</v>
      </c>
      <c r="J541" s="9" t="s">
        <v>78</v>
      </c>
      <c r="K541" s="9">
        <v>7</v>
      </c>
      <c r="L541" s="123">
        <f t="shared" si="273"/>
        <v>2016</v>
      </c>
      <c r="M541" s="114">
        <f t="shared" si="274"/>
        <v>2016.0833333333333</v>
      </c>
      <c r="N541" s="13">
        <f>'2180 Trucks - Orig.'!O141</f>
        <v>3116.0240000000003</v>
      </c>
      <c r="O541" s="13">
        <f t="shared" si="275"/>
        <v>3116.0240000000003</v>
      </c>
      <c r="P541" s="13">
        <f t="shared" si="276"/>
        <v>37.095523809523812</v>
      </c>
      <c r="Q541" s="13">
        <f t="shared" si="277"/>
        <v>445.14628571428574</v>
      </c>
      <c r="R541" s="13"/>
      <c r="S541" s="13">
        <f t="shared" si="278"/>
        <v>0</v>
      </c>
      <c r="T541" s="13">
        <f t="shared" si="279"/>
        <v>3116.0240000000003</v>
      </c>
      <c r="U541" s="13">
        <f t="shared" si="280"/>
        <v>3116.0240000000003</v>
      </c>
      <c r="V541" s="13"/>
      <c r="W541" s="13">
        <f t="shared" si="281"/>
        <v>0</v>
      </c>
    </row>
    <row r="542" spans="1:23" s="9" customFormat="1" outlineLevel="1">
      <c r="A542" s="15"/>
      <c r="B542" s="15"/>
      <c r="C542" s="15"/>
      <c r="D542" s="15" t="s">
        <v>441</v>
      </c>
      <c r="E542" s="15"/>
      <c r="F542" s="15"/>
      <c r="G542" s="15">
        <v>2018</v>
      </c>
      <c r="H542" s="15">
        <v>12</v>
      </c>
      <c r="I542" s="15">
        <v>0</v>
      </c>
      <c r="J542" s="15" t="s">
        <v>78</v>
      </c>
      <c r="K542" s="15">
        <f>+IF(L541-$O$3&gt;=3,L541-$O$3,3)</f>
        <v>3</v>
      </c>
      <c r="L542" s="176">
        <f t="shared" si="273"/>
        <v>2021</v>
      </c>
      <c r="M542" s="145">
        <f t="shared" si="274"/>
        <v>2022</v>
      </c>
      <c r="N542" s="16">
        <f>'2180 Trucks - Orig.'!N141-'2180 Trucks'!N541</f>
        <v>779.00599999999986</v>
      </c>
      <c r="O542" s="16">
        <f t="shared" si="275"/>
        <v>779.00599999999986</v>
      </c>
      <c r="P542" s="16">
        <f t="shared" si="276"/>
        <v>21.639055555555554</v>
      </c>
      <c r="Q542" s="16">
        <f t="shared" si="277"/>
        <v>259.66866666666664</v>
      </c>
      <c r="R542" s="16"/>
      <c r="S542" s="16">
        <f t="shared" si="278"/>
        <v>0</v>
      </c>
      <c r="T542" s="16">
        <f t="shared" si="279"/>
        <v>779.00599999999986</v>
      </c>
      <c r="U542" s="16">
        <f t="shared" si="280"/>
        <v>779.00599999999986</v>
      </c>
      <c r="V542" s="16"/>
      <c r="W542" s="16">
        <f t="shared" si="281"/>
        <v>0</v>
      </c>
    </row>
    <row r="543" spans="1:23" s="9" customFormat="1" outlineLevel="1">
      <c r="A543" s="9" t="s">
        <v>151</v>
      </c>
      <c r="B543" s="9" t="s">
        <v>152</v>
      </c>
      <c r="C543" s="9">
        <v>4067</v>
      </c>
      <c r="D543" s="9" t="s">
        <v>155</v>
      </c>
      <c r="G543" s="9">
        <v>2009</v>
      </c>
      <c r="H543" s="9">
        <v>1</v>
      </c>
      <c r="I543" s="9">
        <v>0</v>
      </c>
      <c r="J543" s="9" t="s">
        <v>78</v>
      </c>
      <c r="K543" s="9">
        <v>7</v>
      </c>
      <c r="L543" s="123">
        <f t="shared" si="273"/>
        <v>2016</v>
      </c>
      <c r="M543" s="114">
        <f t="shared" si="274"/>
        <v>2016.0833333333333</v>
      </c>
      <c r="N543" s="13">
        <f>'2180 Trucks - Orig.'!O142</f>
        <v>132389.20000000001</v>
      </c>
      <c r="O543" s="13">
        <f t="shared" si="275"/>
        <v>132389.20000000001</v>
      </c>
      <c r="P543" s="13">
        <f t="shared" si="276"/>
        <v>1576.0619047619048</v>
      </c>
      <c r="Q543" s="13">
        <f t="shared" si="277"/>
        <v>18912.742857142857</v>
      </c>
      <c r="R543" s="13"/>
      <c r="S543" s="13">
        <f t="shared" si="278"/>
        <v>0</v>
      </c>
      <c r="T543" s="13">
        <f t="shared" si="279"/>
        <v>132389.20000000001</v>
      </c>
      <c r="U543" s="13">
        <f t="shared" si="280"/>
        <v>132389.20000000001</v>
      </c>
      <c r="V543" s="13"/>
      <c r="W543" s="13">
        <f t="shared" si="281"/>
        <v>0</v>
      </c>
    </row>
    <row r="544" spans="1:23" s="9" customFormat="1" outlineLevel="1">
      <c r="A544" s="15"/>
      <c r="B544" s="15"/>
      <c r="C544" s="15"/>
      <c r="D544" s="15" t="s">
        <v>156</v>
      </c>
      <c r="E544" s="15"/>
      <c r="F544" s="15"/>
      <c r="G544" s="15">
        <v>2018</v>
      </c>
      <c r="H544" s="15">
        <v>12</v>
      </c>
      <c r="I544" s="15">
        <v>0</v>
      </c>
      <c r="J544" s="15" t="s">
        <v>78</v>
      </c>
      <c r="K544" s="15">
        <f>+IF(L543-$O$3&gt;=3,L543-$O$3,3)</f>
        <v>3</v>
      </c>
      <c r="L544" s="176">
        <f t="shared" si="273"/>
        <v>2021</v>
      </c>
      <c r="M544" s="145">
        <f t="shared" si="274"/>
        <v>2022</v>
      </c>
      <c r="N544" s="16">
        <f>'2180 Trucks - Orig.'!N142-'2180 Trucks'!N543</f>
        <v>33097.299999999988</v>
      </c>
      <c r="O544" s="16">
        <f t="shared" si="275"/>
        <v>33097.299999999988</v>
      </c>
      <c r="P544" s="16">
        <f t="shared" si="276"/>
        <v>919.36944444444407</v>
      </c>
      <c r="Q544" s="16">
        <f t="shared" si="277"/>
        <v>11032.433333333329</v>
      </c>
      <c r="R544" s="16"/>
      <c r="S544" s="16">
        <f t="shared" si="278"/>
        <v>0</v>
      </c>
      <c r="T544" s="16">
        <f t="shared" si="279"/>
        <v>33097.299999999988</v>
      </c>
      <c r="U544" s="16">
        <f t="shared" si="280"/>
        <v>33097.299999999988</v>
      </c>
      <c r="V544" s="16"/>
      <c r="W544" s="16">
        <f t="shared" si="281"/>
        <v>0</v>
      </c>
    </row>
    <row r="545" spans="1:23" s="9" customFormat="1" outlineLevel="1">
      <c r="C545" s="9">
        <v>4067</v>
      </c>
      <c r="D545" s="9" t="s">
        <v>158</v>
      </c>
      <c r="E545" s="9">
        <v>113248</v>
      </c>
      <c r="G545" s="9">
        <v>2014</v>
      </c>
      <c r="H545" s="9">
        <v>4</v>
      </c>
      <c r="I545" s="9">
        <v>0</v>
      </c>
      <c r="J545" s="9" t="s">
        <v>78</v>
      </c>
      <c r="K545" s="9">
        <v>5</v>
      </c>
      <c r="L545" s="123">
        <f t="shared" si="273"/>
        <v>2019</v>
      </c>
      <c r="M545" s="114">
        <f t="shared" si="274"/>
        <v>2019.3333333333333</v>
      </c>
      <c r="N545" s="13">
        <f>6778.26/7</f>
        <v>968.32285714285717</v>
      </c>
      <c r="O545" s="13">
        <f t="shared" si="275"/>
        <v>968.32285714285717</v>
      </c>
      <c r="P545" s="13">
        <f t="shared" si="276"/>
        <v>16.138714285714286</v>
      </c>
      <c r="Q545" s="13">
        <f t="shared" si="277"/>
        <v>193.66457142857143</v>
      </c>
      <c r="R545" s="13"/>
      <c r="S545" s="13">
        <f t="shared" si="278"/>
        <v>0</v>
      </c>
      <c r="T545" s="13">
        <f t="shared" si="279"/>
        <v>968.32285714285717</v>
      </c>
      <c r="U545" s="13">
        <f t="shared" si="280"/>
        <v>968.32285714285717</v>
      </c>
      <c r="V545" s="13"/>
      <c r="W545" s="13">
        <f t="shared" si="281"/>
        <v>0</v>
      </c>
    </row>
    <row r="546" spans="1:23" s="9" customFormat="1" outlineLevel="1">
      <c r="B546" s="9" t="s">
        <v>152</v>
      </c>
      <c r="C546" s="9">
        <v>4067</v>
      </c>
      <c r="D546" s="9" t="s">
        <v>161</v>
      </c>
      <c r="E546" s="9">
        <v>118515</v>
      </c>
      <c r="G546" s="9">
        <v>2014</v>
      </c>
      <c r="H546" s="9">
        <v>12</v>
      </c>
      <c r="I546" s="9">
        <v>0</v>
      </c>
      <c r="J546" s="9" t="s">
        <v>78</v>
      </c>
      <c r="K546" s="9">
        <v>3</v>
      </c>
      <c r="L546" s="123">
        <f t="shared" si="273"/>
        <v>2017</v>
      </c>
      <c r="M546" s="114">
        <f t="shared" si="274"/>
        <v>2018</v>
      </c>
      <c r="N546" s="13">
        <v>8921.6</v>
      </c>
      <c r="O546" s="13">
        <f t="shared" si="275"/>
        <v>8921.6</v>
      </c>
      <c r="P546" s="13">
        <f t="shared" si="276"/>
        <v>247.82222222222222</v>
      </c>
      <c r="Q546" s="13">
        <f t="shared" si="277"/>
        <v>2973.8666666666668</v>
      </c>
      <c r="R546" s="13"/>
      <c r="S546" s="13">
        <f t="shared" si="278"/>
        <v>0</v>
      </c>
      <c r="T546" s="13">
        <f t="shared" si="279"/>
        <v>8921.6</v>
      </c>
      <c r="U546" s="13">
        <f t="shared" si="280"/>
        <v>8921.6</v>
      </c>
      <c r="V546" s="13"/>
      <c r="W546" s="13">
        <f t="shared" si="281"/>
        <v>0</v>
      </c>
    </row>
    <row r="547" spans="1:23" s="9" customFormat="1" outlineLevel="1">
      <c r="C547" s="9">
        <v>4063</v>
      </c>
      <c r="D547" s="9" t="s">
        <v>158</v>
      </c>
      <c r="E547" s="9">
        <v>113248</v>
      </c>
      <c r="G547" s="9">
        <v>2014</v>
      </c>
      <c r="H547" s="9">
        <v>4</v>
      </c>
      <c r="I547" s="9">
        <v>0</v>
      </c>
      <c r="J547" s="9" t="s">
        <v>78</v>
      </c>
      <c r="K547" s="9">
        <v>5</v>
      </c>
      <c r="L547" s="123">
        <f t="shared" si="273"/>
        <v>2019</v>
      </c>
      <c r="M547" s="114">
        <f t="shared" si="274"/>
        <v>2019.3333333333333</v>
      </c>
      <c r="N547" s="13">
        <f>6778.26/7</f>
        <v>968.32285714285717</v>
      </c>
      <c r="O547" s="13">
        <f t="shared" si="275"/>
        <v>968.32285714285717</v>
      </c>
      <c r="P547" s="13">
        <f t="shared" si="276"/>
        <v>16.138714285714286</v>
      </c>
      <c r="Q547" s="13">
        <f t="shared" si="277"/>
        <v>193.66457142857143</v>
      </c>
      <c r="R547" s="13"/>
      <c r="S547" s="13">
        <f t="shared" si="278"/>
        <v>0</v>
      </c>
      <c r="T547" s="13">
        <f t="shared" si="279"/>
        <v>968.32285714285717</v>
      </c>
      <c r="U547" s="13">
        <f t="shared" si="280"/>
        <v>968.32285714285717</v>
      </c>
      <c r="V547" s="13"/>
      <c r="W547" s="13">
        <f t="shared" si="281"/>
        <v>0</v>
      </c>
    </row>
    <row r="548" spans="1:23" s="9" customFormat="1" outlineLevel="1">
      <c r="B548" s="9" t="s">
        <v>152</v>
      </c>
      <c r="C548" s="9">
        <v>4063</v>
      </c>
      <c r="D548" s="9" t="s">
        <v>161</v>
      </c>
      <c r="E548" s="9">
        <v>118517</v>
      </c>
      <c r="G548" s="9">
        <v>2014</v>
      </c>
      <c r="H548" s="9">
        <v>12</v>
      </c>
      <c r="I548" s="9">
        <v>0</v>
      </c>
      <c r="J548" s="9" t="s">
        <v>78</v>
      </c>
      <c r="K548" s="9">
        <v>3</v>
      </c>
      <c r="L548" s="123">
        <f t="shared" si="273"/>
        <v>2017</v>
      </c>
      <c r="M548" s="114">
        <f t="shared" si="274"/>
        <v>2018</v>
      </c>
      <c r="N548" s="13">
        <v>8921.6</v>
      </c>
      <c r="O548" s="13">
        <f t="shared" si="275"/>
        <v>8921.6</v>
      </c>
      <c r="P548" s="13">
        <f t="shared" si="276"/>
        <v>247.82222222222222</v>
      </c>
      <c r="Q548" s="13">
        <f t="shared" si="277"/>
        <v>2973.8666666666668</v>
      </c>
      <c r="R548" s="13"/>
      <c r="S548" s="13">
        <f t="shared" si="278"/>
        <v>0</v>
      </c>
      <c r="T548" s="13">
        <f t="shared" si="279"/>
        <v>8921.6</v>
      </c>
      <c r="U548" s="13">
        <f t="shared" si="280"/>
        <v>8921.6</v>
      </c>
      <c r="V548" s="13"/>
      <c r="W548" s="13">
        <f t="shared" si="281"/>
        <v>0</v>
      </c>
    </row>
    <row r="549" spans="1:23" s="9" customFormat="1" outlineLevel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0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s="9" customForma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0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s="9" customFormat="1">
      <c r="A551" s="17"/>
      <c r="B551" s="142" t="s">
        <v>3400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0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s="9" customFormat="1">
      <c r="A552" s="9" t="s">
        <v>75</v>
      </c>
      <c r="B552" s="9" t="s">
        <v>76</v>
      </c>
      <c r="C552" s="9">
        <v>1052</v>
      </c>
      <c r="D552" s="9" t="s">
        <v>85</v>
      </c>
      <c r="G552" s="9">
        <v>2006</v>
      </c>
      <c r="H552" s="9">
        <v>12</v>
      </c>
      <c r="I552" s="9">
        <v>0</v>
      </c>
      <c r="J552" s="9" t="s">
        <v>78</v>
      </c>
      <c r="K552" s="9">
        <v>7</v>
      </c>
      <c r="L552" s="9">
        <f>G552+K552</f>
        <v>2013</v>
      </c>
      <c r="M552" s="114">
        <f>+L552+(H552/12)</f>
        <v>2014</v>
      </c>
      <c r="N552" s="13">
        <f>'2180 Trucks - Orig.'!O31</f>
        <v>98137.600000000006</v>
      </c>
      <c r="O552" s="13">
        <f>N552-N552*I552</f>
        <v>98137.600000000006</v>
      </c>
      <c r="P552" s="13">
        <f>O552/K552/12</f>
        <v>1168.304761904762</v>
      </c>
      <c r="Q552" s="13">
        <f>P552*12</f>
        <v>14019.657142857144</v>
      </c>
      <c r="R552" s="13">
        <v>0</v>
      </c>
      <c r="S552" s="13">
        <f>+IF(M552&lt;=$O$5,0,IF(L552&gt;$O$4,Q552,(P552*H552)))</f>
        <v>0</v>
      </c>
      <c r="T552" s="13">
        <f>+IF(S552=0,N552,IF($O$3-G552&lt;1,0,(($O$3-G552)*Q552)))</f>
        <v>98137.600000000006</v>
      </c>
      <c r="U552" s="13">
        <f>+IF(S552=0,T552,T552+S552)</f>
        <v>98137.600000000006</v>
      </c>
      <c r="V552" s="13">
        <v>0</v>
      </c>
      <c r="W552" s="13">
        <f>+N552-U552</f>
        <v>0</v>
      </c>
    </row>
    <row r="553" spans="1:23" s="9" customFormat="1">
      <c r="A553" s="15"/>
      <c r="B553" s="15"/>
      <c r="C553" s="15"/>
      <c r="D553" s="15" t="s">
        <v>86</v>
      </c>
      <c r="E553" s="15"/>
      <c r="F553" s="15"/>
      <c r="G553" s="15">
        <v>2018</v>
      </c>
      <c r="H553" s="15">
        <v>12</v>
      </c>
      <c r="I553" s="15">
        <v>0</v>
      </c>
      <c r="J553" s="15" t="s">
        <v>78</v>
      </c>
      <c r="K553" s="15">
        <f>+IF(L552-$O$3&gt;=3,L552-$O$3,3)</f>
        <v>3</v>
      </c>
      <c r="L553" s="15">
        <f>G553+K553</f>
        <v>2021</v>
      </c>
      <c r="M553" s="145">
        <f>+L553+(H553/12)</f>
        <v>2022</v>
      </c>
      <c r="N553" s="16">
        <f>'2180 Trucks - Orig.'!N31-'2180 Trucks'!N552</f>
        <v>24534.399999999994</v>
      </c>
      <c r="O553" s="16">
        <f>N553-N553*I553</f>
        <v>24534.399999999994</v>
      </c>
      <c r="P553" s="16">
        <f>O553/K553/12</f>
        <v>681.51111111111095</v>
      </c>
      <c r="Q553" s="16">
        <f>P553*12</f>
        <v>8178.1333333333314</v>
      </c>
      <c r="R553" s="16">
        <v>8178.1333333333314</v>
      </c>
      <c r="S553" s="16">
        <f>+IF(M553&lt;=$O$5,0,IF(L553&gt;$O$4,Q553,(P553*H553)))</f>
        <v>0</v>
      </c>
      <c r="T553" s="16">
        <f>+IF(S553=0,N553,IF($O$3-G553&lt;1,0,(($O$3-G553)*Q553)))</f>
        <v>24534.399999999994</v>
      </c>
      <c r="U553" s="16">
        <f>+IF(S553=0,T553,T553+S553)</f>
        <v>24534.399999999994</v>
      </c>
      <c r="V553" s="16">
        <v>16356.266666666663</v>
      </c>
      <c r="W553" s="16">
        <f>+N553-U553</f>
        <v>0</v>
      </c>
    </row>
    <row r="554" spans="1:23" s="9" customForma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0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s="9" customForma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0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s="9" customForma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0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s="9" customForma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0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s="9" customForma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0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s="9" customForma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0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s="9" customForma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0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s="9" customForma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0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s="9" customForma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0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s="9" customForma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0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s="9" customForma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0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s="9" customForma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0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s="9" customForma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0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s="9" customForma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0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s="9" customForma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0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s="9" customForma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0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s="9" customForma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0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s="9" customForma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0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s="9" customForma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0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s="9" customForma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0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</sheetData>
  <mergeCells count="3">
    <mergeCell ref="A3:B3"/>
    <mergeCell ref="G9:H9"/>
    <mergeCell ref="G10:H10"/>
  </mergeCells>
  <pageMargins left="0.2" right="0.2" top="0.75" bottom="0.75" header="0.3" footer="0.3"/>
  <pageSetup scale="47" fitToHeight="7" orientation="landscape" r:id="rId1"/>
  <rowBreaks count="1" manualBreakCount="1">
    <brk id="282" max="2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59999389629810485"/>
  </sheetPr>
  <dimension ref="A1:BQ1317"/>
  <sheetViews>
    <sheetView view="pageBreakPreview" topLeftCell="A735" zoomScale="60" zoomScaleNormal="85" workbookViewId="0">
      <selection activeCell="AS6" sqref="AS6:BQ86"/>
    </sheetView>
  </sheetViews>
  <sheetFormatPr defaultRowHeight="15"/>
  <cols>
    <col min="1" max="1" width="40.42578125" style="17" bestFit="1" customWidth="1"/>
    <col min="2" max="2" width="10.5703125" style="17" bestFit="1" customWidth="1"/>
    <col min="3" max="3" width="37.140625" style="17" customWidth="1"/>
    <col min="4" max="4" width="5.28515625" style="17" customWidth="1"/>
    <col min="5" max="5" width="11.85546875" style="17" customWidth="1"/>
    <col min="6" max="6" width="4.28515625" style="17" customWidth="1"/>
    <col min="7" max="7" width="11.5703125" style="17" customWidth="1"/>
    <col min="8" max="8" width="5.42578125" style="17" customWidth="1"/>
    <col min="9" max="9" width="9.28515625" style="17" customWidth="1"/>
    <col min="10" max="10" width="12.85546875" style="17" customWidth="1"/>
    <col min="11" max="11" width="7.5703125" style="14" customWidth="1"/>
    <col min="12" max="12" width="11.5703125" style="17" customWidth="1"/>
    <col min="13" max="13" width="11.5703125" style="112" customWidth="1"/>
    <col min="14" max="14" width="14.28515625" style="3" bestFit="1" customWidth="1"/>
    <col min="15" max="15" width="12.85546875" style="3" customWidth="1"/>
    <col min="16" max="19" width="11.5703125" style="3" customWidth="1"/>
    <col min="20" max="22" width="14.42578125" style="3" customWidth="1"/>
    <col min="23" max="23" width="11.5703125" style="3" customWidth="1"/>
    <col min="24" max="24" width="16.7109375" style="17" bestFit="1" customWidth="1"/>
    <col min="25" max="25" width="12.5703125" style="17" bestFit="1" customWidth="1"/>
    <col min="26" max="26" width="13.42578125" style="17" customWidth="1"/>
    <col min="27" max="27" width="14.85546875" style="17" customWidth="1"/>
    <col min="28" max="28" width="12.85546875" style="17" customWidth="1"/>
    <col min="29" max="29" width="13.140625" style="17" customWidth="1"/>
    <col min="30" max="30" width="13.5703125" style="17" customWidth="1"/>
    <col min="31" max="31" width="12.5703125" style="17" bestFit="1" customWidth="1"/>
    <col min="32" max="33" width="9.140625" style="17"/>
    <col min="34" max="34" width="12.5703125" style="17" bestFit="1" customWidth="1"/>
    <col min="35" max="16384" width="9.140625" style="17"/>
  </cols>
  <sheetData>
    <row r="1" spans="1:69" s="9" customFormat="1">
      <c r="A1" s="125" t="str">
        <f>'2180 Deprec'!A1</f>
        <v>Pierce County Refuse</v>
      </c>
      <c r="B1" s="125"/>
      <c r="C1" s="125"/>
      <c r="K1" s="158"/>
      <c r="M1" s="146"/>
      <c r="N1" s="13"/>
      <c r="O1" s="13"/>
      <c r="P1" s="13"/>
      <c r="Q1" s="13"/>
      <c r="R1" s="13"/>
      <c r="S1" s="13"/>
      <c r="T1" s="126">
        <f>'2180 Trucks'!S1</f>
        <v>0</v>
      </c>
      <c r="U1" s="13" t="s">
        <v>41</v>
      </c>
      <c r="V1" s="13"/>
      <c r="W1" s="13"/>
    </row>
    <row r="2" spans="1:69" s="9" customFormat="1">
      <c r="A2" s="125" t="s">
        <v>442</v>
      </c>
      <c r="B2" s="125"/>
      <c r="C2" s="125"/>
      <c r="K2" s="158"/>
      <c r="M2" s="146"/>
      <c r="N2" s="13"/>
      <c r="O2" s="13">
        <f>'2180 Trucks'!O2</f>
        <v>9</v>
      </c>
      <c r="P2" s="13" t="s">
        <v>45</v>
      </c>
      <c r="Q2" s="13"/>
      <c r="R2" s="13"/>
      <c r="S2" s="13"/>
      <c r="T2" s="126">
        <f>A3</f>
        <v>44712</v>
      </c>
      <c r="U2" s="13" t="s">
        <v>46</v>
      </c>
      <c r="V2" s="13"/>
      <c r="W2" s="13"/>
    </row>
    <row r="3" spans="1:69" s="9" customFormat="1">
      <c r="A3" s="408">
        <f>'2180 Deprec'!A3</f>
        <v>44712</v>
      </c>
      <c r="B3" s="408"/>
      <c r="C3" s="408"/>
      <c r="K3" s="158"/>
      <c r="M3" s="146"/>
      <c r="N3" s="13"/>
      <c r="O3" s="415">
        <f>'2180 Trucks'!O3</f>
        <v>2021</v>
      </c>
      <c r="P3" s="13" t="s">
        <v>48</v>
      </c>
      <c r="Q3" s="13"/>
      <c r="R3" s="13"/>
      <c r="S3" s="13"/>
      <c r="T3" s="13"/>
      <c r="U3" s="13"/>
      <c r="V3" s="13"/>
      <c r="W3" s="13"/>
    </row>
    <row r="4" spans="1:69" s="9" customFormat="1">
      <c r="K4" s="158"/>
      <c r="M4" s="146"/>
      <c r="N4" s="13"/>
      <c r="O4" s="415">
        <f>'2180 Trucks'!O4</f>
        <v>2022</v>
      </c>
      <c r="P4" s="13" t="s">
        <v>49</v>
      </c>
      <c r="Q4" s="13"/>
      <c r="R4" s="13"/>
      <c r="S4" s="13"/>
      <c r="T4" s="13"/>
      <c r="U4" s="13"/>
      <c r="V4" s="13"/>
      <c r="W4" s="13"/>
    </row>
    <row r="5" spans="1:69" s="9" customFormat="1">
      <c r="B5" s="9" t="s">
        <v>1362</v>
      </c>
      <c r="K5" s="158"/>
      <c r="M5" s="146"/>
      <c r="N5" s="13"/>
      <c r="O5" s="416">
        <f>'2180 Trucks'!O5</f>
        <v>2022.75</v>
      </c>
      <c r="P5" s="13" t="s">
        <v>50</v>
      </c>
      <c r="Q5" s="13"/>
      <c r="R5" s="13"/>
      <c r="S5" s="13"/>
      <c r="T5" s="13"/>
      <c r="U5" s="13"/>
      <c r="V5" s="13"/>
      <c r="W5" s="13"/>
    </row>
    <row r="6" spans="1:69" s="9" customFormat="1">
      <c r="A6" s="414" t="s">
        <v>1380</v>
      </c>
      <c r="B6" s="110">
        <f>SUM(N182:N192,N410:N415,N551:N555,N631:N633,N719:N722)</f>
        <v>765876.59999999974</v>
      </c>
      <c r="K6" s="158"/>
      <c r="M6" s="146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69" s="9" customFormat="1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392"/>
      <c r="L7" s="148"/>
      <c r="M7" s="165"/>
      <c r="N7" s="101"/>
      <c r="O7" s="101"/>
      <c r="P7" s="101"/>
      <c r="Q7" s="101"/>
      <c r="R7" s="101"/>
      <c r="S7" s="101"/>
      <c r="T7" s="101"/>
      <c r="U7" s="101"/>
      <c r="V7" s="101"/>
      <c r="W7" s="101"/>
    </row>
    <row r="8" spans="1:69" s="102" customFormat="1">
      <c r="A8" s="392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152"/>
      <c r="N8" s="153"/>
      <c r="O8" s="153"/>
      <c r="P8" s="153"/>
      <c r="Q8" s="153"/>
      <c r="R8" s="153"/>
      <c r="S8" s="153"/>
      <c r="T8" s="153" t="s">
        <v>2</v>
      </c>
      <c r="U8" s="153" t="s">
        <v>3</v>
      </c>
      <c r="V8" s="153"/>
      <c r="W8" s="153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2"/>
      <c r="BO8" s="392"/>
      <c r="BP8" s="392"/>
      <c r="BQ8" s="392"/>
    </row>
    <row r="9" spans="1:69" s="102" customFormat="1">
      <c r="A9" s="392"/>
      <c r="B9" s="392"/>
      <c r="C9" s="392"/>
      <c r="D9" s="392"/>
      <c r="E9" s="392"/>
      <c r="F9" s="392"/>
      <c r="G9" s="404" t="s">
        <v>51</v>
      </c>
      <c r="H9" s="404"/>
      <c r="I9" s="392" t="s">
        <v>52</v>
      </c>
      <c r="J9" s="392"/>
      <c r="K9" s="392"/>
      <c r="L9" s="392" t="s">
        <v>53</v>
      </c>
      <c r="M9" s="152" t="s">
        <v>54</v>
      </c>
      <c r="N9" s="153"/>
      <c r="O9" s="153"/>
      <c r="P9" s="153"/>
      <c r="Q9" s="153"/>
      <c r="R9" s="153"/>
      <c r="S9" s="153"/>
      <c r="T9" s="153" t="s">
        <v>55</v>
      </c>
      <c r="U9" s="153" t="s">
        <v>55</v>
      </c>
      <c r="V9" s="153"/>
      <c r="W9" s="153"/>
      <c r="X9" s="409" t="s">
        <v>1235</v>
      </c>
      <c r="Y9" s="410"/>
      <c r="Z9" s="404" t="s">
        <v>37</v>
      </c>
      <c r="AA9" s="404"/>
      <c r="AC9" s="404" t="s">
        <v>1238</v>
      </c>
      <c r="AD9" s="404"/>
      <c r="AE9" s="404" t="s">
        <v>1242</v>
      </c>
      <c r="AF9" s="404"/>
      <c r="AG9" s="404"/>
      <c r="AH9" s="404"/>
      <c r="AI9" s="404"/>
      <c r="AJ9" s="404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2"/>
      <c r="BO9" s="392"/>
      <c r="BP9" s="392"/>
      <c r="BQ9" s="392"/>
    </row>
    <row r="10" spans="1:69" s="102" customFormat="1">
      <c r="A10" s="392"/>
      <c r="B10" s="392"/>
      <c r="C10" s="392"/>
      <c r="D10" s="392"/>
      <c r="E10" s="392"/>
      <c r="F10" s="392"/>
      <c r="G10" s="404" t="s">
        <v>56</v>
      </c>
      <c r="H10" s="404"/>
      <c r="I10" s="392" t="s">
        <v>7</v>
      </c>
      <c r="J10" s="392" t="s">
        <v>443</v>
      </c>
      <c r="K10" s="392" t="s">
        <v>57</v>
      </c>
      <c r="L10" s="392" t="s">
        <v>58</v>
      </c>
      <c r="M10" s="152" t="s">
        <v>58</v>
      </c>
      <c r="N10" s="153" t="s">
        <v>59</v>
      </c>
      <c r="O10" s="153" t="s">
        <v>8</v>
      </c>
      <c r="P10" s="153" t="s">
        <v>60</v>
      </c>
      <c r="Q10" s="153" t="s">
        <v>61</v>
      </c>
      <c r="R10" s="153" t="s">
        <v>1247</v>
      </c>
      <c r="S10" s="153" t="s">
        <v>444</v>
      </c>
      <c r="T10" s="153" t="s">
        <v>8</v>
      </c>
      <c r="U10" s="153" t="s">
        <v>8</v>
      </c>
      <c r="V10" s="153" t="s">
        <v>1247</v>
      </c>
      <c r="W10" s="153" t="s">
        <v>4</v>
      </c>
      <c r="X10" s="131" t="s">
        <v>9</v>
      </c>
      <c r="Y10" s="132"/>
      <c r="Z10" s="132"/>
      <c r="AA10" s="132"/>
      <c r="AB10" s="102" t="s">
        <v>1215</v>
      </c>
      <c r="AC10" s="102" t="s">
        <v>1239</v>
      </c>
      <c r="AD10" s="102" t="s">
        <v>1240</v>
      </c>
      <c r="AE10" s="404" t="s">
        <v>1237</v>
      </c>
      <c r="AF10" s="404"/>
      <c r="AG10" s="405"/>
      <c r="AH10" s="406" t="s">
        <v>1243</v>
      </c>
      <c r="AI10" s="407"/>
      <c r="AJ10" s="407"/>
      <c r="AS10" s="392"/>
      <c r="AT10" s="392"/>
      <c r="AU10" s="392"/>
      <c r="AV10" s="392"/>
      <c r="AW10" s="392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2"/>
      <c r="BL10" s="392"/>
      <c r="BM10" s="392"/>
      <c r="BN10" s="392"/>
      <c r="BO10" s="392"/>
      <c r="BP10" s="392"/>
      <c r="BQ10" s="392"/>
    </row>
    <row r="11" spans="1:69" s="102" customFormat="1" ht="18.75" customHeight="1">
      <c r="A11" s="154" t="s">
        <v>63</v>
      </c>
      <c r="B11" s="154" t="s">
        <v>445</v>
      </c>
      <c r="C11" s="154" t="s">
        <v>65</v>
      </c>
      <c r="D11" s="154" t="s">
        <v>446</v>
      </c>
      <c r="E11" s="154" t="s">
        <v>66</v>
      </c>
      <c r="F11" s="138"/>
      <c r="G11" s="154" t="s">
        <v>53</v>
      </c>
      <c r="H11" s="154" t="s">
        <v>68</v>
      </c>
      <c r="I11" s="154" t="s">
        <v>69</v>
      </c>
      <c r="J11" s="154" t="s">
        <v>70</v>
      </c>
      <c r="K11" s="154" t="s">
        <v>71</v>
      </c>
      <c r="L11" s="154" t="s">
        <v>72</v>
      </c>
      <c r="M11" s="155" t="s">
        <v>72</v>
      </c>
      <c r="N11" s="156" t="s">
        <v>6</v>
      </c>
      <c r="O11" s="156" t="s">
        <v>6</v>
      </c>
      <c r="P11" s="156" t="s">
        <v>8</v>
      </c>
      <c r="Q11" s="156" t="s">
        <v>73</v>
      </c>
      <c r="R11" s="156" t="s">
        <v>1237</v>
      </c>
      <c r="S11" s="156" t="s">
        <v>73</v>
      </c>
      <c r="T11" s="157">
        <f>+'2180 Trucks'!T11</f>
        <v>43831</v>
      </c>
      <c r="U11" s="157">
        <f>+'2180 Trucks'!U11</f>
        <v>44196</v>
      </c>
      <c r="V11" s="157" t="s">
        <v>1232</v>
      </c>
      <c r="W11" s="156" t="s">
        <v>11</v>
      </c>
      <c r="X11" s="137" t="s">
        <v>1233</v>
      </c>
      <c r="Y11" s="138" t="s">
        <v>1236</v>
      </c>
      <c r="Z11" s="138" t="s">
        <v>1237</v>
      </c>
      <c r="AA11" s="138" t="s">
        <v>1232</v>
      </c>
      <c r="AB11" s="139" t="s">
        <v>1241</v>
      </c>
      <c r="AC11" s="138" t="s">
        <v>1237</v>
      </c>
      <c r="AD11" s="138" t="s">
        <v>1232</v>
      </c>
      <c r="AE11" s="137" t="s">
        <v>1171</v>
      </c>
      <c r="AF11" s="140" t="s">
        <v>1244</v>
      </c>
      <c r="AG11" s="138" t="s">
        <v>221</v>
      </c>
      <c r="AH11" s="137" t="s">
        <v>1171</v>
      </c>
      <c r="AI11" s="140" t="s">
        <v>1245</v>
      </c>
      <c r="AJ11" s="141" t="s">
        <v>221</v>
      </c>
      <c r="AS11" s="392"/>
      <c r="AT11" s="392"/>
      <c r="AU11" s="392"/>
      <c r="AV11" s="392"/>
      <c r="AW11" s="392"/>
      <c r="AX11" s="392"/>
      <c r="AY11" s="392"/>
      <c r="AZ11" s="392"/>
      <c r="BA11" s="392"/>
      <c r="BB11" s="392"/>
      <c r="BC11" s="392"/>
      <c r="BD11" s="392"/>
      <c r="BE11" s="392"/>
      <c r="BF11" s="392"/>
      <c r="BG11" s="392"/>
      <c r="BH11" s="392"/>
      <c r="BI11" s="392"/>
      <c r="BJ11" s="392"/>
      <c r="BK11" s="392"/>
      <c r="BL11" s="392"/>
      <c r="BM11" s="392"/>
      <c r="BN11" s="392"/>
      <c r="BO11" s="392"/>
      <c r="BP11" s="392"/>
      <c r="BQ11" s="392"/>
    </row>
    <row r="12" spans="1:69" s="9" customFormat="1" ht="19.5" customHeight="1">
      <c r="A12" s="142" t="s">
        <v>447</v>
      </c>
      <c r="K12" s="158"/>
      <c r="M12" s="14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43"/>
      <c r="AE12" s="118"/>
      <c r="AF12" s="119"/>
      <c r="AG12" s="120"/>
      <c r="AH12" s="118"/>
      <c r="AI12" s="119"/>
      <c r="AJ12" s="121"/>
    </row>
    <row r="13" spans="1:69" s="9" customFormat="1">
      <c r="B13" s="9">
        <v>15</v>
      </c>
      <c r="C13" s="9" t="s">
        <v>468</v>
      </c>
      <c r="G13" s="9">
        <v>1997</v>
      </c>
      <c r="H13" s="9">
        <v>12</v>
      </c>
      <c r="I13" s="9">
        <v>0</v>
      </c>
      <c r="J13" s="9" t="s">
        <v>78</v>
      </c>
      <c r="K13" s="158" t="s">
        <v>449</v>
      </c>
      <c r="L13" s="9">
        <f t="shared" ref="L13:L44" si="0">G13+K13</f>
        <v>2007</v>
      </c>
      <c r="M13" s="127">
        <f t="shared" ref="M13:M44" si="1">+L13+(H13/12)</f>
        <v>2008</v>
      </c>
      <c r="N13" s="13">
        <v>5163.93</v>
      </c>
      <c r="O13" s="13">
        <f t="shared" ref="O13:O44" si="2">N13-N13*I13</f>
        <v>5163.93</v>
      </c>
      <c r="P13" s="13">
        <f t="shared" ref="P13:P44" si="3">O13/K13/12</f>
        <v>43.03275</v>
      </c>
      <c r="Q13" s="13">
        <f t="shared" ref="Q13:Q44" si="4">P13*12</f>
        <v>516.39300000000003</v>
      </c>
      <c r="R13" s="13">
        <v>0</v>
      </c>
      <c r="S13" s="13">
        <f t="shared" ref="S13:S44" si="5">+IF(M13&lt;=$O$5,0,IF(L13&gt;$O$4,Q13,(P13*H13)))</f>
        <v>0</v>
      </c>
      <c r="T13" s="13">
        <f t="shared" ref="T13:T44" si="6">+IF(S13=0,N13,IF($O$3-G13&lt;1,0,(($O$3-G13)*Q13)))</f>
        <v>5163.93</v>
      </c>
      <c r="U13" s="13">
        <f t="shared" ref="U13:U44" si="7">+IF(S13=0,T13,T13+S13)</f>
        <v>5163.93</v>
      </c>
      <c r="V13" s="13">
        <v>0</v>
      </c>
      <c r="W13" s="13">
        <f t="shared" ref="W13:W44" si="8">+N13-U13</f>
        <v>0</v>
      </c>
      <c r="X13" s="115">
        <f>S13</f>
        <v>0</v>
      </c>
      <c r="Y13" s="116">
        <f>W13</f>
        <v>0</v>
      </c>
      <c r="Z13" s="116">
        <f>X13-S13</f>
        <v>0</v>
      </c>
      <c r="AA13" s="116">
        <f>Y13-W13</f>
        <v>0</v>
      </c>
      <c r="AB13" s="117">
        <f>'Ratios (C)'!$C$27</f>
        <v>0.72727998160891272</v>
      </c>
      <c r="AC13" s="116">
        <f>X13*AB13</f>
        <v>0</v>
      </c>
      <c r="AD13" s="116">
        <f>Y13*AB13</f>
        <v>0</v>
      </c>
      <c r="AE13" s="118"/>
      <c r="AF13" s="119"/>
      <c r="AG13" s="120"/>
      <c r="AH13" s="118"/>
      <c r="AI13" s="119"/>
      <c r="AJ13" s="121"/>
    </row>
    <row r="14" spans="1:69" s="9" customFormat="1">
      <c r="B14" s="9">
        <v>15</v>
      </c>
      <c r="C14" s="9" t="s">
        <v>467</v>
      </c>
      <c r="G14" s="9">
        <v>1998</v>
      </c>
      <c r="H14" s="9">
        <v>2</v>
      </c>
      <c r="I14" s="9">
        <v>0</v>
      </c>
      <c r="J14" s="9" t="s">
        <v>78</v>
      </c>
      <c r="K14" s="158" t="s">
        <v>449</v>
      </c>
      <c r="L14" s="9">
        <f t="shared" si="0"/>
        <v>2008</v>
      </c>
      <c r="M14" s="127">
        <f t="shared" si="1"/>
        <v>2008.1666666666667</v>
      </c>
      <c r="N14" s="13">
        <v>5163.93</v>
      </c>
      <c r="O14" s="13">
        <f t="shared" si="2"/>
        <v>5163.93</v>
      </c>
      <c r="P14" s="13">
        <f t="shared" si="3"/>
        <v>43.03275</v>
      </c>
      <c r="Q14" s="13">
        <f t="shared" si="4"/>
        <v>516.39300000000003</v>
      </c>
      <c r="R14" s="13">
        <v>0</v>
      </c>
      <c r="S14" s="13">
        <f t="shared" si="5"/>
        <v>0</v>
      </c>
      <c r="T14" s="13">
        <f t="shared" si="6"/>
        <v>5163.93</v>
      </c>
      <c r="U14" s="13">
        <f t="shared" si="7"/>
        <v>5163.93</v>
      </c>
      <c r="V14" s="13">
        <v>0</v>
      </c>
      <c r="W14" s="13">
        <f t="shared" si="8"/>
        <v>0</v>
      </c>
      <c r="X14" s="115">
        <f t="shared" ref="X14:X77" si="9">S14</f>
        <v>0</v>
      </c>
      <c r="Y14" s="116">
        <f t="shared" ref="Y14:Y77" si="10">W14</f>
        <v>0</v>
      </c>
      <c r="Z14" s="116">
        <f t="shared" ref="Z14:Z41" si="11">X14-S14</f>
        <v>0</v>
      </c>
      <c r="AA14" s="116">
        <f t="shared" ref="AA14:AA41" si="12">Y14-W14</f>
        <v>0</v>
      </c>
      <c r="AB14" s="117">
        <f>'Ratios (C)'!$C$27</f>
        <v>0.72727998160891272</v>
      </c>
      <c r="AC14" s="116">
        <f t="shared" ref="AC14:AC15" si="13">X14*AB14</f>
        <v>0</v>
      </c>
      <c r="AD14" s="116">
        <f t="shared" ref="AD14:AD15" si="14">Y14*AB14</f>
        <v>0</v>
      </c>
      <c r="AE14" s="118"/>
      <c r="AF14" s="119"/>
      <c r="AG14" s="120"/>
      <c r="AH14" s="118"/>
      <c r="AI14" s="119"/>
      <c r="AJ14" s="121"/>
    </row>
    <row r="15" spans="1:69" s="9" customFormat="1">
      <c r="B15" s="9">
        <v>25</v>
      </c>
      <c r="C15" s="9" t="s">
        <v>467</v>
      </c>
      <c r="G15" s="9">
        <v>1998</v>
      </c>
      <c r="H15" s="9">
        <v>2</v>
      </c>
      <c r="I15" s="9">
        <v>0</v>
      </c>
      <c r="J15" s="9" t="s">
        <v>78</v>
      </c>
      <c r="K15" s="158" t="s">
        <v>449</v>
      </c>
      <c r="L15" s="9">
        <f t="shared" si="0"/>
        <v>2008</v>
      </c>
      <c r="M15" s="127">
        <f t="shared" si="1"/>
        <v>2008.1666666666667</v>
      </c>
      <c r="N15" s="13">
        <v>9040.9500000000007</v>
      </c>
      <c r="O15" s="13">
        <f t="shared" si="2"/>
        <v>9040.9500000000007</v>
      </c>
      <c r="P15" s="13">
        <f t="shared" si="3"/>
        <v>75.341250000000002</v>
      </c>
      <c r="Q15" s="13">
        <f t="shared" si="4"/>
        <v>904.09500000000003</v>
      </c>
      <c r="R15" s="13">
        <v>0</v>
      </c>
      <c r="S15" s="13">
        <f t="shared" si="5"/>
        <v>0</v>
      </c>
      <c r="T15" s="13">
        <f t="shared" si="6"/>
        <v>9040.9500000000007</v>
      </c>
      <c r="U15" s="13">
        <f t="shared" si="7"/>
        <v>9040.9500000000007</v>
      </c>
      <c r="V15" s="13">
        <v>0</v>
      </c>
      <c r="W15" s="13">
        <f t="shared" si="8"/>
        <v>0</v>
      </c>
      <c r="X15" s="115">
        <f t="shared" si="9"/>
        <v>0</v>
      </c>
      <c r="Y15" s="116">
        <f t="shared" si="10"/>
        <v>0</v>
      </c>
      <c r="Z15" s="116">
        <f t="shared" si="11"/>
        <v>0</v>
      </c>
      <c r="AA15" s="116">
        <f t="shared" si="12"/>
        <v>0</v>
      </c>
      <c r="AB15" s="117">
        <f>'Ratios (C)'!$C$27</f>
        <v>0.72727998160891272</v>
      </c>
      <c r="AC15" s="116">
        <f t="shared" si="13"/>
        <v>0</v>
      </c>
      <c r="AD15" s="116">
        <f t="shared" si="14"/>
        <v>0</v>
      </c>
      <c r="AE15" s="118"/>
      <c r="AF15" s="119"/>
      <c r="AG15" s="120"/>
      <c r="AH15" s="118"/>
      <c r="AI15" s="119"/>
      <c r="AJ15" s="121"/>
    </row>
    <row r="16" spans="1:69" s="9" customFormat="1">
      <c r="B16" s="9">
        <v>15</v>
      </c>
      <c r="C16" s="9" t="s">
        <v>467</v>
      </c>
      <c r="G16" s="9">
        <v>1998</v>
      </c>
      <c r="H16" s="9">
        <v>3</v>
      </c>
      <c r="I16" s="9">
        <v>0</v>
      </c>
      <c r="J16" s="9" t="s">
        <v>78</v>
      </c>
      <c r="K16" s="158" t="s">
        <v>449</v>
      </c>
      <c r="L16" s="9">
        <f t="shared" si="0"/>
        <v>2008</v>
      </c>
      <c r="M16" s="127">
        <f t="shared" si="1"/>
        <v>2008.25</v>
      </c>
      <c r="N16" s="13">
        <v>5163.93</v>
      </c>
      <c r="O16" s="13">
        <f t="shared" si="2"/>
        <v>5163.93</v>
      </c>
      <c r="P16" s="13">
        <f t="shared" si="3"/>
        <v>43.03275</v>
      </c>
      <c r="Q16" s="13">
        <f t="shared" si="4"/>
        <v>516.39300000000003</v>
      </c>
      <c r="R16" s="13">
        <v>0</v>
      </c>
      <c r="S16" s="13">
        <f t="shared" si="5"/>
        <v>0</v>
      </c>
      <c r="T16" s="13">
        <f t="shared" si="6"/>
        <v>5163.93</v>
      </c>
      <c r="U16" s="13">
        <f t="shared" si="7"/>
        <v>5163.93</v>
      </c>
      <c r="V16" s="13">
        <v>0</v>
      </c>
      <c r="W16" s="13">
        <f t="shared" si="8"/>
        <v>0</v>
      </c>
      <c r="X16" s="115">
        <f t="shared" si="9"/>
        <v>0</v>
      </c>
      <c r="Y16" s="116">
        <f t="shared" si="10"/>
        <v>0</v>
      </c>
      <c r="Z16" s="116">
        <f t="shared" si="11"/>
        <v>0</v>
      </c>
      <c r="AA16" s="116">
        <f t="shared" si="12"/>
        <v>0</v>
      </c>
      <c r="AB16" s="117">
        <f>'Ratios (C)'!$C$27</f>
        <v>0.72727998160891272</v>
      </c>
      <c r="AC16" s="116">
        <f>X16*AB16</f>
        <v>0</v>
      </c>
      <c r="AD16" s="116">
        <f>Y16*AB16</f>
        <v>0</v>
      </c>
      <c r="AE16" s="118"/>
      <c r="AF16" s="119"/>
      <c r="AG16" s="120"/>
      <c r="AH16" s="118"/>
      <c r="AI16" s="119"/>
      <c r="AJ16" s="121"/>
    </row>
    <row r="17" spans="2:36" s="9" customFormat="1">
      <c r="B17" s="9">
        <v>20</v>
      </c>
      <c r="C17" s="9" t="s">
        <v>480</v>
      </c>
      <c r="G17" s="9">
        <v>1998</v>
      </c>
      <c r="H17" s="9">
        <v>5</v>
      </c>
      <c r="I17" s="9">
        <v>0</v>
      </c>
      <c r="J17" s="9" t="s">
        <v>78</v>
      </c>
      <c r="K17" s="158" t="s">
        <v>449</v>
      </c>
      <c r="L17" s="9">
        <f t="shared" si="0"/>
        <v>2008</v>
      </c>
      <c r="M17" s="127">
        <f t="shared" si="1"/>
        <v>2008.4166666666667</v>
      </c>
      <c r="N17" s="13">
        <v>7992.96</v>
      </c>
      <c r="O17" s="13">
        <f t="shared" si="2"/>
        <v>7992.96</v>
      </c>
      <c r="P17" s="13">
        <f t="shared" si="3"/>
        <v>66.608000000000004</v>
      </c>
      <c r="Q17" s="13">
        <f t="shared" si="4"/>
        <v>799.29600000000005</v>
      </c>
      <c r="R17" s="13">
        <v>0</v>
      </c>
      <c r="S17" s="13">
        <f t="shared" si="5"/>
        <v>0</v>
      </c>
      <c r="T17" s="13">
        <f t="shared" si="6"/>
        <v>7992.96</v>
      </c>
      <c r="U17" s="13">
        <f t="shared" si="7"/>
        <v>7992.96</v>
      </c>
      <c r="V17" s="13">
        <v>0</v>
      </c>
      <c r="W17" s="13">
        <f t="shared" si="8"/>
        <v>0</v>
      </c>
      <c r="X17" s="115">
        <f t="shared" si="9"/>
        <v>0</v>
      </c>
      <c r="Y17" s="116">
        <f t="shared" si="10"/>
        <v>0</v>
      </c>
      <c r="Z17" s="116">
        <f t="shared" si="11"/>
        <v>0</v>
      </c>
      <c r="AA17" s="116">
        <f t="shared" si="12"/>
        <v>0</v>
      </c>
      <c r="AB17" s="117">
        <f>'Ratios (C)'!$C$27</f>
        <v>0.72727998160891272</v>
      </c>
      <c r="AC17" s="116">
        <f t="shared" ref="AC17:AC80" si="15">X17*AB17</f>
        <v>0</v>
      </c>
      <c r="AD17" s="116">
        <f t="shared" ref="AD17:AD80" si="16">Y17*AB17</f>
        <v>0</v>
      </c>
      <c r="AE17" s="118"/>
      <c r="AF17" s="119"/>
      <c r="AG17" s="120"/>
      <c r="AH17" s="118"/>
      <c r="AI17" s="119"/>
      <c r="AJ17" s="121"/>
    </row>
    <row r="18" spans="2:36" s="9" customFormat="1">
      <c r="B18" s="9">
        <v>10</v>
      </c>
      <c r="C18" s="9" t="s">
        <v>487</v>
      </c>
      <c r="G18" s="9">
        <v>1998</v>
      </c>
      <c r="H18" s="9">
        <v>10</v>
      </c>
      <c r="I18" s="9">
        <v>0</v>
      </c>
      <c r="J18" s="9" t="s">
        <v>78</v>
      </c>
      <c r="K18" s="158" t="s">
        <v>449</v>
      </c>
      <c r="L18" s="9">
        <f t="shared" si="0"/>
        <v>2008</v>
      </c>
      <c r="M18" s="127">
        <f t="shared" si="1"/>
        <v>2008.8333333333333</v>
      </c>
      <c r="N18" s="13">
        <v>4170.24</v>
      </c>
      <c r="O18" s="13">
        <f t="shared" si="2"/>
        <v>4170.24</v>
      </c>
      <c r="P18" s="13">
        <f t="shared" si="3"/>
        <v>34.752000000000002</v>
      </c>
      <c r="Q18" s="13">
        <f t="shared" si="4"/>
        <v>417.024</v>
      </c>
      <c r="R18" s="13">
        <v>0</v>
      </c>
      <c r="S18" s="13">
        <f t="shared" si="5"/>
        <v>0</v>
      </c>
      <c r="T18" s="13">
        <f t="shared" si="6"/>
        <v>4170.24</v>
      </c>
      <c r="U18" s="13">
        <f t="shared" si="7"/>
        <v>4170.24</v>
      </c>
      <c r="V18" s="13">
        <v>0</v>
      </c>
      <c r="W18" s="13">
        <f t="shared" si="8"/>
        <v>0</v>
      </c>
      <c r="X18" s="115">
        <f t="shared" si="9"/>
        <v>0</v>
      </c>
      <c r="Y18" s="116">
        <f t="shared" si="10"/>
        <v>0</v>
      </c>
      <c r="Z18" s="116">
        <f t="shared" si="11"/>
        <v>0</v>
      </c>
      <c r="AA18" s="116">
        <f t="shared" si="12"/>
        <v>0</v>
      </c>
      <c r="AB18" s="117">
        <f>'Ratios (C)'!$C$27</f>
        <v>0.72727998160891272</v>
      </c>
      <c r="AC18" s="116">
        <f t="shared" si="15"/>
        <v>0</v>
      </c>
      <c r="AD18" s="116">
        <f t="shared" si="16"/>
        <v>0</v>
      </c>
      <c r="AE18" s="118"/>
      <c r="AF18" s="119"/>
      <c r="AG18" s="120"/>
      <c r="AH18" s="118"/>
      <c r="AI18" s="119"/>
      <c r="AJ18" s="121"/>
    </row>
    <row r="19" spans="2:36" s="9" customFormat="1">
      <c r="B19" s="9">
        <v>35</v>
      </c>
      <c r="C19" s="9" t="s">
        <v>477</v>
      </c>
      <c r="G19" s="9">
        <v>1999</v>
      </c>
      <c r="H19" s="9">
        <v>12</v>
      </c>
      <c r="I19" s="9">
        <v>0</v>
      </c>
      <c r="J19" s="9" t="s">
        <v>78</v>
      </c>
      <c r="K19" s="158" t="s">
        <v>449</v>
      </c>
      <c r="L19" s="9">
        <f t="shared" si="0"/>
        <v>2009</v>
      </c>
      <c r="M19" s="127">
        <f t="shared" si="1"/>
        <v>2010</v>
      </c>
      <c r="N19" s="13">
        <v>8688</v>
      </c>
      <c r="O19" s="13">
        <f t="shared" si="2"/>
        <v>8688</v>
      </c>
      <c r="P19" s="13">
        <f t="shared" si="3"/>
        <v>72.399999999999991</v>
      </c>
      <c r="Q19" s="13">
        <f t="shared" si="4"/>
        <v>868.8</v>
      </c>
      <c r="R19" s="13">
        <v>0</v>
      </c>
      <c r="S19" s="13">
        <f t="shared" si="5"/>
        <v>0</v>
      </c>
      <c r="T19" s="13">
        <f t="shared" si="6"/>
        <v>8688</v>
      </c>
      <c r="U19" s="13">
        <f t="shared" si="7"/>
        <v>8688</v>
      </c>
      <c r="V19" s="13">
        <v>0</v>
      </c>
      <c r="W19" s="13">
        <f t="shared" si="8"/>
        <v>0</v>
      </c>
      <c r="X19" s="115">
        <f t="shared" si="9"/>
        <v>0</v>
      </c>
      <c r="Y19" s="116">
        <f t="shared" si="10"/>
        <v>0</v>
      </c>
      <c r="Z19" s="116">
        <f t="shared" si="11"/>
        <v>0</v>
      </c>
      <c r="AA19" s="116">
        <f t="shared" si="12"/>
        <v>0</v>
      </c>
      <c r="AB19" s="117">
        <f>'Ratios (C)'!$C$27</f>
        <v>0.72727998160891272</v>
      </c>
      <c r="AC19" s="116">
        <f t="shared" si="15"/>
        <v>0</v>
      </c>
      <c r="AD19" s="116">
        <f t="shared" si="16"/>
        <v>0</v>
      </c>
      <c r="AE19" s="118"/>
      <c r="AF19" s="119"/>
      <c r="AG19" s="120"/>
      <c r="AH19" s="118"/>
      <c r="AI19" s="119"/>
      <c r="AJ19" s="121"/>
    </row>
    <row r="20" spans="2:36" s="9" customFormat="1">
      <c r="B20" s="9">
        <v>15</v>
      </c>
      <c r="C20" s="9" t="s">
        <v>470</v>
      </c>
      <c r="G20" s="9">
        <v>2000</v>
      </c>
      <c r="H20" s="9">
        <v>4</v>
      </c>
      <c r="I20" s="9">
        <v>0</v>
      </c>
      <c r="J20" s="9" t="s">
        <v>78</v>
      </c>
      <c r="K20" s="158" t="s">
        <v>449</v>
      </c>
      <c r="L20" s="9">
        <f t="shared" si="0"/>
        <v>2010</v>
      </c>
      <c r="M20" s="127">
        <f t="shared" si="1"/>
        <v>2010.3333333333333</v>
      </c>
      <c r="N20" s="13">
        <v>4687.18</v>
      </c>
      <c r="O20" s="13">
        <f t="shared" si="2"/>
        <v>4687.18</v>
      </c>
      <c r="P20" s="13">
        <f t="shared" si="3"/>
        <v>39.059833333333337</v>
      </c>
      <c r="Q20" s="13">
        <f t="shared" si="4"/>
        <v>468.71800000000007</v>
      </c>
      <c r="R20" s="13">
        <v>0</v>
      </c>
      <c r="S20" s="13">
        <f t="shared" si="5"/>
        <v>0</v>
      </c>
      <c r="T20" s="13">
        <f t="shared" si="6"/>
        <v>4687.18</v>
      </c>
      <c r="U20" s="13">
        <f t="shared" si="7"/>
        <v>4687.18</v>
      </c>
      <c r="V20" s="13">
        <v>0</v>
      </c>
      <c r="W20" s="13">
        <f t="shared" si="8"/>
        <v>0</v>
      </c>
      <c r="X20" s="115">
        <f t="shared" si="9"/>
        <v>0</v>
      </c>
      <c r="Y20" s="116">
        <f t="shared" si="10"/>
        <v>0</v>
      </c>
      <c r="Z20" s="116">
        <f t="shared" si="11"/>
        <v>0</v>
      </c>
      <c r="AA20" s="116">
        <f t="shared" si="12"/>
        <v>0</v>
      </c>
      <c r="AB20" s="117">
        <f>'Ratios (C)'!$C$27</f>
        <v>0.72727998160891272</v>
      </c>
      <c r="AC20" s="116">
        <f t="shared" si="15"/>
        <v>0</v>
      </c>
      <c r="AD20" s="116">
        <f t="shared" si="16"/>
        <v>0</v>
      </c>
      <c r="AE20" s="118"/>
      <c r="AF20" s="119"/>
      <c r="AG20" s="120"/>
      <c r="AH20" s="118"/>
      <c r="AI20" s="119"/>
      <c r="AJ20" s="121"/>
    </row>
    <row r="21" spans="2:36" s="9" customFormat="1">
      <c r="B21" s="9">
        <v>28</v>
      </c>
      <c r="C21" s="9" t="s">
        <v>477</v>
      </c>
      <c r="G21" s="9">
        <v>2000</v>
      </c>
      <c r="H21" s="9">
        <v>4</v>
      </c>
      <c r="I21" s="9">
        <v>0</v>
      </c>
      <c r="J21" s="9" t="s">
        <v>78</v>
      </c>
      <c r="K21" s="158" t="s">
        <v>449</v>
      </c>
      <c r="L21" s="9">
        <f t="shared" si="0"/>
        <v>2010</v>
      </c>
      <c r="M21" s="127">
        <f t="shared" si="1"/>
        <v>2010.3333333333333</v>
      </c>
      <c r="N21" s="13">
        <v>9383.0400000000009</v>
      </c>
      <c r="O21" s="13">
        <f t="shared" si="2"/>
        <v>9383.0400000000009</v>
      </c>
      <c r="P21" s="13">
        <f t="shared" si="3"/>
        <v>78.192000000000007</v>
      </c>
      <c r="Q21" s="13">
        <f t="shared" si="4"/>
        <v>938.30400000000009</v>
      </c>
      <c r="R21" s="13">
        <v>0</v>
      </c>
      <c r="S21" s="13">
        <f t="shared" si="5"/>
        <v>0</v>
      </c>
      <c r="T21" s="13">
        <f t="shared" si="6"/>
        <v>9383.0400000000009</v>
      </c>
      <c r="U21" s="13">
        <f t="shared" si="7"/>
        <v>9383.0400000000009</v>
      </c>
      <c r="V21" s="13">
        <v>0</v>
      </c>
      <c r="W21" s="13">
        <f t="shared" si="8"/>
        <v>0</v>
      </c>
      <c r="X21" s="115">
        <f t="shared" si="9"/>
        <v>0</v>
      </c>
      <c r="Y21" s="116">
        <f t="shared" si="10"/>
        <v>0</v>
      </c>
      <c r="Z21" s="116">
        <f t="shared" si="11"/>
        <v>0</v>
      </c>
      <c r="AA21" s="116">
        <f t="shared" si="12"/>
        <v>0</v>
      </c>
      <c r="AB21" s="117">
        <f>'Ratios (C)'!$C$27</f>
        <v>0.72727998160891272</v>
      </c>
      <c r="AC21" s="116">
        <f t="shared" si="15"/>
        <v>0</v>
      </c>
      <c r="AD21" s="116">
        <f t="shared" si="16"/>
        <v>0</v>
      </c>
      <c r="AE21" s="118"/>
      <c r="AF21" s="119"/>
      <c r="AG21" s="120"/>
      <c r="AH21" s="118"/>
      <c r="AI21" s="119"/>
      <c r="AJ21" s="121"/>
    </row>
    <row r="22" spans="2:36" s="9" customFormat="1">
      <c r="B22" s="9">
        <v>13</v>
      </c>
      <c r="C22" s="9" t="s">
        <v>486</v>
      </c>
      <c r="G22" s="9">
        <v>2000</v>
      </c>
      <c r="H22" s="9">
        <v>5</v>
      </c>
      <c r="I22" s="9">
        <v>0</v>
      </c>
      <c r="J22" s="9" t="s">
        <v>78</v>
      </c>
      <c r="K22" s="158" t="s">
        <v>449</v>
      </c>
      <c r="L22" s="9">
        <f t="shared" si="0"/>
        <v>2010</v>
      </c>
      <c r="M22" s="127">
        <f t="shared" si="1"/>
        <v>2010.4166666666667</v>
      </c>
      <c r="N22" s="13">
        <v>4587.26</v>
      </c>
      <c r="O22" s="13">
        <f t="shared" si="2"/>
        <v>4587.26</v>
      </c>
      <c r="P22" s="13">
        <f t="shared" si="3"/>
        <v>38.227166666666669</v>
      </c>
      <c r="Q22" s="13">
        <f t="shared" si="4"/>
        <v>458.726</v>
      </c>
      <c r="R22" s="13">
        <v>0</v>
      </c>
      <c r="S22" s="13">
        <f t="shared" si="5"/>
        <v>0</v>
      </c>
      <c r="T22" s="13">
        <f t="shared" si="6"/>
        <v>4587.26</v>
      </c>
      <c r="U22" s="13">
        <f t="shared" si="7"/>
        <v>4587.26</v>
      </c>
      <c r="V22" s="13">
        <v>0</v>
      </c>
      <c r="W22" s="13">
        <f t="shared" si="8"/>
        <v>0</v>
      </c>
      <c r="X22" s="115">
        <f t="shared" si="9"/>
        <v>0</v>
      </c>
      <c r="Y22" s="116">
        <f t="shared" si="10"/>
        <v>0</v>
      </c>
      <c r="Z22" s="116">
        <f t="shared" si="11"/>
        <v>0</v>
      </c>
      <c r="AA22" s="116">
        <f t="shared" si="12"/>
        <v>0</v>
      </c>
      <c r="AB22" s="117">
        <f>'Ratios (C)'!$C$27</f>
        <v>0.72727998160891272</v>
      </c>
      <c r="AC22" s="116">
        <f t="shared" si="15"/>
        <v>0</v>
      </c>
      <c r="AD22" s="116">
        <f t="shared" si="16"/>
        <v>0</v>
      </c>
      <c r="AE22" s="118"/>
      <c r="AF22" s="119"/>
      <c r="AG22" s="120"/>
      <c r="AH22" s="118"/>
      <c r="AI22" s="119"/>
      <c r="AJ22" s="121"/>
    </row>
    <row r="23" spans="2:36" s="9" customFormat="1">
      <c r="B23" s="9">
        <v>29</v>
      </c>
      <c r="C23" s="9" t="s">
        <v>486</v>
      </c>
      <c r="G23" s="9">
        <v>2000</v>
      </c>
      <c r="H23" s="9">
        <v>5</v>
      </c>
      <c r="I23" s="9">
        <v>0</v>
      </c>
      <c r="J23" s="9" t="s">
        <v>78</v>
      </c>
      <c r="K23" s="158" t="s">
        <v>449</v>
      </c>
      <c r="L23" s="9">
        <f t="shared" si="0"/>
        <v>2010</v>
      </c>
      <c r="M23" s="127">
        <f t="shared" si="1"/>
        <v>2010.4166666666667</v>
      </c>
      <c r="N23" s="13">
        <v>9964.0499999999993</v>
      </c>
      <c r="O23" s="13">
        <f t="shared" si="2"/>
        <v>9964.0499999999993</v>
      </c>
      <c r="P23" s="13">
        <f t="shared" si="3"/>
        <v>83.033749999999998</v>
      </c>
      <c r="Q23" s="13">
        <f t="shared" si="4"/>
        <v>996.40499999999997</v>
      </c>
      <c r="R23" s="13">
        <v>0</v>
      </c>
      <c r="S23" s="13">
        <f t="shared" si="5"/>
        <v>0</v>
      </c>
      <c r="T23" s="13">
        <f t="shared" si="6"/>
        <v>9964.0499999999993</v>
      </c>
      <c r="U23" s="13">
        <f t="shared" si="7"/>
        <v>9964.0499999999993</v>
      </c>
      <c r="V23" s="13">
        <v>0</v>
      </c>
      <c r="W23" s="13">
        <f t="shared" si="8"/>
        <v>0</v>
      </c>
      <c r="X23" s="115">
        <f t="shared" si="9"/>
        <v>0</v>
      </c>
      <c r="Y23" s="116">
        <f t="shared" si="10"/>
        <v>0</v>
      </c>
      <c r="Z23" s="116">
        <f t="shared" si="11"/>
        <v>0</v>
      </c>
      <c r="AA23" s="116">
        <f t="shared" si="12"/>
        <v>0</v>
      </c>
      <c r="AB23" s="117">
        <f>'Ratios (C)'!$C$27</f>
        <v>0.72727998160891272</v>
      </c>
      <c r="AC23" s="116">
        <f t="shared" si="15"/>
        <v>0</v>
      </c>
      <c r="AD23" s="116">
        <f t="shared" si="16"/>
        <v>0</v>
      </c>
      <c r="AE23" s="118"/>
      <c r="AF23" s="119"/>
      <c r="AG23" s="120"/>
      <c r="AH23" s="118"/>
      <c r="AI23" s="119"/>
      <c r="AJ23" s="121"/>
    </row>
    <row r="24" spans="2:36" s="9" customFormat="1">
      <c r="B24" s="9">
        <v>12</v>
      </c>
      <c r="C24" s="9" t="s">
        <v>456</v>
      </c>
      <c r="G24" s="9">
        <v>2000</v>
      </c>
      <c r="H24" s="9">
        <v>9</v>
      </c>
      <c r="I24" s="9">
        <v>0</v>
      </c>
      <c r="J24" s="9" t="s">
        <v>78</v>
      </c>
      <c r="K24" s="158" t="s">
        <v>449</v>
      </c>
      <c r="L24" s="9">
        <f t="shared" si="0"/>
        <v>2010</v>
      </c>
      <c r="M24" s="127">
        <f t="shared" si="1"/>
        <v>2010.75</v>
      </c>
      <c r="N24" s="13">
        <v>3377.46</v>
      </c>
      <c r="O24" s="13">
        <f t="shared" si="2"/>
        <v>3377.46</v>
      </c>
      <c r="P24" s="13">
        <f t="shared" si="3"/>
        <v>28.145499999999998</v>
      </c>
      <c r="Q24" s="13">
        <f t="shared" si="4"/>
        <v>337.74599999999998</v>
      </c>
      <c r="R24" s="13">
        <v>0</v>
      </c>
      <c r="S24" s="13">
        <f t="shared" si="5"/>
        <v>0</v>
      </c>
      <c r="T24" s="13">
        <f t="shared" si="6"/>
        <v>3377.46</v>
      </c>
      <c r="U24" s="13">
        <f t="shared" si="7"/>
        <v>3377.46</v>
      </c>
      <c r="V24" s="13">
        <v>0</v>
      </c>
      <c r="W24" s="13">
        <f t="shared" si="8"/>
        <v>0</v>
      </c>
      <c r="X24" s="115">
        <f t="shared" si="9"/>
        <v>0</v>
      </c>
      <c r="Y24" s="116">
        <f t="shared" si="10"/>
        <v>0</v>
      </c>
      <c r="Z24" s="116">
        <f t="shared" si="11"/>
        <v>0</v>
      </c>
      <c r="AA24" s="116">
        <f t="shared" si="12"/>
        <v>0</v>
      </c>
      <c r="AB24" s="117">
        <f>'Ratios (C)'!$C$27</f>
        <v>0.72727998160891272</v>
      </c>
      <c r="AC24" s="116">
        <f t="shared" si="15"/>
        <v>0</v>
      </c>
      <c r="AD24" s="116">
        <f t="shared" si="16"/>
        <v>0</v>
      </c>
      <c r="AE24" s="118"/>
      <c r="AF24" s="119"/>
      <c r="AG24" s="120"/>
      <c r="AH24" s="118"/>
      <c r="AI24" s="119"/>
      <c r="AJ24" s="121"/>
    </row>
    <row r="25" spans="2:36" s="9" customFormat="1">
      <c r="B25" s="9">
        <v>30</v>
      </c>
      <c r="C25" s="9" t="s">
        <v>456</v>
      </c>
      <c r="G25" s="9">
        <v>2000</v>
      </c>
      <c r="H25" s="9">
        <v>9</v>
      </c>
      <c r="I25" s="9">
        <v>0</v>
      </c>
      <c r="J25" s="9" t="s">
        <v>78</v>
      </c>
      <c r="K25" s="158" t="s">
        <v>449</v>
      </c>
      <c r="L25" s="9">
        <f t="shared" si="0"/>
        <v>2010</v>
      </c>
      <c r="M25" s="127">
        <f t="shared" si="1"/>
        <v>2010.75</v>
      </c>
      <c r="N25" s="13">
        <v>8443.65</v>
      </c>
      <c r="O25" s="13">
        <f t="shared" si="2"/>
        <v>8443.65</v>
      </c>
      <c r="P25" s="13">
        <f t="shared" si="3"/>
        <v>70.363749999999996</v>
      </c>
      <c r="Q25" s="13">
        <f t="shared" si="4"/>
        <v>844.36500000000001</v>
      </c>
      <c r="R25" s="13">
        <v>0</v>
      </c>
      <c r="S25" s="13">
        <f t="shared" si="5"/>
        <v>0</v>
      </c>
      <c r="T25" s="13">
        <f t="shared" si="6"/>
        <v>8443.65</v>
      </c>
      <c r="U25" s="13">
        <f t="shared" si="7"/>
        <v>8443.65</v>
      </c>
      <c r="V25" s="13">
        <v>0</v>
      </c>
      <c r="W25" s="13">
        <f t="shared" si="8"/>
        <v>0</v>
      </c>
      <c r="X25" s="115">
        <f t="shared" si="9"/>
        <v>0</v>
      </c>
      <c r="Y25" s="116">
        <f t="shared" si="10"/>
        <v>0</v>
      </c>
      <c r="Z25" s="116">
        <f t="shared" si="11"/>
        <v>0</v>
      </c>
      <c r="AA25" s="116">
        <f t="shared" si="12"/>
        <v>0</v>
      </c>
      <c r="AB25" s="117">
        <f>'Ratios (C)'!$C$27</f>
        <v>0.72727998160891272</v>
      </c>
      <c r="AC25" s="116">
        <f t="shared" si="15"/>
        <v>0</v>
      </c>
      <c r="AD25" s="116">
        <f t="shared" si="16"/>
        <v>0</v>
      </c>
      <c r="AE25" s="118"/>
      <c r="AF25" s="119"/>
      <c r="AG25" s="120"/>
      <c r="AH25" s="118"/>
      <c r="AI25" s="119"/>
      <c r="AJ25" s="121"/>
    </row>
    <row r="26" spans="2:36" s="9" customFormat="1">
      <c r="B26" s="9">
        <v>23</v>
      </c>
      <c r="C26" s="9" t="s">
        <v>486</v>
      </c>
      <c r="G26" s="9">
        <v>2000</v>
      </c>
      <c r="H26" s="9">
        <v>9</v>
      </c>
      <c r="I26" s="9">
        <v>0</v>
      </c>
      <c r="J26" s="9" t="s">
        <v>78</v>
      </c>
      <c r="K26" s="158" t="s">
        <v>449</v>
      </c>
      <c r="L26" s="9">
        <f t="shared" si="0"/>
        <v>2010</v>
      </c>
      <c r="M26" s="127">
        <f t="shared" si="1"/>
        <v>2010.75</v>
      </c>
      <c r="N26" s="13">
        <v>7971.24</v>
      </c>
      <c r="O26" s="13">
        <f t="shared" si="2"/>
        <v>7971.24</v>
      </c>
      <c r="P26" s="13">
        <f t="shared" si="3"/>
        <v>66.427000000000007</v>
      </c>
      <c r="Q26" s="13">
        <f t="shared" si="4"/>
        <v>797.12400000000002</v>
      </c>
      <c r="R26" s="13">
        <v>0</v>
      </c>
      <c r="S26" s="13">
        <f t="shared" si="5"/>
        <v>0</v>
      </c>
      <c r="T26" s="13">
        <f t="shared" si="6"/>
        <v>7971.24</v>
      </c>
      <c r="U26" s="13">
        <f t="shared" si="7"/>
        <v>7971.24</v>
      </c>
      <c r="V26" s="13">
        <v>0</v>
      </c>
      <c r="W26" s="13">
        <f t="shared" si="8"/>
        <v>0</v>
      </c>
      <c r="X26" s="115">
        <f t="shared" si="9"/>
        <v>0</v>
      </c>
      <c r="Y26" s="116">
        <f t="shared" si="10"/>
        <v>0</v>
      </c>
      <c r="Z26" s="116">
        <f t="shared" si="11"/>
        <v>0</v>
      </c>
      <c r="AA26" s="116">
        <f t="shared" si="12"/>
        <v>0</v>
      </c>
      <c r="AB26" s="117">
        <f>'Ratios (C)'!$C$27</f>
        <v>0.72727998160891272</v>
      </c>
      <c r="AC26" s="116">
        <f t="shared" si="15"/>
        <v>0</v>
      </c>
      <c r="AD26" s="116">
        <f t="shared" si="16"/>
        <v>0</v>
      </c>
      <c r="AE26" s="118"/>
      <c r="AF26" s="119"/>
      <c r="AG26" s="120"/>
      <c r="AH26" s="118"/>
      <c r="AI26" s="119"/>
      <c r="AJ26" s="121"/>
    </row>
    <row r="27" spans="2:36" s="9" customFormat="1">
      <c r="B27" s="9">
        <v>28</v>
      </c>
      <c r="C27" s="9" t="s">
        <v>456</v>
      </c>
      <c r="G27" s="9">
        <v>2001</v>
      </c>
      <c r="H27" s="9">
        <v>2</v>
      </c>
      <c r="I27" s="9">
        <v>0</v>
      </c>
      <c r="J27" s="9" t="s">
        <v>78</v>
      </c>
      <c r="K27" s="158" t="s">
        <v>449</v>
      </c>
      <c r="L27" s="9">
        <f t="shared" si="0"/>
        <v>2011</v>
      </c>
      <c r="M27" s="127">
        <f t="shared" si="1"/>
        <v>2011.1666666666667</v>
      </c>
      <c r="N27" s="13">
        <v>8036.4</v>
      </c>
      <c r="O27" s="13">
        <f t="shared" si="2"/>
        <v>8036.4</v>
      </c>
      <c r="P27" s="13">
        <f t="shared" si="3"/>
        <v>66.97</v>
      </c>
      <c r="Q27" s="13">
        <f t="shared" si="4"/>
        <v>803.64</v>
      </c>
      <c r="R27" s="13">
        <v>0</v>
      </c>
      <c r="S27" s="13">
        <f t="shared" si="5"/>
        <v>0</v>
      </c>
      <c r="T27" s="13">
        <f t="shared" si="6"/>
        <v>8036.4</v>
      </c>
      <c r="U27" s="13">
        <f t="shared" si="7"/>
        <v>8036.4</v>
      </c>
      <c r="V27" s="13">
        <v>0</v>
      </c>
      <c r="W27" s="13">
        <f t="shared" si="8"/>
        <v>0</v>
      </c>
      <c r="X27" s="115">
        <f t="shared" si="9"/>
        <v>0</v>
      </c>
      <c r="Y27" s="116">
        <f t="shared" si="10"/>
        <v>0</v>
      </c>
      <c r="Z27" s="116">
        <f t="shared" si="11"/>
        <v>0</v>
      </c>
      <c r="AA27" s="116">
        <f t="shared" si="12"/>
        <v>0</v>
      </c>
      <c r="AB27" s="117">
        <f>'Ratios (C)'!$C$27</f>
        <v>0.72727998160891272</v>
      </c>
      <c r="AC27" s="116">
        <f t="shared" si="15"/>
        <v>0</v>
      </c>
      <c r="AD27" s="116">
        <f t="shared" si="16"/>
        <v>0</v>
      </c>
      <c r="AE27" s="118"/>
      <c r="AF27" s="119"/>
      <c r="AG27" s="120"/>
      <c r="AH27" s="118"/>
      <c r="AI27" s="119"/>
      <c r="AJ27" s="121"/>
    </row>
    <row r="28" spans="2:36" s="9" customFormat="1">
      <c r="B28" s="9">
        <v>10</v>
      </c>
      <c r="C28" s="9" t="s">
        <v>466</v>
      </c>
      <c r="G28" s="9">
        <v>2001</v>
      </c>
      <c r="H28" s="9">
        <v>3</v>
      </c>
      <c r="I28" s="9">
        <v>0</v>
      </c>
      <c r="J28" s="9" t="s">
        <v>78</v>
      </c>
      <c r="K28" s="158" t="s">
        <v>449</v>
      </c>
      <c r="L28" s="9">
        <f t="shared" si="0"/>
        <v>2011</v>
      </c>
      <c r="M28" s="127">
        <f t="shared" si="1"/>
        <v>2011.25</v>
      </c>
      <c r="N28" s="13">
        <v>3279.72</v>
      </c>
      <c r="O28" s="13">
        <f t="shared" si="2"/>
        <v>3279.72</v>
      </c>
      <c r="P28" s="13">
        <f t="shared" si="3"/>
        <v>27.331</v>
      </c>
      <c r="Q28" s="13">
        <f t="shared" si="4"/>
        <v>327.97199999999998</v>
      </c>
      <c r="R28" s="13">
        <v>0</v>
      </c>
      <c r="S28" s="13">
        <f t="shared" si="5"/>
        <v>0</v>
      </c>
      <c r="T28" s="13">
        <f t="shared" si="6"/>
        <v>3279.72</v>
      </c>
      <c r="U28" s="13">
        <f t="shared" si="7"/>
        <v>3279.72</v>
      </c>
      <c r="V28" s="13">
        <v>0</v>
      </c>
      <c r="W28" s="13">
        <f t="shared" si="8"/>
        <v>0</v>
      </c>
      <c r="X28" s="115">
        <f t="shared" si="9"/>
        <v>0</v>
      </c>
      <c r="Y28" s="116">
        <f t="shared" si="10"/>
        <v>0</v>
      </c>
      <c r="Z28" s="116">
        <f t="shared" si="11"/>
        <v>0</v>
      </c>
      <c r="AA28" s="116">
        <f t="shared" si="12"/>
        <v>0</v>
      </c>
      <c r="AB28" s="117">
        <f>'Ratios (C)'!$C$27</f>
        <v>0.72727998160891272</v>
      </c>
      <c r="AC28" s="116">
        <f t="shared" si="15"/>
        <v>0</v>
      </c>
      <c r="AD28" s="116">
        <f t="shared" si="16"/>
        <v>0</v>
      </c>
      <c r="AE28" s="118"/>
      <c r="AF28" s="119"/>
      <c r="AG28" s="120"/>
      <c r="AH28" s="118"/>
      <c r="AI28" s="119"/>
      <c r="AJ28" s="121"/>
    </row>
    <row r="29" spans="2:36" s="9" customFormat="1">
      <c r="B29" s="9">
        <v>11</v>
      </c>
      <c r="C29" s="9" t="s">
        <v>479</v>
      </c>
      <c r="G29" s="9">
        <v>2001</v>
      </c>
      <c r="H29" s="9">
        <v>3</v>
      </c>
      <c r="I29" s="9">
        <v>0</v>
      </c>
      <c r="J29" s="9" t="s">
        <v>78</v>
      </c>
      <c r="K29" s="158" t="s">
        <v>449</v>
      </c>
      <c r="L29" s="9">
        <f t="shared" si="0"/>
        <v>2011</v>
      </c>
      <c r="M29" s="127">
        <f t="shared" si="1"/>
        <v>2011.25</v>
      </c>
      <c r="N29" s="13">
        <v>3801</v>
      </c>
      <c r="O29" s="13">
        <f t="shared" si="2"/>
        <v>3801</v>
      </c>
      <c r="P29" s="13">
        <f t="shared" si="3"/>
        <v>31.675000000000001</v>
      </c>
      <c r="Q29" s="13">
        <f t="shared" si="4"/>
        <v>380.1</v>
      </c>
      <c r="R29" s="13">
        <v>0</v>
      </c>
      <c r="S29" s="13">
        <f t="shared" si="5"/>
        <v>0</v>
      </c>
      <c r="T29" s="13">
        <f t="shared" si="6"/>
        <v>3801</v>
      </c>
      <c r="U29" s="13">
        <f t="shared" si="7"/>
        <v>3801</v>
      </c>
      <c r="V29" s="13">
        <v>0</v>
      </c>
      <c r="W29" s="13">
        <f t="shared" si="8"/>
        <v>0</v>
      </c>
      <c r="X29" s="115">
        <f t="shared" si="9"/>
        <v>0</v>
      </c>
      <c r="Y29" s="116">
        <f t="shared" si="10"/>
        <v>0</v>
      </c>
      <c r="Z29" s="116">
        <f t="shared" si="11"/>
        <v>0</v>
      </c>
      <c r="AA29" s="116">
        <f t="shared" si="12"/>
        <v>0</v>
      </c>
      <c r="AB29" s="117">
        <f>'Ratios (C)'!$C$27</f>
        <v>0.72727998160891272</v>
      </c>
      <c r="AC29" s="116">
        <f t="shared" si="15"/>
        <v>0</v>
      </c>
      <c r="AD29" s="116">
        <f t="shared" si="16"/>
        <v>0</v>
      </c>
      <c r="AE29" s="118"/>
      <c r="AF29" s="119"/>
      <c r="AG29" s="120"/>
      <c r="AH29" s="118"/>
      <c r="AI29" s="119"/>
      <c r="AJ29" s="121"/>
    </row>
    <row r="30" spans="2:36" s="9" customFormat="1">
      <c r="B30" s="9">
        <v>12</v>
      </c>
      <c r="C30" s="9" t="s">
        <v>479</v>
      </c>
      <c r="G30" s="9">
        <v>2001</v>
      </c>
      <c r="H30" s="9">
        <v>3</v>
      </c>
      <c r="I30" s="9">
        <v>0</v>
      </c>
      <c r="J30" s="9" t="s">
        <v>78</v>
      </c>
      <c r="K30" s="158" t="s">
        <v>449</v>
      </c>
      <c r="L30" s="9">
        <f t="shared" si="0"/>
        <v>2011</v>
      </c>
      <c r="M30" s="127">
        <f t="shared" si="1"/>
        <v>2011.25</v>
      </c>
      <c r="N30" s="13">
        <v>4213.68</v>
      </c>
      <c r="O30" s="13">
        <f t="shared" si="2"/>
        <v>4213.68</v>
      </c>
      <c r="P30" s="13">
        <f t="shared" si="3"/>
        <v>35.114000000000004</v>
      </c>
      <c r="Q30" s="13">
        <f t="shared" si="4"/>
        <v>421.36800000000005</v>
      </c>
      <c r="R30" s="13">
        <v>0</v>
      </c>
      <c r="S30" s="13">
        <f t="shared" si="5"/>
        <v>0</v>
      </c>
      <c r="T30" s="13">
        <f t="shared" si="6"/>
        <v>4213.68</v>
      </c>
      <c r="U30" s="13">
        <f t="shared" si="7"/>
        <v>4213.68</v>
      </c>
      <c r="V30" s="13">
        <v>0</v>
      </c>
      <c r="W30" s="13">
        <f t="shared" si="8"/>
        <v>0</v>
      </c>
      <c r="X30" s="115">
        <f t="shared" si="9"/>
        <v>0</v>
      </c>
      <c r="Y30" s="116">
        <f t="shared" si="10"/>
        <v>0</v>
      </c>
      <c r="Z30" s="116">
        <f t="shared" si="11"/>
        <v>0</v>
      </c>
      <c r="AA30" s="116">
        <f t="shared" si="12"/>
        <v>0</v>
      </c>
      <c r="AB30" s="117">
        <f>'Ratios (C)'!$C$27</f>
        <v>0.72727998160891272</v>
      </c>
      <c r="AC30" s="116">
        <f t="shared" si="15"/>
        <v>0</v>
      </c>
      <c r="AD30" s="116">
        <f t="shared" si="16"/>
        <v>0</v>
      </c>
      <c r="AE30" s="118"/>
      <c r="AF30" s="119"/>
      <c r="AG30" s="120"/>
      <c r="AH30" s="118"/>
      <c r="AI30" s="119"/>
      <c r="AJ30" s="121"/>
    </row>
    <row r="31" spans="2:36" s="9" customFormat="1">
      <c r="B31" s="9">
        <v>6</v>
      </c>
      <c r="C31" s="9" t="s">
        <v>479</v>
      </c>
      <c r="G31" s="9">
        <v>2001</v>
      </c>
      <c r="H31" s="9">
        <v>7</v>
      </c>
      <c r="I31" s="9">
        <v>0</v>
      </c>
      <c r="J31" s="9" t="s">
        <v>78</v>
      </c>
      <c r="K31" s="158" t="s">
        <v>449</v>
      </c>
      <c r="L31" s="9">
        <f t="shared" si="0"/>
        <v>2011</v>
      </c>
      <c r="M31" s="127">
        <f t="shared" si="1"/>
        <v>2011.5833333333333</v>
      </c>
      <c r="N31" s="13">
        <v>1996.48</v>
      </c>
      <c r="O31" s="13">
        <f t="shared" si="2"/>
        <v>1996.48</v>
      </c>
      <c r="P31" s="13">
        <f t="shared" si="3"/>
        <v>16.637333333333334</v>
      </c>
      <c r="Q31" s="13">
        <f t="shared" si="4"/>
        <v>199.64800000000002</v>
      </c>
      <c r="R31" s="13">
        <v>0</v>
      </c>
      <c r="S31" s="13">
        <f t="shared" si="5"/>
        <v>0</v>
      </c>
      <c r="T31" s="13">
        <f t="shared" si="6"/>
        <v>1996.48</v>
      </c>
      <c r="U31" s="13">
        <f t="shared" si="7"/>
        <v>1996.48</v>
      </c>
      <c r="V31" s="13">
        <v>0</v>
      </c>
      <c r="W31" s="13">
        <f t="shared" si="8"/>
        <v>0</v>
      </c>
      <c r="X31" s="115">
        <f t="shared" si="9"/>
        <v>0</v>
      </c>
      <c r="Y31" s="116">
        <f t="shared" si="10"/>
        <v>0</v>
      </c>
      <c r="Z31" s="116">
        <f t="shared" si="11"/>
        <v>0</v>
      </c>
      <c r="AA31" s="116">
        <f t="shared" si="12"/>
        <v>0</v>
      </c>
      <c r="AB31" s="117">
        <f>'Ratios (C)'!$C$27</f>
        <v>0.72727998160891272</v>
      </c>
      <c r="AC31" s="116">
        <f t="shared" si="15"/>
        <v>0</v>
      </c>
      <c r="AD31" s="116">
        <f t="shared" si="16"/>
        <v>0</v>
      </c>
      <c r="AE31" s="118"/>
      <c r="AF31" s="119"/>
      <c r="AG31" s="120"/>
      <c r="AH31" s="118"/>
      <c r="AI31" s="119"/>
      <c r="AJ31" s="121"/>
    </row>
    <row r="32" spans="2:36" s="9" customFormat="1">
      <c r="B32" s="9">
        <v>13</v>
      </c>
      <c r="C32" s="9" t="s">
        <v>479</v>
      </c>
      <c r="G32" s="9">
        <v>2001</v>
      </c>
      <c r="H32" s="9">
        <v>11</v>
      </c>
      <c r="I32" s="9">
        <v>0</v>
      </c>
      <c r="J32" s="9" t="s">
        <v>78</v>
      </c>
      <c r="K32" s="158" t="s">
        <v>449</v>
      </c>
      <c r="L32" s="9">
        <f t="shared" si="0"/>
        <v>2011</v>
      </c>
      <c r="M32" s="127">
        <f t="shared" si="1"/>
        <v>2011.9166666666667</v>
      </c>
      <c r="N32" s="13">
        <v>4439.04</v>
      </c>
      <c r="O32" s="13">
        <f t="shared" si="2"/>
        <v>4439.04</v>
      </c>
      <c r="P32" s="13">
        <f t="shared" si="3"/>
        <v>36.991999999999997</v>
      </c>
      <c r="Q32" s="13">
        <f t="shared" si="4"/>
        <v>443.904</v>
      </c>
      <c r="R32" s="13">
        <v>0</v>
      </c>
      <c r="S32" s="13">
        <f t="shared" si="5"/>
        <v>0</v>
      </c>
      <c r="T32" s="13">
        <f t="shared" si="6"/>
        <v>4439.04</v>
      </c>
      <c r="U32" s="13">
        <f t="shared" si="7"/>
        <v>4439.04</v>
      </c>
      <c r="V32" s="13">
        <v>0</v>
      </c>
      <c r="W32" s="13">
        <f t="shared" si="8"/>
        <v>0</v>
      </c>
      <c r="X32" s="115">
        <f t="shared" si="9"/>
        <v>0</v>
      </c>
      <c r="Y32" s="116">
        <f t="shared" si="10"/>
        <v>0</v>
      </c>
      <c r="Z32" s="116">
        <f t="shared" si="11"/>
        <v>0</v>
      </c>
      <c r="AA32" s="116">
        <f t="shared" si="12"/>
        <v>0</v>
      </c>
      <c r="AB32" s="117">
        <f>'Ratios (C)'!$C$27</f>
        <v>0.72727998160891272</v>
      </c>
      <c r="AC32" s="116">
        <f t="shared" si="15"/>
        <v>0</v>
      </c>
      <c r="AD32" s="116">
        <f t="shared" si="16"/>
        <v>0</v>
      </c>
      <c r="AE32" s="118"/>
      <c r="AF32" s="119"/>
      <c r="AG32" s="120"/>
      <c r="AH32" s="118"/>
      <c r="AI32" s="119"/>
      <c r="AJ32" s="121"/>
    </row>
    <row r="33" spans="2:36" s="9" customFormat="1">
      <c r="B33" s="9">
        <v>7</v>
      </c>
      <c r="C33" s="9" t="s">
        <v>479</v>
      </c>
      <c r="G33" s="9">
        <v>2002</v>
      </c>
      <c r="H33" s="9">
        <v>7</v>
      </c>
      <c r="I33" s="9">
        <v>0</v>
      </c>
      <c r="J33" s="9" t="s">
        <v>78</v>
      </c>
      <c r="K33" s="158" t="s">
        <v>449</v>
      </c>
      <c r="L33" s="9">
        <f t="shared" si="0"/>
        <v>2012</v>
      </c>
      <c r="M33" s="127">
        <f t="shared" si="1"/>
        <v>2012.5833333333333</v>
      </c>
      <c r="N33" s="13">
        <v>2246.7199999999998</v>
      </c>
      <c r="O33" s="13">
        <f t="shared" si="2"/>
        <v>2246.7199999999998</v>
      </c>
      <c r="P33" s="13">
        <f t="shared" si="3"/>
        <v>18.722666666666665</v>
      </c>
      <c r="Q33" s="13">
        <f t="shared" si="4"/>
        <v>224.67199999999997</v>
      </c>
      <c r="R33" s="13">
        <v>0</v>
      </c>
      <c r="S33" s="13">
        <f t="shared" si="5"/>
        <v>0</v>
      </c>
      <c r="T33" s="13">
        <f t="shared" si="6"/>
        <v>2246.7199999999998</v>
      </c>
      <c r="U33" s="13">
        <f t="shared" si="7"/>
        <v>2246.7199999999998</v>
      </c>
      <c r="V33" s="13">
        <v>0</v>
      </c>
      <c r="W33" s="13">
        <f t="shared" si="8"/>
        <v>0</v>
      </c>
      <c r="X33" s="115">
        <f t="shared" si="9"/>
        <v>0</v>
      </c>
      <c r="Y33" s="116">
        <f t="shared" si="10"/>
        <v>0</v>
      </c>
      <c r="Z33" s="116">
        <f t="shared" si="11"/>
        <v>0</v>
      </c>
      <c r="AA33" s="116">
        <f t="shared" si="12"/>
        <v>0</v>
      </c>
      <c r="AB33" s="117">
        <f>'Ratios (C)'!$C$27</f>
        <v>0.72727998160891272</v>
      </c>
      <c r="AC33" s="116">
        <f t="shared" si="15"/>
        <v>0</v>
      </c>
      <c r="AD33" s="116">
        <f t="shared" si="16"/>
        <v>0</v>
      </c>
      <c r="AE33" s="118"/>
      <c r="AF33" s="119"/>
      <c r="AG33" s="120"/>
      <c r="AH33" s="118"/>
      <c r="AI33" s="119"/>
      <c r="AJ33" s="121"/>
    </row>
    <row r="34" spans="2:36" s="9" customFormat="1">
      <c r="B34" s="9">
        <v>8</v>
      </c>
      <c r="C34" s="9" t="s">
        <v>479</v>
      </c>
      <c r="G34" s="9">
        <v>2002</v>
      </c>
      <c r="H34" s="9">
        <v>7</v>
      </c>
      <c r="I34" s="9">
        <v>0</v>
      </c>
      <c r="J34" s="9" t="s">
        <v>78</v>
      </c>
      <c r="K34" s="158" t="s">
        <v>449</v>
      </c>
      <c r="L34" s="9">
        <f t="shared" si="0"/>
        <v>2012</v>
      </c>
      <c r="M34" s="127">
        <f t="shared" si="1"/>
        <v>2012.5833333333333</v>
      </c>
      <c r="N34" s="13">
        <v>2728.7</v>
      </c>
      <c r="O34" s="13">
        <f t="shared" si="2"/>
        <v>2728.7</v>
      </c>
      <c r="P34" s="13">
        <f t="shared" si="3"/>
        <v>22.739166666666666</v>
      </c>
      <c r="Q34" s="13">
        <f t="shared" si="4"/>
        <v>272.87</v>
      </c>
      <c r="R34" s="13">
        <v>0</v>
      </c>
      <c r="S34" s="13">
        <f t="shared" si="5"/>
        <v>0</v>
      </c>
      <c r="T34" s="13">
        <f t="shared" si="6"/>
        <v>2728.7</v>
      </c>
      <c r="U34" s="13">
        <f t="shared" si="7"/>
        <v>2728.7</v>
      </c>
      <c r="V34" s="13">
        <v>0</v>
      </c>
      <c r="W34" s="13">
        <f t="shared" si="8"/>
        <v>0</v>
      </c>
      <c r="X34" s="115">
        <f t="shared" si="9"/>
        <v>0</v>
      </c>
      <c r="Y34" s="116">
        <f t="shared" si="10"/>
        <v>0</v>
      </c>
      <c r="Z34" s="116">
        <f t="shared" si="11"/>
        <v>0</v>
      </c>
      <c r="AA34" s="116">
        <f t="shared" si="12"/>
        <v>0</v>
      </c>
      <c r="AB34" s="117">
        <f>'Ratios (C)'!$C$27</f>
        <v>0.72727998160891272</v>
      </c>
      <c r="AC34" s="116">
        <f t="shared" si="15"/>
        <v>0</v>
      </c>
      <c r="AD34" s="116">
        <f t="shared" si="16"/>
        <v>0</v>
      </c>
      <c r="AE34" s="118"/>
      <c r="AF34" s="119"/>
      <c r="AG34" s="120"/>
      <c r="AH34" s="118"/>
      <c r="AI34" s="119"/>
      <c r="AJ34" s="121"/>
    </row>
    <row r="35" spans="2:36" s="9" customFormat="1">
      <c r="B35" s="9">
        <v>6</v>
      </c>
      <c r="C35" s="9" t="s">
        <v>479</v>
      </c>
      <c r="G35" s="9">
        <v>2003</v>
      </c>
      <c r="H35" s="9">
        <v>5</v>
      </c>
      <c r="I35" s="9">
        <v>0</v>
      </c>
      <c r="J35" s="9" t="s">
        <v>78</v>
      </c>
      <c r="K35" s="158" t="s">
        <v>449</v>
      </c>
      <c r="L35" s="9">
        <f t="shared" si="0"/>
        <v>2013</v>
      </c>
      <c r="M35" s="127">
        <f t="shared" si="1"/>
        <v>2013.4166666666667</v>
      </c>
      <c r="N35" s="13">
        <v>2149.61</v>
      </c>
      <c r="O35" s="13">
        <f t="shared" si="2"/>
        <v>2149.61</v>
      </c>
      <c r="P35" s="13">
        <f t="shared" si="3"/>
        <v>17.913416666666667</v>
      </c>
      <c r="Q35" s="13">
        <f t="shared" si="4"/>
        <v>214.96100000000001</v>
      </c>
      <c r="R35" s="13">
        <v>0</v>
      </c>
      <c r="S35" s="13">
        <f t="shared" si="5"/>
        <v>0</v>
      </c>
      <c r="T35" s="13">
        <f t="shared" si="6"/>
        <v>2149.61</v>
      </c>
      <c r="U35" s="13">
        <f t="shared" si="7"/>
        <v>2149.61</v>
      </c>
      <c r="V35" s="13">
        <v>0</v>
      </c>
      <c r="W35" s="13">
        <f t="shared" si="8"/>
        <v>0</v>
      </c>
      <c r="X35" s="115">
        <f t="shared" si="9"/>
        <v>0</v>
      </c>
      <c r="Y35" s="116">
        <f t="shared" si="10"/>
        <v>0</v>
      </c>
      <c r="Z35" s="116">
        <f t="shared" si="11"/>
        <v>0</v>
      </c>
      <c r="AA35" s="116">
        <f t="shared" si="12"/>
        <v>0</v>
      </c>
      <c r="AB35" s="117">
        <f>'Ratios (C)'!$C$27</f>
        <v>0.72727998160891272</v>
      </c>
      <c r="AC35" s="116">
        <f t="shared" si="15"/>
        <v>0</v>
      </c>
      <c r="AD35" s="116">
        <f t="shared" si="16"/>
        <v>0</v>
      </c>
      <c r="AE35" s="118"/>
      <c r="AF35" s="119"/>
      <c r="AG35" s="120"/>
      <c r="AH35" s="118"/>
      <c r="AI35" s="119"/>
      <c r="AJ35" s="121"/>
    </row>
    <row r="36" spans="2:36" s="9" customFormat="1">
      <c r="B36" s="9">
        <v>19</v>
      </c>
      <c r="C36" s="9" t="s">
        <v>456</v>
      </c>
      <c r="G36" s="9">
        <v>2003</v>
      </c>
      <c r="H36" s="9">
        <v>7</v>
      </c>
      <c r="I36" s="9">
        <v>0</v>
      </c>
      <c r="J36" s="9" t="s">
        <v>78</v>
      </c>
      <c r="K36" s="158" t="s">
        <v>449</v>
      </c>
      <c r="L36" s="9">
        <f t="shared" si="0"/>
        <v>2013</v>
      </c>
      <c r="M36" s="127">
        <f t="shared" si="1"/>
        <v>2013.5833333333333</v>
      </c>
      <c r="N36" s="13">
        <v>5304</v>
      </c>
      <c r="O36" s="13">
        <f t="shared" si="2"/>
        <v>5304</v>
      </c>
      <c r="P36" s="13">
        <f t="shared" si="3"/>
        <v>44.199999999999996</v>
      </c>
      <c r="Q36" s="13">
        <f t="shared" si="4"/>
        <v>530.4</v>
      </c>
      <c r="R36" s="13">
        <v>0</v>
      </c>
      <c r="S36" s="13">
        <f t="shared" si="5"/>
        <v>0</v>
      </c>
      <c r="T36" s="13">
        <f t="shared" si="6"/>
        <v>5304</v>
      </c>
      <c r="U36" s="13">
        <f t="shared" si="7"/>
        <v>5304</v>
      </c>
      <c r="V36" s="13">
        <v>0</v>
      </c>
      <c r="W36" s="13">
        <f t="shared" si="8"/>
        <v>0</v>
      </c>
      <c r="X36" s="115">
        <f t="shared" si="9"/>
        <v>0</v>
      </c>
      <c r="Y36" s="116">
        <f t="shared" si="10"/>
        <v>0</v>
      </c>
      <c r="Z36" s="116">
        <f t="shared" si="11"/>
        <v>0</v>
      </c>
      <c r="AA36" s="116">
        <f t="shared" si="12"/>
        <v>0</v>
      </c>
      <c r="AB36" s="117">
        <f>'Ratios (C)'!$C$27</f>
        <v>0.72727998160891272</v>
      </c>
      <c r="AC36" s="116">
        <f t="shared" si="15"/>
        <v>0</v>
      </c>
      <c r="AD36" s="116">
        <f t="shared" si="16"/>
        <v>0</v>
      </c>
      <c r="AE36" s="118"/>
      <c r="AF36" s="119"/>
      <c r="AG36" s="120"/>
      <c r="AH36" s="118"/>
      <c r="AI36" s="119"/>
      <c r="AJ36" s="121"/>
    </row>
    <row r="37" spans="2:36" s="9" customFormat="1">
      <c r="B37" s="9">
        <v>19</v>
      </c>
      <c r="C37" s="9" t="s">
        <v>456</v>
      </c>
      <c r="G37" s="9">
        <v>2003</v>
      </c>
      <c r="H37" s="9">
        <v>7</v>
      </c>
      <c r="I37" s="9">
        <v>0</v>
      </c>
      <c r="J37" s="9" t="s">
        <v>78</v>
      </c>
      <c r="K37" s="158" t="s">
        <v>449</v>
      </c>
      <c r="L37" s="9">
        <f t="shared" si="0"/>
        <v>2013</v>
      </c>
      <c r="M37" s="127">
        <f t="shared" si="1"/>
        <v>2013.5833333333333</v>
      </c>
      <c r="N37" s="13">
        <v>5304</v>
      </c>
      <c r="O37" s="13">
        <f t="shared" si="2"/>
        <v>5304</v>
      </c>
      <c r="P37" s="13">
        <f t="shared" si="3"/>
        <v>44.199999999999996</v>
      </c>
      <c r="Q37" s="13">
        <f t="shared" si="4"/>
        <v>530.4</v>
      </c>
      <c r="R37" s="13">
        <v>0</v>
      </c>
      <c r="S37" s="13">
        <f t="shared" si="5"/>
        <v>0</v>
      </c>
      <c r="T37" s="13">
        <f t="shared" si="6"/>
        <v>5304</v>
      </c>
      <c r="U37" s="13">
        <f t="shared" si="7"/>
        <v>5304</v>
      </c>
      <c r="V37" s="13">
        <v>0</v>
      </c>
      <c r="W37" s="13">
        <f t="shared" si="8"/>
        <v>0</v>
      </c>
      <c r="X37" s="115">
        <f t="shared" si="9"/>
        <v>0</v>
      </c>
      <c r="Y37" s="116">
        <f t="shared" si="10"/>
        <v>0</v>
      </c>
      <c r="Z37" s="116">
        <f t="shared" si="11"/>
        <v>0</v>
      </c>
      <c r="AA37" s="116">
        <f t="shared" si="12"/>
        <v>0</v>
      </c>
      <c r="AB37" s="117">
        <f>'Ratios (C)'!$C$27</f>
        <v>0.72727998160891272</v>
      </c>
      <c r="AC37" s="116">
        <f t="shared" si="15"/>
        <v>0</v>
      </c>
      <c r="AD37" s="116">
        <f t="shared" si="16"/>
        <v>0</v>
      </c>
      <c r="AE37" s="118"/>
      <c r="AF37" s="119"/>
      <c r="AG37" s="120"/>
      <c r="AH37" s="118"/>
      <c r="AI37" s="119"/>
      <c r="AJ37" s="121"/>
    </row>
    <row r="38" spans="2:36" s="9" customFormat="1">
      <c r="B38" s="9">
        <v>37</v>
      </c>
      <c r="C38" s="9" t="s">
        <v>456</v>
      </c>
      <c r="G38" s="9">
        <v>2003</v>
      </c>
      <c r="H38" s="9">
        <v>10</v>
      </c>
      <c r="I38" s="9">
        <v>0</v>
      </c>
      <c r="J38" s="9" t="s">
        <v>78</v>
      </c>
      <c r="K38" s="158" t="s">
        <v>449</v>
      </c>
      <c r="L38" s="9">
        <f t="shared" si="0"/>
        <v>2013</v>
      </c>
      <c r="M38" s="127">
        <f t="shared" si="1"/>
        <v>2013.8333333333333</v>
      </c>
      <c r="N38" s="13">
        <v>10608</v>
      </c>
      <c r="O38" s="13">
        <f t="shared" si="2"/>
        <v>10608</v>
      </c>
      <c r="P38" s="13">
        <f t="shared" si="3"/>
        <v>88.399999999999991</v>
      </c>
      <c r="Q38" s="13">
        <f t="shared" si="4"/>
        <v>1060.8</v>
      </c>
      <c r="R38" s="13">
        <v>0</v>
      </c>
      <c r="S38" s="13">
        <f t="shared" si="5"/>
        <v>0</v>
      </c>
      <c r="T38" s="13">
        <f t="shared" si="6"/>
        <v>10608</v>
      </c>
      <c r="U38" s="13">
        <f t="shared" si="7"/>
        <v>10608</v>
      </c>
      <c r="V38" s="13">
        <v>0</v>
      </c>
      <c r="W38" s="13">
        <f t="shared" si="8"/>
        <v>0</v>
      </c>
      <c r="X38" s="115">
        <f t="shared" si="9"/>
        <v>0</v>
      </c>
      <c r="Y38" s="116">
        <f t="shared" si="10"/>
        <v>0</v>
      </c>
      <c r="Z38" s="116">
        <f t="shared" si="11"/>
        <v>0</v>
      </c>
      <c r="AA38" s="116">
        <f t="shared" si="12"/>
        <v>0</v>
      </c>
      <c r="AB38" s="117">
        <f>'Ratios (C)'!$C$27</f>
        <v>0.72727998160891272</v>
      </c>
      <c r="AC38" s="116">
        <f t="shared" si="15"/>
        <v>0</v>
      </c>
      <c r="AD38" s="116">
        <f t="shared" si="16"/>
        <v>0</v>
      </c>
      <c r="AE38" s="118"/>
      <c r="AF38" s="119"/>
      <c r="AG38" s="120"/>
      <c r="AH38" s="118"/>
      <c r="AI38" s="119"/>
      <c r="AJ38" s="121"/>
    </row>
    <row r="39" spans="2:36" s="9" customFormat="1">
      <c r="B39" s="9">
        <v>37</v>
      </c>
      <c r="C39" s="9" t="s">
        <v>456</v>
      </c>
      <c r="G39" s="9">
        <v>2003</v>
      </c>
      <c r="H39" s="9">
        <v>11</v>
      </c>
      <c r="I39" s="9">
        <v>0</v>
      </c>
      <c r="J39" s="9" t="s">
        <v>78</v>
      </c>
      <c r="K39" s="158" t="s">
        <v>449</v>
      </c>
      <c r="L39" s="9">
        <f t="shared" si="0"/>
        <v>2013</v>
      </c>
      <c r="M39" s="127">
        <f t="shared" si="1"/>
        <v>2013.9166666666667</v>
      </c>
      <c r="N39" s="13">
        <v>10608</v>
      </c>
      <c r="O39" s="13">
        <f t="shared" si="2"/>
        <v>10608</v>
      </c>
      <c r="P39" s="13">
        <f t="shared" si="3"/>
        <v>88.399999999999991</v>
      </c>
      <c r="Q39" s="13">
        <f t="shared" si="4"/>
        <v>1060.8</v>
      </c>
      <c r="R39" s="13">
        <v>0</v>
      </c>
      <c r="S39" s="13">
        <f t="shared" si="5"/>
        <v>0</v>
      </c>
      <c r="T39" s="13">
        <f t="shared" si="6"/>
        <v>10608</v>
      </c>
      <c r="U39" s="13">
        <f t="shared" si="7"/>
        <v>10608</v>
      </c>
      <c r="V39" s="13">
        <v>0</v>
      </c>
      <c r="W39" s="13">
        <f t="shared" si="8"/>
        <v>0</v>
      </c>
      <c r="X39" s="115">
        <f t="shared" si="9"/>
        <v>0</v>
      </c>
      <c r="Y39" s="116">
        <f t="shared" si="10"/>
        <v>0</v>
      </c>
      <c r="Z39" s="116">
        <f t="shared" si="11"/>
        <v>0</v>
      </c>
      <c r="AA39" s="116">
        <f t="shared" si="12"/>
        <v>0</v>
      </c>
      <c r="AB39" s="117">
        <f>'Ratios (C)'!$C$27</f>
        <v>0.72727998160891272</v>
      </c>
      <c r="AC39" s="116">
        <f t="shared" si="15"/>
        <v>0</v>
      </c>
      <c r="AD39" s="116">
        <f t="shared" si="16"/>
        <v>0</v>
      </c>
      <c r="AE39" s="118"/>
      <c r="AF39" s="119"/>
      <c r="AG39" s="120"/>
      <c r="AH39" s="118"/>
      <c r="AI39" s="119"/>
      <c r="AJ39" s="121"/>
    </row>
    <row r="40" spans="2:36" s="9" customFormat="1">
      <c r="B40" s="9">
        <v>5</v>
      </c>
      <c r="C40" s="9" t="s">
        <v>477</v>
      </c>
      <c r="G40" s="9">
        <v>2003</v>
      </c>
      <c r="H40" s="9">
        <v>11</v>
      </c>
      <c r="I40" s="9">
        <v>0</v>
      </c>
      <c r="J40" s="9" t="s">
        <v>78</v>
      </c>
      <c r="K40" s="158" t="s">
        <v>449</v>
      </c>
      <c r="L40" s="9">
        <f t="shared" si="0"/>
        <v>2013</v>
      </c>
      <c r="M40" s="127">
        <f t="shared" si="1"/>
        <v>2013.9166666666667</v>
      </c>
      <c r="N40" s="13">
        <v>1731.2</v>
      </c>
      <c r="O40" s="13">
        <f t="shared" si="2"/>
        <v>1731.2</v>
      </c>
      <c r="P40" s="13">
        <f t="shared" si="3"/>
        <v>14.426666666666668</v>
      </c>
      <c r="Q40" s="13">
        <f t="shared" si="4"/>
        <v>173.12</v>
      </c>
      <c r="R40" s="13">
        <v>0</v>
      </c>
      <c r="S40" s="13">
        <f t="shared" si="5"/>
        <v>0</v>
      </c>
      <c r="T40" s="13">
        <f t="shared" si="6"/>
        <v>1731.2</v>
      </c>
      <c r="U40" s="13">
        <f t="shared" si="7"/>
        <v>1731.2</v>
      </c>
      <c r="V40" s="13">
        <v>0</v>
      </c>
      <c r="W40" s="13">
        <f t="shared" si="8"/>
        <v>0</v>
      </c>
      <c r="X40" s="115">
        <f t="shared" si="9"/>
        <v>0</v>
      </c>
      <c r="Y40" s="116">
        <f t="shared" si="10"/>
        <v>0</v>
      </c>
      <c r="Z40" s="116">
        <f t="shared" si="11"/>
        <v>0</v>
      </c>
      <c r="AA40" s="116">
        <f t="shared" si="12"/>
        <v>0</v>
      </c>
      <c r="AB40" s="117">
        <f>'Ratios (C)'!$C$27</f>
        <v>0.72727998160891272</v>
      </c>
      <c r="AC40" s="116">
        <f t="shared" si="15"/>
        <v>0</v>
      </c>
      <c r="AD40" s="116">
        <f t="shared" si="16"/>
        <v>0</v>
      </c>
      <c r="AE40" s="118"/>
      <c r="AF40" s="119"/>
      <c r="AG40" s="120"/>
      <c r="AH40" s="118"/>
      <c r="AI40" s="119"/>
      <c r="AJ40" s="121"/>
    </row>
    <row r="41" spans="2:36" s="9" customFormat="1">
      <c r="B41" s="9">
        <v>15</v>
      </c>
      <c r="C41" s="9" t="s">
        <v>479</v>
      </c>
      <c r="G41" s="9">
        <v>2004</v>
      </c>
      <c r="H41" s="9">
        <v>3</v>
      </c>
      <c r="I41" s="9">
        <v>0</v>
      </c>
      <c r="J41" s="9" t="s">
        <v>78</v>
      </c>
      <c r="K41" s="158" t="s">
        <v>449</v>
      </c>
      <c r="L41" s="9">
        <f t="shared" si="0"/>
        <v>2014</v>
      </c>
      <c r="M41" s="127">
        <f t="shared" si="1"/>
        <v>2014.25</v>
      </c>
      <c r="N41" s="13">
        <v>5189.76</v>
      </c>
      <c r="O41" s="13">
        <f t="shared" si="2"/>
        <v>5189.76</v>
      </c>
      <c r="P41" s="13">
        <f t="shared" si="3"/>
        <v>43.247999999999998</v>
      </c>
      <c r="Q41" s="13">
        <f t="shared" si="4"/>
        <v>518.976</v>
      </c>
      <c r="R41" s="13">
        <v>0</v>
      </c>
      <c r="S41" s="13">
        <f t="shared" si="5"/>
        <v>0</v>
      </c>
      <c r="T41" s="13">
        <f t="shared" si="6"/>
        <v>5189.76</v>
      </c>
      <c r="U41" s="13">
        <f t="shared" si="7"/>
        <v>5189.76</v>
      </c>
      <c r="V41" s="13">
        <v>0</v>
      </c>
      <c r="W41" s="13">
        <f t="shared" si="8"/>
        <v>0</v>
      </c>
      <c r="X41" s="115">
        <f t="shared" si="9"/>
        <v>0</v>
      </c>
      <c r="Y41" s="116">
        <f t="shared" si="10"/>
        <v>0</v>
      </c>
      <c r="Z41" s="116">
        <f t="shared" si="11"/>
        <v>0</v>
      </c>
      <c r="AA41" s="116">
        <f t="shared" si="12"/>
        <v>0</v>
      </c>
      <c r="AB41" s="117">
        <f>'Ratios (C)'!$C$27</f>
        <v>0.72727998160891272</v>
      </c>
      <c r="AC41" s="116">
        <f t="shared" si="15"/>
        <v>0</v>
      </c>
      <c r="AD41" s="116">
        <f t="shared" si="16"/>
        <v>0</v>
      </c>
      <c r="AE41" s="118"/>
      <c r="AF41" s="119"/>
      <c r="AG41" s="120"/>
      <c r="AH41" s="118"/>
      <c r="AI41" s="119"/>
      <c r="AJ41" s="121"/>
    </row>
    <row r="42" spans="2:36" s="9" customFormat="1">
      <c r="B42" s="9">
        <v>16</v>
      </c>
      <c r="C42" s="9" t="s">
        <v>479</v>
      </c>
      <c r="G42" s="9">
        <v>2004</v>
      </c>
      <c r="H42" s="9">
        <v>3</v>
      </c>
      <c r="I42" s="9">
        <v>0</v>
      </c>
      <c r="J42" s="9" t="s">
        <v>78</v>
      </c>
      <c r="K42" s="158" t="s">
        <v>449</v>
      </c>
      <c r="L42" s="9">
        <f t="shared" si="0"/>
        <v>2014</v>
      </c>
      <c r="M42" s="127">
        <f t="shared" si="1"/>
        <v>2014.25</v>
      </c>
      <c r="N42" s="13">
        <v>5444.35</v>
      </c>
      <c r="O42" s="13">
        <f t="shared" si="2"/>
        <v>5444.35</v>
      </c>
      <c r="P42" s="13">
        <f t="shared" si="3"/>
        <v>45.369583333333338</v>
      </c>
      <c r="Q42" s="13">
        <f t="shared" si="4"/>
        <v>544.43500000000006</v>
      </c>
      <c r="R42" s="13">
        <v>0</v>
      </c>
      <c r="S42" s="13">
        <f t="shared" si="5"/>
        <v>0</v>
      </c>
      <c r="T42" s="13">
        <f t="shared" si="6"/>
        <v>5444.35</v>
      </c>
      <c r="U42" s="13">
        <f t="shared" si="7"/>
        <v>5444.35</v>
      </c>
      <c r="V42" s="13">
        <v>0</v>
      </c>
      <c r="W42" s="13">
        <f t="shared" si="8"/>
        <v>0</v>
      </c>
      <c r="X42" s="115">
        <f t="shared" si="9"/>
        <v>0</v>
      </c>
      <c r="Y42" s="116">
        <f t="shared" si="10"/>
        <v>0</v>
      </c>
      <c r="Z42" s="116">
        <f>X42-R42</f>
        <v>0</v>
      </c>
      <c r="AA42" s="116">
        <f>Y42-V42</f>
        <v>0</v>
      </c>
      <c r="AB42" s="117">
        <f>'Ratios (C)'!$C$27</f>
        <v>0.72727998160891272</v>
      </c>
      <c r="AC42" s="116">
        <f t="shared" si="15"/>
        <v>0</v>
      </c>
      <c r="AD42" s="116">
        <f t="shared" si="16"/>
        <v>0</v>
      </c>
      <c r="AE42" s="118"/>
      <c r="AF42" s="119"/>
      <c r="AG42" s="120"/>
      <c r="AH42" s="118"/>
      <c r="AI42" s="119"/>
      <c r="AJ42" s="121"/>
    </row>
    <row r="43" spans="2:36" s="9" customFormat="1">
      <c r="B43" s="9">
        <v>15</v>
      </c>
      <c r="C43" s="9" t="s">
        <v>486</v>
      </c>
      <c r="G43" s="9">
        <v>2004</v>
      </c>
      <c r="H43" s="9">
        <v>3</v>
      </c>
      <c r="I43" s="9">
        <v>0</v>
      </c>
      <c r="J43" s="9" t="s">
        <v>78</v>
      </c>
      <c r="K43" s="158" t="s">
        <v>449</v>
      </c>
      <c r="L43" s="9">
        <f t="shared" si="0"/>
        <v>2014</v>
      </c>
      <c r="M43" s="127">
        <f t="shared" si="1"/>
        <v>2014.25</v>
      </c>
      <c r="N43" s="13">
        <v>5052.67</v>
      </c>
      <c r="O43" s="13">
        <f t="shared" si="2"/>
        <v>5052.67</v>
      </c>
      <c r="P43" s="13">
        <f t="shared" si="3"/>
        <v>42.105583333333335</v>
      </c>
      <c r="Q43" s="13">
        <f t="shared" si="4"/>
        <v>505.26700000000005</v>
      </c>
      <c r="R43" s="13">
        <v>0</v>
      </c>
      <c r="S43" s="13">
        <f t="shared" si="5"/>
        <v>0</v>
      </c>
      <c r="T43" s="13">
        <f t="shared" si="6"/>
        <v>5052.67</v>
      </c>
      <c r="U43" s="13">
        <f t="shared" si="7"/>
        <v>5052.67</v>
      </c>
      <c r="V43" s="13">
        <v>0</v>
      </c>
      <c r="W43" s="13">
        <f t="shared" si="8"/>
        <v>0</v>
      </c>
      <c r="X43" s="115">
        <f t="shared" si="9"/>
        <v>0</v>
      </c>
      <c r="Y43" s="116">
        <f t="shared" si="10"/>
        <v>0</v>
      </c>
      <c r="Z43" s="116">
        <f t="shared" ref="Z43:Z106" si="17">X43-R43</f>
        <v>0</v>
      </c>
      <c r="AA43" s="116">
        <f t="shared" ref="AA43:AA106" si="18">Y43-V43</f>
        <v>0</v>
      </c>
      <c r="AB43" s="117">
        <f>'Ratios (C)'!$C$27</f>
        <v>0.72727998160891272</v>
      </c>
      <c r="AC43" s="116">
        <f t="shared" si="15"/>
        <v>0</v>
      </c>
      <c r="AD43" s="116">
        <f t="shared" si="16"/>
        <v>0</v>
      </c>
      <c r="AE43" s="118"/>
      <c r="AF43" s="119"/>
      <c r="AG43" s="120"/>
      <c r="AH43" s="118"/>
      <c r="AI43" s="119"/>
      <c r="AJ43" s="121"/>
    </row>
    <row r="44" spans="2:36" s="9" customFormat="1">
      <c r="B44" s="9">
        <v>47</v>
      </c>
      <c r="C44" s="9" t="s">
        <v>456</v>
      </c>
      <c r="G44" s="9">
        <v>2004</v>
      </c>
      <c r="H44" s="9">
        <v>4</v>
      </c>
      <c r="I44" s="9">
        <v>0</v>
      </c>
      <c r="J44" s="9" t="s">
        <v>78</v>
      </c>
      <c r="K44" s="158" t="s">
        <v>449</v>
      </c>
      <c r="L44" s="9">
        <f t="shared" si="0"/>
        <v>2014</v>
      </c>
      <c r="M44" s="127">
        <f t="shared" si="1"/>
        <v>2014.3333333333333</v>
      </c>
      <c r="N44" s="13">
        <v>13395.46</v>
      </c>
      <c r="O44" s="13">
        <f t="shared" si="2"/>
        <v>13395.46</v>
      </c>
      <c r="P44" s="13">
        <f t="shared" si="3"/>
        <v>111.62883333333332</v>
      </c>
      <c r="Q44" s="13">
        <f t="shared" si="4"/>
        <v>1339.5459999999998</v>
      </c>
      <c r="R44" s="13">
        <v>0</v>
      </c>
      <c r="S44" s="13">
        <f t="shared" si="5"/>
        <v>0</v>
      </c>
      <c r="T44" s="13">
        <f t="shared" si="6"/>
        <v>13395.46</v>
      </c>
      <c r="U44" s="13">
        <f t="shared" si="7"/>
        <v>13395.46</v>
      </c>
      <c r="V44" s="13">
        <v>0</v>
      </c>
      <c r="W44" s="13">
        <f t="shared" si="8"/>
        <v>0</v>
      </c>
      <c r="X44" s="115">
        <f t="shared" si="9"/>
        <v>0</v>
      </c>
      <c r="Y44" s="116">
        <f t="shared" si="10"/>
        <v>0</v>
      </c>
      <c r="Z44" s="116">
        <f t="shared" si="17"/>
        <v>0</v>
      </c>
      <c r="AA44" s="116">
        <f t="shared" si="18"/>
        <v>0</v>
      </c>
      <c r="AB44" s="117">
        <f>'Ratios (C)'!$C$27</f>
        <v>0.72727998160891272</v>
      </c>
      <c r="AC44" s="116">
        <f t="shared" si="15"/>
        <v>0</v>
      </c>
      <c r="AD44" s="116">
        <f t="shared" si="16"/>
        <v>0</v>
      </c>
      <c r="AE44" s="118"/>
      <c r="AF44" s="119"/>
      <c r="AG44" s="120"/>
      <c r="AH44" s="118"/>
      <c r="AI44" s="119"/>
      <c r="AJ44" s="121"/>
    </row>
    <row r="45" spans="2:36" s="9" customFormat="1">
      <c r="B45" s="9">
        <v>14</v>
      </c>
      <c r="C45" s="9" t="s">
        <v>479</v>
      </c>
      <c r="G45" s="9">
        <v>2004</v>
      </c>
      <c r="H45" s="9">
        <v>5</v>
      </c>
      <c r="I45" s="9">
        <v>0</v>
      </c>
      <c r="J45" s="9" t="s">
        <v>78</v>
      </c>
      <c r="K45" s="158" t="s">
        <v>449</v>
      </c>
      <c r="L45" s="9">
        <f t="shared" ref="L45:L76" si="19">G45+K45</f>
        <v>2014</v>
      </c>
      <c r="M45" s="127">
        <f t="shared" ref="M45:M76" si="20">+L45+(H45/12)</f>
        <v>2014.4166666666667</v>
      </c>
      <c r="N45" s="13">
        <v>4841.6000000000004</v>
      </c>
      <c r="O45" s="13">
        <f t="shared" ref="O45:O76" si="21">N45-N45*I45</f>
        <v>4841.6000000000004</v>
      </c>
      <c r="P45" s="13">
        <f t="shared" ref="P45:P76" si="22">O45/K45/12</f>
        <v>40.346666666666671</v>
      </c>
      <c r="Q45" s="13">
        <f t="shared" ref="Q45:Q76" si="23">P45*12</f>
        <v>484.16000000000008</v>
      </c>
      <c r="R45" s="13">
        <v>0</v>
      </c>
      <c r="S45" s="13">
        <f t="shared" ref="S45:S75" si="24">+IF(M45&lt;=$O$5,0,IF(L45&gt;$O$4,Q45,(P45*H45)))</f>
        <v>0</v>
      </c>
      <c r="T45" s="13">
        <f t="shared" ref="T45:T76" si="25">+IF(S45=0,N45,IF($O$3-G45&lt;1,0,(($O$3-G45)*Q45)))</f>
        <v>4841.6000000000004</v>
      </c>
      <c r="U45" s="13">
        <f t="shared" ref="U45:U76" si="26">+IF(S45=0,T45,T45+S45)</f>
        <v>4841.6000000000004</v>
      </c>
      <c r="V45" s="13">
        <v>0</v>
      </c>
      <c r="W45" s="13">
        <f t="shared" ref="W45:W76" si="27">+N45-U45</f>
        <v>0</v>
      </c>
      <c r="X45" s="115">
        <f t="shared" si="9"/>
        <v>0</v>
      </c>
      <c r="Y45" s="116">
        <f t="shared" si="10"/>
        <v>0</v>
      </c>
      <c r="Z45" s="116">
        <f t="shared" si="17"/>
        <v>0</v>
      </c>
      <c r="AA45" s="116">
        <f t="shared" si="18"/>
        <v>0</v>
      </c>
      <c r="AB45" s="117">
        <f>'Ratios (C)'!$C$27</f>
        <v>0.72727998160891272</v>
      </c>
      <c r="AC45" s="116">
        <f t="shared" si="15"/>
        <v>0</v>
      </c>
      <c r="AD45" s="116">
        <f t="shared" si="16"/>
        <v>0</v>
      </c>
      <c r="AE45" s="118"/>
      <c r="AF45" s="119"/>
      <c r="AG45" s="120"/>
      <c r="AH45" s="118"/>
      <c r="AI45" s="119"/>
      <c r="AJ45" s="121"/>
    </row>
    <row r="46" spans="2:36" s="9" customFormat="1">
      <c r="B46" s="9">
        <v>16</v>
      </c>
      <c r="C46" s="9" t="s">
        <v>486</v>
      </c>
      <c r="G46" s="9">
        <v>2004</v>
      </c>
      <c r="H46" s="9">
        <v>6</v>
      </c>
      <c r="I46" s="9">
        <v>0</v>
      </c>
      <c r="J46" s="9" t="s">
        <v>78</v>
      </c>
      <c r="K46" s="158" t="s">
        <v>449</v>
      </c>
      <c r="L46" s="9">
        <f t="shared" si="19"/>
        <v>2014</v>
      </c>
      <c r="M46" s="127">
        <f t="shared" si="20"/>
        <v>2014.5</v>
      </c>
      <c r="N46" s="13">
        <v>5352.96</v>
      </c>
      <c r="O46" s="13">
        <f t="shared" si="21"/>
        <v>5352.96</v>
      </c>
      <c r="P46" s="13">
        <f t="shared" si="22"/>
        <v>44.608000000000004</v>
      </c>
      <c r="Q46" s="13">
        <f t="shared" si="23"/>
        <v>535.29600000000005</v>
      </c>
      <c r="R46" s="13">
        <v>0</v>
      </c>
      <c r="S46" s="13">
        <f t="shared" si="24"/>
        <v>0</v>
      </c>
      <c r="T46" s="13">
        <f t="shared" si="25"/>
        <v>5352.96</v>
      </c>
      <c r="U46" s="13">
        <f t="shared" si="26"/>
        <v>5352.96</v>
      </c>
      <c r="V46" s="13">
        <v>0</v>
      </c>
      <c r="W46" s="13">
        <f t="shared" si="27"/>
        <v>0</v>
      </c>
      <c r="X46" s="115">
        <f t="shared" si="9"/>
        <v>0</v>
      </c>
      <c r="Y46" s="116">
        <f t="shared" si="10"/>
        <v>0</v>
      </c>
      <c r="Z46" s="116">
        <f t="shared" si="17"/>
        <v>0</v>
      </c>
      <c r="AA46" s="116">
        <f t="shared" si="18"/>
        <v>0</v>
      </c>
      <c r="AB46" s="117">
        <f>'Ratios (C)'!$C$27</f>
        <v>0.72727998160891272</v>
      </c>
      <c r="AC46" s="116">
        <f t="shared" si="15"/>
        <v>0</v>
      </c>
      <c r="AD46" s="116">
        <f t="shared" si="16"/>
        <v>0</v>
      </c>
      <c r="AE46" s="118"/>
      <c r="AF46" s="119"/>
      <c r="AG46" s="120"/>
      <c r="AH46" s="118"/>
      <c r="AI46" s="119"/>
      <c r="AJ46" s="121"/>
    </row>
    <row r="47" spans="2:36" s="9" customFormat="1">
      <c r="B47" s="9">
        <v>8</v>
      </c>
      <c r="C47" s="9" t="s">
        <v>510</v>
      </c>
      <c r="G47" s="9">
        <v>2004</v>
      </c>
      <c r="H47" s="9">
        <v>6</v>
      </c>
      <c r="I47" s="9">
        <v>0</v>
      </c>
      <c r="J47" s="9" t="s">
        <v>78</v>
      </c>
      <c r="K47" s="158" t="s">
        <v>449</v>
      </c>
      <c r="L47" s="9">
        <f t="shared" si="19"/>
        <v>2014</v>
      </c>
      <c r="M47" s="127">
        <f t="shared" si="20"/>
        <v>2014.5</v>
      </c>
      <c r="N47" s="13">
        <v>3472.9</v>
      </c>
      <c r="O47" s="13">
        <f t="shared" si="21"/>
        <v>3472.9</v>
      </c>
      <c r="P47" s="13">
        <f t="shared" si="22"/>
        <v>28.940833333333334</v>
      </c>
      <c r="Q47" s="13">
        <f t="shared" si="23"/>
        <v>347.29</v>
      </c>
      <c r="R47" s="13">
        <v>0</v>
      </c>
      <c r="S47" s="13">
        <f t="shared" si="24"/>
        <v>0</v>
      </c>
      <c r="T47" s="13">
        <f t="shared" si="25"/>
        <v>3472.9</v>
      </c>
      <c r="U47" s="13">
        <f t="shared" si="26"/>
        <v>3472.9</v>
      </c>
      <c r="V47" s="13">
        <v>0</v>
      </c>
      <c r="W47" s="13">
        <f t="shared" si="27"/>
        <v>0</v>
      </c>
      <c r="X47" s="115">
        <f t="shared" si="9"/>
        <v>0</v>
      </c>
      <c r="Y47" s="116">
        <f t="shared" si="10"/>
        <v>0</v>
      </c>
      <c r="Z47" s="116">
        <f t="shared" si="17"/>
        <v>0</v>
      </c>
      <c r="AA47" s="116">
        <f t="shared" si="18"/>
        <v>0</v>
      </c>
      <c r="AB47" s="117">
        <f>'Ratios (C)'!$C$27</f>
        <v>0.72727998160891272</v>
      </c>
      <c r="AC47" s="116">
        <f t="shared" si="15"/>
        <v>0</v>
      </c>
      <c r="AD47" s="116">
        <f t="shared" si="16"/>
        <v>0</v>
      </c>
      <c r="AE47" s="118"/>
      <c r="AF47" s="119"/>
      <c r="AG47" s="120"/>
      <c r="AH47" s="118"/>
      <c r="AI47" s="119"/>
      <c r="AJ47" s="121"/>
    </row>
    <row r="48" spans="2:36" s="9" customFormat="1">
      <c r="B48" s="9">
        <v>52</v>
      </c>
      <c r="C48" s="9" t="s">
        <v>456</v>
      </c>
      <c r="G48" s="9">
        <v>2004</v>
      </c>
      <c r="H48" s="9">
        <v>7</v>
      </c>
      <c r="I48" s="9">
        <v>0</v>
      </c>
      <c r="J48" s="9" t="s">
        <v>78</v>
      </c>
      <c r="K48" s="158" t="s">
        <v>449</v>
      </c>
      <c r="L48" s="9">
        <f t="shared" si="19"/>
        <v>2014</v>
      </c>
      <c r="M48" s="127">
        <f t="shared" si="20"/>
        <v>2014.5833333333333</v>
      </c>
      <c r="N48" s="13">
        <v>14962.18</v>
      </c>
      <c r="O48" s="13">
        <f t="shared" si="21"/>
        <v>14962.18</v>
      </c>
      <c r="P48" s="13">
        <f t="shared" si="22"/>
        <v>124.68483333333334</v>
      </c>
      <c r="Q48" s="13">
        <f t="shared" si="23"/>
        <v>1496.2180000000001</v>
      </c>
      <c r="R48" s="13">
        <v>0</v>
      </c>
      <c r="S48" s="13">
        <f t="shared" si="24"/>
        <v>0</v>
      </c>
      <c r="T48" s="13">
        <f t="shared" si="25"/>
        <v>14962.18</v>
      </c>
      <c r="U48" s="13">
        <f t="shared" si="26"/>
        <v>14962.18</v>
      </c>
      <c r="V48" s="13">
        <v>0</v>
      </c>
      <c r="W48" s="13">
        <f t="shared" si="27"/>
        <v>0</v>
      </c>
      <c r="X48" s="115">
        <f t="shared" si="9"/>
        <v>0</v>
      </c>
      <c r="Y48" s="116">
        <f t="shared" si="10"/>
        <v>0</v>
      </c>
      <c r="Z48" s="116">
        <f t="shared" si="17"/>
        <v>0</v>
      </c>
      <c r="AA48" s="116">
        <f t="shared" si="18"/>
        <v>0</v>
      </c>
      <c r="AB48" s="117">
        <f>'Ratios (C)'!$C$27</f>
        <v>0.72727998160891272</v>
      </c>
      <c r="AC48" s="116">
        <f t="shared" si="15"/>
        <v>0</v>
      </c>
      <c r="AD48" s="116">
        <f t="shared" si="16"/>
        <v>0</v>
      </c>
      <c r="AE48" s="118"/>
      <c r="AF48" s="119"/>
      <c r="AG48" s="120"/>
      <c r="AH48" s="118"/>
      <c r="AI48" s="119"/>
      <c r="AJ48" s="121"/>
    </row>
    <row r="49" spans="2:36" s="9" customFormat="1">
      <c r="B49" s="9">
        <v>2</v>
      </c>
      <c r="C49" s="9" t="s">
        <v>477</v>
      </c>
      <c r="G49" s="9">
        <v>2004</v>
      </c>
      <c r="H49" s="9">
        <v>7</v>
      </c>
      <c r="I49" s="9">
        <v>0</v>
      </c>
      <c r="J49" s="9" t="s">
        <v>78</v>
      </c>
      <c r="K49" s="158" t="s">
        <v>449</v>
      </c>
      <c r="L49" s="9">
        <f t="shared" si="19"/>
        <v>2014</v>
      </c>
      <c r="M49" s="127">
        <f t="shared" si="20"/>
        <v>2014.5833333333333</v>
      </c>
      <c r="N49" s="13">
        <v>715.44</v>
      </c>
      <c r="O49" s="13">
        <f t="shared" si="21"/>
        <v>715.44</v>
      </c>
      <c r="P49" s="13">
        <f t="shared" si="22"/>
        <v>5.9620000000000006</v>
      </c>
      <c r="Q49" s="13">
        <f t="shared" si="23"/>
        <v>71.544000000000011</v>
      </c>
      <c r="R49" s="13">
        <v>0</v>
      </c>
      <c r="S49" s="13">
        <f t="shared" si="24"/>
        <v>0</v>
      </c>
      <c r="T49" s="13">
        <f t="shared" si="25"/>
        <v>715.44</v>
      </c>
      <c r="U49" s="13">
        <f t="shared" si="26"/>
        <v>715.44</v>
      </c>
      <c r="V49" s="13">
        <v>0</v>
      </c>
      <c r="W49" s="13">
        <f t="shared" si="27"/>
        <v>0</v>
      </c>
      <c r="X49" s="115">
        <f t="shared" si="9"/>
        <v>0</v>
      </c>
      <c r="Y49" s="116">
        <f t="shared" si="10"/>
        <v>0</v>
      </c>
      <c r="Z49" s="116">
        <f t="shared" si="17"/>
        <v>0</v>
      </c>
      <c r="AA49" s="116">
        <f t="shared" si="18"/>
        <v>0</v>
      </c>
      <c r="AB49" s="117">
        <f>'Ratios (C)'!$C$27</f>
        <v>0.72727998160891272</v>
      </c>
      <c r="AC49" s="116">
        <f t="shared" si="15"/>
        <v>0</v>
      </c>
      <c r="AD49" s="116">
        <f t="shared" si="16"/>
        <v>0</v>
      </c>
      <c r="AE49" s="118"/>
      <c r="AF49" s="119"/>
      <c r="AG49" s="120"/>
      <c r="AH49" s="118"/>
      <c r="AI49" s="119"/>
      <c r="AJ49" s="121"/>
    </row>
    <row r="50" spans="2:36" s="9" customFormat="1">
      <c r="B50" s="9">
        <v>27</v>
      </c>
      <c r="C50" s="9" t="s">
        <v>486</v>
      </c>
      <c r="G50" s="9">
        <v>2004</v>
      </c>
      <c r="H50" s="9">
        <v>7</v>
      </c>
      <c r="I50" s="9">
        <v>0</v>
      </c>
      <c r="J50" s="9" t="s">
        <v>78</v>
      </c>
      <c r="K50" s="158" t="s">
        <v>449</v>
      </c>
      <c r="L50" s="9">
        <f t="shared" si="19"/>
        <v>2014</v>
      </c>
      <c r="M50" s="127">
        <f t="shared" si="20"/>
        <v>2014.5833333333333</v>
      </c>
      <c r="N50" s="13">
        <v>9302.4</v>
      </c>
      <c r="O50" s="13">
        <f t="shared" si="21"/>
        <v>9302.4</v>
      </c>
      <c r="P50" s="13">
        <f t="shared" si="22"/>
        <v>77.52</v>
      </c>
      <c r="Q50" s="13">
        <f t="shared" si="23"/>
        <v>930.24</v>
      </c>
      <c r="R50" s="13">
        <v>0</v>
      </c>
      <c r="S50" s="13">
        <f t="shared" si="24"/>
        <v>0</v>
      </c>
      <c r="T50" s="13">
        <f t="shared" si="25"/>
        <v>9302.4</v>
      </c>
      <c r="U50" s="13">
        <f t="shared" si="26"/>
        <v>9302.4</v>
      </c>
      <c r="V50" s="13">
        <v>0</v>
      </c>
      <c r="W50" s="13">
        <f t="shared" si="27"/>
        <v>0</v>
      </c>
      <c r="X50" s="115">
        <f t="shared" si="9"/>
        <v>0</v>
      </c>
      <c r="Y50" s="116">
        <f t="shared" si="10"/>
        <v>0</v>
      </c>
      <c r="Z50" s="116">
        <f t="shared" si="17"/>
        <v>0</v>
      </c>
      <c r="AA50" s="116">
        <f t="shared" si="18"/>
        <v>0</v>
      </c>
      <c r="AB50" s="117">
        <f>'Ratios (C)'!$C$27</f>
        <v>0.72727998160891272</v>
      </c>
      <c r="AC50" s="116">
        <f t="shared" si="15"/>
        <v>0</v>
      </c>
      <c r="AD50" s="116">
        <f t="shared" si="16"/>
        <v>0</v>
      </c>
      <c r="AE50" s="118"/>
      <c r="AF50" s="119"/>
      <c r="AG50" s="120"/>
      <c r="AH50" s="118"/>
      <c r="AI50" s="119"/>
      <c r="AJ50" s="121"/>
    </row>
    <row r="51" spans="2:36" s="9" customFormat="1">
      <c r="B51" s="9">
        <v>33</v>
      </c>
      <c r="C51" s="9" t="s">
        <v>486</v>
      </c>
      <c r="G51" s="9">
        <v>2004</v>
      </c>
      <c r="H51" s="9">
        <v>7</v>
      </c>
      <c r="I51" s="9">
        <v>0</v>
      </c>
      <c r="J51" s="9" t="s">
        <v>78</v>
      </c>
      <c r="K51" s="158" t="s">
        <v>449</v>
      </c>
      <c r="L51" s="9">
        <f t="shared" si="19"/>
        <v>2014</v>
      </c>
      <c r="M51" s="127">
        <f t="shared" si="20"/>
        <v>2014.5833333333333</v>
      </c>
      <c r="N51" s="13">
        <v>11175.94</v>
      </c>
      <c r="O51" s="13">
        <f t="shared" si="21"/>
        <v>11175.94</v>
      </c>
      <c r="P51" s="13">
        <f t="shared" si="22"/>
        <v>93.132833333333338</v>
      </c>
      <c r="Q51" s="13">
        <f t="shared" si="23"/>
        <v>1117.5940000000001</v>
      </c>
      <c r="R51" s="13">
        <v>0</v>
      </c>
      <c r="S51" s="13">
        <f t="shared" si="24"/>
        <v>0</v>
      </c>
      <c r="T51" s="13">
        <f t="shared" si="25"/>
        <v>11175.94</v>
      </c>
      <c r="U51" s="13">
        <f t="shared" si="26"/>
        <v>11175.94</v>
      </c>
      <c r="V51" s="13">
        <v>0</v>
      </c>
      <c r="W51" s="13">
        <f t="shared" si="27"/>
        <v>0</v>
      </c>
      <c r="X51" s="115">
        <f t="shared" si="9"/>
        <v>0</v>
      </c>
      <c r="Y51" s="116">
        <f t="shared" si="10"/>
        <v>0</v>
      </c>
      <c r="Z51" s="116">
        <f t="shared" si="17"/>
        <v>0</v>
      </c>
      <c r="AA51" s="116">
        <f t="shared" si="18"/>
        <v>0</v>
      </c>
      <c r="AB51" s="117">
        <f>'Ratios (C)'!$C$27</f>
        <v>0.72727998160891272</v>
      </c>
      <c r="AC51" s="116">
        <f t="shared" si="15"/>
        <v>0</v>
      </c>
      <c r="AD51" s="116">
        <f t="shared" si="16"/>
        <v>0</v>
      </c>
      <c r="AE51" s="118"/>
      <c r="AF51" s="119"/>
      <c r="AG51" s="120"/>
      <c r="AH51" s="118"/>
      <c r="AI51" s="119"/>
      <c r="AJ51" s="121"/>
    </row>
    <row r="52" spans="2:36" s="9" customFormat="1">
      <c r="B52" s="9">
        <v>21</v>
      </c>
      <c r="C52" s="9" t="s">
        <v>486</v>
      </c>
      <c r="G52" s="9">
        <v>2004</v>
      </c>
      <c r="H52" s="9">
        <v>8</v>
      </c>
      <c r="I52" s="9">
        <v>0</v>
      </c>
      <c r="J52" s="9" t="s">
        <v>78</v>
      </c>
      <c r="K52" s="158" t="s">
        <v>449</v>
      </c>
      <c r="L52" s="9">
        <f t="shared" si="19"/>
        <v>2014</v>
      </c>
      <c r="M52" s="127">
        <f t="shared" si="20"/>
        <v>2014.6666666666667</v>
      </c>
      <c r="N52" s="13">
        <v>7180.8</v>
      </c>
      <c r="O52" s="13">
        <f t="shared" si="21"/>
        <v>7180.8</v>
      </c>
      <c r="P52" s="13">
        <f t="shared" si="22"/>
        <v>59.84</v>
      </c>
      <c r="Q52" s="13">
        <f t="shared" si="23"/>
        <v>718.08</v>
      </c>
      <c r="R52" s="13">
        <v>0</v>
      </c>
      <c r="S52" s="13">
        <f t="shared" si="24"/>
        <v>0</v>
      </c>
      <c r="T52" s="13">
        <f t="shared" si="25"/>
        <v>7180.8</v>
      </c>
      <c r="U52" s="13">
        <f t="shared" si="26"/>
        <v>7180.8</v>
      </c>
      <c r="V52" s="13">
        <v>0</v>
      </c>
      <c r="W52" s="13">
        <f t="shared" si="27"/>
        <v>0</v>
      </c>
      <c r="X52" s="115">
        <f t="shared" si="9"/>
        <v>0</v>
      </c>
      <c r="Y52" s="116">
        <f t="shared" si="10"/>
        <v>0</v>
      </c>
      <c r="Z52" s="116">
        <f t="shared" si="17"/>
        <v>0</v>
      </c>
      <c r="AA52" s="116">
        <f t="shared" si="18"/>
        <v>0</v>
      </c>
      <c r="AB52" s="117">
        <f>'Ratios (C)'!$C$27</f>
        <v>0.72727998160891272</v>
      </c>
      <c r="AC52" s="116">
        <f t="shared" si="15"/>
        <v>0</v>
      </c>
      <c r="AD52" s="116">
        <f t="shared" si="16"/>
        <v>0</v>
      </c>
      <c r="AE52" s="118"/>
      <c r="AF52" s="119"/>
      <c r="AG52" s="120"/>
      <c r="AH52" s="118"/>
      <c r="AI52" s="119"/>
      <c r="AJ52" s="121"/>
    </row>
    <row r="53" spans="2:36" s="9" customFormat="1">
      <c r="B53" s="9">
        <v>56</v>
      </c>
      <c r="C53" s="9" t="s">
        <v>456</v>
      </c>
      <c r="G53" s="9">
        <v>2004</v>
      </c>
      <c r="H53" s="9">
        <v>11</v>
      </c>
      <c r="I53" s="9">
        <v>0</v>
      </c>
      <c r="J53" s="9" t="s">
        <v>78</v>
      </c>
      <c r="K53" s="158" t="s">
        <v>449</v>
      </c>
      <c r="L53" s="9">
        <f t="shared" si="19"/>
        <v>2014</v>
      </c>
      <c r="M53" s="127">
        <f t="shared" si="20"/>
        <v>2014.9166666666667</v>
      </c>
      <c r="N53" s="13">
        <v>15823.87</v>
      </c>
      <c r="O53" s="13">
        <f t="shared" si="21"/>
        <v>15823.87</v>
      </c>
      <c r="P53" s="13">
        <f t="shared" si="22"/>
        <v>131.86558333333335</v>
      </c>
      <c r="Q53" s="13">
        <f t="shared" si="23"/>
        <v>1582.3870000000002</v>
      </c>
      <c r="R53" s="13">
        <v>0</v>
      </c>
      <c r="S53" s="13">
        <f t="shared" si="24"/>
        <v>0</v>
      </c>
      <c r="T53" s="13">
        <f t="shared" si="25"/>
        <v>15823.87</v>
      </c>
      <c r="U53" s="13">
        <f t="shared" si="26"/>
        <v>15823.87</v>
      </c>
      <c r="V53" s="13">
        <v>0</v>
      </c>
      <c r="W53" s="13">
        <f t="shared" si="27"/>
        <v>0</v>
      </c>
      <c r="X53" s="115">
        <f t="shared" si="9"/>
        <v>0</v>
      </c>
      <c r="Y53" s="116">
        <f t="shared" si="10"/>
        <v>0</v>
      </c>
      <c r="Z53" s="116">
        <f t="shared" si="17"/>
        <v>0</v>
      </c>
      <c r="AA53" s="116">
        <f t="shared" si="18"/>
        <v>0</v>
      </c>
      <c r="AB53" s="117">
        <f>'Ratios (C)'!$C$27</f>
        <v>0.72727998160891272</v>
      </c>
      <c r="AC53" s="116">
        <f t="shared" si="15"/>
        <v>0</v>
      </c>
      <c r="AD53" s="116">
        <f t="shared" si="16"/>
        <v>0</v>
      </c>
      <c r="AE53" s="118"/>
      <c r="AF53" s="119"/>
      <c r="AG53" s="120"/>
      <c r="AH53" s="118"/>
      <c r="AI53" s="119"/>
      <c r="AJ53" s="121"/>
    </row>
    <row r="54" spans="2:36" s="9" customFormat="1">
      <c r="B54" s="9">
        <v>24</v>
      </c>
      <c r="C54" s="9" t="s">
        <v>456</v>
      </c>
      <c r="G54" s="9">
        <v>2005</v>
      </c>
      <c r="H54" s="9">
        <v>4</v>
      </c>
      <c r="I54" s="9">
        <v>0</v>
      </c>
      <c r="J54" s="9" t="s">
        <v>78</v>
      </c>
      <c r="K54" s="158" t="s">
        <v>449</v>
      </c>
      <c r="L54" s="9">
        <f t="shared" si="19"/>
        <v>2015</v>
      </c>
      <c r="M54" s="127">
        <f t="shared" si="20"/>
        <v>2015.3333333333333</v>
      </c>
      <c r="N54" s="13">
        <v>6789.12</v>
      </c>
      <c r="O54" s="13">
        <f t="shared" si="21"/>
        <v>6789.12</v>
      </c>
      <c r="P54" s="13">
        <f t="shared" si="22"/>
        <v>56.576000000000001</v>
      </c>
      <c r="Q54" s="13">
        <f t="shared" si="23"/>
        <v>678.91200000000003</v>
      </c>
      <c r="R54" s="13">
        <v>0</v>
      </c>
      <c r="S54" s="13">
        <f t="shared" si="24"/>
        <v>0</v>
      </c>
      <c r="T54" s="13">
        <f t="shared" si="25"/>
        <v>6789.12</v>
      </c>
      <c r="U54" s="13">
        <f t="shared" si="26"/>
        <v>6789.12</v>
      </c>
      <c r="V54" s="13">
        <v>0</v>
      </c>
      <c r="W54" s="13">
        <f t="shared" si="27"/>
        <v>0</v>
      </c>
      <c r="X54" s="115">
        <f t="shared" si="9"/>
        <v>0</v>
      </c>
      <c r="Y54" s="116">
        <f t="shared" si="10"/>
        <v>0</v>
      </c>
      <c r="Z54" s="116">
        <f t="shared" si="17"/>
        <v>0</v>
      </c>
      <c r="AA54" s="116">
        <f t="shared" si="18"/>
        <v>0</v>
      </c>
      <c r="AB54" s="117">
        <f>'Ratios (C)'!$C$27</f>
        <v>0.72727998160891272</v>
      </c>
      <c r="AC54" s="116">
        <f t="shared" si="15"/>
        <v>0</v>
      </c>
      <c r="AD54" s="116">
        <f t="shared" si="16"/>
        <v>0</v>
      </c>
      <c r="AE54" s="118"/>
      <c r="AF54" s="119"/>
      <c r="AG54" s="120"/>
      <c r="AH54" s="118"/>
      <c r="AI54" s="119"/>
      <c r="AJ54" s="121"/>
    </row>
    <row r="55" spans="2:36" s="9" customFormat="1">
      <c r="B55" s="9">
        <v>58</v>
      </c>
      <c r="C55" s="9" t="s">
        <v>479</v>
      </c>
      <c r="G55" s="9">
        <v>2005</v>
      </c>
      <c r="H55" s="9">
        <v>5</v>
      </c>
      <c r="I55" s="9">
        <v>0</v>
      </c>
      <c r="J55" s="9" t="s">
        <v>78</v>
      </c>
      <c r="K55" s="158" t="s">
        <v>449</v>
      </c>
      <c r="L55" s="9">
        <f t="shared" si="19"/>
        <v>2015</v>
      </c>
      <c r="M55" s="127">
        <f t="shared" si="20"/>
        <v>2015.4166666666667</v>
      </c>
      <c r="N55" s="13">
        <v>19623.169999999998</v>
      </c>
      <c r="O55" s="13">
        <f t="shared" si="21"/>
        <v>19623.169999999998</v>
      </c>
      <c r="P55" s="13">
        <f t="shared" si="22"/>
        <v>163.52641666666665</v>
      </c>
      <c r="Q55" s="13">
        <f t="shared" si="23"/>
        <v>1962.3169999999998</v>
      </c>
      <c r="R55" s="13">
        <v>0</v>
      </c>
      <c r="S55" s="13">
        <f t="shared" si="24"/>
        <v>0</v>
      </c>
      <c r="T55" s="13">
        <f t="shared" si="25"/>
        <v>19623.169999999998</v>
      </c>
      <c r="U55" s="13">
        <f t="shared" si="26"/>
        <v>19623.169999999998</v>
      </c>
      <c r="V55" s="13">
        <v>0</v>
      </c>
      <c r="W55" s="13">
        <f t="shared" si="27"/>
        <v>0</v>
      </c>
      <c r="X55" s="115">
        <f t="shared" si="9"/>
        <v>0</v>
      </c>
      <c r="Y55" s="116">
        <f t="shared" si="10"/>
        <v>0</v>
      </c>
      <c r="Z55" s="116">
        <f t="shared" si="17"/>
        <v>0</v>
      </c>
      <c r="AA55" s="116">
        <f t="shared" si="18"/>
        <v>0</v>
      </c>
      <c r="AB55" s="117">
        <f>'Ratios (C)'!$C$27</f>
        <v>0.72727998160891272</v>
      </c>
      <c r="AC55" s="116">
        <f t="shared" si="15"/>
        <v>0</v>
      </c>
      <c r="AD55" s="116">
        <f t="shared" si="16"/>
        <v>0</v>
      </c>
      <c r="AE55" s="118"/>
      <c r="AF55" s="119"/>
      <c r="AG55" s="120"/>
      <c r="AH55" s="118"/>
      <c r="AI55" s="119"/>
      <c r="AJ55" s="121"/>
    </row>
    <row r="56" spans="2:36" s="9" customFormat="1">
      <c r="B56" s="9">
        <v>16</v>
      </c>
      <c r="C56" s="9" t="s">
        <v>486</v>
      </c>
      <c r="G56" s="9">
        <v>2005</v>
      </c>
      <c r="H56" s="9">
        <v>5</v>
      </c>
      <c r="I56" s="9">
        <v>0</v>
      </c>
      <c r="J56" s="9" t="s">
        <v>78</v>
      </c>
      <c r="K56" s="158" t="s">
        <v>449</v>
      </c>
      <c r="L56" s="9">
        <f t="shared" si="19"/>
        <v>2015</v>
      </c>
      <c r="M56" s="127">
        <f t="shared" si="20"/>
        <v>2015.4166666666667</v>
      </c>
      <c r="N56" s="13">
        <v>5450.88</v>
      </c>
      <c r="O56" s="13">
        <f t="shared" si="21"/>
        <v>5450.88</v>
      </c>
      <c r="P56" s="13">
        <f t="shared" si="22"/>
        <v>45.423999999999999</v>
      </c>
      <c r="Q56" s="13">
        <f t="shared" si="23"/>
        <v>545.08799999999997</v>
      </c>
      <c r="R56" s="13">
        <v>0</v>
      </c>
      <c r="S56" s="13">
        <f t="shared" si="24"/>
        <v>0</v>
      </c>
      <c r="T56" s="13">
        <f t="shared" si="25"/>
        <v>5450.88</v>
      </c>
      <c r="U56" s="13">
        <f t="shared" si="26"/>
        <v>5450.88</v>
      </c>
      <c r="V56" s="13">
        <v>0</v>
      </c>
      <c r="W56" s="13">
        <f t="shared" si="27"/>
        <v>0</v>
      </c>
      <c r="X56" s="115">
        <f t="shared" si="9"/>
        <v>0</v>
      </c>
      <c r="Y56" s="116">
        <f t="shared" si="10"/>
        <v>0</v>
      </c>
      <c r="Z56" s="116">
        <f t="shared" si="17"/>
        <v>0</v>
      </c>
      <c r="AA56" s="116">
        <f t="shared" si="18"/>
        <v>0</v>
      </c>
      <c r="AB56" s="117">
        <f>'Ratios (C)'!$C$27</f>
        <v>0.72727998160891272</v>
      </c>
      <c r="AC56" s="116">
        <f t="shared" si="15"/>
        <v>0</v>
      </c>
      <c r="AD56" s="116">
        <f t="shared" si="16"/>
        <v>0</v>
      </c>
      <c r="AE56" s="118"/>
      <c r="AF56" s="119"/>
      <c r="AG56" s="120"/>
      <c r="AH56" s="118"/>
      <c r="AI56" s="119"/>
      <c r="AJ56" s="121"/>
    </row>
    <row r="57" spans="2:36" s="9" customFormat="1">
      <c r="B57" s="9">
        <v>19</v>
      </c>
      <c r="C57" s="9" t="s">
        <v>486</v>
      </c>
      <c r="G57" s="9">
        <v>2005</v>
      </c>
      <c r="H57" s="9">
        <v>5</v>
      </c>
      <c r="I57" s="9">
        <v>0</v>
      </c>
      <c r="J57" s="9" t="s">
        <v>78</v>
      </c>
      <c r="K57" s="158" t="s">
        <v>449</v>
      </c>
      <c r="L57" s="9">
        <f t="shared" si="19"/>
        <v>2015</v>
      </c>
      <c r="M57" s="127">
        <f t="shared" si="20"/>
        <v>2015.4166666666667</v>
      </c>
      <c r="N57" s="13">
        <v>6541.06</v>
      </c>
      <c r="O57" s="13">
        <f t="shared" si="21"/>
        <v>6541.06</v>
      </c>
      <c r="P57" s="13">
        <f t="shared" si="22"/>
        <v>54.508833333333335</v>
      </c>
      <c r="Q57" s="13">
        <f t="shared" si="23"/>
        <v>654.10599999999999</v>
      </c>
      <c r="R57" s="13">
        <v>0</v>
      </c>
      <c r="S57" s="13">
        <f t="shared" si="24"/>
        <v>0</v>
      </c>
      <c r="T57" s="13">
        <f t="shared" si="25"/>
        <v>6541.06</v>
      </c>
      <c r="U57" s="13">
        <f t="shared" si="26"/>
        <v>6541.06</v>
      </c>
      <c r="V57" s="13">
        <v>0</v>
      </c>
      <c r="W57" s="13">
        <f t="shared" si="27"/>
        <v>0</v>
      </c>
      <c r="X57" s="115">
        <f t="shared" si="9"/>
        <v>0</v>
      </c>
      <c r="Y57" s="116">
        <f t="shared" si="10"/>
        <v>0</v>
      </c>
      <c r="Z57" s="116">
        <f t="shared" si="17"/>
        <v>0</v>
      </c>
      <c r="AA57" s="116">
        <f t="shared" si="18"/>
        <v>0</v>
      </c>
      <c r="AB57" s="117">
        <f>'Ratios (C)'!$C$27</f>
        <v>0.72727998160891272</v>
      </c>
      <c r="AC57" s="116">
        <f t="shared" si="15"/>
        <v>0</v>
      </c>
      <c r="AD57" s="116">
        <f t="shared" si="16"/>
        <v>0</v>
      </c>
      <c r="AE57" s="118"/>
      <c r="AF57" s="119"/>
      <c r="AG57" s="120"/>
      <c r="AH57" s="118"/>
      <c r="AI57" s="119"/>
      <c r="AJ57" s="121"/>
    </row>
    <row r="58" spans="2:36" s="9" customFormat="1">
      <c r="B58" s="9">
        <v>14</v>
      </c>
      <c r="C58" s="9" t="s">
        <v>508</v>
      </c>
      <c r="G58" s="9">
        <v>2005</v>
      </c>
      <c r="H58" s="9">
        <v>5</v>
      </c>
      <c r="I58" s="9">
        <v>0</v>
      </c>
      <c r="J58" s="9" t="s">
        <v>78</v>
      </c>
      <c r="K58" s="158" t="s">
        <v>449</v>
      </c>
      <c r="L58" s="9">
        <f t="shared" si="19"/>
        <v>2015</v>
      </c>
      <c r="M58" s="127">
        <f t="shared" si="20"/>
        <v>2015.4166666666667</v>
      </c>
      <c r="N58" s="13">
        <v>5624.96</v>
      </c>
      <c r="O58" s="13">
        <f t="shared" si="21"/>
        <v>5624.96</v>
      </c>
      <c r="P58" s="13">
        <f t="shared" si="22"/>
        <v>46.874666666666663</v>
      </c>
      <c r="Q58" s="13">
        <f t="shared" si="23"/>
        <v>562.49599999999998</v>
      </c>
      <c r="R58" s="13">
        <v>0</v>
      </c>
      <c r="S58" s="13">
        <f t="shared" si="24"/>
        <v>0</v>
      </c>
      <c r="T58" s="13">
        <f t="shared" si="25"/>
        <v>5624.96</v>
      </c>
      <c r="U58" s="13">
        <f t="shared" si="26"/>
        <v>5624.96</v>
      </c>
      <c r="V58" s="13">
        <v>0</v>
      </c>
      <c r="W58" s="13">
        <f t="shared" si="27"/>
        <v>0</v>
      </c>
      <c r="X58" s="115">
        <f t="shared" si="9"/>
        <v>0</v>
      </c>
      <c r="Y58" s="116">
        <f t="shared" si="10"/>
        <v>0</v>
      </c>
      <c r="Z58" s="116">
        <f t="shared" si="17"/>
        <v>0</v>
      </c>
      <c r="AA58" s="116">
        <f t="shared" si="18"/>
        <v>0</v>
      </c>
      <c r="AB58" s="117">
        <f>'Ratios (C)'!$C$27</f>
        <v>0.72727998160891272</v>
      </c>
      <c r="AC58" s="116">
        <f t="shared" si="15"/>
        <v>0</v>
      </c>
      <c r="AD58" s="116">
        <f t="shared" si="16"/>
        <v>0</v>
      </c>
      <c r="AE58" s="118"/>
      <c r="AF58" s="119"/>
      <c r="AG58" s="120"/>
      <c r="AH58" s="118"/>
      <c r="AI58" s="119"/>
      <c r="AJ58" s="121"/>
    </row>
    <row r="59" spans="2:36" s="9" customFormat="1">
      <c r="B59" s="9">
        <v>56</v>
      </c>
      <c r="C59" s="9" t="s">
        <v>456</v>
      </c>
      <c r="G59" s="9">
        <v>2005</v>
      </c>
      <c r="H59" s="9">
        <v>6</v>
      </c>
      <c r="I59" s="9">
        <v>0</v>
      </c>
      <c r="J59" s="9" t="s">
        <v>78</v>
      </c>
      <c r="K59" s="158" t="s">
        <v>449</v>
      </c>
      <c r="L59" s="9">
        <f t="shared" si="19"/>
        <v>2015</v>
      </c>
      <c r="M59" s="127">
        <f t="shared" si="20"/>
        <v>2015.5</v>
      </c>
      <c r="N59" s="13">
        <v>15823.87</v>
      </c>
      <c r="O59" s="13">
        <f t="shared" si="21"/>
        <v>15823.87</v>
      </c>
      <c r="P59" s="13">
        <f t="shared" si="22"/>
        <v>131.86558333333335</v>
      </c>
      <c r="Q59" s="13">
        <f t="shared" si="23"/>
        <v>1582.3870000000002</v>
      </c>
      <c r="R59" s="13">
        <v>0</v>
      </c>
      <c r="S59" s="13">
        <f t="shared" si="24"/>
        <v>0</v>
      </c>
      <c r="T59" s="13">
        <f t="shared" si="25"/>
        <v>15823.87</v>
      </c>
      <c r="U59" s="13">
        <f t="shared" si="26"/>
        <v>15823.87</v>
      </c>
      <c r="V59" s="13">
        <v>0</v>
      </c>
      <c r="W59" s="13">
        <f t="shared" si="27"/>
        <v>0</v>
      </c>
      <c r="X59" s="115">
        <f t="shared" si="9"/>
        <v>0</v>
      </c>
      <c r="Y59" s="116">
        <f t="shared" si="10"/>
        <v>0</v>
      </c>
      <c r="Z59" s="116">
        <f t="shared" si="17"/>
        <v>0</v>
      </c>
      <c r="AA59" s="116">
        <f t="shared" si="18"/>
        <v>0</v>
      </c>
      <c r="AB59" s="117">
        <f>'Ratios (C)'!$C$27</f>
        <v>0.72727998160891272</v>
      </c>
      <c r="AC59" s="116">
        <f t="shared" si="15"/>
        <v>0</v>
      </c>
      <c r="AD59" s="116">
        <f t="shared" si="16"/>
        <v>0</v>
      </c>
      <c r="AE59" s="118"/>
      <c r="AF59" s="119"/>
      <c r="AG59" s="120"/>
      <c r="AH59" s="118"/>
      <c r="AI59" s="119"/>
      <c r="AJ59" s="121"/>
    </row>
    <row r="60" spans="2:36" s="9" customFormat="1">
      <c r="B60" s="9">
        <v>93</v>
      </c>
      <c r="C60" s="9" t="s">
        <v>456</v>
      </c>
      <c r="G60" s="9">
        <v>2005</v>
      </c>
      <c r="H60" s="9">
        <v>7</v>
      </c>
      <c r="I60" s="9">
        <v>0</v>
      </c>
      <c r="J60" s="9" t="s">
        <v>78</v>
      </c>
      <c r="K60" s="158" t="s">
        <v>449</v>
      </c>
      <c r="L60" s="9">
        <f t="shared" si="19"/>
        <v>2015</v>
      </c>
      <c r="M60" s="127">
        <f t="shared" si="20"/>
        <v>2015.5833333333333</v>
      </c>
      <c r="N60" s="13">
        <v>26442.75</v>
      </c>
      <c r="O60" s="13">
        <f t="shared" si="21"/>
        <v>26442.75</v>
      </c>
      <c r="P60" s="13">
        <f t="shared" si="22"/>
        <v>220.35625000000002</v>
      </c>
      <c r="Q60" s="13">
        <f t="shared" si="23"/>
        <v>2644.2750000000001</v>
      </c>
      <c r="R60" s="13">
        <v>0</v>
      </c>
      <c r="S60" s="13">
        <f t="shared" si="24"/>
        <v>0</v>
      </c>
      <c r="T60" s="13">
        <f t="shared" si="25"/>
        <v>26442.75</v>
      </c>
      <c r="U60" s="13">
        <f t="shared" si="26"/>
        <v>26442.75</v>
      </c>
      <c r="V60" s="13">
        <v>0</v>
      </c>
      <c r="W60" s="13">
        <f t="shared" si="27"/>
        <v>0</v>
      </c>
      <c r="X60" s="115">
        <f t="shared" si="9"/>
        <v>0</v>
      </c>
      <c r="Y60" s="116">
        <f t="shared" si="10"/>
        <v>0</v>
      </c>
      <c r="Z60" s="116">
        <f t="shared" si="17"/>
        <v>0</v>
      </c>
      <c r="AA60" s="116">
        <f t="shared" si="18"/>
        <v>0</v>
      </c>
      <c r="AB60" s="117">
        <f>'Ratios (C)'!$C$27</f>
        <v>0.72727998160891272</v>
      </c>
      <c r="AC60" s="116">
        <f t="shared" si="15"/>
        <v>0</v>
      </c>
      <c r="AD60" s="116">
        <f t="shared" si="16"/>
        <v>0</v>
      </c>
      <c r="AE60" s="118"/>
      <c r="AF60" s="119"/>
      <c r="AG60" s="120"/>
      <c r="AH60" s="118"/>
      <c r="AI60" s="119"/>
      <c r="AJ60" s="121"/>
    </row>
    <row r="61" spans="2:36" s="9" customFormat="1">
      <c r="B61" s="9">
        <v>6</v>
      </c>
      <c r="C61" s="9" t="s">
        <v>479</v>
      </c>
      <c r="G61" s="9">
        <v>2005</v>
      </c>
      <c r="H61" s="9">
        <v>7</v>
      </c>
      <c r="I61" s="9">
        <v>0</v>
      </c>
      <c r="J61" s="9" t="s">
        <v>78</v>
      </c>
      <c r="K61" s="158" t="s">
        <v>449</v>
      </c>
      <c r="L61" s="9">
        <f t="shared" si="19"/>
        <v>2015</v>
      </c>
      <c r="M61" s="127">
        <f t="shared" si="20"/>
        <v>2015.5833333333333</v>
      </c>
      <c r="N61" s="13">
        <v>2197.7600000000002</v>
      </c>
      <c r="O61" s="13">
        <f t="shared" si="21"/>
        <v>2197.7600000000002</v>
      </c>
      <c r="P61" s="13">
        <f t="shared" si="22"/>
        <v>18.314666666666668</v>
      </c>
      <c r="Q61" s="13">
        <f t="shared" si="23"/>
        <v>219.77600000000001</v>
      </c>
      <c r="R61" s="13">
        <v>0</v>
      </c>
      <c r="S61" s="13">
        <f t="shared" si="24"/>
        <v>0</v>
      </c>
      <c r="T61" s="13">
        <f t="shared" si="25"/>
        <v>2197.7600000000002</v>
      </c>
      <c r="U61" s="13">
        <f t="shared" si="26"/>
        <v>2197.7600000000002</v>
      </c>
      <c r="V61" s="13">
        <v>0</v>
      </c>
      <c r="W61" s="13">
        <f t="shared" si="27"/>
        <v>0</v>
      </c>
      <c r="X61" s="115">
        <f t="shared" si="9"/>
        <v>0</v>
      </c>
      <c r="Y61" s="116">
        <f t="shared" si="10"/>
        <v>0</v>
      </c>
      <c r="Z61" s="116">
        <f t="shared" si="17"/>
        <v>0</v>
      </c>
      <c r="AA61" s="116">
        <f t="shared" si="18"/>
        <v>0</v>
      </c>
      <c r="AB61" s="117">
        <f>'Ratios (C)'!$C$27</f>
        <v>0.72727998160891272</v>
      </c>
      <c r="AC61" s="116">
        <f t="shared" si="15"/>
        <v>0</v>
      </c>
      <c r="AD61" s="116">
        <f t="shared" si="16"/>
        <v>0</v>
      </c>
      <c r="AE61" s="118"/>
      <c r="AF61" s="119"/>
      <c r="AG61" s="120"/>
      <c r="AH61" s="118"/>
      <c r="AI61" s="119"/>
      <c r="AJ61" s="121"/>
    </row>
    <row r="62" spans="2:36" s="9" customFormat="1">
      <c r="B62" s="9">
        <v>10</v>
      </c>
      <c r="C62" s="9" t="s">
        <v>479</v>
      </c>
      <c r="G62" s="9">
        <v>2005</v>
      </c>
      <c r="H62" s="9">
        <v>7</v>
      </c>
      <c r="I62" s="9">
        <v>0</v>
      </c>
      <c r="J62" s="9" t="s">
        <v>78</v>
      </c>
      <c r="K62" s="158" t="s">
        <v>449</v>
      </c>
      <c r="L62" s="9">
        <f t="shared" si="19"/>
        <v>2015</v>
      </c>
      <c r="M62" s="127">
        <f t="shared" si="20"/>
        <v>2015.5833333333333</v>
      </c>
      <c r="N62" s="13">
        <v>3309.7</v>
      </c>
      <c r="O62" s="13">
        <f t="shared" si="21"/>
        <v>3309.7</v>
      </c>
      <c r="P62" s="13">
        <f t="shared" si="22"/>
        <v>27.580833333333331</v>
      </c>
      <c r="Q62" s="13">
        <f t="shared" si="23"/>
        <v>330.96999999999997</v>
      </c>
      <c r="R62" s="13">
        <v>0</v>
      </c>
      <c r="S62" s="13">
        <f t="shared" si="24"/>
        <v>0</v>
      </c>
      <c r="T62" s="13">
        <f t="shared" si="25"/>
        <v>3309.7</v>
      </c>
      <c r="U62" s="13">
        <f t="shared" si="26"/>
        <v>3309.7</v>
      </c>
      <c r="V62" s="13">
        <v>0</v>
      </c>
      <c r="W62" s="13">
        <f t="shared" si="27"/>
        <v>0</v>
      </c>
      <c r="X62" s="115">
        <f t="shared" si="9"/>
        <v>0</v>
      </c>
      <c r="Y62" s="116">
        <f t="shared" si="10"/>
        <v>0</v>
      </c>
      <c r="Z62" s="116">
        <f t="shared" si="17"/>
        <v>0</v>
      </c>
      <c r="AA62" s="116">
        <f t="shared" si="18"/>
        <v>0</v>
      </c>
      <c r="AB62" s="117">
        <f>'Ratios (C)'!$C$27</f>
        <v>0.72727998160891272</v>
      </c>
      <c r="AC62" s="116">
        <f t="shared" si="15"/>
        <v>0</v>
      </c>
      <c r="AD62" s="116">
        <f t="shared" si="16"/>
        <v>0</v>
      </c>
      <c r="AE62" s="118"/>
      <c r="AF62" s="119"/>
      <c r="AG62" s="120"/>
      <c r="AH62" s="118"/>
      <c r="AI62" s="119"/>
      <c r="AJ62" s="121"/>
    </row>
    <row r="63" spans="2:36" s="9" customFormat="1">
      <c r="B63" s="9">
        <v>3</v>
      </c>
      <c r="C63" s="9" t="s">
        <v>498</v>
      </c>
      <c r="G63" s="9">
        <v>2005</v>
      </c>
      <c r="H63" s="9">
        <v>7</v>
      </c>
      <c r="I63" s="9">
        <v>0</v>
      </c>
      <c r="J63" s="9" t="s">
        <v>78</v>
      </c>
      <c r="K63" s="158" t="s">
        <v>449</v>
      </c>
      <c r="L63" s="9">
        <f t="shared" si="19"/>
        <v>2015</v>
      </c>
      <c r="M63" s="127">
        <f t="shared" si="20"/>
        <v>2015.5833333333333</v>
      </c>
      <c r="N63" s="13">
        <v>1266.43</v>
      </c>
      <c r="O63" s="13">
        <f t="shared" si="21"/>
        <v>1266.43</v>
      </c>
      <c r="P63" s="13">
        <f t="shared" si="22"/>
        <v>10.553583333333334</v>
      </c>
      <c r="Q63" s="13">
        <f t="shared" si="23"/>
        <v>126.643</v>
      </c>
      <c r="R63" s="13">
        <v>0</v>
      </c>
      <c r="S63" s="13">
        <f t="shared" si="24"/>
        <v>0</v>
      </c>
      <c r="T63" s="13">
        <f t="shared" si="25"/>
        <v>1266.43</v>
      </c>
      <c r="U63" s="13">
        <f t="shared" si="26"/>
        <v>1266.43</v>
      </c>
      <c r="V63" s="13">
        <v>0</v>
      </c>
      <c r="W63" s="13">
        <f t="shared" si="27"/>
        <v>0</v>
      </c>
      <c r="X63" s="115">
        <f t="shared" si="9"/>
        <v>0</v>
      </c>
      <c r="Y63" s="116">
        <f t="shared" si="10"/>
        <v>0</v>
      </c>
      <c r="Z63" s="116">
        <f t="shared" si="17"/>
        <v>0</v>
      </c>
      <c r="AA63" s="116">
        <f t="shared" si="18"/>
        <v>0</v>
      </c>
      <c r="AB63" s="117">
        <f>'Ratios (C)'!$C$27</f>
        <v>0.72727998160891272</v>
      </c>
      <c r="AC63" s="116">
        <f t="shared" si="15"/>
        <v>0</v>
      </c>
      <c r="AD63" s="116">
        <f t="shared" si="16"/>
        <v>0</v>
      </c>
      <c r="AE63" s="118"/>
      <c r="AF63" s="119"/>
      <c r="AG63" s="120"/>
      <c r="AH63" s="118"/>
      <c r="AI63" s="119"/>
      <c r="AJ63" s="121"/>
    </row>
    <row r="64" spans="2:36" s="9" customFormat="1">
      <c r="B64" s="9">
        <v>7</v>
      </c>
      <c r="C64" s="9" t="s">
        <v>510</v>
      </c>
      <c r="G64" s="9">
        <v>2005</v>
      </c>
      <c r="H64" s="9">
        <v>7</v>
      </c>
      <c r="I64" s="9">
        <v>0</v>
      </c>
      <c r="J64" s="9" t="s">
        <v>78</v>
      </c>
      <c r="K64" s="158" t="s">
        <v>449</v>
      </c>
      <c r="L64" s="9">
        <f t="shared" si="19"/>
        <v>2015</v>
      </c>
      <c r="M64" s="127">
        <f t="shared" si="20"/>
        <v>2015.5833333333333</v>
      </c>
      <c r="N64" s="13">
        <v>2815.74</v>
      </c>
      <c r="O64" s="13">
        <f t="shared" si="21"/>
        <v>2815.74</v>
      </c>
      <c r="P64" s="13">
        <f t="shared" si="22"/>
        <v>23.464499999999997</v>
      </c>
      <c r="Q64" s="13">
        <f t="shared" si="23"/>
        <v>281.57399999999996</v>
      </c>
      <c r="R64" s="13">
        <v>0</v>
      </c>
      <c r="S64" s="13">
        <f t="shared" si="24"/>
        <v>0</v>
      </c>
      <c r="T64" s="13">
        <f t="shared" si="25"/>
        <v>2815.74</v>
      </c>
      <c r="U64" s="13">
        <f t="shared" si="26"/>
        <v>2815.74</v>
      </c>
      <c r="V64" s="13">
        <v>0</v>
      </c>
      <c r="W64" s="13">
        <f t="shared" si="27"/>
        <v>0</v>
      </c>
      <c r="X64" s="115">
        <f t="shared" si="9"/>
        <v>0</v>
      </c>
      <c r="Y64" s="116">
        <f t="shared" si="10"/>
        <v>0</v>
      </c>
      <c r="Z64" s="116">
        <f t="shared" si="17"/>
        <v>0</v>
      </c>
      <c r="AA64" s="116">
        <f t="shared" si="18"/>
        <v>0</v>
      </c>
      <c r="AB64" s="117">
        <f>'Ratios (C)'!$C$27</f>
        <v>0.72727998160891272</v>
      </c>
      <c r="AC64" s="116">
        <f t="shared" si="15"/>
        <v>0</v>
      </c>
      <c r="AD64" s="116">
        <f t="shared" si="16"/>
        <v>0</v>
      </c>
      <c r="AE64" s="118"/>
      <c r="AF64" s="119"/>
      <c r="AG64" s="120"/>
      <c r="AH64" s="118"/>
      <c r="AI64" s="119"/>
      <c r="AJ64" s="121"/>
    </row>
    <row r="65" spans="2:36" s="9" customFormat="1">
      <c r="B65" s="9">
        <v>16</v>
      </c>
      <c r="C65" s="9" t="s">
        <v>479</v>
      </c>
      <c r="G65" s="9">
        <v>2005</v>
      </c>
      <c r="H65" s="9">
        <v>10</v>
      </c>
      <c r="I65" s="9">
        <v>0</v>
      </c>
      <c r="J65" s="9" t="s">
        <v>78</v>
      </c>
      <c r="K65" s="158" t="s">
        <v>449</v>
      </c>
      <c r="L65" s="9">
        <f t="shared" si="19"/>
        <v>2015</v>
      </c>
      <c r="M65" s="127">
        <f t="shared" si="20"/>
        <v>2015.8333333333333</v>
      </c>
      <c r="N65" s="13">
        <v>5490.81</v>
      </c>
      <c r="O65" s="13">
        <f t="shared" si="21"/>
        <v>5490.81</v>
      </c>
      <c r="P65" s="13">
        <f t="shared" si="22"/>
        <v>45.756750000000004</v>
      </c>
      <c r="Q65" s="13">
        <f t="shared" si="23"/>
        <v>549.08100000000002</v>
      </c>
      <c r="R65" s="13">
        <v>0</v>
      </c>
      <c r="S65" s="13">
        <f t="shared" si="24"/>
        <v>0</v>
      </c>
      <c r="T65" s="13">
        <f t="shared" si="25"/>
        <v>5490.81</v>
      </c>
      <c r="U65" s="13">
        <f t="shared" si="26"/>
        <v>5490.81</v>
      </c>
      <c r="V65" s="13">
        <v>0</v>
      </c>
      <c r="W65" s="13">
        <f t="shared" si="27"/>
        <v>0</v>
      </c>
      <c r="X65" s="115">
        <f t="shared" si="9"/>
        <v>0</v>
      </c>
      <c r="Y65" s="116">
        <f t="shared" si="10"/>
        <v>0</v>
      </c>
      <c r="Z65" s="116">
        <f t="shared" si="17"/>
        <v>0</v>
      </c>
      <c r="AA65" s="116">
        <f t="shared" si="18"/>
        <v>0</v>
      </c>
      <c r="AB65" s="117">
        <f>'Ratios (C)'!$C$27</f>
        <v>0.72727998160891272</v>
      </c>
      <c r="AC65" s="116">
        <f t="shared" si="15"/>
        <v>0</v>
      </c>
      <c r="AD65" s="116">
        <f t="shared" si="16"/>
        <v>0</v>
      </c>
      <c r="AE65" s="118"/>
      <c r="AF65" s="119"/>
      <c r="AG65" s="120"/>
      <c r="AH65" s="118"/>
      <c r="AI65" s="119"/>
      <c r="AJ65" s="121"/>
    </row>
    <row r="66" spans="2:36" s="9" customFormat="1">
      <c r="B66" s="9">
        <v>52</v>
      </c>
      <c r="C66" s="9" t="s">
        <v>479</v>
      </c>
      <c r="G66" s="9">
        <v>2005</v>
      </c>
      <c r="H66" s="9">
        <v>10</v>
      </c>
      <c r="I66" s="9">
        <v>0</v>
      </c>
      <c r="J66" s="9" t="s">
        <v>78</v>
      </c>
      <c r="K66" s="158" t="s">
        <v>449</v>
      </c>
      <c r="L66" s="9">
        <f t="shared" si="19"/>
        <v>2015</v>
      </c>
      <c r="M66" s="127">
        <f t="shared" si="20"/>
        <v>2015.8333333333333</v>
      </c>
      <c r="N66" s="13">
        <v>17582.080000000002</v>
      </c>
      <c r="O66" s="13">
        <f t="shared" si="21"/>
        <v>17582.080000000002</v>
      </c>
      <c r="P66" s="13">
        <f t="shared" si="22"/>
        <v>146.51733333333334</v>
      </c>
      <c r="Q66" s="13">
        <f t="shared" si="23"/>
        <v>1758.2080000000001</v>
      </c>
      <c r="R66" s="13">
        <v>0</v>
      </c>
      <c r="S66" s="13">
        <f t="shared" si="24"/>
        <v>0</v>
      </c>
      <c r="T66" s="13">
        <f t="shared" si="25"/>
        <v>17582.080000000002</v>
      </c>
      <c r="U66" s="13">
        <f t="shared" si="26"/>
        <v>17582.080000000002</v>
      </c>
      <c r="V66" s="13">
        <v>0</v>
      </c>
      <c r="W66" s="13">
        <f t="shared" si="27"/>
        <v>0</v>
      </c>
      <c r="X66" s="115">
        <f t="shared" si="9"/>
        <v>0</v>
      </c>
      <c r="Y66" s="116">
        <f t="shared" si="10"/>
        <v>0</v>
      </c>
      <c r="Z66" s="116">
        <f t="shared" si="17"/>
        <v>0</v>
      </c>
      <c r="AA66" s="116">
        <f t="shared" si="18"/>
        <v>0</v>
      </c>
      <c r="AB66" s="117">
        <f>'Ratios (C)'!$C$27</f>
        <v>0.72727998160891272</v>
      </c>
      <c r="AC66" s="116">
        <f t="shared" si="15"/>
        <v>0</v>
      </c>
      <c r="AD66" s="116">
        <f t="shared" si="16"/>
        <v>0</v>
      </c>
      <c r="AE66" s="118"/>
      <c r="AF66" s="119"/>
      <c r="AG66" s="120"/>
      <c r="AH66" s="118"/>
      <c r="AI66" s="119"/>
      <c r="AJ66" s="121"/>
    </row>
    <row r="67" spans="2:36" s="9" customFormat="1">
      <c r="B67" s="9">
        <v>32</v>
      </c>
      <c r="C67" s="9" t="s">
        <v>462</v>
      </c>
      <c r="G67" s="9">
        <v>2006</v>
      </c>
      <c r="H67" s="9">
        <v>5</v>
      </c>
      <c r="I67" s="9">
        <v>0</v>
      </c>
      <c r="J67" s="9" t="s">
        <v>78</v>
      </c>
      <c r="K67" s="158" t="s">
        <v>449</v>
      </c>
      <c r="L67" s="9">
        <f t="shared" si="19"/>
        <v>2016</v>
      </c>
      <c r="M67" s="127">
        <f t="shared" si="20"/>
        <v>2016.4166666666667</v>
      </c>
      <c r="N67" s="13">
        <v>10790</v>
      </c>
      <c r="O67" s="13">
        <f t="shared" si="21"/>
        <v>10790</v>
      </c>
      <c r="P67" s="13">
        <f t="shared" si="22"/>
        <v>89.916666666666671</v>
      </c>
      <c r="Q67" s="13">
        <f t="shared" si="23"/>
        <v>1079</v>
      </c>
      <c r="R67" s="13">
        <v>0</v>
      </c>
      <c r="S67" s="13">
        <f t="shared" si="24"/>
        <v>0</v>
      </c>
      <c r="T67" s="13">
        <f t="shared" si="25"/>
        <v>10790</v>
      </c>
      <c r="U67" s="13">
        <f t="shared" si="26"/>
        <v>10790</v>
      </c>
      <c r="V67" s="13">
        <v>0</v>
      </c>
      <c r="W67" s="13">
        <f t="shared" si="27"/>
        <v>0</v>
      </c>
      <c r="X67" s="115">
        <f t="shared" si="9"/>
        <v>0</v>
      </c>
      <c r="Y67" s="116">
        <f t="shared" si="10"/>
        <v>0</v>
      </c>
      <c r="Z67" s="116">
        <f t="shared" si="17"/>
        <v>0</v>
      </c>
      <c r="AA67" s="116">
        <f t="shared" si="18"/>
        <v>0</v>
      </c>
      <c r="AB67" s="117">
        <f>'Ratios (C)'!$C$27</f>
        <v>0.72727998160891272</v>
      </c>
      <c r="AC67" s="116">
        <f t="shared" si="15"/>
        <v>0</v>
      </c>
      <c r="AD67" s="116">
        <f t="shared" si="16"/>
        <v>0</v>
      </c>
      <c r="AE67" s="118"/>
      <c r="AF67" s="119"/>
      <c r="AG67" s="120"/>
      <c r="AH67" s="118"/>
      <c r="AI67" s="119"/>
      <c r="AJ67" s="121"/>
    </row>
    <row r="68" spans="2:36" s="9" customFormat="1">
      <c r="B68" s="9">
        <v>20</v>
      </c>
      <c r="C68" s="9" t="s">
        <v>456</v>
      </c>
      <c r="G68" s="9">
        <v>2006</v>
      </c>
      <c r="H68" s="9">
        <v>10</v>
      </c>
      <c r="I68" s="9">
        <v>0</v>
      </c>
      <c r="J68" s="9" t="s">
        <v>78</v>
      </c>
      <c r="K68" s="158" t="s">
        <v>449</v>
      </c>
      <c r="L68" s="9">
        <f t="shared" si="19"/>
        <v>2016</v>
      </c>
      <c r="M68" s="127">
        <f t="shared" si="20"/>
        <v>2016.8333333333333</v>
      </c>
      <c r="N68" s="13">
        <v>5770.75</v>
      </c>
      <c r="O68" s="13">
        <f t="shared" si="21"/>
        <v>5770.75</v>
      </c>
      <c r="P68" s="13">
        <f t="shared" si="22"/>
        <v>48.089583333333337</v>
      </c>
      <c r="Q68" s="13">
        <f t="shared" si="23"/>
        <v>577.07500000000005</v>
      </c>
      <c r="R68" s="13">
        <v>0</v>
      </c>
      <c r="S68" s="13">
        <f t="shared" si="24"/>
        <v>0</v>
      </c>
      <c r="T68" s="13">
        <f t="shared" si="25"/>
        <v>5770.75</v>
      </c>
      <c r="U68" s="13">
        <f t="shared" si="26"/>
        <v>5770.75</v>
      </c>
      <c r="V68" s="13">
        <v>0</v>
      </c>
      <c r="W68" s="13">
        <f t="shared" si="27"/>
        <v>0</v>
      </c>
      <c r="X68" s="115">
        <f t="shared" si="9"/>
        <v>0</v>
      </c>
      <c r="Y68" s="116">
        <f t="shared" si="10"/>
        <v>0</v>
      </c>
      <c r="Z68" s="116">
        <f t="shared" si="17"/>
        <v>0</v>
      </c>
      <c r="AA68" s="116">
        <f t="shared" si="18"/>
        <v>0</v>
      </c>
      <c r="AB68" s="117">
        <f>'Ratios (C)'!$C$27</f>
        <v>0.72727998160891272</v>
      </c>
      <c r="AC68" s="116">
        <f t="shared" si="15"/>
        <v>0</v>
      </c>
      <c r="AD68" s="116">
        <f t="shared" si="16"/>
        <v>0</v>
      </c>
      <c r="AE68" s="118"/>
      <c r="AF68" s="119"/>
      <c r="AG68" s="120"/>
      <c r="AH68" s="118"/>
      <c r="AI68" s="119"/>
      <c r="AJ68" s="121"/>
    </row>
    <row r="69" spans="2:36" s="9" customFormat="1">
      <c r="B69" s="9">
        <v>40</v>
      </c>
      <c r="C69" s="9" t="s">
        <v>456</v>
      </c>
      <c r="G69" s="9">
        <v>2006</v>
      </c>
      <c r="H69" s="9">
        <v>10</v>
      </c>
      <c r="I69" s="9">
        <v>0</v>
      </c>
      <c r="J69" s="9" t="s">
        <v>78</v>
      </c>
      <c r="K69" s="158" t="s">
        <v>449</v>
      </c>
      <c r="L69" s="9">
        <f t="shared" si="19"/>
        <v>2016</v>
      </c>
      <c r="M69" s="127">
        <f t="shared" si="20"/>
        <v>2016.8333333333333</v>
      </c>
      <c r="N69" s="13">
        <v>11541.51</v>
      </c>
      <c r="O69" s="13">
        <f t="shared" si="21"/>
        <v>11541.51</v>
      </c>
      <c r="P69" s="13">
        <f t="shared" si="22"/>
        <v>96.17925000000001</v>
      </c>
      <c r="Q69" s="13">
        <f t="shared" si="23"/>
        <v>1154.1510000000001</v>
      </c>
      <c r="R69" s="13">
        <v>0</v>
      </c>
      <c r="S69" s="13">
        <f t="shared" si="24"/>
        <v>0</v>
      </c>
      <c r="T69" s="13">
        <f t="shared" si="25"/>
        <v>11541.51</v>
      </c>
      <c r="U69" s="13">
        <f t="shared" si="26"/>
        <v>11541.51</v>
      </c>
      <c r="V69" s="13">
        <v>0</v>
      </c>
      <c r="W69" s="13">
        <f t="shared" si="27"/>
        <v>0</v>
      </c>
      <c r="X69" s="115">
        <f t="shared" si="9"/>
        <v>0</v>
      </c>
      <c r="Y69" s="116">
        <f t="shared" si="10"/>
        <v>0</v>
      </c>
      <c r="Z69" s="116">
        <f t="shared" si="17"/>
        <v>0</v>
      </c>
      <c r="AA69" s="116">
        <f t="shared" si="18"/>
        <v>0</v>
      </c>
      <c r="AB69" s="117">
        <f>'Ratios (C)'!$C$27</f>
        <v>0.72727998160891272</v>
      </c>
      <c r="AC69" s="116">
        <f t="shared" si="15"/>
        <v>0</v>
      </c>
      <c r="AD69" s="116">
        <f t="shared" si="16"/>
        <v>0</v>
      </c>
      <c r="AE69" s="118"/>
      <c r="AF69" s="119"/>
      <c r="AG69" s="120"/>
      <c r="AH69" s="118"/>
      <c r="AI69" s="119"/>
      <c r="AJ69" s="121"/>
    </row>
    <row r="70" spans="2:36" s="9" customFormat="1">
      <c r="B70" s="9">
        <v>75</v>
      </c>
      <c r="C70" s="9" t="s">
        <v>455</v>
      </c>
      <c r="G70" s="9">
        <v>2007</v>
      </c>
      <c r="H70" s="9">
        <v>2</v>
      </c>
      <c r="I70" s="9">
        <v>0</v>
      </c>
      <c r="J70" s="9" t="s">
        <v>78</v>
      </c>
      <c r="K70" s="158" t="s">
        <v>449</v>
      </c>
      <c r="L70" s="9">
        <f t="shared" si="19"/>
        <v>2017</v>
      </c>
      <c r="M70" s="127">
        <f t="shared" si="20"/>
        <v>2017.1666666666667</v>
      </c>
      <c r="N70" s="13">
        <v>20563.2</v>
      </c>
      <c r="O70" s="13">
        <f t="shared" si="21"/>
        <v>20563.2</v>
      </c>
      <c r="P70" s="13">
        <f t="shared" si="22"/>
        <v>171.36</v>
      </c>
      <c r="Q70" s="13">
        <f t="shared" si="23"/>
        <v>2056.3200000000002</v>
      </c>
      <c r="R70" s="13">
        <v>0</v>
      </c>
      <c r="S70" s="13">
        <f t="shared" si="24"/>
        <v>0</v>
      </c>
      <c r="T70" s="13">
        <f t="shared" si="25"/>
        <v>20563.2</v>
      </c>
      <c r="U70" s="13">
        <f t="shared" si="26"/>
        <v>20563.2</v>
      </c>
      <c r="V70" s="13">
        <v>0</v>
      </c>
      <c r="W70" s="13">
        <f t="shared" si="27"/>
        <v>0</v>
      </c>
      <c r="X70" s="115">
        <f t="shared" si="9"/>
        <v>0</v>
      </c>
      <c r="Y70" s="116">
        <f t="shared" si="10"/>
        <v>0</v>
      </c>
      <c r="Z70" s="116">
        <f t="shared" si="17"/>
        <v>0</v>
      </c>
      <c r="AA70" s="116">
        <f t="shared" si="18"/>
        <v>0</v>
      </c>
      <c r="AB70" s="117">
        <f>'Ratios (C)'!$C$27</f>
        <v>0.72727998160891272</v>
      </c>
      <c r="AC70" s="116">
        <f t="shared" si="15"/>
        <v>0</v>
      </c>
      <c r="AD70" s="116">
        <f t="shared" si="16"/>
        <v>0</v>
      </c>
      <c r="AE70" s="118"/>
      <c r="AF70" s="119"/>
      <c r="AG70" s="120"/>
      <c r="AH70" s="118"/>
      <c r="AI70" s="119"/>
      <c r="AJ70" s="121"/>
    </row>
    <row r="71" spans="2:36" s="9" customFormat="1">
      <c r="B71" s="9">
        <v>6</v>
      </c>
      <c r="C71" s="9" t="s">
        <v>486</v>
      </c>
      <c r="G71" s="9">
        <v>2007</v>
      </c>
      <c r="H71" s="9">
        <v>6</v>
      </c>
      <c r="I71" s="9">
        <v>0</v>
      </c>
      <c r="J71" s="9" t="s">
        <v>78</v>
      </c>
      <c r="K71" s="158" t="s">
        <v>449</v>
      </c>
      <c r="L71" s="9">
        <f t="shared" si="19"/>
        <v>2017</v>
      </c>
      <c r="M71" s="127">
        <f t="shared" si="20"/>
        <v>2017.5</v>
      </c>
      <c r="N71" s="13">
        <v>1914.46</v>
      </c>
      <c r="O71" s="13">
        <f t="shared" si="21"/>
        <v>1914.46</v>
      </c>
      <c r="P71" s="13">
        <f t="shared" si="22"/>
        <v>15.953833333333334</v>
      </c>
      <c r="Q71" s="13">
        <f t="shared" si="23"/>
        <v>191.446</v>
      </c>
      <c r="R71" s="13">
        <v>0</v>
      </c>
      <c r="S71" s="13">
        <f t="shared" si="24"/>
        <v>0</v>
      </c>
      <c r="T71" s="13">
        <f t="shared" si="25"/>
        <v>1914.46</v>
      </c>
      <c r="U71" s="13">
        <f t="shared" si="26"/>
        <v>1914.46</v>
      </c>
      <c r="V71" s="13">
        <v>0</v>
      </c>
      <c r="W71" s="13">
        <f t="shared" si="27"/>
        <v>0</v>
      </c>
      <c r="X71" s="115">
        <f t="shared" si="9"/>
        <v>0</v>
      </c>
      <c r="Y71" s="116">
        <f t="shared" si="10"/>
        <v>0</v>
      </c>
      <c r="Z71" s="116">
        <f t="shared" si="17"/>
        <v>0</v>
      </c>
      <c r="AA71" s="116">
        <f t="shared" si="18"/>
        <v>0</v>
      </c>
      <c r="AB71" s="117">
        <f>'Ratios (C)'!$C$27</f>
        <v>0.72727998160891272</v>
      </c>
      <c r="AC71" s="116">
        <f t="shared" si="15"/>
        <v>0</v>
      </c>
      <c r="AD71" s="116">
        <f t="shared" si="16"/>
        <v>0</v>
      </c>
      <c r="AE71" s="118"/>
      <c r="AF71" s="119"/>
      <c r="AG71" s="120"/>
      <c r="AH71" s="118"/>
      <c r="AI71" s="119"/>
      <c r="AJ71" s="121"/>
    </row>
    <row r="72" spans="2:36" s="9" customFormat="1">
      <c r="B72" s="9">
        <v>19</v>
      </c>
      <c r="C72" s="9" t="s">
        <v>500</v>
      </c>
      <c r="G72" s="9">
        <v>2007</v>
      </c>
      <c r="H72" s="9">
        <v>12</v>
      </c>
      <c r="I72" s="9">
        <v>0</v>
      </c>
      <c r="J72" s="9" t="s">
        <v>78</v>
      </c>
      <c r="K72" s="158" t="s">
        <v>449</v>
      </c>
      <c r="L72" s="9">
        <f t="shared" si="19"/>
        <v>2017</v>
      </c>
      <c r="M72" s="127">
        <f t="shared" si="20"/>
        <v>2018</v>
      </c>
      <c r="N72" s="13">
        <v>7160.15</v>
      </c>
      <c r="O72" s="13">
        <f t="shared" si="21"/>
        <v>7160.15</v>
      </c>
      <c r="P72" s="13">
        <f t="shared" si="22"/>
        <v>59.667916666666663</v>
      </c>
      <c r="Q72" s="13">
        <f t="shared" si="23"/>
        <v>716.01499999999999</v>
      </c>
      <c r="R72" s="13">
        <v>0</v>
      </c>
      <c r="S72" s="13">
        <f t="shared" si="24"/>
        <v>0</v>
      </c>
      <c r="T72" s="13">
        <f t="shared" si="25"/>
        <v>7160.15</v>
      </c>
      <c r="U72" s="13">
        <f t="shared" si="26"/>
        <v>7160.15</v>
      </c>
      <c r="V72" s="13">
        <v>0</v>
      </c>
      <c r="W72" s="13">
        <f t="shared" si="27"/>
        <v>0</v>
      </c>
      <c r="X72" s="115">
        <f t="shared" si="9"/>
        <v>0</v>
      </c>
      <c r="Y72" s="116">
        <f t="shared" si="10"/>
        <v>0</v>
      </c>
      <c r="Z72" s="116">
        <f t="shared" si="17"/>
        <v>0</v>
      </c>
      <c r="AA72" s="116">
        <f t="shared" si="18"/>
        <v>0</v>
      </c>
      <c r="AB72" s="117">
        <f>'Ratios (C)'!$C$27</f>
        <v>0.72727998160891272</v>
      </c>
      <c r="AC72" s="116">
        <f t="shared" si="15"/>
        <v>0</v>
      </c>
      <c r="AD72" s="116">
        <f t="shared" si="16"/>
        <v>0</v>
      </c>
      <c r="AE72" s="118"/>
      <c r="AF72" s="119"/>
      <c r="AG72" s="120"/>
      <c r="AH72" s="118"/>
      <c r="AI72" s="119"/>
      <c r="AJ72" s="121"/>
    </row>
    <row r="73" spans="2:36" s="9" customFormat="1">
      <c r="B73" s="9">
        <v>37</v>
      </c>
      <c r="C73" s="9" t="s">
        <v>486</v>
      </c>
      <c r="G73" s="9">
        <v>2008</v>
      </c>
      <c r="H73" s="9">
        <v>1</v>
      </c>
      <c r="I73" s="9">
        <v>0</v>
      </c>
      <c r="J73" s="9" t="s">
        <v>78</v>
      </c>
      <c r="K73" s="158" t="s">
        <v>449</v>
      </c>
      <c r="L73" s="9">
        <f t="shared" si="19"/>
        <v>2018</v>
      </c>
      <c r="M73" s="127">
        <f t="shared" si="20"/>
        <v>2018.0833333333333</v>
      </c>
      <c r="N73" s="13">
        <v>12455.98</v>
      </c>
      <c r="O73" s="13">
        <f t="shared" si="21"/>
        <v>12455.98</v>
      </c>
      <c r="P73" s="13">
        <f t="shared" si="22"/>
        <v>103.79983333333332</v>
      </c>
      <c r="Q73" s="13">
        <f t="shared" si="23"/>
        <v>1245.598</v>
      </c>
      <c r="R73" s="13">
        <v>0</v>
      </c>
      <c r="S73" s="13">
        <f t="shared" si="24"/>
        <v>0</v>
      </c>
      <c r="T73" s="13">
        <f t="shared" si="25"/>
        <v>12455.98</v>
      </c>
      <c r="U73" s="13">
        <f t="shared" si="26"/>
        <v>12455.98</v>
      </c>
      <c r="V73" s="13">
        <v>0</v>
      </c>
      <c r="W73" s="13">
        <f t="shared" si="27"/>
        <v>0</v>
      </c>
      <c r="X73" s="115">
        <f t="shared" si="9"/>
        <v>0</v>
      </c>
      <c r="Y73" s="116">
        <f t="shared" si="10"/>
        <v>0</v>
      </c>
      <c r="Z73" s="116">
        <f t="shared" si="17"/>
        <v>0</v>
      </c>
      <c r="AA73" s="116">
        <f t="shared" si="18"/>
        <v>0</v>
      </c>
      <c r="AB73" s="117">
        <f>'Ratios (C)'!$C$27</f>
        <v>0.72727998160891272</v>
      </c>
      <c r="AC73" s="116">
        <f t="shared" si="15"/>
        <v>0</v>
      </c>
      <c r="AD73" s="116">
        <f t="shared" si="16"/>
        <v>0</v>
      </c>
      <c r="AE73" s="118"/>
      <c r="AF73" s="119"/>
      <c r="AG73" s="120"/>
      <c r="AH73" s="118"/>
      <c r="AI73" s="119"/>
      <c r="AJ73" s="121"/>
    </row>
    <row r="74" spans="2:36" s="9" customFormat="1">
      <c r="B74" s="9">
        <v>47</v>
      </c>
      <c r="C74" s="9" t="s">
        <v>486</v>
      </c>
      <c r="G74" s="9">
        <v>2008</v>
      </c>
      <c r="H74" s="9">
        <v>1</v>
      </c>
      <c r="I74" s="9">
        <v>0</v>
      </c>
      <c r="J74" s="9" t="s">
        <v>78</v>
      </c>
      <c r="K74" s="158" t="s">
        <v>449</v>
      </c>
      <c r="L74" s="9">
        <f t="shared" si="19"/>
        <v>2018</v>
      </c>
      <c r="M74" s="127">
        <f t="shared" si="20"/>
        <v>2018.0833333333333</v>
      </c>
      <c r="N74" s="13">
        <v>16047.51</v>
      </c>
      <c r="O74" s="13">
        <f t="shared" si="21"/>
        <v>16047.51</v>
      </c>
      <c r="P74" s="13">
        <f t="shared" si="22"/>
        <v>133.72925000000001</v>
      </c>
      <c r="Q74" s="13">
        <f t="shared" si="23"/>
        <v>1604.7510000000002</v>
      </c>
      <c r="R74" s="13">
        <v>0</v>
      </c>
      <c r="S74" s="13">
        <f t="shared" si="24"/>
        <v>0</v>
      </c>
      <c r="T74" s="13">
        <f t="shared" si="25"/>
        <v>16047.51</v>
      </c>
      <c r="U74" s="13">
        <f t="shared" si="26"/>
        <v>16047.51</v>
      </c>
      <c r="V74" s="13">
        <v>0</v>
      </c>
      <c r="W74" s="13">
        <f t="shared" si="27"/>
        <v>0</v>
      </c>
      <c r="X74" s="115">
        <f t="shared" si="9"/>
        <v>0</v>
      </c>
      <c r="Y74" s="116">
        <f t="shared" si="10"/>
        <v>0</v>
      </c>
      <c r="Z74" s="116">
        <f t="shared" si="17"/>
        <v>0</v>
      </c>
      <c r="AA74" s="116">
        <f t="shared" si="18"/>
        <v>0</v>
      </c>
      <c r="AB74" s="117">
        <f>'Ratios (C)'!$C$27</f>
        <v>0.72727998160891272</v>
      </c>
      <c r="AC74" s="116">
        <f t="shared" si="15"/>
        <v>0</v>
      </c>
      <c r="AD74" s="116">
        <f t="shared" si="16"/>
        <v>0</v>
      </c>
      <c r="AE74" s="118"/>
      <c r="AF74" s="119"/>
      <c r="AG74" s="120"/>
      <c r="AH74" s="118"/>
      <c r="AI74" s="119"/>
      <c r="AJ74" s="121"/>
    </row>
    <row r="75" spans="2:36" s="9" customFormat="1">
      <c r="B75" s="9">
        <v>37</v>
      </c>
      <c r="C75" s="9" t="s">
        <v>498</v>
      </c>
      <c r="G75" s="9">
        <v>2008</v>
      </c>
      <c r="H75" s="9">
        <v>4</v>
      </c>
      <c r="I75" s="9">
        <v>0</v>
      </c>
      <c r="J75" s="9" t="s">
        <v>78</v>
      </c>
      <c r="K75" s="158" t="s">
        <v>449</v>
      </c>
      <c r="L75" s="9">
        <f t="shared" si="19"/>
        <v>2018</v>
      </c>
      <c r="M75" s="127">
        <f t="shared" si="20"/>
        <v>2018.3333333333333</v>
      </c>
      <c r="N75" s="13">
        <v>13973.8</v>
      </c>
      <c r="O75" s="13">
        <f t="shared" si="21"/>
        <v>13973.8</v>
      </c>
      <c r="P75" s="13">
        <f t="shared" si="22"/>
        <v>116.44833333333332</v>
      </c>
      <c r="Q75" s="13">
        <f t="shared" si="23"/>
        <v>1397.3799999999999</v>
      </c>
      <c r="R75" s="13">
        <v>0</v>
      </c>
      <c r="S75" s="13">
        <f t="shared" si="24"/>
        <v>0</v>
      </c>
      <c r="T75" s="13">
        <f t="shared" si="25"/>
        <v>13973.8</v>
      </c>
      <c r="U75" s="13">
        <f t="shared" si="26"/>
        <v>13973.8</v>
      </c>
      <c r="V75" s="13">
        <v>0</v>
      </c>
      <c r="W75" s="13">
        <f t="shared" si="27"/>
        <v>0</v>
      </c>
      <c r="X75" s="115">
        <f t="shared" si="9"/>
        <v>0</v>
      </c>
      <c r="Y75" s="116">
        <f t="shared" si="10"/>
        <v>0</v>
      </c>
      <c r="Z75" s="116">
        <f t="shared" si="17"/>
        <v>0</v>
      </c>
      <c r="AA75" s="116">
        <f t="shared" si="18"/>
        <v>0</v>
      </c>
      <c r="AB75" s="117">
        <f>'Ratios (C)'!$C$27</f>
        <v>0.72727998160891272</v>
      </c>
      <c r="AC75" s="116">
        <f t="shared" si="15"/>
        <v>0</v>
      </c>
      <c r="AD75" s="116">
        <f t="shared" si="16"/>
        <v>0</v>
      </c>
      <c r="AE75" s="118"/>
      <c r="AF75" s="119"/>
      <c r="AG75" s="120"/>
      <c r="AH75" s="118"/>
      <c r="AI75" s="119"/>
      <c r="AJ75" s="121"/>
    </row>
    <row r="76" spans="2:36" s="9" customFormat="1">
      <c r="B76" s="9">
        <v>74</v>
      </c>
      <c r="C76" s="9" t="s">
        <v>486</v>
      </c>
      <c r="G76" s="9">
        <v>2008</v>
      </c>
      <c r="H76" s="9">
        <v>5</v>
      </c>
      <c r="I76" s="9">
        <v>0</v>
      </c>
      <c r="J76" s="9" t="s">
        <v>78</v>
      </c>
      <c r="K76" s="158" t="s">
        <v>449</v>
      </c>
      <c r="L76" s="9">
        <f t="shared" si="19"/>
        <v>2018</v>
      </c>
      <c r="M76" s="127">
        <f t="shared" si="20"/>
        <v>2018.4166666666667</v>
      </c>
      <c r="N76" s="13">
        <v>25157.200000000001</v>
      </c>
      <c r="O76" s="13">
        <f t="shared" si="21"/>
        <v>25157.200000000001</v>
      </c>
      <c r="P76" s="13">
        <f t="shared" si="22"/>
        <v>209.64333333333335</v>
      </c>
      <c r="Q76" s="13">
        <f t="shared" si="23"/>
        <v>2515.7200000000003</v>
      </c>
      <c r="R76" s="13">
        <v>0</v>
      </c>
      <c r="S76" s="13">
        <f>+IF(M76&lt;=$O$5,0,IF(L76&gt;$O$4,Q76,(P76*H76)))</f>
        <v>0</v>
      </c>
      <c r="T76" s="13">
        <f t="shared" si="25"/>
        <v>25157.200000000001</v>
      </c>
      <c r="U76" s="13">
        <f t="shared" si="26"/>
        <v>25157.200000000001</v>
      </c>
      <c r="V76" s="13">
        <v>0</v>
      </c>
      <c r="W76" s="13">
        <f t="shared" si="27"/>
        <v>0</v>
      </c>
      <c r="X76" s="115">
        <f t="shared" si="9"/>
        <v>0</v>
      </c>
      <c r="Y76" s="116">
        <f t="shared" si="10"/>
        <v>0</v>
      </c>
      <c r="Z76" s="116">
        <f t="shared" si="17"/>
        <v>0</v>
      </c>
      <c r="AA76" s="116">
        <f t="shared" si="18"/>
        <v>0</v>
      </c>
      <c r="AB76" s="117">
        <f>'Ratios (C)'!$C$27</f>
        <v>0.72727998160891272</v>
      </c>
      <c r="AC76" s="116">
        <f t="shared" si="15"/>
        <v>0</v>
      </c>
      <c r="AD76" s="116">
        <f t="shared" si="16"/>
        <v>0</v>
      </c>
      <c r="AE76" s="118"/>
      <c r="AF76" s="119"/>
      <c r="AG76" s="120"/>
      <c r="AH76" s="118"/>
      <c r="AI76" s="119"/>
      <c r="AJ76" s="121"/>
    </row>
    <row r="77" spans="2:36" s="9" customFormat="1">
      <c r="B77" s="9">
        <v>170</v>
      </c>
      <c r="C77" s="9" t="s">
        <v>532</v>
      </c>
      <c r="E77" s="9">
        <v>182368</v>
      </c>
      <c r="G77" s="9">
        <v>2008</v>
      </c>
      <c r="H77" s="9">
        <v>11</v>
      </c>
      <c r="I77" s="9">
        <v>0</v>
      </c>
      <c r="J77" s="9" t="s">
        <v>78</v>
      </c>
      <c r="K77" s="158">
        <v>12</v>
      </c>
      <c r="L77" s="9">
        <f t="shared" ref="L77:L108" si="28">G77+K77</f>
        <v>2020</v>
      </c>
      <c r="M77" s="127">
        <f t="shared" ref="M77:M108" si="29">+L77+(H77/12)</f>
        <v>2020.9166666666667</v>
      </c>
      <c r="N77" s="13">
        <v>41700</v>
      </c>
      <c r="O77" s="13">
        <f t="shared" ref="O77:O108" si="30">N77-N77*I77</f>
        <v>41700</v>
      </c>
      <c r="P77" s="13">
        <f t="shared" ref="P77:P108" si="31">O77/K77/12</f>
        <v>289.58333333333331</v>
      </c>
      <c r="Q77" s="13">
        <f t="shared" ref="Q77:Q108" si="32">P77*12</f>
        <v>3475</v>
      </c>
      <c r="R77" s="13">
        <v>3475</v>
      </c>
      <c r="S77" s="13">
        <f t="shared" ref="S77:S85" si="33">+IF(M77&lt;=$O$5,0,IF(L77&gt;$O$4,Q77,(P77*H77)))</f>
        <v>0</v>
      </c>
      <c r="T77" s="13">
        <f t="shared" ref="T77:T108" si="34">+IF(S77=0,N77,IF($O$3-G77&lt;1,0,(($O$3-G77)*Q77)))</f>
        <v>41700</v>
      </c>
      <c r="U77" s="13">
        <f t="shared" ref="U77:U108" si="35">+IF(S77=0,T77,T77+S77)</f>
        <v>41700</v>
      </c>
      <c r="V77" s="13">
        <v>3475</v>
      </c>
      <c r="W77" s="13">
        <f t="shared" ref="W77:W95" si="36">+N77-U77</f>
        <v>0</v>
      </c>
      <c r="X77" s="115">
        <f t="shared" si="9"/>
        <v>0</v>
      </c>
      <c r="Y77" s="116">
        <f t="shared" si="10"/>
        <v>0</v>
      </c>
      <c r="Z77" s="116">
        <f>X77-R77</f>
        <v>-3475</v>
      </c>
      <c r="AA77" s="116">
        <f>Y77-V77</f>
        <v>-3475</v>
      </c>
      <c r="AB77" s="117">
        <f>'Ratios (C)'!$C$27</f>
        <v>0.72727998160891272</v>
      </c>
      <c r="AC77" s="116">
        <f t="shared" si="15"/>
        <v>0</v>
      </c>
      <c r="AD77" s="116">
        <f t="shared" si="16"/>
        <v>0</v>
      </c>
      <c r="AE77" s="118"/>
      <c r="AF77" s="119"/>
      <c r="AG77" s="120"/>
      <c r="AH77" s="118"/>
      <c r="AI77" s="119"/>
      <c r="AJ77" s="121"/>
    </row>
    <row r="78" spans="2:36" s="9" customFormat="1">
      <c r="B78" s="9">
        <v>13</v>
      </c>
      <c r="C78" s="9" t="s">
        <v>474</v>
      </c>
      <c r="G78" s="9">
        <v>2010</v>
      </c>
      <c r="H78" s="9">
        <v>6</v>
      </c>
      <c r="I78" s="9">
        <v>0</v>
      </c>
      <c r="J78" s="9" t="s">
        <v>78</v>
      </c>
      <c r="K78" s="158" t="s">
        <v>449</v>
      </c>
      <c r="L78" s="9">
        <f t="shared" si="28"/>
        <v>2020</v>
      </c>
      <c r="M78" s="127">
        <f t="shared" si="29"/>
        <v>2020.5</v>
      </c>
      <c r="N78" s="13">
        <v>6771.14</v>
      </c>
      <c r="O78" s="13">
        <f t="shared" si="30"/>
        <v>6771.14</v>
      </c>
      <c r="P78" s="13">
        <f t="shared" si="31"/>
        <v>56.426166666666667</v>
      </c>
      <c r="Q78" s="13">
        <f t="shared" si="32"/>
        <v>677.11400000000003</v>
      </c>
      <c r="R78" s="13">
        <v>677.11400000000003</v>
      </c>
      <c r="S78" s="13">
        <f t="shared" si="33"/>
        <v>0</v>
      </c>
      <c r="T78" s="13">
        <f t="shared" si="34"/>
        <v>6771.14</v>
      </c>
      <c r="U78" s="13">
        <f t="shared" si="35"/>
        <v>6771.14</v>
      </c>
      <c r="V78" s="13">
        <v>677.11400000000049</v>
      </c>
      <c r="W78" s="13">
        <f t="shared" si="36"/>
        <v>0</v>
      </c>
      <c r="X78" s="115">
        <f t="shared" ref="X78:X141" si="37">S78</f>
        <v>0</v>
      </c>
      <c r="Y78" s="116">
        <f t="shared" ref="Y78:Y141" si="38">W78</f>
        <v>0</v>
      </c>
      <c r="Z78" s="116">
        <f t="shared" si="17"/>
        <v>-677.11400000000003</v>
      </c>
      <c r="AA78" s="116">
        <f t="shared" si="18"/>
        <v>-677.11400000000049</v>
      </c>
      <c r="AB78" s="117">
        <f>'Ratios (C)'!$C$27</f>
        <v>0.72727998160891272</v>
      </c>
      <c r="AC78" s="116">
        <f t="shared" si="15"/>
        <v>0</v>
      </c>
      <c r="AD78" s="116">
        <f t="shared" si="16"/>
        <v>0</v>
      </c>
      <c r="AE78" s="118"/>
      <c r="AF78" s="119"/>
      <c r="AG78" s="120"/>
      <c r="AH78" s="118"/>
      <c r="AI78" s="119"/>
      <c r="AJ78" s="121"/>
    </row>
    <row r="79" spans="2:36" s="9" customFormat="1">
      <c r="B79" s="9">
        <v>15</v>
      </c>
      <c r="C79" s="9" t="s">
        <v>493</v>
      </c>
      <c r="E79" s="9">
        <v>75722</v>
      </c>
      <c r="G79" s="9">
        <v>2010</v>
      </c>
      <c r="H79" s="9">
        <v>6</v>
      </c>
      <c r="I79" s="9">
        <v>0</v>
      </c>
      <c r="J79" s="9" t="s">
        <v>78</v>
      </c>
      <c r="K79" s="158" t="s">
        <v>449</v>
      </c>
      <c r="L79" s="9">
        <f t="shared" si="28"/>
        <v>2020</v>
      </c>
      <c r="M79" s="127">
        <f t="shared" si="29"/>
        <v>2020.5</v>
      </c>
      <c r="N79" s="13">
        <v>10520</v>
      </c>
      <c r="O79" s="13">
        <f t="shared" si="30"/>
        <v>10520</v>
      </c>
      <c r="P79" s="13">
        <f t="shared" si="31"/>
        <v>87.666666666666671</v>
      </c>
      <c r="Q79" s="13">
        <f t="shared" si="32"/>
        <v>1052</v>
      </c>
      <c r="R79" s="13">
        <v>1052</v>
      </c>
      <c r="S79" s="13">
        <f t="shared" si="33"/>
        <v>0</v>
      </c>
      <c r="T79" s="13">
        <f t="shared" si="34"/>
        <v>10520</v>
      </c>
      <c r="U79" s="13">
        <f t="shared" si="35"/>
        <v>10520</v>
      </c>
      <c r="V79" s="13">
        <v>1052</v>
      </c>
      <c r="W79" s="13">
        <f t="shared" si="36"/>
        <v>0</v>
      </c>
      <c r="X79" s="115">
        <f t="shared" si="37"/>
        <v>0</v>
      </c>
      <c r="Y79" s="116">
        <f t="shared" si="38"/>
        <v>0</v>
      </c>
      <c r="Z79" s="116">
        <f t="shared" si="17"/>
        <v>-1052</v>
      </c>
      <c r="AA79" s="116">
        <f t="shared" si="18"/>
        <v>-1052</v>
      </c>
      <c r="AB79" s="117">
        <f>'Ratios (C)'!$C$27</f>
        <v>0.72727998160891272</v>
      </c>
      <c r="AC79" s="116">
        <f t="shared" si="15"/>
        <v>0</v>
      </c>
      <c r="AD79" s="116">
        <f t="shared" si="16"/>
        <v>0</v>
      </c>
      <c r="AE79" s="118"/>
      <c r="AF79" s="119"/>
      <c r="AG79" s="120"/>
      <c r="AH79" s="118"/>
      <c r="AI79" s="119"/>
      <c r="AJ79" s="121"/>
    </row>
    <row r="80" spans="2:36" s="9" customFormat="1">
      <c r="B80" s="9">
        <f>24-4</f>
        <v>20</v>
      </c>
      <c r="C80" s="9" t="s">
        <v>448</v>
      </c>
      <c r="E80" s="9">
        <v>77554</v>
      </c>
      <c r="G80" s="9">
        <v>2010</v>
      </c>
      <c r="H80" s="9">
        <v>9</v>
      </c>
      <c r="I80" s="9">
        <v>0</v>
      </c>
      <c r="J80" s="9" t="s">
        <v>78</v>
      </c>
      <c r="K80" s="158" t="s">
        <v>449</v>
      </c>
      <c r="L80" s="9">
        <f t="shared" si="28"/>
        <v>2020</v>
      </c>
      <c r="M80" s="127">
        <f t="shared" si="29"/>
        <v>2020.75</v>
      </c>
      <c r="N80" s="13">
        <f>(9050.04/24)*20</f>
        <v>7541.7000000000007</v>
      </c>
      <c r="O80" s="13">
        <f t="shared" si="30"/>
        <v>7541.7000000000007</v>
      </c>
      <c r="P80" s="13">
        <f t="shared" si="31"/>
        <v>62.847500000000004</v>
      </c>
      <c r="Q80" s="13">
        <f t="shared" si="32"/>
        <v>754.17000000000007</v>
      </c>
      <c r="R80" s="13">
        <v>754.17000000000007</v>
      </c>
      <c r="S80" s="13">
        <f t="shared" si="33"/>
        <v>0</v>
      </c>
      <c r="T80" s="13">
        <f t="shared" si="34"/>
        <v>7541.7000000000007</v>
      </c>
      <c r="U80" s="13">
        <f t="shared" si="35"/>
        <v>7541.7000000000007</v>
      </c>
      <c r="V80" s="13">
        <v>754.17000000000007</v>
      </c>
      <c r="W80" s="13">
        <f t="shared" si="36"/>
        <v>0</v>
      </c>
      <c r="X80" s="115">
        <f t="shared" si="37"/>
        <v>0</v>
      </c>
      <c r="Y80" s="116">
        <f t="shared" si="38"/>
        <v>0</v>
      </c>
      <c r="Z80" s="116">
        <f t="shared" si="17"/>
        <v>-754.17000000000007</v>
      </c>
      <c r="AA80" s="116">
        <f t="shared" si="18"/>
        <v>-754.17000000000007</v>
      </c>
      <c r="AB80" s="117">
        <f>'Ratios (C)'!$C$27</f>
        <v>0.72727998160891272</v>
      </c>
      <c r="AC80" s="116">
        <f t="shared" si="15"/>
        <v>0</v>
      </c>
      <c r="AD80" s="116">
        <f t="shared" si="16"/>
        <v>0</v>
      </c>
      <c r="AE80" s="118"/>
      <c r="AF80" s="119"/>
      <c r="AG80" s="120"/>
      <c r="AH80" s="118"/>
      <c r="AI80" s="119"/>
      <c r="AJ80" s="121"/>
    </row>
    <row r="81" spans="2:36" s="9" customFormat="1">
      <c r="B81" s="9">
        <v>3</v>
      </c>
      <c r="C81" s="9" t="s">
        <v>520</v>
      </c>
      <c r="E81" s="9">
        <v>78591</v>
      </c>
      <c r="G81" s="9">
        <v>2010</v>
      </c>
      <c r="H81" s="9">
        <v>9</v>
      </c>
      <c r="I81" s="9">
        <v>0</v>
      </c>
      <c r="J81" s="9" t="s">
        <v>78</v>
      </c>
      <c r="K81" s="158" t="s">
        <v>449</v>
      </c>
      <c r="L81" s="9">
        <f t="shared" si="28"/>
        <v>2020</v>
      </c>
      <c r="M81" s="127">
        <f t="shared" si="29"/>
        <v>2020.75</v>
      </c>
      <c r="N81" s="13">
        <v>2426.46</v>
      </c>
      <c r="O81" s="13">
        <f t="shared" si="30"/>
        <v>2426.46</v>
      </c>
      <c r="P81" s="13">
        <f t="shared" si="31"/>
        <v>20.220500000000001</v>
      </c>
      <c r="Q81" s="13">
        <f t="shared" si="32"/>
        <v>242.64600000000002</v>
      </c>
      <c r="R81" s="13">
        <v>242.64600000000002</v>
      </c>
      <c r="S81" s="13">
        <f t="shared" si="33"/>
        <v>0</v>
      </c>
      <c r="T81" s="13">
        <f t="shared" si="34"/>
        <v>2426.46</v>
      </c>
      <c r="U81" s="13">
        <f t="shared" si="35"/>
        <v>2426.46</v>
      </c>
      <c r="V81" s="13">
        <v>242.64599999999973</v>
      </c>
      <c r="W81" s="13">
        <f t="shared" si="36"/>
        <v>0</v>
      </c>
      <c r="X81" s="115">
        <f t="shared" si="37"/>
        <v>0</v>
      </c>
      <c r="Y81" s="116">
        <f t="shared" si="38"/>
        <v>0</v>
      </c>
      <c r="Z81" s="116">
        <f t="shared" si="17"/>
        <v>-242.64600000000002</v>
      </c>
      <c r="AA81" s="116">
        <f t="shared" si="18"/>
        <v>-242.64599999999973</v>
      </c>
      <c r="AB81" s="117">
        <f>'Ratios (C)'!$C$27</f>
        <v>0.72727998160891272</v>
      </c>
      <c r="AC81" s="116">
        <f t="shared" ref="AC81:AC144" si="39">X81*AB81</f>
        <v>0</v>
      </c>
      <c r="AD81" s="116">
        <f t="shared" ref="AD81:AD144" si="40">Y81*AB81</f>
        <v>0</v>
      </c>
      <c r="AE81" s="118"/>
      <c r="AF81" s="119"/>
      <c r="AG81" s="120"/>
      <c r="AH81" s="118"/>
      <c r="AI81" s="119"/>
      <c r="AJ81" s="121"/>
    </row>
    <row r="82" spans="2:36" s="9" customFormat="1">
      <c r="B82" s="9">
        <v>11</v>
      </c>
      <c r="C82" s="9" t="s">
        <v>520</v>
      </c>
      <c r="E82" s="9">
        <v>78590</v>
      </c>
      <c r="G82" s="9">
        <v>2010</v>
      </c>
      <c r="H82" s="9">
        <v>9</v>
      </c>
      <c r="I82" s="9">
        <v>0</v>
      </c>
      <c r="J82" s="9" t="s">
        <v>78</v>
      </c>
      <c r="K82" s="158" t="s">
        <v>449</v>
      </c>
      <c r="L82" s="9">
        <f t="shared" si="28"/>
        <v>2020</v>
      </c>
      <c r="M82" s="127">
        <f t="shared" si="29"/>
        <v>2020.75</v>
      </c>
      <c r="N82" s="13">
        <v>8897.02</v>
      </c>
      <c r="O82" s="13">
        <f t="shared" si="30"/>
        <v>8897.02</v>
      </c>
      <c r="P82" s="13">
        <f t="shared" si="31"/>
        <v>74.141833333333338</v>
      </c>
      <c r="Q82" s="13">
        <f t="shared" si="32"/>
        <v>889.702</v>
      </c>
      <c r="R82" s="13">
        <v>889.702</v>
      </c>
      <c r="S82" s="13">
        <f t="shared" si="33"/>
        <v>0</v>
      </c>
      <c r="T82" s="13">
        <f t="shared" si="34"/>
        <v>8897.02</v>
      </c>
      <c r="U82" s="13">
        <f t="shared" si="35"/>
        <v>8897.02</v>
      </c>
      <c r="V82" s="13">
        <v>889.70200000000023</v>
      </c>
      <c r="W82" s="13">
        <f t="shared" si="36"/>
        <v>0</v>
      </c>
      <c r="X82" s="115">
        <f t="shared" si="37"/>
        <v>0</v>
      </c>
      <c r="Y82" s="116">
        <f t="shared" si="38"/>
        <v>0</v>
      </c>
      <c r="Z82" s="116">
        <f t="shared" si="17"/>
        <v>-889.702</v>
      </c>
      <c r="AA82" s="116">
        <f t="shared" si="18"/>
        <v>-889.70200000000023</v>
      </c>
      <c r="AB82" s="117">
        <f>'Ratios (C)'!$C$27</f>
        <v>0.72727998160891272</v>
      </c>
      <c r="AC82" s="116">
        <f t="shared" si="39"/>
        <v>0</v>
      </c>
      <c r="AD82" s="116">
        <f t="shared" si="40"/>
        <v>0</v>
      </c>
      <c r="AE82" s="118"/>
      <c r="AF82" s="119"/>
      <c r="AG82" s="120"/>
      <c r="AH82" s="118"/>
      <c r="AI82" s="119"/>
      <c r="AJ82" s="121"/>
    </row>
    <row r="83" spans="2:36" s="9" customFormat="1">
      <c r="B83" s="9">
        <v>11</v>
      </c>
      <c r="C83" s="9" t="s">
        <v>520</v>
      </c>
      <c r="E83" s="9">
        <v>78589</v>
      </c>
      <c r="G83" s="9">
        <v>2010</v>
      </c>
      <c r="H83" s="9">
        <v>9</v>
      </c>
      <c r="I83" s="9">
        <v>0</v>
      </c>
      <c r="J83" s="9" t="s">
        <v>78</v>
      </c>
      <c r="K83" s="158" t="s">
        <v>449</v>
      </c>
      <c r="L83" s="9">
        <f t="shared" si="28"/>
        <v>2020</v>
      </c>
      <c r="M83" s="127">
        <f t="shared" si="29"/>
        <v>2020.75</v>
      </c>
      <c r="N83" s="13">
        <v>8897.02</v>
      </c>
      <c r="O83" s="13">
        <f t="shared" si="30"/>
        <v>8897.02</v>
      </c>
      <c r="P83" s="13">
        <f t="shared" si="31"/>
        <v>74.141833333333338</v>
      </c>
      <c r="Q83" s="13">
        <f t="shared" si="32"/>
        <v>889.702</v>
      </c>
      <c r="R83" s="13">
        <v>889.702</v>
      </c>
      <c r="S83" s="13">
        <f t="shared" si="33"/>
        <v>0</v>
      </c>
      <c r="T83" s="13">
        <f t="shared" si="34"/>
        <v>8897.02</v>
      </c>
      <c r="U83" s="13">
        <f t="shared" si="35"/>
        <v>8897.02</v>
      </c>
      <c r="V83" s="13">
        <v>889.70200000000023</v>
      </c>
      <c r="W83" s="13">
        <f t="shared" si="36"/>
        <v>0</v>
      </c>
      <c r="X83" s="115">
        <f t="shared" si="37"/>
        <v>0</v>
      </c>
      <c r="Y83" s="116">
        <f t="shared" si="38"/>
        <v>0</v>
      </c>
      <c r="Z83" s="116">
        <f t="shared" si="17"/>
        <v>-889.702</v>
      </c>
      <c r="AA83" s="116">
        <f t="shared" si="18"/>
        <v>-889.70200000000023</v>
      </c>
      <c r="AB83" s="117">
        <f>'Ratios (C)'!$C$27</f>
        <v>0.72727998160891272</v>
      </c>
      <c r="AC83" s="116">
        <f t="shared" si="39"/>
        <v>0</v>
      </c>
      <c r="AD83" s="116">
        <f t="shared" si="40"/>
        <v>0</v>
      </c>
      <c r="AE83" s="118"/>
      <c r="AF83" s="119"/>
      <c r="AG83" s="120"/>
      <c r="AH83" s="118"/>
      <c r="AI83" s="119"/>
      <c r="AJ83" s="121"/>
    </row>
    <row r="84" spans="2:36" s="9" customFormat="1">
      <c r="B84" s="9">
        <v>11</v>
      </c>
      <c r="C84" s="9" t="s">
        <v>520</v>
      </c>
      <c r="E84" s="9">
        <v>78588</v>
      </c>
      <c r="G84" s="9">
        <v>2010</v>
      </c>
      <c r="H84" s="9">
        <v>9</v>
      </c>
      <c r="I84" s="9">
        <v>0</v>
      </c>
      <c r="J84" s="9" t="s">
        <v>78</v>
      </c>
      <c r="K84" s="158" t="s">
        <v>449</v>
      </c>
      <c r="L84" s="9">
        <f t="shared" si="28"/>
        <v>2020</v>
      </c>
      <c r="M84" s="127">
        <f t="shared" si="29"/>
        <v>2020.75</v>
      </c>
      <c r="N84" s="13">
        <v>8897.02</v>
      </c>
      <c r="O84" s="13">
        <f t="shared" si="30"/>
        <v>8897.02</v>
      </c>
      <c r="P84" s="13">
        <f t="shared" si="31"/>
        <v>74.141833333333338</v>
      </c>
      <c r="Q84" s="13">
        <f t="shared" si="32"/>
        <v>889.702</v>
      </c>
      <c r="R84" s="13">
        <v>889.702</v>
      </c>
      <c r="S84" s="13">
        <f t="shared" si="33"/>
        <v>0</v>
      </c>
      <c r="T84" s="13">
        <f t="shared" si="34"/>
        <v>8897.02</v>
      </c>
      <c r="U84" s="13">
        <f t="shared" si="35"/>
        <v>8897.02</v>
      </c>
      <c r="V84" s="13">
        <v>889.70200000000023</v>
      </c>
      <c r="W84" s="13">
        <f t="shared" si="36"/>
        <v>0</v>
      </c>
      <c r="X84" s="115">
        <f t="shared" si="37"/>
        <v>0</v>
      </c>
      <c r="Y84" s="116">
        <f t="shared" si="38"/>
        <v>0</v>
      </c>
      <c r="Z84" s="116">
        <f t="shared" si="17"/>
        <v>-889.702</v>
      </c>
      <c r="AA84" s="116">
        <f t="shared" si="18"/>
        <v>-889.70200000000023</v>
      </c>
      <c r="AB84" s="117">
        <f>'Ratios (C)'!$C$27</f>
        <v>0.72727998160891272</v>
      </c>
      <c r="AC84" s="116">
        <f t="shared" si="39"/>
        <v>0</v>
      </c>
      <c r="AD84" s="116">
        <f t="shared" si="40"/>
        <v>0</v>
      </c>
      <c r="AE84" s="118"/>
      <c r="AF84" s="119"/>
      <c r="AG84" s="120"/>
      <c r="AH84" s="118"/>
      <c r="AI84" s="119"/>
      <c r="AJ84" s="121"/>
    </row>
    <row r="85" spans="2:36" s="9" customFormat="1">
      <c r="B85" s="9">
        <v>20</v>
      </c>
      <c r="C85" s="9" t="s">
        <v>511</v>
      </c>
      <c r="D85" s="9">
        <v>2180</v>
      </c>
      <c r="E85" s="9">
        <v>78821</v>
      </c>
      <c r="G85" s="9">
        <v>2010</v>
      </c>
      <c r="H85" s="9">
        <v>10</v>
      </c>
      <c r="I85" s="9">
        <v>0</v>
      </c>
      <c r="J85" s="9" t="s">
        <v>78</v>
      </c>
      <c r="K85" s="158" t="s">
        <v>449</v>
      </c>
      <c r="L85" s="9">
        <f t="shared" si="28"/>
        <v>2020</v>
      </c>
      <c r="M85" s="127">
        <f t="shared" si="29"/>
        <v>2020.8333333333333</v>
      </c>
      <c r="N85" s="13">
        <v>14298.63</v>
      </c>
      <c r="O85" s="13">
        <f t="shared" si="30"/>
        <v>14298.63</v>
      </c>
      <c r="P85" s="13">
        <f t="shared" si="31"/>
        <v>119.15524999999998</v>
      </c>
      <c r="Q85" s="13">
        <f t="shared" si="32"/>
        <v>1429.8629999999998</v>
      </c>
      <c r="R85" s="13">
        <v>1429.8629999999998</v>
      </c>
      <c r="S85" s="13">
        <f t="shared" si="33"/>
        <v>0</v>
      </c>
      <c r="T85" s="13">
        <f t="shared" si="34"/>
        <v>14298.63</v>
      </c>
      <c r="U85" s="13">
        <f t="shared" si="35"/>
        <v>14298.63</v>
      </c>
      <c r="V85" s="13">
        <v>1429.8630000000012</v>
      </c>
      <c r="W85" s="13">
        <f t="shared" si="36"/>
        <v>0</v>
      </c>
      <c r="X85" s="115">
        <f t="shared" si="37"/>
        <v>0</v>
      </c>
      <c r="Y85" s="116">
        <f t="shared" si="38"/>
        <v>0</v>
      </c>
      <c r="Z85" s="116">
        <f t="shared" si="17"/>
        <v>-1429.8629999999998</v>
      </c>
      <c r="AA85" s="116">
        <f t="shared" si="18"/>
        <v>-1429.8630000000012</v>
      </c>
      <c r="AB85" s="117">
        <f>'Ratios (C)'!$C$27</f>
        <v>0.72727998160891272</v>
      </c>
      <c r="AC85" s="116">
        <f t="shared" si="39"/>
        <v>0</v>
      </c>
      <c r="AD85" s="116">
        <f t="shared" si="40"/>
        <v>0</v>
      </c>
      <c r="AE85" s="118"/>
      <c r="AF85" s="119"/>
      <c r="AG85" s="120"/>
      <c r="AH85" s="118"/>
      <c r="AI85" s="119"/>
      <c r="AJ85" s="121"/>
    </row>
    <row r="86" spans="2:36" s="9" customFormat="1">
      <c r="B86" s="9">
        <v>894</v>
      </c>
      <c r="C86" s="9" t="s">
        <v>453</v>
      </c>
      <c r="E86" s="9">
        <v>84454</v>
      </c>
      <c r="G86" s="9">
        <v>2011</v>
      </c>
      <c r="H86" s="9">
        <v>1</v>
      </c>
      <c r="I86" s="9">
        <v>0</v>
      </c>
      <c r="J86" s="9" t="s">
        <v>78</v>
      </c>
      <c r="K86" s="158">
        <v>10</v>
      </c>
      <c r="L86" s="9">
        <f t="shared" si="28"/>
        <v>2021</v>
      </c>
      <c r="M86" s="127">
        <f t="shared" si="29"/>
        <v>2021.0833333333333</v>
      </c>
      <c r="N86" s="13">
        <v>0</v>
      </c>
      <c r="O86" s="13">
        <f t="shared" si="30"/>
        <v>0</v>
      </c>
      <c r="P86" s="13">
        <f t="shared" si="31"/>
        <v>0</v>
      </c>
      <c r="Q86" s="13">
        <f t="shared" si="32"/>
        <v>0</v>
      </c>
      <c r="R86" s="13">
        <v>0</v>
      </c>
      <c r="S86" s="13">
        <f t="shared" ref="S86:S108" si="41">+IF(M86&lt;=$O$5,0,IF(L86&gt;$O$4,Q86,(P86*H86)))</f>
        <v>0</v>
      </c>
      <c r="T86" s="13">
        <f t="shared" si="34"/>
        <v>0</v>
      </c>
      <c r="U86" s="13">
        <f t="shared" si="35"/>
        <v>0</v>
      </c>
      <c r="V86" s="13">
        <v>0</v>
      </c>
      <c r="W86" s="13">
        <f t="shared" si="36"/>
        <v>0</v>
      </c>
      <c r="X86" s="115">
        <f t="shared" si="37"/>
        <v>0</v>
      </c>
      <c r="Y86" s="116">
        <f t="shared" si="38"/>
        <v>0</v>
      </c>
      <c r="Z86" s="116">
        <f t="shared" si="17"/>
        <v>0</v>
      </c>
      <c r="AA86" s="116">
        <f t="shared" si="18"/>
        <v>0</v>
      </c>
      <c r="AB86" s="117">
        <f>'Ratios (C)'!$C$27</f>
        <v>0.72727998160891272</v>
      </c>
      <c r="AC86" s="116">
        <f t="shared" si="39"/>
        <v>0</v>
      </c>
      <c r="AD86" s="116">
        <f t="shared" si="40"/>
        <v>0</v>
      </c>
      <c r="AE86" s="118"/>
      <c r="AF86" s="119"/>
      <c r="AG86" s="120"/>
      <c r="AH86" s="118"/>
      <c r="AI86" s="119"/>
      <c r="AJ86" s="121"/>
    </row>
    <row r="87" spans="2:36" s="9" customFormat="1">
      <c r="B87" s="9">
        <v>271</v>
      </c>
      <c r="C87" s="9" t="s">
        <v>463</v>
      </c>
      <c r="E87" s="9">
        <v>84455</v>
      </c>
      <c r="G87" s="9">
        <v>2011</v>
      </c>
      <c r="H87" s="9">
        <v>1</v>
      </c>
      <c r="I87" s="9">
        <v>0</v>
      </c>
      <c r="J87" s="9" t="s">
        <v>78</v>
      </c>
      <c r="K87" s="158">
        <v>10</v>
      </c>
      <c r="L87" s="9">
        <f t="shared" si="28"/>
        <v>2021</v>
      </c>
      <c r="M87" s="127">
        <f t="shared" si="29"/>
        <v>2021.0833333333333</v>
      </c>
      <c r="N87" s="13">
        <v>0</v>
      </c>
      <c r="O87" s="13">
        <f t="shared" si="30"/>
        <v>0</v>
      </c>
      <c r="P87" s="13">
        <f t="shared" si="31"/>
        <v>0</v>
      </c>
      <c r="Q87" s="13">
        <f t="shared" si="32"/>
        <v>0</v>
      </c>
      <c r="R87" s="13">
        <v>0</v>
      </c>
      <c r="S87" s="13">
        <f t="shared" si="41"/>
        <v>0</v>
      </c>
      <c r="T87" s="13">
        <f t="shared" si="34"/>
        <v>0</v>
      </c>
      <c r="U87" s="13">
        <f t="shared" si="35"/>
        <v>0</v>
      </c>
      <c r="V87" s="13">
        <v>0</v>
      </c>
      <c r="W87" s="13">
        <f t="shared" si="36"/>
        <v>0</v>
      </c>
      <c r="X87" s="115">
        <f t="shared" si="37"/>
        <v>0</v>
      </c>
      <c r="Y87" s="116">
        <f t="shared" si="38"/>
        <v>0</v>
      </c>
      <c r="Z87" s="116">
        <f t="shared" si="17"/>
        <v>0</v>
      </c>
      <c r="AA87" s="116">
        <f t="shared" si="18"/>
        <v>0</v>
      </c>
      <c r="AB87" s="117">
        <f>'Ratios (C)'!$C$27</f>
        <v>0.72727998160891272</v>
      </c>
      <c r="AC87" s="116">
        <f t="shared" si="39"/>
        <v>0</v>
      </c>
      <c r="AD87" s="116">
        <f t="shared" si="40"/>
        <v>0</v>
      </c>
      <c r="AE87" s="118"/>
      <c r="AF87" s="119"/>
      <c r="AG87" s="120"/>
      <c r="AH87" s="118"/>
      <c r="AI87" s="119"/>
      <c r="AJ87" s="121"/>
    </row>
    <row r="88" spans="2:36" s="9" customFormat="1">
      <c r="B88" s="9">
        <v>150</v>
      </c>
      <c r="C88" s="9" t="s">
        <v>496</v>
      </c>
      <c r="E88" s="9">
        <v>84456</v>
      </c>
      <c r="G88" s="9">
        <v>2011</v>
      </c>
      <c r="H88" s="9">
        <v>1</v>
      </c>
      <c r="I88" s="9">
        <v>0</v>
      </c>
      <c r="J88" s="9" t="s">
        <v>78</v>
      </c>
      <c r="K88" s="158">
        <v>10</v>
      </c>
      <c r="L88" s="9">
        <f t="shared" si="28"/>
        <v>2021</v>
      </c>
      <c r="M88" s="127">
        <f t="shared" si="29"/>
        <v>2021.0833333333333</v>
      </c>
      <c r="N88" s="13">
        <v>0</v>
      </c>
      <c r="O88" s="13">
        <f t="shared" si="30"/>
        <v>0</v>
      </c>
      <c r="P88" s="13">
        <f t="shared" si="31"/>
        <v>0</v>
      </c>
      <c r="Q88" s="13">
        <f t="shared" si="32"/>
        <v>0</v>
      </c>
      <c r="R88" s="13">
        <v>0</v>
      </c>
      <c r="S88" s="13">
        <f t="shared" si="41"/>
        <v>0</v>
      </c>
      <c r="T88" s="13">
        <f t="shared" si="34"/>
        <v>0</v>
      </c>
      <c r="U88" s="13">
        <f t="shared" si="35"/>
        <v>0</v>
      </c>
      <c r="V88" s="13">
        <v>0</v>
      </c>
      <c r="W88" s="13">
        <f t="shared" si="36"/>
        <v>0</v>
      </c>
      <c r="X88" s="115">
        <f t="shared" si="37"/>
        <v>0</v>
      </c>
      <c r="Y88" s="116">
        <f t="shared" si="38"/>
        <v>0</v>
      </c>
      <c r="Z88" s="116">
        <f t="shared" si="17"/>
        <v>0</v>
      </c>
      <c r="AA88" s="116">
        <f t="shared" si="18"/>
        <v>0</v>
      </c>
      <c r="AB88" s="117">
        <f>'Ratios (C)'!$C$27</f>
        <v>0.72727998160891272</v>
      </c>
      <c r="AC88" s="116">
        <f t="shared" si="39"/>
        <v>0</v>
      </c>
      <c r="AD88" s="116">
        <f t="shared" si="40"/>
        <v>0</v>
      </c>
      <c r="AE88" s="118"/>
      <c r="AF88" s="119"/>
      <c r="AG88" s="120"/>
      <c r="AH88" s="118"/>
      <c r="AI88" s="119"/>
      <c r="AJ88" s="121"/>
    </row>
    <row r="89" spans="2:36" s="9" customFormat="1">
      <c r="B89" s="9">
        <v>187</v>
      </c>
      <c r="C89" s="9" t="s">
        <v>509</v>
      </c>
      <c r="E89" s="9">
        <v>84457</v>
      </c>
      <c r="G89" s="9">
        <v>2011</v>
      </c>
      <c r="H89" s="9">
        <v>1</v>
      </c>
      <c r="I89" s="9">
        <v>0</v>
      </c>
      <c r="J89" s="9" t="s">
        <v>78</v>
      </c>
      <c r="K89" s="158">
        <v>10</v>
      </c>
      <c r="L89" s="9">
        <f t="shared" si="28"/>
        <v>2021</v>
      </c>
      <c r="M89" s="127">
        <f t="shared" si="29"/>
        <v>2021.0833333333333</v>
      </c>
      <c r="N89" s="13">
        <v>0</v>
      </c>
      <c r="O89" s="13">
        <f t="shared" si="30"/>
        <v>0</v>
      </c>
      <c r="P89" s="13">
        <f t="shared" si="31"/>
        <v>0</v>
      </c>
      <c r="Q89" s="13">
        <f t="shared" si="32"/>
        <v>0</v>
      </c>
      <c r="R89" s="13">
        <v>0</v>
      </c>
      <c r="S89" s="13">
        <f t="shared" si="41"/>
        <v>0</v>
      </c>
      <c r="T89" s="13">
        <f t="shared" si="34"/>
        <v>0</v>
      </c>
      <c r="U89" s="13">
        <f t="shared" si="35"/>
        <v>0</v>
      </c>
      <c r="V89" s="13">
        <v>0</v>
      </c>
      <c r="W89" s="13">
        <f t="shared" si="36"/>
        <v>0</v>
      </c>
      <c r="X89" s="115">
        <f t="shared" si="37"/>
        <v>0</v>
      </c>
      <c r="Y89" s="116">
        <f t="shared" si="38"/>
        <v>0</v>
      </c>
      <c r="Z89" s="116">
        <f t="shared" si="17"/>
        <v>0</v>
      </c>
      <c r="AA89" s="116">
        <f t="shared" si="18"/>
        <v>0</v>
      </c>
      <c r="AB89" s="117">
        <f>'Ratios (C)'!$C$27</f>
        <v>0.72727998160891272</v>
      </c>
      <c r="AC89" s="116">
        <f t="shared" si="39"/>
        <v>0</v>
      </c>
      <c r="AD89" s="116">
        <f t="shared" si="40"/>
        <v>0</v>
      </c>
      <c r="AE89" s="118"/>
      <c r="AF89" s="119"/>
      <c r="AG89" s="120"/>
      <c r="AH89" s="118"/>
      <c r="AI89" s="119"/>
      <c r="AJ89" s="121"/>
    </row>
    <row r="90" spans="2:36" s="9" customFormat="1">
      <c r="B90" s="9">
        <v>237</v>
      </c>
      <c r="C90" s="9" t="s">
        <v>522</v>
      </c>
      <c r="E90" s="9">
        <v>84459</v>
      </c>
      <c r="G90" s="9">
        <v>2011</v>
      </c>
      <c r="H90" s="9">
        <v>1</v>
      </c>
      <c r="I90" s="9">
        <v>0</v>
      </c>
      <c r="J90" s="9" t="s">
        <v>78</v>
      </c>
      <c r="K90" s="158">
        <v>10</v>
      </c>
      <c r="L90" s="9">
        <f t="shared" si="28"/>
        <v>2021</v>
      </c>
      <c r="M90" s="127">
        <f t="shared" si="29"/>
        <v>2021.0833333333333</v>
      </c>
      <c r="N90" s="13">
        <v>0</v>
      </c>
      <c r="O90" s="13">
        <f t="shared" si="30"/>
        <v>0</v>
      </c>
      <c r="P90" s="13">
        <f t="shared" si="31"/>
        <v>0</v>
      </c>
      <c r="Q90" s="13">
        <f t="shared" si="32"/>
        <v>0</v>
      </c>
      <c r="R90" s="13">
        <v>0</v>
      </c>
      <c r="S90" s="13">
        <f t="shared" si="41"/>
        <v>0</v>
      </c>
      <c r="T90" s="13">
        <f t="shared" si="34"/>
        <v>0</v>
      </c>
      <c r="U90" s="13">
        <f t="shared" si="35"/>
        <v>0</v>
      </c>
      <c r="V90" s="13">
        <v>0</v>
      </c>
      <c r="W90" s="13">
        <f t="shared" si="36"/>
        <v>0</v>
      </c>
      <c r="X90" s="115">
        <f t="shared" si="37"/>
        <v>0</v>
      </c>
      <c r="Y90" s="116">
        <f t="shared" si="38"/>
        <v>0</v>
      </c>
      <c r="Z90" s="116">
        <f t="shared" si="17"/>
        <v>0</v>
      </c>
      <c r="AA90" s="116">
        <f t="shared" si="18"/>
        <v>0</v>
      </c>
      <c r="AB90" s="117">
        <f>'Ratios (C)'!$C$27</f>
        <v>0.72727998160891272</v>
      </c>
      <c r="AC90" s="116">
        <f t="shared" si="39"/>
        <v>0</v>
      </c>
      <c r="AD90" s="116">
        <f t="shared" si="40"/>
        <v>0</v>
      </c>
      <c r="AE90" s="118"/>
      <c r="AF90" s="119"/>
      <c r="AG90" s="120"/>
      <c r="AH90" s="118"/>
      <c r="AI90" s="119"/>
      <c r="AJ90" s="121"/>
    </row>
    <row r="91" spans="2:36" s="9" customFormat="1">
      <c r="B91" s="9">
        <v>722</v>
      </c>
      <c r="C91" s="9" t="s">
        <v>530</v>
      </c>
      <c r="E91" s="9" t="s">
        <v>531</v>
      </c>
      <c r="G91" s="9">
        <v>2011</v>
      </c>
      <c r="H91" s="9">
        <v>1</v>
      </c>
      <c r="I91" s="9">
        <v>0</v>
      </c>
      <c r="J91" s="9" t="s">
        <v>78</v>
      </c>
      <c r="K91" s="158">
        <v>10</v>
      </c>
      <c r="L91" s="9">
        <f t="shared" si="28"/>
        <v>2021</v>
      </c>
      <c r="M91" s="127">
        <f t="shared" si="29"/>
        <v>2021.0833333333333</v>
      </c>
      <c r="N91" s="13">
        <v>0</v>
      </c>
      <c r="O91" s="13">
        <f t="shared" si="30"/>
        <v>0</v>
      </c>
      <c r="P91" s="13">
        <f t="shared" si="31"/>
        <v>0</v>
      </c>
      <c r="Q91" s="13">
        <f t="shared" si="32"/>
        <v>0</v>
      </c>
      <c r="R91" s="13">
        <v>0</v>
      </c>
      <c r="S91" s="13">
        <f t="shared" si="41"/>
        <v>0</v>
      </c>
      <c r="T91" s="13">
        <f t="shared" si="34"/>
        <v>0</v>
      </c>
      <c r="U91" s="13">
        <f t="shared" si="35"/>
        <v>0</v>
      </c>
      <c r="V91" s="13">
        <v>0</v>
      </c>
      <c r="W91" s="13">
        <f t="shared" si="36"/>
        <v>0</v>
      </c>
      <c r="X91" s="115">
        <f t="shared" si="37"/>
        <v>0</v>
      </c>
      <c r="Y91" s="116">
        <f t="shared" si="38"/>
        <v>0</v>
      </c>
      <c r="Z91" s="116">
        <f t="shared" si="17"/>
        <v>0</v>
      </c>
      <c r="AA91" s="116">
        <f t="shared" si="18"/>
        <v>0</v>
      </c>
      <c r="AB91" s="117">
        <f>'Ratios (C)'!$C$27</f>
        <v>0.72727998160891272</v>
      </c>
      <c r="AC91" s="116">
        <f t="shared" si="39"/>
        <v>0</v>
      </c>
      <c r="AD91" s="116">
        <f t="shared" si="40"/>
        <v>0</v>
      </c>
      <c r="AE91" s="118"/>
      <c r="AF91" s="119"/>
      <c r="AG91" s="120"/>
      <c r="AH91" s="118"/>
      <c r="AI91" s="119"/>
      <c r="AJ91" s="121"/>
    </row>
    <row r="92" spans="2:36" s="9" customFormat="1">
      <c r="B92" s="9">
        <v>27</v>
      </c>
      <c r="C92" s="9" t="s">
        <v>496</v>
      </c>
      <c r="E92" s="9" t="s">
        <v>497</v>
      </c>
      <c r="G92" s="9">
        <v>2011</v>
      </c>
      <c r="H92" s="9">
        <v>6</v>
      </c>
      <c r="I92" s="9">
        <v>0</v>
      </c>
      <c r="J92" s="9" t="s">
        <v>78</v>
      </c>
      <c r="K92" s="158">
        <v>10</v>
      </c>
      <c r="L92" s="9">
        <f t="shared" si="28"/>
        <v>2021</v>
      </c>
      <c r="M92" s="127">
        <f t="shared" si="29"/>
        <v>2021.5</v>
      </c>
      <c r="N92" s="13">
        <f>12881.01+4508.37</f>
        <v>17389.38</v>
      </c>
      <c r="O92" s="13">
        <f t="shared" si="30"/>
        <v>17389.38</v>
      </c>
      <c r="P92" s="13">
        <f t="shared" si="31"/>
        <v>144.91150000000002</v>
      </c>
      <c r="Q92" s="13">
        <f t="shared" si="32"/>
        <v>1738.9380000000001</v>
      </c>
      <c r="R92" s="13">
        <v>1738.9380000000001</v>
      </c>
      <c r="S92" s="13">
        <f t="shared" si="41"/>
        <v>0</v>
      </c>
      <c r="T92" s="13">
        <f t="shared" si="34"/>
        <v>17389.38</v>
      </c>
      <c r="U92" s="13">
        <f t="shared" si="35"/>
        <v>17389.38</v>
      </c>
      <c r="V92" s="13">
        <v>3477.8760000000002</v>
      </c>
      <c r="W92" s="13">
        <f t="shared" si="36"/>
        <v>0</v>
      </c>
      <c r="X92" s="115">
        <f t="shared" si="37"/>
        <v>0</v>
      </c>
      <c r="Y92" s="116">
        <f t="shared" si="38"/>
        <v>0</v>
      </c>
      <c r="Z92" s="116">
        <f t="shared" si="17"/>
        <v>-1738.9380000000001</v>
      </c>
      <c r="AA92" s="116">
        <f t="shared" si="18"/>
        <v>-3477.8760000000002</v>
      </c>
      <c r="AB92" s="117">
        <f>'Ratios (C)'!$C$27</f>
        <v>0.72727998160891272</v>
      </c>
      <c r="AC92" s="116">
        <f t="shared" si="39"/>
        <v>0</v>
      </c>
      <c r="AD92" s="116">
        <f t="shared" si="40"/>
        <v>0</v>
      </c>
      <c r="AE92" s="118"/>
      <c r="AF92" s="119"/>
      <c r="AG92" s="120"/>
      <c r="AH92" s="118"/>
      <c r="AI92" s="119"/>
      <c r="AJ92" s="121"/>
    </row>
    <row r="93" spans="2:36" s="9" customFormat="1">
      <c r="B93" s="9">
        <v>23</v>
      </c>
      <c r="C93" s="9" t="s">
        <v>501</v>
      </c>
      <c r="E93" s="9" t="s">
        <v>502</v>
      </c>
      <c r="G93" s="9">
        <v>2011</v>
      </c>
      <c r="H93" s="9">
        <v>6</v>
      </c>
      <c r="I93" s="9">
        <v>0</v>
      </c>
      <c r="J93" s="9" t="s">
        <v>78</v>
      </c>
      <c r="K93" s="158">
        <v>10</v>
      </c>
      <c r="L93" s="9">
        <f t="shared" si="28"/>
        <v>2021</v>
      </c>
      <c r="M93" s="127">
        <f t="shared" si="29"/>
        <v>2021.5</v>
      </c>
      <c r="N93" s="13">
        <f>1932.17+6440.5+6440.5</f>
        <v>14813.17</v>
      </c>
      <c r="O93" s="13">
        <f t="shared" si="30"/>
        <v>14813.17</v>
      </c>
      <c r="P93" s="13">
        <f t="shared" si="31"/>
        <v>123.44308333333333</v>
      </c>
      <c r="Q93" s="13">
        <f t="shared" si="32"/>
        <v>1481.317</v>
      </c>
      <c r="R93" s="13">
        <v>1481.317</v>
      </c>
      <c r="S93" s="13">
        <f t="shared" si="41"/>
        <v>0</v>
      </c>
      <c r="T93" s="13">
        <f t="shared" si="34"/>
        <v>14813.17</v>
      </c>
      <c r="U93" s="13">
        <f t="shared" si="35"/>
        <v>14813.17</v>
      </c>
      <c r="V93" s="13">
        <v>2962.634</v>
      </c>
      <c r="W93" s="13">
        <f t="shared" si="36"/>
        <v>0</v>
      </c>
      <c r="X93" s="115">
        <f t="shared" si="37"/>
        <v>0</v>
      </c>
      <c r="Y93" s="116">
        <f t="shared" si="38"/>
        <v>0</v>
      </c>
      <c r="Z93" s="116">
        <f t="shared" si="17"/>
        <v>-1481.317</v>
      </c>
      <c r="AA93" s="116">
        <f t="shared" si="18"/>
        <v>-2962.634</v>
      </c>
      <c r="AB93" s="117">
        <f>'Ratios (C)'!$C$27</f>
        <v>0.72727998160891272</v>
      </c>
      <c r="AC93" s="116">
        <f t="shared" si="39"/>
        <v>0</v>
      </c>
      <c r="AD93" s="116">
        <f t="shared" si="40"/>
        <v>0</v>
      </c>
      <c r="AE93" s="118"/>
      <c r="AF93" s="119"/>
      <c r="AG93" s="120"/>
      <c r="AH93" s="118"/>
      <c r="AI93" s="119"/>
      <c r="AJ93" s="121"/>
    </row>
    <row r="94" spans="2:36" s="9" customFormat="1">
      <c r="B94" s="9">
        <v>23</v>
      </c>
      <c r="C94" s="9" t="s">
        <v>514</v>
      </c>
      <c r="E94" s="9" t="s">
        <v>515</v>
      </c>
      <c r="G94" s="9">
        <v>2011</v>
      </c>
      <c r="H94" s="9">
        <v>6</v>
      </c>
      <c r="I94" s="9">
        <v>0</v>
      </c>
      <c r="J94" s="9" t="s">
        <v>78</v>
      </c>
      <c r="K94" s="158">
        <v>10</v>
      </c>
      <c r="L94" s="9">
        <f t="shared" si="28"/>
        <v>2021</v>
      </c>
      <c r="M94" s="127">
        <f t="shared" si="29"/>
        <v>2021.5</v>
      </c>
      <c r="N94" s="13">
        <f>14181.68+2127.27</f>
        <v>16308.95</v>
      </c>
      <c r="O94" s="13">
        <f t="shared" si="30"/>
        <v>16308.95</v>
      </c>
      <c r="P94" s="13">
        <f t="shared" si="31"/>
        <v>135.90791666666667</v>
      </c>
      <c r="Q94" s="13">
        <f t="shared" si="32"/>
        <v>1630.895</v>
      </c>
      <c r="R94" s="13">
        <v>1630.895</v>
      </c>
      <c r="S94" s="13">
        <f t="shared" si="41"/>
        <v>0</v>
      </c>
      <c r="T94" s="13">
        <f t="shared" si="34"/>
        <v>16308.95</v>
      </c>
      <c r="U94" s="13">
        <f t="shared" si="35"/>
        <v>16308.95</v>
      </c>
      <c r="V94" s="13">
        <v>3261.7900000000009</v>
      </c>
      <c r="W94" s="13">
        <f t="shared" si="36"/>
        <v>0</v>
      </c>
      <c r="X94" s="115">
        <f t="shared" si="37"/>
        <v>0</v>
      </c>
      <c r="Y94" s="116">
        <f t="shared" si="38"/>
        <v>0</v>
      </c>
      <c r="Z94" s="116">
        <f t="shared" si="17"/>
        <v>-1630.895</v>
      </c>
      <c r="AA94" s="116">
        <f t="shared" si="18"/>
        <v>-3261.7900000000009</v>
      </c>
      <c r="AB94" s="117">
        <f>'Ratios (C)'!$C$27</f>
        <v>0.72727998160891272</v>
      </c>
      <c r="AC94" s="116">
        <f t="shared" si="39"/>
        <v>0</v>
      </c>
      <c r="AD94" s="116">
        <f t="shared" si="40"/>
        <v>0</v>
      </c>
      <c r="AE94" s="118"/>
      <c r="AF94" s="119"/>
      <c r="AG94" s="120"/>
      <c r="AH94" s="118"/>
      <c r="AI94" s="119"/>
      <c r="AJ94" s="121"/>
    </row>
    <row r="95" spans="2:36" s="9" customFormat="1">
      <c r="B95" s="9">
        <v>4</v>
      </c>
      <c r="C95" s="9" t="s">
        <v>451</v>
      </c>
      <c r="E95" s="9">
        <v>86469</v>
      </c>
      <c r="G95" s="9">
        <v>2011</v>
      </c>
      <c r="H95" s="9">
        <v>9</v>
      </c>
      <c r="I95" s="9">
        <v>0</v>
      </c>
      <c r="J95" s="9" t="s">
        <v>78</v>
      </c>
      <c r="K95" s="158">
        <v>10</v>
      </c>
      <c r="L95" s="9">
        <f t="shared" si="28"/>
        <v>2021</v>
      </c>
      <c r="M95" s="127">
        <f t="shared" si="29"/>
        <v>2021.75</v>
      </c>
      <c r="N95" s="13">
        <v>1923.68</v>
      </c>
      <c r="O95" s="13">
        <f t="shared" si="30"/>
        <v>1923.68</v>
      </c>
      <c r="P95" s="13">
        <f t="shared" si="31"/>
        <v>16.030666666666665</v>
      </c>
      <c r="Q95" s="13">
        <f t="shared" si="32"/>
        <v>192.36799999999999</v>
      </c>
      <c r="R95" s="13">
        <v>192.36799999999999</v>
      </c>
      <c r="S95" s="13">
        <f t="shared" si="41"/>
        <v>0</v>
      </c>
      <c r="T95" s="13">
        <f t="shared" si="34"/>
        <v>1923.68</v>
      </c>
      <c r="U95" s="13">
        <f t="shared" si="35"/>
        <v>1923.68</v>
      </c>
      <c r="V95" s="13">
        <v>384.7360000000001</v>
      </c>
      <c r="W95" s="13">
        <f t="shared" si="36"/>
        <v>0</v>
      </c>
      <c r="X95" s="115">
        <f t="shared" si="37"/>
        <v>0</v>
      </c>
      <c r="Y95" s="116">
        <f t="shared" si="38"/>
        <v>0</v>
      </c>
      <c r="Z95" s="116">
        <f t="shared" si="17"/>
        <v>-192.36799999999999</v>
      </c>
      <c r="AA95" s="116">
        <f t="shared" si="18"/>
        <v>-384.7360000000001</v>
      </c>
      <c r="AB95" s="117">
        <f>'Ratios (C)'!$C$27</f>
        <v>0.72727998160891272</v>
      </c>
      <c r="AC95" s="116">
        <f t="shared" si="39"/>
        <v>0</v>
      </c>
      <c r="AD95" s="116">
        <f t="shared" si="40"/>
        <v>0</v>
      </c>
      <c r="AE95" s="118"/>
      <c r="AF95" s="119"/>
      <c r="AG95" s="120"/>
      <c r="AH95" s="118"/>
      <c r="AI95" s="119"/>
      <c r="AJ95" s="121"/>
    </row>
    <row r="96" spans="2:36" s="9" customFormat="1">
      <c r="B96" s="9">
        <v>16</v>
      </c>
      <c r="C96" s="9" t="s">
        <v>451</v>
      </c>
      <c r="E96" s="9">
        <v>86470</v>
      </c>
      <c r="G96" s="9">
        <v>2011</v>
      </c>
      <c r="H96" s="9">
        <v>9</v>
      </c>
      <c r="I96" s="9">
        <v>0</v>
      </c>
      <c r="J96" s="9" t="s">
        <v>78</v>
      </c>
      <c r="K96" s="158">
        <v>10</v>
      </c>
      <c r="L96" s="9">
        <f t="shared" si="28"/>
        <v>2021</v>
      </c>
      <c r="M96" s="127">
        <f t="shared" si="29"/>
        <v>2021.75</v>
      </c>
      <c r="N96" s="13">
        <v>7694.72</v>
      </c>
      <c r="O96" s="13">
        <f t="shared" si="30"/>
        <v>7694.72</v>
      </c>
      <c r="P96" s="13">
        <f t="shared" si="31"/>
        <v>64.12266666666666</v>
      </c>
      <c r="Q96" s="13">
        <f t="shared" si="32"/>
        <v>769.47199999999998</v>
      </c>
      <c r="R96" s="13">
        <v>769.47199999999998</v>
      </c>
      <c r="S96" s="13">
        <f t="shared" si="41"/>
        <v>0</v>
      </c>
      <c r="T96" s="13">
        <f t="shared" si="34"/>
        <v>7694.72</v>
      </c>
      <c r="U96" s="13">
        <f t="shared" si="35"/>
        <v>7694.72</v>
      </c>
      <c r="V96" s="13">
        <v>2308.4160000000002</v>
      </c>
      <c r="W96" s="13">
        <f>+N96-T96</f>
        <v>0</v>
      </c>
      <c r="X96" s="115">
        <f t="shared" si="37"/>
        <v>0</v>
      </c>
      <c r="Y96" s="116">
        <f t="shared" si="38"/>
        <v>0</v>
      </c>
      <c r="Z96" s="116">
        <f t="shared" si="17"/>
        <v>-769.47199999999998</v>
      </c>
      <c r="AA96" s="116">
        <f t="shared" si="18"/>
        <v>-2308.4160000000002</v>
      </c>
      <c r="AB96" s="117">
        <f>'Ratios (C)'!$C$27</f>
        <v>0.72727998160891272</v>
      </c>
      <c r="AC96" s="116">
        <f t="shared" si="39"/>
        <v>0</v>
      </c>
      <c r="AD96" s="116">
        <f t="shared" si="40"/>
        <v>0</v>
      </c>
      <c r="AE96" s="118"/>
      <c r="AF96" s="119"/>
      <c r="AG96" s="120"/>
      <c r="AH96" s="118"/>
      <c r="AI96" s="119"/>
      <c r="AJ96" s="121"/>
    </row>
    <row r="97" spans="2:36" s="9" customFormat="1">
      <c r="B97" s="9">
        <v>3</v>
      </c>
      <c r="C97" s="9" t="s">
        <v>457</v>
      </c>
      <c r="E97" s="9">
        <v>86877</v>
      </c>
      <c r="G97" s="9">
        <v>2011</v>
      </c>
      <c r="H97" s="9">
        <v>9</v>
      </c>
      <c r="I97" s="9">
        <v>0</v>
      </c>
      <c r="J97" s="9" t="s">
        <v>78</v>
      </c>
      <c r="K97" s="158">
        <v>10</v>
      </c>
      <c r="L97" s="9">
        <f t="shared" si="28"/>
        <v>2021</v>
      </c>
      <c r="M97" s="127">
        <f t="shared" si="29"/>
        <v>2021.75</v>
      </c>
      <c r="N97" s="13">
        <v>1442.76</v>
      </c>
      <c r="O97" s="13">
        <f t="shared" si="30"/>
        <v>1442.76</v>
      </c>
      <c r="P97" s="13">
        <f t="shared" si="31"/>
        <v>12.023000000000001</v>
      </c>
      <c r="Q97" s="13">
        <f t="shared" si="32"/>
        <v>144.27600000000001</v>
      </c>
      <c r="R97" s="13">
        <v>144.27600000000001</v>
      </c>
      <c r="S97" s="13">
        <f t="shared" si="41"/>
        <v>0</v>
      </c>
      <c r="T97" s="13">
        <f t="shared" si="34"/>
        <v>1442.76</v>
      </c>
      <c r="U97" s="13">
        <f t="shared" si="35"/>
        <v>1442.76</v>
      </c>
      <c r="V97" s="13">
        <v>288.55199999999991</v>
      </c>
      <c r="W97" s="13">
        <f t="shared" ref="W97:W128" si="42">+N97-U97</f>
        <v>0</v>
      </c>
      <c r="X97" s="115">
        <f t="shared" si="37"/>
        <v>0</v>
      </c>
      <c r="Y97" s="116">
        <f t="shared" si="38"/>
        <v>0</v>
      </c>
      <c r="Z97" s="116">
        <f t="shared" si="17"/>
        <v>-144.27600000000001</v>
      </c>
      <c r="AA97" s="116">
        <f t="shared" si="18"/>
        <v>-288.55199999999991</v>
      </c>
      <c r="AB97" s="117">
        <f>'Ratios (C)'!$C$27</f>
        <v>0.72727998160891272</v>
      </c>
      <c r="AC97" s="116">
        <f t="shared" si="39"/>
        <v>0</v>
      </c>
      <c r="AD97" s="116">
        <f t="shared" si="40"/>
        <v>0</v>
      </c>
      <c r="AE97" s="118"/>
      <c r="AF97" s="119"/>
      <c r="AG97" s="120"/>
      <c r="AH97" s="118"/>
      <c r="AI97" s="119"/>
      <c r="AJ97" s="121"/>
    </row>
    <row r="98" spans="2:36" s="9" customFormat="1">
      <c r="B98" s="9">
        <v>17</v>
      </c>
      <c r="C98" s="9" t="s">
        <v>457</v>
      </c>
      <c r="E98" s="9">
        <v>86878</v>
      </c>
      <c r="G98" s="9">
        <v>2011</v>
      </c>
      <c r="H98" s="9">
        <v>9</v>
      </c>
      <c r="I98" s="9">
        <v>0</v>
      </c>
      <c r="J98" s="9" t="s">
        <v>78</v>
      </c>
      <c r="K98" s="158">
        <v>10</v>
      </c>
      <c r="L98" s="9">
        <f t="shared" si="28"/>
        <v>2021</v>
      </c>
      <c r="M98" s="127">
        <f t="shared" si="29"/>
        <v>2021.75</v>
      </c>
      <c r="N98" s="13">
        <v>8175.64</v>
      </c>
      <c r="O98" s="13">
        <f t="shared" si="30"/>
        <v>8175.64</v>
      </c>
      <c r="P98" s="13">
        <f t="shared" si="31"/>
        <v>68.13033333333334</v>
      </c>
      <c r="Q98" s="13">
        <f t="shared" si="32"/>
        <v>817.56400000000008</v>
      </c>
      <c r="R98" s="13">
        <v>817.56400000000008</v>
      </c>
      <c r="S98" s="13">
        <f t="shared" si="41"/>
        <v>0</v>
      </c>
      <c r="T98" s="13">
        <f t="shared" si="34"/>
        <v>8175.64</v>
      </c>
      <c r="U98" s="13">
        <f t="shared" si="35"/>
        <v>8175.64</v>
      </c>
      <c r="V98" s="13">
        <v>1635.1279999999997</v>
      </c>
      <c r="W98" s="13">
        <f t="shared" si="42"/>
        <v>0</v>
      </c>
      <c r="X98" s="115">
        <f t="shared" si="37"/>
        <v>0</v>
      </c>
      <c r="Y98" s="116">
        <f t="shared" si="38"/>
        <v>0</v>
      </c>
      <c r="Z98" s="116">
        <f t="shared" si="17"/>
        <v>-817.56400000000008</v>
      </c>
      <c r="AA98" s="116">
        <f t="shared" si="18"/>
        <v>-1635.1279999999997</v>
      </c>
      <c r="AB98" s="117">
        <f>'Ratios (C)'!$C$27</f>
        <v>0.72727998160891272</v>
      </c>
      <c r="AC98" s="116">
        <f t="shared" si="39"/>
        <v>0</v>
      </c>
      <c r="AD98" s="116">
        <f t="shared" si="40"/>
        <v>0</v>
      </c>
      <c r="AE98" s="118"/>
      <c r="AF98" s="119"/>
      <c r="AG98" s="120"/>
      <c r="AH98" s="118"/>
      <c r="AI98" s="119"/>
      <c r="AJ98" s="121"/>
    </row>
    <row r="99" spans="2:36" s="9" customFormat="1">
      <c r="B99" s="9">
        <v>1</v>
      </c>
      <c r="C99" s="9" t="s">
        <v>524</v>
      </c>
      <c r="E99" s="9">
        <v>86879</v>
      </c>
      <c r="G99" s="9">
        <v>2011</v>
      </c>
      <c r="H99" s="9">
        <v>9</v>
      </c>
      <c r="I99" s="9">
        <v>0</v>
      </c>
      <c r="J99" s="9" t="s">
        <v>78</v>
      </c>
      <c r="K99" s="158">
        <v>10</v>
      </c>
      <c r="L99" s="9">
        <f t="shared" si="28"/>
        <v>2021</v>
      </c>
      <c r="M99" s="127">
        <f t="shared" si="29"/>
        <v>2021.75</v>
      </c>
      <c r="N99" s="13">
        <v>817.56</v>
      </c>
      <c r="O99" s="13">
        <f t="shared" si="30"/>
        <v>817.56</v>
      </c>
      <c r="P99" s="13">
        <f t="shared" si="31"/>
        <v>6.8129999999999997</v>
      </c>
      <c r="Q99" s="13">
        <f t="shared" si="32"/>
        <v>81.756</v>
      </c>
      <c r="R99" s="13">
        <v>81.756</v>
      </c>
      <c r="S99" s="13">
        <f t="shared" si="41"/>
        <v>0</v>
      </c>
      <c r="T99" s="13">
        <f t="shared" si="34"/>
        <v>817.56</v>
      </c>
      <c r="U99" s="13">
        <f t="shared" si="35"/>
        <v>817.56</v>
      </c>
      <c r="V99" s="13">
        <v>163.51199999999994</v>
      </c>
      <c r="W99" s="13">
        <f t="shared" si="42"/>
        <v>0</v>
      </c>
      <c r="X99" s="115">
        <f t="shared" si="37"/>
        <v>0</v>
      </c>
      <c r="Y99" s="116">
        <f t="shared" si="38"/>
        <v>0</v>
      </c>
      <c r="Z99" s="116">
        <f t="shared" si="17"/>
        <v>-81.756</v>
      </c>
      <c r="AA99" s="116">
        <f t="shared" si="18"/>
        <v>-163.51199999999994</v>
      </c>
      <c r="AB99" s="117">
        <f>'Ratios (C)'!$C$27</f>
        <v>0.72727998160891272</v>
      </c>
      <c r="AC99" s="116">
        <f t="shared" si="39"/>
        <v>0</v>
      </c>
      <c r="AD99" s="116">
        <f t="shared" si="40"/>
        <v>0</v>
      </c>
      <c r="AE99" s="118"/>
      <c r="AF99" s="119"/>
      <c r="AG99" s="120"/>
      <c r="AH99" s="118"/>
      <c r="AI99" s="119"/>
      <c r="AJ99" s="121"/>
    </row>
    <row r="100" spans="2:36" s="9" customFormat="1">
      <c r="B100" s="9">
        <v>20</v>
      </c>
      <c r="C100" s="9" t="s">
        <v>450</v>
      </c>
      <c r="E100" s="9">
        <v>87413</v>
      </c>
      <c r="G100" s="9">
        <v>2011</v>
      </c>
      <c r="H100" s="9">
        <v>10</v>
      </c>
      <c r="I100" s="9">
        <v>0</v>
      </c>
      <c r="J100" s="9" t="s">
        <v>78</v>
      </c>
      <c r="K100" s="158">
        <v>12</v>
      </c>
      <c r="L100" s="9">
        <f t="shared" si="28"/>
        <v>2023</v>
      </c>
      <c r="M100" s="127">
        <f t="shared" si="29"/>
        <v>2023.8333333333333</v>
      </c>
      <c r="N100" s="13">
        <v>8700.2800000000007</v>
      </c>
      <c r="O100" s="13">
        <f t="shared" si="30"/>
        <v>8700.2800000000007</v>
      </c>
      <c r="P100" s="13">
        <f t="shared" si="31"/>
        <v>60.418611111111119</v>
      </c>
      <c r="Q100" s="13">
        <f t="shared" si="32"/>
        <v>725.02333333333343</v>
      </c>
      <c r="R100" s="13">
        <v>725.02333333333343</v>
      </c>
      <c r="S100" s="13">
        <f t="shared" si="41"/>
        <v>725.02333333333343</v>
      </c>
      <c r="T100" s="13">
        <f t="shared" si="34"/>
        <v>7250.2333333333345</v>
      </c>
      <c r="U100" s="13">
        <f t="shared" si="35"/>
        <v>7975.256666666668</v>
      </c>
      <c r="V100" s="13">
        <v>2900.0933333333332</v>
      </c>
      <c r="W100" s="13">
        <f t="shared" si="42"/>
        <v>725.02333333333263</v>
      </c>
      <c r="X100" s="115">
        <f t="shared" si="37"/>
        <v>725.02333333333343</v>
      </c>
      <c r="Y100" s="116">
        <f t="shared" si="38"/>
        <v>725.02333333333263</v>
      </c>
      <c r="Z100" s="116">
        <f t="shared" si="17"/>
        <v>0</v>
      </c>
      <c r="AA100" s="116">
        <f t="shared" si="18"/>
        <v>-2175.0700000000006</v>
      </c>
      <c r="AB100" s="117">
        <f>'Ratios (C)'!$C$27</f>
        <v>0.72727998160891272</v>
      </c>
      <c r="AC100" s="116">
        <f t="shared" si="39"/>
        <v>527.2949565326993</v>
      </c>
      <c r="AD100" s="116">
        <f t="shared" si="40"/>
        <v>527.29495653269873</v>
      </c>
      <c r="AE100" s="118"/>
      <c r="AF100" s="119"/>
      <c r="AG100" s="120"/>
      <c r="AH100" s="118"/>
      <c r="AI100" s="119"/>
      <c r="AJ100" s="121"/>
    </row>
    <row r="101" spans="2:36" s="9" customFormat="1">
      <c r="B101" s="9">
        <v>1</v>
      </c>
      <c r="C101" s="9" t="s">
        <v>454</v>
      </c>
      <c r="E101" s="9">
        <v>87415</v>
      </c>
      <c r="G101" s="9">
        <v>2011</v>
      </c>
      <c r="H101" s="9">
        <v>10</v>
      </c>
      <c r="I101" s="9">
        <v>0</v>
      </c>
      <c r="J101" s="9" t="s">
        <v>78</v>
      </c>
      <c r="K101" s="158">
        <v>12</v>
      </c>
      <c r="L101" s="9">
        <f t="shared" si="28"/>
        <v>2023</v>
      </c>
      <c r="M101" s="127">
        <f t="shared" si="29"/>
        <v>2023.8333333333333</v>
      </c>
      <c r="N101" s="13">
        <v>435.01</v>
      </c>
      <c r="O101" s="13">
        <f t="shared" si="30"/>
        <v>435.01</v>
      </c>
      <c r="P101" s="13">
        <f t="shared" si="31"/>
        <v>3.0209027777777777</v>
      </c>
      <c r="Q101" s="13">
        <f t="shared" si="32"/>
        <v>36.250833333333333</v>
      </c>
      <c r="R101" s="13">
        <v>36.250833333333333</v>
      </c>
      <c r="S101" s="13">
        <f t="shared" si="41"/>
        <v>36.250833333333333</v>
      </c>
      <c r="T101" s="13">
        <f t="shared" si="34"/>
        <v>362.50833333333333</v>
      </c>
      <c r="U101" s="13">
        <f t="shared" si="35"/>
        <v>398.75916666666666</v>
      </c>
      <c r="V101" s="13">
        <v>145.00333333333333</v>
      </c>
      <c r="W101" s="13">
        <f t="shared" si="42"/>
        <v>36.250833333333333</v>
      </c>
      <c r="X101" s="115">
        <f t="shared" si="37"/>
        <v>36.250833333333333</v>
      </c>
      <c r="Y101" s="116">
        <f t="shared" si="38"/>
        <v>36.250833333333333</v>
      </c>
      <c r="Z101" s="116">
        <f t="shared" si="17"/>
        <v>0</v>
      </c>
      <c r="AA101" s="116">
        <f t="shared" si="18"/>
        <v>-108.7525</v>
      </c>
      <c r="AB101" s="117">
        <f>'Ratios (C)'!$C$27</f>
        <v>0.72727998160891272</v>
      </c>
      <c r="AC101" s="116">
        <f t="shared" si="39"/>
        <v>26.364505399974426</v>
      </c>
      <c r="AD101" s="116">
        <f t="shared" si="40"/>
        <v>26.364505399974426</v>
      </c>
      <c r="AE101" s="118"/>
      <c r="AF101" s="119"/>
      <c r="AG101" s="120"/>
      <c r="AH101" s="118"/>
      <c r="AI101" s="119"/>
      <c r="AJ101" s="121"/>
    </row>
    <row r="102" spans="2:36" s="9" customFormat="1">
      <c r="B102" s="9">
        <v>19</v>
      </c>
      <c r="C102" s="9" t="s">
        <v>454</v>
      </c>
      <c r="E102" s="9">
        <v>87414</v>
      </c>
      <c r="G102" s="9">
        <v>2011</v>
      </c>
      <c r="H102" s="9">
        <v>10</v>
      </c>
      <c r="I102" s="9">
        <v>0</v>
      </c>
      <c r="J102" s="9" t="s">
        <v>78</v>
      </c>
      <c r="K102" s="158">
        <v>12</v>
      </c>
      <c r="L102" s="9">
        <f t="shared" si="28"/>
        <v>2023</v>
      </c>
      <c r="M102" s="127">
        <f t="shared" si="29"/>
        <v>2023.8333333333333</v>
      </c>
      <c r="N102" s="13">
        <v>8265.27</v>
      </c>
      <c r="O102" s="13">
        <f t="shared" si="30"/>
        <v>8265.27</v>
      </c>
      <c r="P102" s="13">
        <f t="shared" si="31"/>
        <v>57.397708333333334</v>
      </c>
      <c r="Q102" s="13">
        <f t="shared" si="32"/>
        <v>688.77250000000004</v>
      </c>
      <c r="R102" s="13">
        <v>688.77250000000004</v>
      </c>
      <c r="S102" s="13">
        <f t="shared" si="41"/>
        <v>688.77250000000004</v>
      </c>
      <c r="T102" s="13">
        <f t="shared" si="34"/>
        <v>6887.7250000000004</v>
      </c>
      <c r="U102" s="13">
        <f t="shared" si="35"/>
        <v>7576.4975000000004</v>
      </c>
      <c r="V102" s="13">
        <v>2755.09</v>
      </c>
      <c r="W102" s="13">
        <f t="shared" si="42"/>
        <v>688.77250000000004</v>
      </c>
      <c r="X102" s="115">
        <f t="shared" si="37"/>
        <v>688.77250000000004</v>
      </c>
      <c r="Y102" s="116">
        <f t="shared" si="38"/>
        <v>688.77250000000004</v>
      </c>
      <c r="Z102" s="116">
        <f t="shared" si="17"/>
        <v>0</v>
      </c>
      <c r="AA102" s="116">
        <f t="shared" si="18"/>
        <v>-2066.3175000000001</v>
      </c>
      <c r="AB102" s="117">
        <f>'Ratios (C)'!$C$27</f>
        <v>0.72727998160891272</v>
      </c>
      <c r="AC102" s="116">
        <f t="shared" si="39"/>
        <v>500.93045113272484</v>
      </c>
      <c r="AD102" s="116">
        <f t="shared" si="40"/>
        <v>500.93045113272484</v>
      </c>
      <c r="AE102" s="118"/>
      <c r="AF102" s="119"/>
      <c r="AG102" s="120"/>
      <c r="AH102" s="118"/>
      <c r="AI102" s="119"/>
      <c r="AJ102" s="121"/>
    </row>
    <row r="103" spans="2:36" s="9" customFormat="1">
      <c r="B103" s="9">
        <v>45</v>
      </c>
      <c r="C103" s="9" t="s">
        <v>486</v>
      </c>
      <c r="E103" s="9">
        <v>87416</v>
      </c>
      <c r="G103" s="9">
        <v>2011</v>
      </c>
      <c r="H103" s="9">
        <v>10</v>
      </c>
      <c r="I103" s="9">
        <v>0</v>
      </c>
      <c r="J103" s="9" t="s">
        <v>78</v>
      </c>
      <c r="K103" s="158">
        <v>12</v>
      </c>
      <c r="L103" s="9">
        <f t="shared" si="28"/>
        <v>2023</v>
      </c>
      <c r="M103" s="127">
        <f t="shared" si="29"/>
        <v>2023.8333333333333</v>
      </c>
      <c r="N103" s="13">
        <v>23953.1</v>
      </c>
      <c r="O103" s="13">
        <f t="shared" si="30"/>
        <v>23953.1</v>
      </c>
      <c r="P103" s="13">
        <f t="shared" si="31"/>
        <v>166.34097222222221</v>
      </c>
      <c r="Q103" s="13">
        <f t="shared" si="32"/>
        <v>1996.0916666666665</v>
      </c>
      <c r="R103" s="13">
        <v>1996.0916666666665</v>
      </c>
      <c r="S103" s="13">
        <f t="shared" si="41"/>
        <v>1996.0916666666665</v>
      </c>
      <c r="T103" s="13">
        <f t="shared" si="34"/>
        <v>19960.916666666664</v>
      </c>
      <c r="U103" s="13">
        <f t="shared" si="35"/>
        <v>21957.008333333331</v>
      </c>
      <c r="V103" s="13">
        <v>7984.3666666666668</v>
      </c>
      <c r="W103" s="13">
        <f t="shared" si="42"/>
        <v>1996.0916666666672</v>
      </c>
      <c r="X103" s="115">
        <f t="shared" si="37"/>
        <v>1996.0916666666665</v>
      </c>
      <c r="Y103" s="116">
        <f t="shared" si="38"/>
        <v>1996.0916666666672</v>
      </c>
      <c r="Z103" s="116">
        <f t="shared" si="17"/>
        <v>0</v>
      </c>
      <c r="AA103" s="116">
        <f t="shared" si="18"/>
        <v>-5988.2749999999996</v>
      </c>
      <c r="AB103" s="117">
        <f>'Ratios (C)'!$C$27</f>
        <v>0.72727998160891272</v>
      </c>
      <c r="AC103" s="116">
        <f t="shared" si="39"/>
        <v>1451.717510623037</v>
      </c>
      <c r="AD103" s="116">
        <f t="shared" si="40"/>
        <v>1451.7175106230377</v>
      </c>
      <c r="AE103" s="118"/>
      <c r="AF103" s="119"/>
      <c r="AG103" s="120"/>
      <c r="AH103" s="118"/>
      <c r="AI103" s="119"/>
      <c r="AJ103" s="121"/>
    </row>
    <row r="104" spans="2:36" s="9" customFormat="1">
      <c r="B104" s="9">
        <v>6</v>
      </c>
      <c r="C104" s="9" t="s">
        <v>517</v>
      </c>
      <c r="E104" s="9">
        <v>87412</v>
      </c>
      <c r="G104" s="9">
        <v>2011</v>
      </c>
      <c r="H104" s="9">
        <v>10</v>
      </c>
      <c r="I104" s="9">
        <v>0</v>
      </c>
      <c r="J104" s="9" t="s">
        <v>78</v>
      </c>
      <c r="K104" s="158">
        <v>12</v>
      </c>
      <c r="L104" s="9">
        <f t="shared" si="28"/>
        <v>2023</v>
      </c>
      <c r="M104" s="127">
        <f t="shared" si="29"/>
        <v>2023.8333333333333</v>
      </c>
      <c r="N104" s="13">
        <v>4905.38</v>
      </c>
      <c r="O104" s="13">
        <f t="shared" si="30"/>
        <v>4905.38</v>
      </c>
      <c r="P104" s="13">
        <f t="shared" si="31"/>
        <v>34.065138888888889</v>
      </c>
      <c r="Q104" s="13">
        <f t="shared" si="32"/>
        <v>408.78166666666664</v>
      </c>
      <c r="R104" s="13">
        <v>408.78166666666664</v>
      </c>
      <c r="S104" s="13">
        <f t="shared" si="41"/>
        <v>408.78166666666664</v>
      </c>
      <c r="T104" s="13">
        <f t="shared" si="34"/>
        <v>4087.8166666666666</v>
      </c>
      <c r="U104" s="13">
        <f t="shared" si="35"/>
        <v>4496.5983333333334</v>
      </c>
      <c r="V104" s="13">
        <v>1635.126666666667</v>
      </c>
      <c r="W104" s="13">
        <f t="shared" si="42"/>
        <v>408.78166666666675</v>
      </c>
      <c r="X104" s="115">
        <f t="shared" si="37"/>
        <v>408.78166666666664</v>
      </c>
      <c r="Y104" s="116">
        <f t="shared" si="38"/>
        <v>408.78166666666675</v>
      </c>
      <c r="Z104" s="116">
        <f t="shared" si="17"/>
        <v>0</v>
      </c>
      <c r="AA104" s="116">
        <f t="shared" si="18"/>
        <v>-1226.3450000000003</v>
      </c>
      <c r="AB104" s="117">
        <f>'Ratios (C)'!$C$27</f>
        <v>0.72727998160891272</v>
      </c>
      <c r="AC104" s="116">
        <f t="shared" si="39"/>
        <v>297.29872301539399</v>
      </c>
      <c r="AD104" s="116">
        <f t="shared" si="40"/>
        <v>297.2987230153941</v>
      </c>
      <c r="AE104" s="118"/>
      <c r="AF104" s="119"/>
      <c r="AG104" s="120"/>
      <c r="AH104" s="118"/>
      <c r="AI104" s="119"/>
      <c r="AJ104" s="121"/>
    </row>
    <row r="105" spans="2:36" s="9" customFormat="1">
      <c r="B105" s="9">
        <v>8</v>
      </c>
      <c r="C105" s="9" t="s">
        <v>517</v>
      </c>
      <c r="E105" s="9">
        <v>87411</v>
      </c>
      <c r="G105" s="9">
        <v>2011</v>
      </c>
      <c r="H105" s="9">
        <v>10</v>
      </c>
      <c r="I105" s="9">
        <v>0</v>
      </c>
      <c r="J105" s="9" t="s">
        <v>78</v>
      </c>
      <c r="K105" s="158">
        <v>12</v>
      </c>
      <c r="L105" s="9">
        <f t="shared" si="28"/>
        <v>2023</v>
      </c>
      <c r="M105" s="127">
        <f t="shared" si="29"/>
        <v>2023.8333333333333</v>
      </c>
      <c r="N105" s="13">
        <v>6540.51</v>
      </c>
      <c r="O105" s="13">
        <f t="shared" si="30"/>
        <v>6540.51</v>
      </c>
      <c r="P105" s="13">
        <f t="shared" si="31"/>
        <v>45.420208333333335</v>
      </c>
      <c r="Q105" s="13">
        <f t="shared" si="32"/>
        <v>545.04250000000002</v>
      </c>
      <c r="R105" s="13">
        <v>545.04250000000002</v>
      </c>
      <c r="S105" s="13">
        <f t="shared" si="41"/>
        <v>545.04250000000002</v>
      </c>
      <c r="T105" s="13">
        <f t="shared" si="34"/>
        <v>5450.4250000000002</v>
      </c>
      <c r="U105" s="13">
        <f t="shared" si="35"/>
        <v>5995.4675000000007</v>
      </c>
      <c r="V105" s="13">
        <v>2180.17</v>
      </c>
      <c r="W105" s="13">
        <f t="shared" si="42"/>
        <v>545.04249999999956</v>
      </c>
      <c r="X105" s="115">
        <f t="shared" si="37"/>
        <v>545.04250000000002</v>
      </c>
      <c r="Y105" s="116">
        <f t="shared" si="38"/>
        <v>545.04249999999956</v>
      </c>
      <c r="Z105" s="116">
        <f t="shared" si="17"/>
        <v>0</v>
      </c>
      <c r="AA105" s="116">
        <f t="shared" si="18"/>
        <v>-1635.1275000000005</v>
      </c>
      <c r="AB105" s="117">
        <f>'Ratios (C)'!$C$27</f>
        <v>0.72727998160891272</v>
      </c>
      <c r="AC105" s="116">
        <f t="shared" si="39"/>
        <v>396.39849937607585</v>
      </c>
      <c r="AD105" s="116">
        <f t="shared" si="40"/>
        <v>396.39849937607551</v>
      </c>
      <c r="AE105" s="118"/>
      <c r="AF105" s="119"/>
      <c r="AG105" s="120"/>
      <c r="AH105" s="118"/>
      <c r="AI105" s="119"/>
      <c r="AJ105" s="121"/>
    </row>
    <row r="106" spans="2:36" s="9" customFormat="1">
      <c r="B106" s="9">
        <v>8</v>
      </c>
      <c r="C106" s="9" t="s">
        <v>520</v>
      </c>
      <c r="E106" s="9">
        <v>96395</v>
      </c>
      <c r="G106" s="9">
        <v>2012</v>
      </c>
      <c r="H106" s="9">
        <v>7</v>
      </c>
      <c r="I106" s="9">
        <v>0</v>
      </c>
      <c r="J106" s="9" t="s">
        <v>78</v>
      </c>
      <c r="K106" s="158">
        <v>12</v>
      </c>
      <c r="L106" s="9">
        <f t="shared" si="28"/>
        <v>2024</v>
      </c>
      <c r="M106" s="127">
        <f t="shared" si="29"/>
        <v>2024.5833333333333</v>
      </c>
      <c r="N106" s="13">
        <v>8067.16</v>
      </c>
      <c r="O106" s="13">
        <f t="shared" si="30"/>
        <v>8067.16</v>
      </c>
      <c r="P106" s="13">
        <f t="shared" si="31"/>
        <v>56.021944444444443</v>
      </c>
      <c r="Q106" s="13">
        <f t="shared" si="32"/>
        <v>672.26333333333332</v>
      </c>
      <c r="R106" s="13">
        <v>672.26333333333332</v>
      </c>
      <c r="S106" s="13">
        <f t="shared" si="41"/>
        <v>672.26333333333332</v>
      </c>
      <c r="T106" s="13">
        <f t="shared" si="34"/>
        <v>6050.37</v>
      </c>
      <c r="U106" s="13">
        <f t="shared" si="35"/>
        <v>6722.6333333333332</v>
      </c>
      <c r="V106" s="13">
        <v>3361.3166666666666</v>
      </c>
      <c r="W106" s="13">
        <f t="shared" si="42"/>
        <v>1344.5266666666666</v>
      </c>
      <c r="X106" s="115">
        <f t="shared" si="37"/>
        <v>672.26333333333332</v>
      </c>
      <c r="Y106" s="116">
        <f t="shared" si="38"/>
        <v>1344.5266666666666</v>
      </c>
      <c r="Z106" s="116">
        <f t="shared" si="17"/>
        <v>0</v>
      </c>
      <c r="AA106" s="116">
        <f t="shared" si="18"/>
        <v>-2016.79</v>
      </c>
      <c r="AB106" s="117">
        <f>'Ratios (C)'!$C$27</f>
        <v>0.72727998160891272</v>
      </c>
      <c r="AC106" s="116">
        <f t="shared" si="39"/>
        <v>488.923664703013</v>
      </c>
      <c r="AD106" s="116">
        <f t="shared" si="40"/>
        <v>977.84732940602601</v>
      </c>
      <c r="AE106" s="118"/>
      <c r="AF106" s="119"/>
      <c r="AG106" s="120"/>
      <c r="AH106" s="118"/>
      <c r="AI106" s="119"/>
      <c r="AJ106" s="121"/>
    </row>
    <row r="107" spans="2:36" s="9" customFormat="1">
      <c r="B107" s="9">
        <v>18</v>
      </c>
      <c r="C107" s="9" t="s">
        <v>520</v>
      </c>
      <c r="E107" s="9">
        <v>96396</v>
      </c>
      <c r="G107" s="9">
        <v>2012</v>
      </c>
      <c r="H107" s="9">
        <v>7</v>
      </c>
      <c r="I107" s="9">
        <v>0</v>
      </c>
      <c r="J107" s="9" t="s">
        <v>78</v>
      </c>
      <c r="K107" s="158">
        <v>12</v>
      </c>
      <c r="L107" s="9">
        <f t="shared" si="28"/>
        <v>2024</v>
      </c>
      <c r="M107" s="127">
        <f t="shared" si="29"/>
        <v>2024.5833333333333</v>
      </c>
      <c r="N107" s="13">
        <v>18055.38</v>
      </c>
      <c r="O107" s="13">
        <f t="shared" si="30"/>
        <v>18055.38</v>
      </c>
      <c r="P107" s="13">
        <f t="shared" si="31"/>
        <v>125.38458333333334</v>
      </c>
      <c r="Q107" s="13">
        <f t="shared" si="32"/>
        <v>1504.615</v>
      </c>
      <c r="R107" s="13">
        <v>1504.615</v>
      </c>
      <c r="S107" s="13">
        <f t="shared" si="41"/>
        <v>1504.615</v>
      </c>
      <c r="T107" s="13">
        <f t="shared" si="34"/>
        <v>13541.535</v>
      </c>
      <c r="U107" s="13">
        <f t="shared" si="35"/>
        <v>15046.15</v>
      </c>
      <c r="V107" s="13">
        <v>7523.0750000000007</v>
      </c>
      <c r="W107" s="13">
        <f t="shared" si="42"/>
        <v>3009.2300000000014</v>
      </c>
      <c r="X107" s="115">
        <f t="shared" si="37"/>
        <v>1504.615</v>
      </c>
      <c r="Y107" s="116">
        <f t="shared" si="38"/>
        <v>3009.2300000000014</v>
      </c>
      <c r="Z107" s="116">
        <f t="shared" ref="Z107:Z170" si="43">X107-R107</f>
        <v>0</v>
      </c>
      <c r="AA107" s="116">
        <f t="shared" ref="AA107:AA170" si="44">Y107-V107</f>
        <v>-4513.8449999999993</v>
      </c>
      <c r="AB107" s="117">
        <f>'Ratios (C)'!$C$27</f>
        <v>0.72727998160891272</v>
      </c>
      <c r="AC107" s="116">
        <f t="shared" si="39"/>
        <v>1094.2763695284941</v>
      </c>
      <c r="AD107" s="116">
        <f t="shared" si="40"/>
        <v>2188.5527390569896</v>
      </c>
      <c r="AE107" s="118"/>
      <c r="AF107" s="119"/>
      <c r="AG107" s="120"/>
      <c r="AH107" s="118"/>
      <c r="AI107" s="119"/>
      <c r="AJ107" s="121"/>
    </row>
    <row r="108" spans="2:36" s="9" customFormat="1">
      <c r="B108" s="9">
        <v>9</v>
      </c>
      <c r="C108" s="9" t="s">
        <v>521</v>
      </c>
      <c r="E108" s="9">
        <v>95356</v>
      </c>
      <c r="G108" s="9">
        <v>2012</v>
      </c>
      <c r="H108" s="9">
        <v>7</v>
      </c>
      <c r="I108" s="9">
        <v>0</v>
      </c>
      <c r="J108" s="9" t="s">
        <v>78</v>
      </c>
      <c r="K108" s="158">
        <v>12</v>
      </c>
      <c r="L108" s="9">
        <f t="shared" si="28"/>
        <v>2024</v>
      </c>
      <c r="M108" s="127">
        <f t="shared" si="29"/>
        <v>2024.5833333333333</v>
      </c>
      <c r="N108" s="13">
        <v>9027.69</v>
      </c>
      <c r="O108" s="13">
        <f t="shared" si="30"/>
        <v>9027.69</v>
      </c>
      <c r="P108" s="13">
        <f t="shared" si="31"/>
        <v>62.692291666666669</v>
      </c>
      <c r="Q108" s="13">
        <f t="shared" si="32"/>
        <v>752.3075</v>
      </c>
      <c r="R108" s="13">
        <v>752.3075</v>
      </c>
      <c r="S108" s="13">
        <f t="shared" si="41"/>
        <v>752.3075</v>
      </c>
      <c r="T108" s="13">
        <f t="shared" si="34"/>
        <v>6770.7674999999999</v>
      </c>
      <c r="U108" s="13">
        <f t="shared" si="35"/>
        <v>7523.0749999999998</v>
      </c>
      <c r="V108" s="13">
        <v>3761.5375000000004</v>
      </c>
      <c r="W108" s="13">
        <f t="shared" si="42"/>
        <v>1504.6150000000007</v>
      </c>
      <c r="X108" s="115">
        <f t="shared" si="37"/>
        <v>752.3075</v>
      </c>
      <c r="Y108" s="116">
        <f t="shared" si="38"/>
        <v>1504.6150000000007</v>
      </c>
      <c r="Z108" s="116">
        <f t="shared" si="43"/>
        <v>0</v>
      </c>
      <c r="AA108" s="116">
        <f t="shared" si="44"/>
        <v>-2256.9224999999997</v>
      </c>
      <c r="AB108" s="117">
        <f>'Ratios (C)'!$C$27</f>
        <v>0.72727998160891272</v>
      </c>
      <c r="AC108" s="116">
        <f t="shared" si="39"/>
        <v>547.13818476424706</v>
      </c>
      <c r="AD108" s="116">
        <f t="shared" si="40"/>
        <v>1094.2763695284948</v>
      </c>
      <c r="AE108" s="118"/>
      <c r="AF108" s="119"/>
      <c r="AG108" s="120"/>
      <c r="AH108" s="118"/>
      <c r="AI108" s="119"/>
      <c r="AJ108" s="121"/>
    </row>
    <row r="109" spans="2:36" s="9" customFormat="1">
      <c r="B109" s="9">
        <v>27</v>
      </c>
      <c r="C109" s="9" t="s">
        <v>473</v>
      </c>
      <c r="E109" s="9">
        <v>95921</v>
      </c>
      <c r="G109" s="9">
        <v>2012</v>
      </c>
      <c r="H109" s="9">
        <v>8</v>
      </c>
      <c r="I109" s="9">
        <v>0</v>
      </c>
      <c r="J109" s="9" t="s">
        <v>78</v>
      </c>
      <c r="K109" s="158">
        <v>12</v>
      </c>
      <c r="L109" s="9">
        <f t="shared" ref="L109:L140" si="45">G109+K109</f>
        <v>2024</v>
      </c>
      <c r="M109" s="127">
        <f t="shared" ref="M109:M140" si="46">+L109+(H109/12)</f>
        <v>2024.6666666666667</v>
      </c>
      <c r="N109" s="13">
        <v>13614.14</v>
      </c>
      <c r="O109" s="13">
        <f t="shared" ref="O109:O140" si="47">N109-N109*I109</f>
        <v>13614.14</v>
      </c>
      <c r="P109" s="13">
        <f t="shared" ref="P109:P140" si="48">O109/K109/12</f>
        <v>94.542638888888874</v>
      </c>
      <c r="Q109" s="13">
        <f t="shared" ref="Q109:Q140" si="49">P109*12</f>
        <v>1134.5116666666665</v>
      </c>
      <c r="R109" s="13">
        <v>1134.5116666666665</v>
      </c>
      <c r="S109" s="13">
        <f t="shared" ref="S109:S140" si="50">+IF(M109&lt;=$O$5,0,IF(L109&gt;$O$4,Q109,(P109*H109)))</f>
        <v>1134.5116666666665</v>
      </c>
      <c r="T109" s="13">
        <f t="shared" ref="T109:T140" si="51">+IF(S109=0,N109,IF($O$3-G109&lt;1,0,(($O$3-G109)*Q109)))</f>
        <v>10210.605</v>
      </c>
      <c r="U109" s="13">
        <f t="shared" ref="U109:U140" si="52">+IF(S109=0,T109,T109+S109)</f>
        <v>11345.116666666667</v>
      </c>
      <c r="V109" s="13">
        <v>5672.5583333333334</v>
      </c>
      <c r="W109" s="13">
        <f t="shared" si="42"/>
        <v>2269.0233333333326</v>
      </c>
      <c r="X109" s="115">
        <f t="shared" si="37"/>
        <v>1134.5116666666665</v>
      </c>
      <c r="Y109" s="116">
        <f t="shared" si="38"/>
        <v>2269.0233333333326</v>
      </c>
      <c r="Z109" s="116">
        <f t="shared" si="43"/>
        <v>0</v>
      </c>
      <c r="AA109" s="116">
        <f t="shared" si="44"/>
        <v>-3403.5350000000008</v>
      </c>
      <c r="AB109" s="117">
        <f>'Ratios (C)'!$C$27</f>
        <v>0.72727998160891272</v>
      </c>
      <c r="AC109" s="116">
        <f t="shared" si="39"/>
        <v>825.10762406843014</v>
      </c>
      <c r="AD109" s="116">
        <f t="shared" si="40"/>
        <v>1650.2152481368601</v>
      </c>
      <c r="AE109" s="118"/>
      <c r="AF109" s="119"/>
      <c r="AG109" s="120"/>
      <c r="AH109" s="118"/>
      <c r="AI109" s="119"/>
      <c r="AJ109" s="121"/>
    </row>
    <row r="110" spans="2:36" s="9" customFormat="1">
      <c r="B110" s="9">
        <v>15</v>
      </c>
      <c r="C110" s="9" t="s">
        <v>491</v>
      </c>
      <c r="E110" s="9">
        <v>95704</v>
      </c>
      <c r="G110" s="9">
        <v>2012</v>
      </c>
      <c r="H110" s="9">
        <v>8</v>
      </c>
      <c r="I110" s="9">
        <v>0</v>
      </c>
      <c r="J110" s="9" t="s">
        <v>78</v>
      </c>
      <c r="K110" s="158">
        <v>12</v>
      </c>
      <c r="L110" s="9">
        <f t="shared" si="45"/>
        <v>2024</v>
      </c>
      <c r="M110" s="127">
        <f t="shared" si="46"/>
        <v>2024.6666666666667</v>
      </c>
      <c r="N110" s="13">
        <v>7641.6</v>
      </c>
      <c r="O110" s="13">
        <f t="shared" si="47"/>
        <v>7641.6</v>
      </c>
      <c r="P110" s="13">
        <f t="shared" si="48"/>
        <v>53.06666666666667</v>
      </c>
      <c r="Q110" s="13">
        <f t="shared" si="49"/>
        <v>636.80000000000007</v>
      </c>
      <c r="R110" s="13">
        <v>636.80000000000007</v>
      </c>
      <c r="S110" s="13">
        <f t="shared" si="50"/>
        <v>636.80000000000007</v>
      </c>
      <c r="T110" s="13">
        <f t="shared" si="51"/>
        <v>5731.2000000000007</v>
      </c>
      <c r="U110" s="13">
        <f t="shared" si="52"/>
        <v>6368.0000000000009</v>
      </c>
      <c r="V110" s="13">
        <v>3184</v>
      </c>
      <c r="W110" s="13">
        <f t="shared" si="42"/>
        <v>1273.5999999999995</v>
      </c>
      <c r="X110" s="115">
        <f t="shared" si="37"/>
        <v>636.80000000000007</v>
      </c>
      <c r="Y110" s="116">
        <f t="shared" si="38"/>
        <v>1273.5999999999995</v>
      </c>
      <c r="Z110" s="116">
        <f t="shared" si="43"/>
        <v>0</v>
      </c>
      <c r="AA110" s="116">
        <f t="shared" si="44"/>
        <v>-1910.4000000000005</v>
      </c>
      <c r="AB110" s="117">
        <f>'Ratios (C)'!$C$27</f>
        <v>0.72727998160891272</v>
      </c>
      <c r="AC110" s="116">
        <f t="shared" si="39"/>
        <v>463.13189228855566</v>
      </c>
      <c r="AD110" s="116">
        <f t="shared" si="40"/>
        <v>926.26378457711087</v>
      </c>
      <c r="AE110" s="118"/>
      <c r="AF110" s="119"/>
      <c r="AG110" s="120"/>
      <c r="AH110" s="118"/>
      <c r="AI110" s="119"/>
      <c r="AJ110" s="121"/>
    </row>
    <row r="111" spans="2:36" s="9" customFormat="1">
      <c r="B111" s="9">
        <v>13</v>
      </c>
      <c r="C111" s="9" t="s">
        <v>494</v>
      </c>
      <c r="E111" s="9">
        <v>97727</v>
      </c>
      <c r="G111" s="9">
        <v>2012</v>
      </c>
      <c r="H111" s="9">
        <v>10</v>
      </c>
      <c r="I111" s="9">
        <v>0</v>
      </c>
      <c r="J111" s="9" t="s">
        <v>78</v>
      </c>
      <c r="K111" s="158">
        <v>7</v>
      </c>
      <c r="L111" s="9">
        <f t="shared" si="45"/>
        <v>2019</v>
      </c>
      <c r="M111" s="127">
        <f t="shared" si="46"/>
        <v>2019.8333333333333</v>
      </c>
      <c r="N111" s="13">
        <v>8795.76</v>
      </c>
      <c r="O111" s="13">
        <f t="shared" si="47"/>
        <v>8795.76</v>
      </c>
      <c r="P111" s="13">
        <f t="shared" si="48"/>
        <v>104.71142857142858</v>
      </c>
      <c r="Q111" s="13">
        <f t="shared" si="49"/>
        <v>1256.537142857143</v>
      </c>
      <c r="R111" s="13">
        <v>1047.1142857142859</v>
      </c>
      <c r="S111" s="13">
        <v>0</v>
      </c>
      <c r="T111" s="13">
        <f t="shared" si="51"/>
        <v>8795.76</v>
      </c>
      <c r="U111" s="13">
        <f t="shared" si="52"/>
        <v>8795.76</v>
      </c>
      <c r="V111" s="13">
        <v>209.42285714285572</v>
      </c>
      <c r="W111" s="13">
        <f t="shared" si="42"/>
        <v>0</v>
      </c>
      <c r="X111" s="115">
        <f t="shared" si="37"/>
        <v>0</v>
      </c>
      <c r="Y111" s="116">
        <f t="shared" si="38"/>
        <v>0</v>
      </c>
      <c r="Z111" s="116">
        <f t="shared" si="43"/>
        <v>-1047.1142857142859</v>
      </c>
      <c r="AA111" s="116">
        <f t="shared" si="44"/>
        <v>-209.42285714285572</v>
      </c>
      <c r="AB111" s="117">
        <f>'Ratios (C)'!$C$27</f>
        <v>0.72727998160891272</v>
      </c>
      <c r="AC111" s="116">
        <f t="shared" si="39"/>
        <v>0</v>
      </c>
      <c r="AD111" s="116">
        <f t="shared" si="40"/>
        <v>0</v>
      </c>
      <c r="AE111" s="118"/>
      <c r="AF111" s="119"/>
      <c r="AG111" s="120"/>
      <c r="AH111" s="118"/>
      <c r="AI111" s="119"/>
      <c r="AJ111" s="121"/>
    </row>
    <row r="112" spans="2:36" s="9" customFormat="1">
      <c r="B112" s="9">
        <v>23</v>
      </c>
      <c r="C112" s="9" t="s">
        <v>494</v>
      </c>
      <c r="E112" s="9">
        <v>97728</v>
      </c>
      <c r="G112" s="9">
        <v>2012</v>
      </c>
      <c r="H112" s="9">
        <v>10</v>
      </c>
      <c r="I112" s="9">
        <v>0</v>
      </c>
      <c r="J112" s="9" t="s">
        <v>78</v>
      </c>
      <c r="K112" s="158">
        <v>7</v>
      </c>
      <c r="L112" s="9">
        <f t="shared" si="45"/>
        <v>2019</v>
      </c>
      <c r="M112" s="127">
        <f t="shared" si="46"/>
        <v>2019.8333333333333</v>
      </c>
      <c r="N112" s="13">
        <v>14593.96</v>
      </c>
      <c r="O112" s="13">
        <f t="shared" si="47"/>
        <v>14593.96</v>
      </c>
      <c r="P112" s="13">
        <f t="shared" si="48"/>
        <v>173.73761904761906</v>
      </c>
      <c r="Q112" s="13">
        <f t="shared" si="49"/>
        <v>2084.8514285714286</v>
      </c>
      <c r="R112" s="13">
        <v>1737.3761904761907</v>
      </c>
      <c r="S112" s="13">
        <v>0</v>
      </c>
      <c r="T112" s="13">
        <f t="shared" si="51"/>
        <v>14593.96</v>
      </c>
      <c r="U112" s="13">
        <f t="shared" si="52"/>
        <v>14593.96</v>
      </c>
      <c r="V112" s="13">
        <v>347.47523809523591</v>
      </c>
      <c r="W112" s="13">
        <f t="shared" si="42"/>
        <v>0</v>
      </c>
      <c r="X112" s="115">
        <f t="shared" si="37"/>
        <v>0</v>
      </c>
      <c r="Y112" s="116">
        <f t="shared" si="38"/>
        <v>0</v>
      </c>
      <c r="Z112" s="116">
        <f t="shared" si="43"/>
        <v>-1737.3761904761907</v>
      </c>
      <c r="AA112" s="116">
        <f t="shared" si="44"/>
        <v>-347.47523809523591</v>
      </c>
      <c r="AB112" s="117">
        <f>'Ratios (C)'!$C$27</f>
        <v>0.72727998160891272</v>
      </c>
      <c r="AC112" s="116">
        <f t="shared" si="39"/>
        <v>0</v>
      </c>
      <c r="AD112" s="116">
        <f t="shared" si="40"/>
        <v>0</v>
      </c>
      <c r="AE112" s="118"/>
      <c r="AF112" s="119"/>
      <c r="AG112" s="120"/>
      <c r="AH112" s="118"/>
      <c r="AI112" s="119"/>
      <c r="AJ112" s="121"/>
    </row>
    <row r="113" spans="2:36" s="9" customFormat="1">
      <c r="B113" s="9">
        <v>10</v>
      </c>
      <c r="C113" s="9" t="s">
        <v>505</v>
      </c>
      <c r="E113" s="9">
        <v>97729</v>
      </c>
      <c r="G113" s="9">
        <v>2012</v>
      </c>
      <c r="H113" s="9">
        <v>10</v>
      </c>
      <c r="I113" s="9">
        <v>0</v>
      </c>
      <c r="J113" s="9" t="s">
        <v>78</v>
      </c>
      <c r="K113" s="158">
        <v>7</v>
      </c>
      <c r="L113" s="9">
        <f t="shared" si="45"/>
        <v>2019</v>
      </c>
      <c r="M113" s="127">
        <f t="shared" si="46"/>
        <v>2019.8333333333333</v>
      </c>
      <c r="N113" s="13">
        <v>7822.1</v>
      </c>
      <c r="O113" s="13">
        <f t="shared" si="47"/>
        <v>7822.1</v>
      </c>
      <c r="P113" s="13">
        <f t="shared" si="48"/>
        <v>93.120238095238108</v>
      </c>
      <c r="Q113" s="13">
        <f t="shared" si="49"/>
        <v>1117.4428571428573</v>
      </c>
      <c r="R113" s="13">
        <v>931.20238095238108</v>
      </c>
      <c r="S113" s="13">
        <v>0</v>
      </c>
      <c r="T113" s="13">
        <f t="shared" si="51"/>
        <v>7822.1</v>
      </c>
      <c r="U113" s="13">
        <f t="shared" si="52"/>
        <v>7822.1</v>
      </c>
      <c r="V113" s="13">
        <v>186.24047619047542</v>
      </c>
      <c r="W113" s="13">
        <f t="shared" si="42"/>
        <v>0</v>
      </c>
      <c r="X113" s="115">
        <f t="shared" si="37"/>
        <v>0</v>
      </c>
      <c r="Y113" s="116">
        <f t="shared" si="38"/>
        <v>0</v>
      </c>
      <c r="Z113" s="116">
        <f t="shared" si="43"/>
        <v>-931.20238095238108</v>
      </c>
      <c r="AA113" s="116">
        <f t="shared" si="44"/>
        <v>-186.24047619047542</v>
      </c>
      <c r="AB113" s="117">
        <f>'Ratios (C)'!$C$27</f>
        <v>0.72727998160891272</v>
      </c>
      <c r="AC113" s="116">
        <f t="shared" si="39"/>
        <v>0</v>
      </c>
      <c r="AD113" s="116">
        <f t="shared" si="40"/>
        <v>0</v>
      </c>
      <c r="AE113" s="118"/>
      <c r="AF113" s="119"/>
      <c r="AG113" s="120"/>
      <c r="AH113" s="118"/>
      <c r="AI113" s="119"/>
      <c r="AJ113" s="121"/>
    </row>
    <row r="114" spans="2:36" s="9" customFormat="1">
      <c r="B114" s="9">
        <v>24</v>
      </c>
      <c r="C114" s="9" t="s">
        <v>505</v>
      </c>
      <c r="E114" s="9" t="s">
        <v>507</v>
      </c>
      <c r="G114" s="9">
        <v>2012</v>
      </c>
      <c r="H114" s="9">
        <v>10</v>
      </c>
      <c r="I114" s="9">
        <v>0</v>
      </c>
      <c r="J114" s="9" t="s">
        <v>78</v>
      </c>
      <c r="K114" s="158">
        <v>7</v>
      </c>
      <c r="L114" s="9">
        <f t="shared" si="45"/>
        <v>2019</v>
      </c>
      <c r="M114" s="127">
        <f t="shared" si="46"/>
        <v>2019.8333333333333</v>
      </c>
      <c r="N114" s="13">
        <v>18007</v>
      </c>
      <c r="O114" s="13">
        <f t="shared" si="47"/>
        <v>18007</v>
      </c>
      <c r="P114" s="13">
        <f t="shared" si="48"/>
        <v>214.36904761904762</v>
      </c>
      <c r="Q114" s="13">
        <f t="shared" si="49"/>
        <v>2572.4285714285716</v>
      </c>
      <c r="R114" s="13">
        <v>2143.6904761904761</v>
      </c>
      <c r="S114" s="13">
        <v>0</v>
      </c>
      <c r="T114" s="13">
        <f t="shared" si="51"/>
        <v>18007</v>
      </c>
      <c r="U114" s="13">
        <f t="shared" si="52"/>
        <v>18007</v>
      </c>
      <c r="V114" s="13">
        <v>428.73809523809541</v>
      </c>
      <c r="W114" s="13">
        <f t="shared" si="42"/>
        <v>0</v>
      </c>
      <c r="X114" s="115">
        <f t="shared" si="37"/>
        <v>0</v>
      </c>
      <c r="Y114" s="116">
        <f t="shared" si="38"/>
        <v>0</v>
      </c>
      <c r="Z114" s="116">
        <f t="shared" si="43"/>
        <v>-2143.6904761904761</v>
      </c>
      <c r="AA114" s="116">
        <f t="shared" si="44"/>
        <v>-428.73809523809541</v>
      </c>
      <c r="AB114" s="117">
        <f>'Ratios (C)'!$C$27</f>
        <v>0.72727998160891272</v>
      </c>
      <c r="AC114" s="116">
        <f t="shared" si="39"/>
        <v>0</v>
      </c>
      <c r="AD114" s="116">
        <f t="shared" si="40"/>
        <v>0</v>
      </c>
      <c r="AE114" s="118"/>
      <c r="AF114" s="119"/>
      <c r="AG114" s="120"/>
      <c r="AH114" s="118"/>
      <c r="AI114" s="119"/>
      <c r="AJ114" s="121"/>
    </row>
    <row r="115" spans="2:36" s="9" customFormat="1">
      <c r="B115" s="9">
        <v>10</v>
      </c>
      <c r="C115" s="9" t="s">
        <v>469</v>
      </c>
      <c r="E115" s="9">
        <v>107126</v>
      </c>
      <c r="G115" s="9">
        <v>2013</v>
      </c>
      <c r="H115" s="9">
        <v>8</v>
      </c>
      <c r="I115" s="9">
        <v>0</v>
      </c>
      <c r="J115" s="9" t="s">
        <v>78</v>
      </c>
      <c r="K115" s="158">
        <v>12</v>
      </c>
      <c r="L115" s="9">
        <f t="shared" si="45"/>
        <v>2025</v>
      </c>
      <c r="M115" s="127">
        <f t="shared" si="46"/>
        <v>2025.6666666666667</v>
      </c>
      <c r="N115" s="13">
        <v>4896</v>
      </c>
      <c r="O115" s="13">
        <f t="shared" si="47"/>
        <v>4896</v>
      </c>
      <c r="P115" s="13">
        <f t="shared" si="48"/>
        <v>34</v>
      </c>
      <c r="Q115" s="13">
        <f t="shared" si="49"/>
        <v>408</v>
      </c>
      <c r="R115" s="13">
        <v>408</v>
      </c>
      <c r="S115" s="13">
        <f t="shared" si="50"/>
        <v>408</v>
      </c>
      <c r="T115" s="13">
        <f t="shared" si="51"/>
        <v>3264</v>
      </c>
      <c r="U115" s="13">
        <f t="shared" si="52"/>
        <v>3672</v>
      </c>
      <c r="V115" s="13">
        <v>2448</v>
      </c>
      <c r="W115" s="13">
        <f t="shared" si="42"/>
        <v>1224</v>
      </c>
      <c r="X115" s="115">
        <f t="shared" si="37"/>
        <v>408</v>
      </c>
      <c r="Y115" s="116">
        <f t="shared" si="38"/>
        <v>1224</v>
      </c>
      <c r="Z115" s="116">
        <f t="shared" si="43"/>
        <v>0</v>
      </c>
      <c r="AA115" s="116">
        <f t="shared" si="44"/>
        <v>-1224</v>
      </c>
      <c r="AB115" s="117">
        <f>'Ratios (C)'!$C$27</f>
        <v>0.72727998160891272</v>
      </c>
      <c r="AC115" s="116">
        <f t="shared" si="39"/>
        <v>296.73023249643637</v>
      </c>
      <c r="AD115" s="116">
        <f t="shared" si="40"/>
        <v>890.19069748930917</v>
      </c>
      <c r="AE115" s="118"/>
      <c r="AF115" s="119"/>
      <c r="AG115" s="120"/>
      <c r="AH115" s="118"/>
      <c r="AI115" s="119"/>
      <c r="AJ115" s="121"/>
    </row>
    <row r="116" spans="2:36" s="9" customFormat="1">
      <c r="B116" s="9">
        <f>19+4+10+2</f>
        <v>35</v>
      </c>
      <c r="C116" s="9" t="s">
        <v>482</v>
      </c>
      <c r="E116" s="9" t="s">
        <v>483</v>
      </c>
      <c r="G116" s="9">
        <v>2013</v>
      </c>
      <c r="H116" s="9">
        <v>8</v>
      </c>
      <c r="I116" s="9">
        <v>0</v>
      </c>
      <c r="J116" s="9" t="s">
        <v>78</v>
      </c>
      <c r="K116" s="158">
        <v>12</v>
      </c>
      <c r="L116" s="9">
        <f t="shared" si="45"/>
        <v>2025</v>
      </c>
      <c r="M116" s="127">
        <f t="shared" si="46"/>
        <v>2025.6666666666667</v>
      </c>
      <c r="N116" s="13">
        <f>9819.2+2067.2+4134.4+1033.6</f>
        <v>17054.400000000001</v>
      </c>
      <c r="O116" s="13">
        <f t="shared" si="47"/>
        <v>17054.400000000001</v>
      </c>
      <c r="P116" s="13">
        <f t="shared" si="48"/>
        <v>118.43333333333334</v>
      </c>
      <c r="Q116" s="13">
        <f t="shared" si="49"/>
        <v>1421.2</v>
      </c>
      <c r="R116" s="13">
        <v>1421.2</v>
      </c>
      <c r="S116" s="13">
        <f t="shared" si="50"/>
        <v>1421.2</v>
      </c>
      <c r="T116" s="13">
        <f t="shared" si="51"/>
        <v>11369.6</v>
      </c>
      <c r="U116" s="13">
        <f t="shared" si="52"/>
        <v>12790.800000000001</v>
      </c>
      <c r="V116" s="13">
        <v>8527.2000000000007</v>
      </c>
      <c r="W116" s="13">
        <f t="shared" si="42"/>
        <v>4263.6000000000004</v>
      </c>
      <c r="X116" s="115">
        <f t="shared" si="37"/>
        <v>1421.2</v>
      </c>
      <c r="Y116" s="116">
        <f t="shared" si="38"/>
        <v>4263.6000000000004</v>
      </c>
      <c r="Z116" s="116">
        <f t="shared" si="43"/>
        <v>0</v>
      </c>
      <c r="AA116" s="116">
        <f t="shared" si="44"/>
        <v>-4263.6000000000004</v>
      </c>
      <c r="AB116" s="117">
        <f>'Ratios (C)'!$C$27</f>
        <v>0.72727998160891272</v>
      </c>
      <c r="AC116" s="116">
        <f t="shared" si="39"/>
        <v>1033.6103098625867</v>
      </c>
      <c r="AD116" s="116">
        <f t="shared" si="40"/>
        <v>3100.8309295877607</v>
      </c>
      <c r="AE116" s="118"/>
      <c r="AF116" s="119"/>
      <c r="AG116" s="120"/>
      <c r="AH116" s="118"/>
      <c r="AI116" s="119"/>
      <c r="AJ116" s="121"/>
    </row>
    <row r="117" spans="2:36" s="9" customFormat="1">
      <c r="B117" s="9">
        <v>17</v>
      </c>
      <c r="C117" s="9" t="s">
        <v>478</v>
      </c>
      <c r="E117" s="9">
        <v>112986</v>
      </c>
      <c r="G117" s="9">
        <v>2014</v>
      </c>
      <c r="H117" s="9">
        <v>2</v>
      </c>
      <c r="I117" s="9">
        <v>0</v>
      </c>
      <c r="J117" s="9" t="s">
        <v>78</v>
      </c>
      <c r="K117" s="158">
        <v>12</v>
      </c>
      <c r="L117" s="9">
        <f t="shared" si="45"/>
        <v>2026</v>
      </c>
      <c r="M117" s="127">
        <f t="shared" si="46"/>
        <v>2026.1666666666667</v>
      </c>
      <c r="N117" s="13">
        <v>8516.86</v>
      </c>
      <c r="O117" s="13">
        <f t="shared" si="47"/>
        <v>8516.86</v>
      </c>
      <c r="P117" s="13">
        <f t="shared" si="48"/>
        <v>59.144861111111112</v>
      </c>
      <c r="Q117" s="13">
        <f t="shared" si="49"/>
        <v>709.73833333333334</v>
      </c>
      <c r="R117" s="13">
        <v>709.73833333333334</v>
      </c>
      <c r="S117" s="13">
        <f t="shared" si="50"/>
        <v>709.73833333333334</v>
      </c>
      <c r="T117" s="13">
        <f t="shared" si="51"/>
        <v>4968.1683333333331</v>
      </c>
      <c r="U117" s="13">
        <f t="shared" si="52"/>
        <v>5677.9066666666668</v>
      </c>
      <c r="V117" s="13">
        <v>4968.168333333334</v>
      </c>
      <c r="W117" s="13">
        <f t="shared" si="42"/>
        <v>2838.9533333333338</v>
      </c>
      <c r="X117" s="115">
        <f t="shared" si="37"/>
        <v>709.73833333333334</v>
      </c>
      <c r="Y117" s="116">
        <f t="shared" si="38"/>
        <v>2838.9533333333338</v>
      </c>
      <c r="Z117" s="116">
        <f t="shared" si="43"/>
        <v>0</v>
      </c>
      <c r="AA117" s="116">
        <f t="shared" si="44"/>
        <v>-2129.2150000000001</v>
      </c>
      <c r="AB117" s="117">
        <f>'Ratios (C)'!$C$27</f>
        <v>0.72727998160891272</v>
      </c>
      <c r="AC117" s="116">
        <f t="shared" si="39"/>
        <v>516.17848201380707</v>
      </c>
      <c r="AD117" s="116">
        <f t="shared" si="40"/>
        <v>2064.7139280552283</v>
      </c>
      <c r="AE117" s="118"/>
      <c r="AF117" s="119"/>
      <c r="AG117" s="120"/>
      <c r="AH117" s="118"/>
      <c r="AI117" s="119"/>
      <c r="AJ117" s="121"/>
    </row>
    <row r="118" spans="2:36" s="9" customFormat="1">
      <c r="B118" s="9">
        <v>36</v>
      </c>
      <c r="C118" s="9" t="s">
        <v>478</v>
      </c>
      <c r="E118" s="9">
        <v>113633</v>
      </c>
      <c r="G118" s="9">
        <v>2014</v>
      </c>
      <c r="H118" s="9">
        <v>5</v>
      </c>
      <c r="I118" s="9">
        <v>0</v>
      </c>
      <c r="J118" s="9" t="s">
        <v>78</v>
      </c>
      <c r="K118" s="158">
        <v>12</v>
      </c>
      <c r="L118" s="9">
        <f t="shared" si="45"/>
        <v>2026</v>
      </c>
      <c r="M118" s="127">
        <f t="shared" si="46"/>
        <v>2026.4166666666667</v>
      </c>
      <c r="N118" s="13">
        <v>18169.599999999999</v>
      </c>
      <c r="O118" s="13">
        <f t="shared" si="47"/>
        <v>18169.599999999999</v>
      </c>
      <c r="P118" s="13">
        <f t="shared" si="48"/>
        <v>126.17777777777776</v>
      </c>
      <c r="Q118" s="13">
        <f t="shared" si="49"/>
        <v>1514.1333333333332</v>
      </c>
      <c r="R118" s="13">
        <v>1514.1333333333332</v>
      </c>
      <c r="S118" s="13">
        <f t="shared" si="50"/>
        <v>1514.1333333333332</v>
      </c>
      <c r="T118" s="13">
        <f t="shared" si="51"/>
        <v>10598.933333333332</v>
      </c>
      <c r="U118" s="13">
        <f t="shared" si="52"/>
        <v>12113.066666666666</v>
      </c>
      <c r="V118" s="13">
        <v>10598.933333333332</v>
      </c>
      <c r="W118" s="13">
        <f t="shared" si="42"/>
        <v>6056.5333333333328</v>
      </c>
      <c r="X118" s="115">
        <f t="shared" si="37"/>
        <v>1514.1333333333332</v>
      </c>
      <c r="Y118" s="116">
        <f t="shared" si="38"/>
        <v>6056.5333333333328</v>
      </c>
      <c r="Z118" s="116">
        <f t="shared" si="43"/>
        <v>0</v>
      </c>
      <c r="AA118" s="116">
        <f t="shared" si="44"/>
        <v>-4542.3999999999996</v>
      </c>
      <c r="AB118" s="117">
        <f>'Ratios (C)'!$C$27</f>
        <v>0.72727998160891272</v>
      </c>
      <c r="AC118" s="116">
        <f t="shared" si="39"/>
        <v>1101.1988628201084</v>
      </c>
      <c r="AD118" s="116">
        <f t="shared" si="40"/>
        <v>4404.7954512804336</v>
      </c>
      <c r="AE118" s="118"/>
      <c r="AF118" s="119"/>
      <c r="AG118" s="120"/>
      <c r="AH118" s="118"/>
      <c r="AI118" s="119"/>
      <c r="AJ118" s="121"/>
    </row>
    <row r="119" spans="2:36" s="9" customFormat="1">
      <c r="B119" s="9">
        <f>12+24</f>
        <v>36</v>
      </c>
      <c r="C119" s="9" t="s">
        <v>494</v>
      </c>
      <c r="E119" s="9" t="s">
        <v>495</v>
      </c>
      <c r="G119" s="9">
        <v>2014</v>
      </c>
      <c r="H119" s="9">
        <v>5</v>
      </c>
      <c r="I119" s="9">
        <v>0</v>
      </c>
      <c r="J119" s="9" t="s">
        <v>78</v>
      </c>
      <c r="K119" s="158">
        <v>12</v>
      </c>
      <c r="L119" s="9">
        <f t="shared" si="45"/>
        <v>2026</v>
      </c>
      <c r="M119" s="127">
        <f t="shared" si="46"/>
        <v>2026.4166666666667</v>
      </c>
      <c r="N119" s="13">
        <f>8573.44+16602.88</f>
        <v>25176.32</v>
      </c>
      <c r="O119" s="13">
        <f t="shared" si="47"/>
        <v>25176.32</v>
      </c>
      <c r="P119" s="13">
        <f t="shared" si="48"/>
        <v>174.83555555555554</v>
      </c>
      <c r="Q119" s="13">
        <f t="shared" si="49"/>
        <v>2098.0266666666666</v>
      </c>
      <c r="R119" s="13">
        <v>2098.0266666666666</v>
      </c>
      <c r="S119" s="13">
        <f t="shared" si="50"/>
        <v>2098.0266666666666</v>
      </c>
      <c r="T119" s="13">
        <f t="shared" si="51"/>
        <v>14686.186666666666</v>
      </c>
      <c r="U119" s="13">
        <f t="shared" si="52"/>
        <v>16784.213333333333</v>
      </c>
      <c r="V119" s="13">
        <v>14686.186666666666</v>
      </c>
      <c r="W119" s="13">
        <f t="shared" si="42"/>
        <v>8392.1066666666666</v>
      </c>
      <c r="X119" s="115">
        <f t="shared" si="37"/>
        <v>2098.0266666666666</v>
      </c>
      <c r="Y119" s="116">
        <f t="shared" si="38"/>
        <v>8392.1066666666666</v>
      </c>
      <c r="Z119" s="116">
        <f t="shared" si="43"/>
        <v>0</v>
      </c>
      <c r="AA119" s="116">
        <f t="shared" si="44"/>
        <v>-6294.08</v>
      </c>
      <c r="AB119" s="117">
        <f>'Ratios (C)'!$C$27</f>
        <v>0.72727998160891272</v>
      </c>
      <c r="AC119" s="116">
        <f t="shared" si="39"/>
        <v>1525.8527955483419</v>
      </c>
      <c r="AD119" s="116">
        <f t="shared" si="40"/>
        <v>6103.4111821933675</v>
      </c>
      <c r="AE119" s="118"/>
      <c r="AF119" s="119"/>
      <c r="AG119" s="120"/>
      <c r="AH119" s="118"/>
      <c r="AI119" s="119"/>
      <c r="AJ119" s="121"/>
    </row>
    <row r="120" spans="2:36" s="9" customFormat="1">
      <c r="B120" s="9">
        <v>10</v>
      </c>
      <c r="C120" s="9" t="s">
        <v>465</v>
      </c>
      <c r="E120" s="9">
        <v>115331</v>
      </c>
      <c r="G120" s="9">
        <v>2014</v>
      </c>
      <c r="H120" s="9">
        <v>7</v>
      </c>
      <c r="I120" s="9">
        <v>0</v>
      </c>
      <c r="J120" s="9" t="s">
        <v>78</v>
      </c>
      <c r="K120" s="158">
        <v>12</v>
      </c>
      <c r="L120" s="9">
        <f t="shared" si="45"/>
        <v>2026</v>
      </c>
      <c r="M120" s="127">
        <f t="shared" si="46"/>
        <v>2026.5833333333333</v>
      </c>
      <c r="N120" s="13">
        <v>5973.12</v>
      </c>
      <c r="O120" s="13">
        <f t="shared" si="47"/>
        <v>5973.12</v>
      </c>
      <c r="P120" s="13">
        <f t="shared" si="48"/>
        <v>41.48</v>
      </c>
      <c r="Q120" s="13">
        <f t="shared" si="49"/>
        <v>497.76</v>
      </c>
      <c r="R120" s="13">
        <v>497.76</v>
      </c>
      <c r="S120" s="13">
        <f t="shared" si="50"/>
        <v>497.76</v>
      </c>
      <c r="T120" s="13">
        <f t="shared" si="51"/>
        <v>3484.3199999999997</v>
      </c>
      <c r="U120" s="13">
        <f t="shared" si="52"/>
        <v>3982.08</v>
      </c>
      <c r="V120" s="13">
        <v>3484.3199999999997</v>
      </c>
      <c r="W120" s="13">
        <f t="shared" si="42"/>
        <v>1991.04</v>
      </c>
      <c r="X120" s="115">
        <f t="shared" si="37"/>
        <v>497.76</v>
      </c>
      <c r="Y120" s="116">
        <f t="shared" si="38"/>
        <v>1991.04</v>
      </c>
      <c r="Z120" s="116">
        <f t="shared" si="43"/>
        <v>0</v>
      </c>
      <c r="AA120" s="116">
        <f t="shared" si="44"/>
        <v>-1493.2799999999997</v>
      </c>
      <c r="AB120" s="117">
        <f>'Ratios (C)'!$C$27</f>
        <v>0.72727998160891272</v>
      </c>
      <c r="AC120" s="116">
        <f t="shared" si="39"/>
        <v>362.01088364565237</v>
      </c>
      <c r="AD120" s="116">
        <f t="shared" si="40"/>
        <v>1448.0435345826095</v>
      </c>
      <c r="AE120" s="118"/>
      <c r="AF120" s="119"/>
      <c r="AG120" s="120"/>
      <c r="AH120" s="118"/>
      <c r="AI120" s="119"/>
      <c r="AJ120" s="121"/>
    </row>
    <row r="121" spans="2:36" s="9" customFormat="1">
      <c r="B121" s="9">
        <v>20</v>
      </c>
      <c r="C121" s="9" t="s">
        <v>478</v>
      </c>
      <c r="E121" s="9">
        <v>115899</v>
      </c>
      <c r="G121" s="9">
        <v>2014</v>
      </c>
      <c r="H121" s="9">
        <v>7</v>
      </c>
      <c r="I121" s="9">
        <v>0</v>
      </c>
      <c r="J121" s="9" t="s">
        <v>78</v>
      </c>
      <c r="K121" s="158">
        <v>12</v>
      </c>
      <c r="L121" s="9">
        <f t="shared" si="45"/>
        <v>2026</v>
      </c>
      <c r="M121" s="127">
        <f t="shared" si="46"/>
        <v>2026.5833333333333</v>
      </c>
      <c r="N121" s="13">
        <v>12033.28</v>
      </c>
      <c r="O121" s="13">
        <f t="shared" si="47"/>
        <v>12033.28</v>
      </c>
      <c r="P121" s="13">
        <f t="shared" si="48"/>
        <v>83.564444444444447</v>
      </c>
      <c r="Q121" s="13">
        <f t="shared" si="49"/>
        <v>1002.7733333333333</v>
      </c>
      <c r="R121" s="13">
        <v>1002.7733333333333</v>
      </c>
      <c r="S121" s="13">
        <f t="shared" si="50"/>
        <v>1002.7733333333333</v>
      </c>
      <c r="T121" s="13">
        <f t="shared" si="51"/>
        <v>7019.413333333333</v>
      </c>
      <c r="U121" s="13">
        <f t="shared" si="52"/>
        <v>8022.1866666666665</v>
      </c>
      <c r="V121" s="13">
        <v>7019.4133333333339</v>
      </c>
      <c r="W121" s="13">
        <f t="shared" si="42"/>
        <v>4011.0933333333342</v>
      </c>
      <c r="X121" s="115">
        <f t="shared" si="37"/>
        <v>1002.7733333333333</v>
      </c>
      <c r="Y121" s="116">
        <f t="shared" si="38"/>
        <v>4011.0933333333342</v>
      </c>
      <c r="Z121" s="116">
        <f t="shared" si="43"/>
        <v>0</v>
      </c>
      <c r="AA121" s="116">
        <f t="shared" si="44"/>
        <v>-3008.3199999999997</v>
      </c>
      <c r="AB121" s="117">
        <f>'Ratios (C)'!$C$27</f>
        <v>0.72727998160891272</v>
      </c>
      <c r="AC121" s="116">
        <f t="shared" si="39"/>
        <v>729.29697142457474</v>
      </c>
      <c r="AD121" s="116">
        <f t="shared" si="40"/>
        <v>2917.1878856982999</v>
      </c>
      <c r="AE121" s="118"/>
      <c r="AF121" s="119"/>
      <c r="AG121" s="120"/>
      <c r="AH121" s="118"/>
      <c r="AI121" s="119"/>
      <c r="AJ121" s="121"/>
    </row>
    <row r="122" spans="2:36" s="9" customFormat="1">
      <c r="B122" s="9">
        <v>36</v>
      </c>
      <c r="C122" s="9" t="s">
        <v>505</v>
      </c>
      <c r="E122" s="9" t="s">
        <v>506</v>
      </c>
      <c r="G122" s="9">
        <v>2014</v>
      </c>
      <c r="H122" s="9">
        <v>7</v>
      </c>
      <c r="I122" s="9">
        <v>0</v>
      </c>
      <c r="J122" s="9" t="s">
        <v>78</v>
      </c>
      <c r="K122" s="158">
        <v>12</v>
      </c>
      <c r="L122" s="9">
        <f t="shared" si="45"/>
        <v>2026</v>
      </c>
      <c r="M122" s="127">
        <f t="shared" si="46"/>
        <v>2026.5833333333333</v>
      </c>
      <c r="N122" s="13">
        <f>12952.64+16042.56</f>
        <v>28995.199999999997</v>
      </c>
      <c r="O122" s="13">
        <f t="shared" si="47"/>
        <v>28995.199999999997</v>
      </c>
      <c r="P122" s="13">
        <f t="shared" si="48"/>
        <v>201.35555555555553</v>
      </c>
      <c r="Q122" s="13">
        <f t="shared" si="49"/>
        <v>2416.2666666666664</v>
      </c>
      <c r="R122" s="13">
        <v>2416.2666666666664</v>
      </c>
      <c r="S122" s="13">
        <f t="shared" si="50"/>
        <v>2416.2666666666664</v>
      </c>
      <c r="T122" s="13">
        <f t="shared" si="51"/>
        <v>16913.866666666665</v>
      </c>
      <c r="U122" s="13">
        <f t="shared" si="52"/>
        <v>19330.133333333331</v>
      </c>
      <c r="V122" s="13">
        <v>16913.866666666665</v>
      </c>
      <c r="W122" s="13">
        <f t="shared" si="42"/>
        <v>9665.0666666666657</v>
      </c>
      <c r="X122" s="115">
        <f t="shared" si="37"/>
        <v>2416.2666666666664</v>
      </c>
      <c r="Y122" s="116">
        <f t="shared" si="38"/>
        <v>9665.0666666666657</v>
      </c>
      <c r="Z122" s="116">
        <f t="shared" si="43"/>
        <v>0</v>
      </c>
      <c r="AA122" s="116">
        <f t="shared" si="44"/>
        <v>-7248.7999999999993</v>
      </c>
      <c r="AB122" s="117">
        <f>'Ratios (C)'!$C$27</f>
        <v>0.72727998160891272</v>
      </c>
      <c r="AC122" s="116">
        <f t="shared" si="39"/>
        <v>1757.302376895562</v>
      </c>
      <c r="AD122" s="116">
        <f t="shared" si="40"/>
        <v>7029.2095075822481</v>
      </c>
      <c r="AE122" s="118"/>
      <c r="AF122" s="119"/>
      <c r="AG122" s="120"/>
      <c r="AH122" s="118"/>
      <c r="AI122" s="119"/>
      <c r="AJ122" s="121"/>
    </row>
    <row r="123" spans="2:36" s="9" customFormat="1">
      <c r="B123" s="9">
        <v>8</v>
      </c>
      <c r="C123" s="9" t="s">
        <v>465</v>
      </c>
      <c r="E123" s="9">
        <v>124608</v>
      </c>
      <c r="G123" s="9">
        <v>2015</v>
      </c>
      <c r="H123" s="9">
        <v>7</v>
      </c>
      <c r="I123" s="9">
        <v>0</v>
      </c>
      <c r="J123" s="9" t="s">
        <v>78</v>
      </c>
      <c r="K123" s="158">
        <v>12</v>
      </c>
      <c r="L123" s="9">
        <f t="shared" si="45"/>
        <v>2027</v>
      </c>
      <c r="M123" s="127">
        <f t="shared" si="46"/>
        <v>2027.5833333333333</v>
      </c>
      <c r="N123" s="13">
        <v>5624.96</v>
      </c>
      <c r="O123" s="13">
        <f t="shared" si="47"/>
        <v>5624.96</v>
      </c>
      <c r="P123" s="13">
        <f t="shared" si="48"/>
        <v>39.062222222222225</v>
      </c>
      <c r="Q123" s="13">
        <f t="shared" si="49"/>
        <v>468.74666666666667</v>
      </c>
      <c r="R123" s="13">
        <v>468.74666666666667</v>
      </c>
      <c r="S123" s="13">
        <f t="shared" si="50"/>
        <v>468.74666666666667</v>
      </c>
      <c r="T123" s="13">
        <f t="shared" si="51"/>
        <v>2812.48</v>
      </c>
      <c r="U123" s="13">
        <f t="shared" si="52"/>
        <v>3281.2266666666665</v>
      </c>
      <c r="V123" s="13">
        <v>3749.9733333333334</v>
      </c>
      <c r="W123" s="13">
        <f t="shared" si="42"/>
        <v>2343.7333333333336</v>
      </c>
      <c r="X123" s="115">
        <f t="shared" si="37"/>
        <v>468.74666666666667</v>
      </c>
      <c r="Y123" s="116">
        <f t="shared" si="38"/>
        <v>2343.7333333333336</v>
      </c>
      <c r="Z123" s="116">
        <f t="shared" si="43"/>
        <v>0</v>
      </c>
      <c r="AA123" s="116">
        <f t="shared" si="44"/>
        <v>-1406.2399999999998</v>
      </c>
      <c r="AB123" s="117">
        <f>'Ratios (C)'!$C$27</f>
        <v>0.72727998160891272</v>
      </c>
      <c r="AC123" s="116">
        <f t="shared" si="39"/>
        <v>340.91006711257245</v>
      </c>
      <c r="AD123" s="116">
        <f t="shared" si="40"/>
        <v>1704.5503355628625</v>
      </c>
      <c r="AE123" s="118"/>
      <c r="AF123" s="119"/>
      <c r="AG123" s="120"/>
      <c r="AH123" s="118"/>
      <c r="AI123" s="119"/>
      <c r="AJ123" s="121"/>
    </row>
    <row r="124" spans="2:36" s="9" customFormat="1">
      <c r="B124" s="9">
        <v>1</v>
      </c>
      <c r="C124" s="9" t="s">
        <v>478</v>
      </c>
      <c r="E124" s="9">
        <v>124560</v>
      </c>
      <c r="G124" s="9">
        <v>2015</v>
      </c>
      <c r="H124" s="9">
        <v>7</v>
      </c>
      <c r="I124" s="9">
        <v>0</v>
      </c>
      <c r="J124" s="9" t="s">
        <v>78</v>
      </c>
      <c r="K124" s="158">
        <v>12</v>
      </c>
      <c r="L124" s="9">
        <f t="shared" si="45"/>
        <v>2027</v>
      </c>
      <c r="M124" s="127">
        <f t="shared" si="46"/>
        <v>2027.5833333333333</v>
      </c>
      <c r="N124" s="13">
        <v>571.20000000000005</v>
      </c>
      <c r="O124" s="13">
        <f t="shared" si="47"/>
        <v>571.20000000000005</v>
      </c>
      <c r="P124" s="13">
        <f t="shared" si="48"/>
        <v>3.9666666666666668</v>
      </c>
      <c r="Q124" s="13">
        <f t="shared" si="49"/>
        <v>47.6</v>
      </c>
      <c r="R124" s="13">
        <v>47.6</v>
      </c>
      <c r="S124" s="13">
        <f t="shared" si="50"/>
        <v>47.6</v>
      </c>
      <c r="T124" s="13">
        <f t="shared" si="51"/>
        <v>285.60000000000002</v>
      </c>
      <c r="U124" s="13">
        <f t="shared" si="52"/>
        <v>333.20000000000005</v>
      </c>
      <c r="V124" s="13">
        <v>380.80000000000007</v>
      </c>
      <c r="W124" s="13">
        <f t="shared" si="42"/>
        <v>238</v>
      </c>
      <c r="X124" s="115">
        <f t="shared" si="37"/>
        <v>47.6</v>
      </c>
      <c r="Y124" s="116">
        <f t="shared" si="38"/>
        <v>238</v>
      </c>
      <c r="Z124" s="116">
        <f t="shared" si="43"/>
        <v>0</v>
      </c>
      <c r="AA124" s="116">
        <f t="shared" si="44"/>
        <v>-142.80000000000007</v>
      </c>
      <c r="AB124" s="117">
        <f>'Ratios (C)'!$C$27</f>
        <v>0.72727998160891272</v>
      </c>
      <c r="AC124" s="116">
        <f t="shared" si="39"/>
        <v>34.618527124584247</v>
      </c>
      <c r="AD124" s="116">
        <f t="shared" si="40"/>
        <v>173.09263562292122</v>
      </c>
      <c r="AE124" s="118"/>
      <c r="AF124" s="119"/>
      <c r="AG124" s="120"/>
      <c r="AH124" s="118"/>
      <c r="AI124" s="119"/>
      <c r="AJ124" s="121"/>
    </row>
    <row r="125" spans="2:36" s="9" customFormat="1">
      <c r="B125" s="9">
        <v>14</v>
      </c>
      <c r="C125" s="9" t="s">
        <v>478</v>
      </c>
      <c r="E125" s="9">
        <v>126469</v>
      </c>
      <c r="G125" s="9">
        <v>2015</v>
      </c>
      <c r="H125" s="9">
        <v>7</v>
      </c>
      <c r="I125" s="9">
        <v>0</v>
      </c>
      <c r="J125" s="9" t="s">
        <v>78</v>
      </c>
      <c r="K125" s="158">
        <v>12</v>
      </c>
      <c r="L125" s="9">
        <f t="shared" si="45"/>
        <v>2027</v>
      </c>
      <c r="M125" s="127">
        <f t="shared" si="46"/>
        <v>2027.5833333333333</v>
      </c>
      <c r="N125" s="13">
        <v>7996.8</v>
      </c>
      <c r="O125" s="13">
        <f t="shared" si="47"/>
        <v>7996.8</v>
      </c>
      <c r="P125" s="13">
        <f t="shared" si="48"/>
        <v>55.533333333333331</v>
      </c>
      <c r="Q125" s="13">
        <f t="shared" si="49"/>
        <v>666.4</v>
      </c>
      <c r="R125" s="13">
        <v>666.4</v>
      </c>
      <c r="S125" s="13">
        <f t="shared" si="50"/>
        <v>666.4</v>
      </c>
      <c r="T125" s="13">
        <f t="shared" si="51"/>
        <v>3998.3999999999996</v>
      </c>
      <c r="U125" s="13">
        <f t="shared" si="52"/>
        <v>4664.7999999999993</v>
      </c>
      <c r="V125" s="13">
        <v>5331.2000000000007</v>
      </c>
      <c r="W125" s="13">
        <f t="shared" si="42"/>
        <v>3332.0000000000009</v>
      </c>
      <c r="X125" s="115">
        <f t="shared" si="37"/>
        <v>666.4</v>
      </c>
      <c r="Y125" s="116">
        <f t="shared" si="38"/>
        <v>3332.0000000000009</v>
      </c>
      <c r="Z125" s="116">
        <f t="shared" si="43"/>
        <v>0</v>
      </c>
      <c r="AA125" s="116">
        <f t="shared" si="44"/>
        <v>-1999.1999999999998</v>
      </c>
      <c r="AB125" s="117">
        <f>'Ratios (C)'!$C$27</f>
        <v>0.72727998160891272</v>
      </c>
      <c r="AC125" s="116">
        <f t="shared" si="39"/>
        <v>484.65937974417943</v>
      </c>
      <c r="AD125" s="116">
        <f t="shared" si="40"/>
        <v>2423.2968987208978</v>
      </c>
      <c r="AE125" s="118"/>
      <c r="AF125" s="119"/>
      <c r="AG125" s="120"/>
      <c r="AH125" s="118"/>
      <c r="AI125" s="119"/>
      <c r="AJ125" s="121"/>
    </row>
    <row r="126" spans="2:36" s="9" customFormat="1">
      <c r="B126" s="9">
        <v>10</v>
      </c>
      <c r="C126" s="9" t="s">
        <v>523</v>
      </c>
      <c r="E126" s="9">
        <v>124559</v>
      </c>
      <c r="G126" s="9">
        <v>2015</v>
      </c>
      <c r="H126" s="9">
        <v>7</v>
      </c>
      <c r="I126" s="9">
        <v>0</v>
      </c>
      <c r="J126" s="9" t="s">
        <v>78</v>
      </c>
      <c r="K126" s="158">
        <v>12</v>
      </c>
      <c r="L126" s="9">
        <f t="shared" si="45"/>
        <v>2027</v>
      </c>
      <c r="M126" s="127">
        <f t="shared" si="46"/>
        <v>2027.5833333333333</v>
      </c>
      <c r="N126" s="13">
        <v>8997.76</v>
      </c>
      <c r="O126" s="13">
        <f t="shared" si="47"/>
        <v>8997.76</v>
      </c>
      <c r="P126" s="13">
        <f t="shared" si="48"/>
        <v>62.484444444444449</v>
      </c>
      <c r="Q126" s="13">
        <f t="shared" si="49"/>
        <v>749.81333333333339</v>
      </c>
      <c r="R126" s="13">
        <v>749.81333333333339</v>
      </c>
      <c r="S126" s="13">
        <f t="shared" si="50"/>
        <v>749.81333333333339</v>
      </c>
      <c r="T126" s="13">
        <f t="shared" si="51"/>
        <v>4498.88</v>
      </c>
      <c r="U126" s="13">
        <f t="shared" si="52"/>
        <v>5248.6933333333336</v>
      </c>
      <c r="V126" s="13">
        <v>5998.5066666666662</v>
      </c>
      <c r="W126" s="13">
        <f t="shared" si="42"/>
        <v>3749.0666666666666</v>
      </c>
      <c r="X126" s="115">
        <f t="shared" si="37"/>
        <v>749.81333333333339</v>
      </c>
      <c r="Y126" s="116">
        <f t="shared" si="38"/>
        <v>3749.0666666666666</v>
      </c>
      <c r="Z126" s="116">
        <f t="shared" si="43"/>
        <v>0</v>
      </c>
      <c r="AA126" s="116">
        <f t="shared" si="44"/>
        <v>-2249.4399999999996</v>
      </c>
      <c r="AB126" s="117">
        <f>'Ratios (C)'!$C$27</f>
        <v>0.72727998160891272</v>
      </c>
      <c r="AC126" s="116">
        <f t="shared" si="39"/>
        <v>545.3242272767842</v>
      </c>
      <c r="AD126" s="116">
        <f t="shared" si="40"/>
        <v>2726.6211363839211</v>
      </c>
      <c r="AE126" s="118"/>
      <c r="AF126" s="119"/>
      <c r="AG126" s="120"/>
      <c r="AH126" s="118"/>
      <c r="AI126" s="119"/>
      <c r="AJ126" s="121"/>
    </row>
    <row r="127" spans="2:36" s="9" customFormat="1">
      <c r="B127" s="9">
        <v>10</v>
      </c>
      <c r="C127" s="9" t="s">
        <v>465</v>
      </c>
      <c r="E127" s="9">
        <v>125536</v>
      </c>
      <c r="G127" s="9">
        <v>2015</v>
      </c>
      <c r="H127" s="9">
        <v>9</v>
      </c>
      <c r="I127" s="9">
        <v>0</v>
      </c>
      <c r="J127" s="9" t="s">
        <v>78</v>
      </c>
      <c r="K127" s="158">
        <v>12</v>
      </c>
      <c r="L127" s="9">
        <f t="shared" si="45"/>
        <v>2027</v>
      </c>
      <c r="M127" s="127">
        <f t="shared" si="46"/>
        <v>2027.75</v>
      </c>
      <c r="N127" s="13">
        <v>4732.8</v>
      </c>
      <c r="O127" s="13">
        <f t="shared" si="47"/>
        <v>4732.8</v>
      </c>
      <c r="P127" s="13">
        <f t="shared" si="48"/>
        <v>32.866666666666667</v>
      </c>
      <c r="Q127" s="13">
        <f t="shared" si="49"/>
        <v>394.4</v>
      </c>
      <c r="R127" s="13">
        <v>394.4</v>
      </c>
      <c r="S127" s="13">
        <f t="shared" si="50"/>
        <v>394.4</v>
      </c>
      <c r="T127" s="13">
        <f t="shared" si="51"/>
        <v>2366.3999999999996</v>
      </c>
      <c r="U127" s="13">
        <f t="shared" si="52"/>
        <v>2760.7999999999997</v>
      </c>
      <c r="V127" s="13">
        <v>3155.2000000000003</v>
      </c>
      <c r="W127" s="13">
        <f t="shared" si="42"/>
        <v>1972.0000000000005</v>
      </c>
      <c r="X127" s="115">
        <f t="shared" si="37"/>
        <v>394.4</v>
      </c>
      <c r="Y127" s="116">
        <f t="shared" si="38"/>
        <v>1972.0000000000005</v>
      </c>
      <c r="Z127" s="116">
        <f t="shared" si="43"/>
        <v>0</v>
      </c>
      <c r="AA127" s="116">
        <f t="shared" si="44"/>
        <v>-1183.1999999999998</v>
      </c>
      <c r="AB127" s="117">
        <f>'Ratios (C)'!$C$27</f>
        <v>0.72727998160891272</v>
      </c>
      <c r="AC127" s="116">
        <f t="shared" si="39"/>
        <v>286.83922474655515</v>
      </c>
      <c r="AD127" s="116">
        <f t="shared" si="40"/>
        <v>1434.1961237327762</v>
      </c>
      <c r="AE127" s="118"/>
      <c r="AF127" s="119"/>
      <c r="AG127" s="120"/>
      <c r="AH127" s="118"/>
      <c r="AI127" s="119"/>
      <c r="AJ127" s="121"/>
    </row>
    <row r="128" spans="2:36" s="9" customFormat="1">
      <c r="B128" s="9">
        <v>15</v>
      </c>
      <c r="C128" s="9" t="s">
        <v>478</v>
      </c>
      <c r="E128" s="9">
        <v>126212</v>
      </c>
      <c r="G128" s="9">
        <v>2015</v>
      </c>
      <c r="H128" s="9">
        <v>9</v>
      </c>
      <c r="I128" s="9">
        <v>0</v>
      </c>
      <c r="J128" s="9" t="s">
        <v>78</v>
      </c>
      <c r="K128" s="158">
        <v>12</v>
      </c>
      <c r="L128" s="9">
        <f t="shared" si="45"/>
        <v>2027</v>
      </c>
      <c r="M128" s="127">
        <f t="shared" si="46"/>
        <v>2027.75</v>
      </c>
      <c r="N128" s="13">
        <v>7670.4</v>
      </c>
      <c r="O128" s="13">
        <f t="shared" si="47"/>
        <v>7670.4</v>
      </c>
      <c r="P128" s="13">
        <f t="shared" si="48"/>
        <v>53.266666666666659</v>
      </c>
      <c r="Q128" s="13">
        <f t="shared" si="49"/>
        <v>639.19999999999993</v>
      </c>
      <c r="R128" s="13">
        <v>639.19999999999993</v>
      </c>
      <c r="S128" s="13">
        <f t="shared" si="50"/>
        <v>639.19999999999993</v>
      </c>
      <c r="T128" s="13">
        <f t="shared" si="51"/>
        <v>3835.2</v>
      </c>
      <c r="U128" s="13">
        <f t="shared" si="52"/>
        <v>4474.3999999999996</v>
      </c>
      <c r="V128" s="13">
        <v>5113.6000000000004</v>
      </c>
      <c r="W128" s="13">
        <f t="shared" si="42"/>
        <v>3196</v>
      </c>
      <c r="X128" s="115">
        <f t="shared" si="37"/>
        <v>639.19999999999993</v>
      </c>
      <c r="Y128" s="116">
        <f t="shared" si="38"/>
        <v>3196</v>
      </c>
      <c r="Z128" s="116">
        <f t="shared" si="43"/>
        <v>0</v>
      </c>
      <c r="AA128" s="116">
        <f t="shared" si="44"/>
        <v>-1917.6000000000004</v>
      </c>
      <c r="AB128" s="117">
        <f>'Ratios (C)'!$C$27</f>
        <v>0.72727998160891272</v>
      </c>
      <c r="AC128" s="116">
        <f t="shared" si="39"/>
        <v>464.87736424441698</v>
      </c>
      <c r="AD128" s="116">
        <f t="shared" si="40"/>
        <v>2324.386821222085</v>
      </c>
      <c r="AE128" s="118"/>
      <c r="AF128" s="119"/>
      <c r="AG128" s="120"/>
      <c r="AH128" s="118"/>
      <c r="AI128" s="119"/>
      <c r="AJ128" s="121"/>
    </row>
    <row r="129" spans="2:36" s="9" customFormat="1">
      <c r="B129" s="9">
        <v>41</v>
      </c>
      <c r="C129" s="9" t="s">
        <v>485</v>
      </c>
      <c r="E129" s="9">
        <v>130994</v>
      </c>
      <c r="G129" s="9">
        <v>2016</v>
      </c>
      <c r="H129" s="9">
        <v>1</v>
      </c>
      <c r="I129" s="9">
        <v>0</v>
      </c>
      <c r="J129" s="9" t="s">
        <v>78</v>
      </c>
      <c r="K129" s="158">
        <v>7</v>
      </c>
      <c r="L129" s="9">
        <f t="shared" si="45"/>
        <v>2023</v>
      </c>
      <c r="M129" s="127">
        <f t="shared" si="46"/>
        <v>2023.0833333333333</v>
      </c>
      <c r="N129" s="13">
        <v>23454.97</v>
      </c>
      <c r="O129" s="13">
        <f t="shared" si="47"/>
        <v>23454.97</v>
      </c>
      <c r="P129" s="13">
        <f t="shared" si="48"/>
        <v>279.22583333333336</v>
      </c>
      <c r="Q129" s="13">
        <f t="shared" si="49"/>
        <v>3350.71</v>
      </c>
      <c r="R129" s="13">
        <v>3350.71</v>
      </c>
      <c r="S129" s="13">
        <f t="shared" si="50"/>
        <v>3350.71</v>
      </c>
      <c r="T129" s="13">
        <f t="shared" si="51"/>
        <v>16753.55</v>
      </c>
      <c r="U129" s="13">
        <f t="shared" si="52"/>
        <v>20104.259999999998</v>
      </c>
      <c r="V129" s="13">
        <v>13402.84</v>
      </c>
      <c r="W129" s="13">
        <f t="shared" ref="W129:W160" si="53">+N129-U129</f>
        <v>3350.7100000000028</v>
      </c>
      <c r="X129" s="115">
        <f t="shared" si="37"/>
        <v>3350.71</v>
      </c>
      <c r="Y129" s="116">
        <f t="shared" si="38"/>
        <v>3350.7100000000028</v>
      </c>
      <c r="Z129" s="116">
        <f t="shared" si="43"/>
        <v>0</v>
      </c>
      <c r="AA129" s="116">
        <f t="shared" si="44"/>
        <v>-10052.129999999997</v>
      </c>
      <c r="AB129" s="117">
        <f>'Ratios (C)'!$C$27</f>
        <v>0.72727998160891272</v>
      </c>
      <c r="AC129" s="116">
        <f t="shared" si="39"/>
        <v>2436.9043071768001</v>
      </c>
      <c r="AD129" s="116">
        <f t="shared" si="40"/>
        <v>2436.9043071768019</v>
      </c>
      <c r="AE129" s="118"/>
      <c r="AF129" s="119"/>
      <c r="AG129" s="120"/>
      <c r="AH129" s="118"/>
      <c r="AI129" s="119"/>
      <c r="AJ129" s="121"/>
    </row>
    <row r="130" spans="2:36" s="9" customFormat="1">
      <c r="B130" s="9">
        <v>3</v>
      </c>
      <c r="C130" s="9" t="s">
        <v>485</v>
      </c>
      <c r="E130" s="9">
        <v>133364</v>
      </c>
      <c r="G130" s="9">
        <v>2016</v>
      </c>
      <c r="H130" s="9">
        <v>5</v>
      </c>
      <c r="I130" s="9">
        <v>0</v>
      </c>
      <c r="J130" s="9" t="s">
        <v>78</v>
      </c>
      <c r="K130" s="158">
        <v>7</v>
      </c>
      <c r="L130" s="9">
        <f t="shared" si="45"/>
        <v>2023</v>
      </c>
      <c r="M130" s="127">
        <f t="shared" si="46"/>
        <v>2023.4166666666667</v>
      </c>
      <c r="N130" s="13">
        <v>1715.95</v>
      </c>
      <c r="O130" s="13">
        <f t="shared" si="47"/>
        <v>1715.95</v>
      </c>
      <c r="P130" s="13">
        <f t="shared" si="48"/>
        <v>20.427976190476191</v>
      </c>
      <c r="Q130" s="13">
        <f t="shared" si="49"/>
        <v>245.1357142857143</v>
      </c>
      <c r="R130" s="13">
        <v>245.1357142857143</v>
      </c>
      <c r="S130" s="13">
        <f t="shared" si="50"/>
        <v>245.1357142857143</v>
      </c>
      <c r="T130" s="13">
        <f t="shared" si="51"/>
        <v>1225.6785714285716</v>
      </c>
      <c r="U130" s="13">
        <f t="shared" si="52"/>
        <v>1470.8142857142859</v>
      </c>
      <c r="V130" s="13">
        <v>980.5428571428572</v>
      </c>
      <c r="W130" s="13">
        <f t="shared" si="53"/>
        <v>245.13571428571413</v>
      </c>
      <c r="X130" s="115">
        <f t="shared" si="37"/>
        <v>245.1357142857143</v>
      </c>
      <c r="Y130" s="116">
        <f t="shared" si="38"/>
        <v>245.13571428571413</v>
      </c>
      <c r="Z130" s="116">
        <f t="shared" si="43"/>
        <v>0</v>
      </c>
      <c r="AA130" s="116">
        <f t="shared" si="44"/>
        <v>-735.40714285714307</v>
      </c>
      <c r="AB130" s="117">
        <f>'Ratios (C)'!$C$27</f>
        <v>0.72727998160891272</v>
      </c>
      <c r="AC130" s="116">
        <f t="shared" si="39"/>
        <v>178.28229777740196</v>
      </c>
      <c r="AD130" s="116">
        <f t="shared" si="40"/>
        <v>178.28229777740185</v>
      </c>
      <c r="AE130" s="118"/>
      <c r="AF130" s="119"/>
      <c r="AG130" s="120"/>
      <c r="AH130" s="118"/>
      <c r="AI130" s="119"/>
      <c r="AJ130" s="121"/>
    </row>
    <row r="131" spans="2:36" s="9" customFormat="1">
      <c r="B131" s="9">
        <v>39</v>
      </c>
      <c r="C131" s="9" t="s">
        <v>485</v>
      </c>
      <c r="E131" s="9">
        <v>132889</v>
      </c>
      <c r="G131" s="9">
        <v>2016</v>
      </c>
      <c r="H131" s="9">
        <v>5</v>
      </c>
      <c r="I131" s="9">
        <v>0</v>
      </c>
      <c r="J131" s="9" t="s">
        <v>78</v>
      </c>
      <c r="K131" s="158">
        <v>7</v>
      </c>
      <c r="L131" s="9">
        <f t="shared" si="45"/>
        <v>2023</v>
      </c>
      <c r="M131" s="127">
        <f t="shared" si="46"/>
        <v>2023.4166666666667</v>
      </c>
      <c r="N131" s="13">
        <v>22307.26</v>
      </c>
      <c r="O131" s="13">
        <f t="shared" si="47"/>
        <v>22307.26</v>
      </c>
      <c r="P131" s="13">
        <f t="shared" si="48"/>
        <v>265.56261904761902</v>
      </c>
      <c r="Q131" s="13">
        <f t="shared" si="49"/>
        <v>3186.7514285714283</v>
      </c>
      <c r="R131" s="13">
        <v>3186.7514285714283</v>
      </c>
      <c r="S131" s="13">
        <f t="shared" si="50"/>
        <v>3186.7514285714283</v>
      </c>
      <c r="T131" s="13">
        <f t="shared" si="51"/>
        <v>15933.757142857141</v>
      </c>
      <c r="U131" s="13">
        <f t="shared" si="52"/>
        <v>19120.508571428571</v>
      </c>
      <c r="V131" s="13">
        <v>12747.005714285713</v>
      </c>
      <c r="W131" s="13">
        <f t="shared" si="53"/>
        <v>3186.7514285714278</v>
      </c>
      <c r="X131" s="115">
        <f t="shared" si="37"/>
        <v>3186.7514285714283</v>
      </c>
      <c r="Y131" s="116">
        <f t="shared" si="38"/>
        <v>3186.7514285714278</v>
      </c>
      <c r="Z131" s="116">
        <f t="shared" si="43"/>
        <v>0</v>
      </c>
      <c r="AA131" s="116">
        <f t="shared" si="44"/>
        <v>-9560.2542857142853</v>
      </c>
      <c r="AB131" s="117">
        <f>'Ratios (C)'!$C$27</f>
        <v>0.72727998160891272</v>
      </c>
      <c r="AC131" s="116">
        <f t="shared" si="39"/>
        <v>2317.6605203636045</v>
      </c>
      <c r="AD131" s="116">
        <f t="shared" si="40"/>
        <v>2317.6605203636045</v>
      </c>
      <c r="AE131" s="118"/>
      <c r="AF131" s="119"/>
      <c r="AG131" s="120"/>
      <c r="AH131" s="118"/>
      <c r="AI131" s="119"/>
      <c r="AJ131" s="121"/>
    </row>
    <row r="132" spans="2:36" s="9" customFormat="1">
      <c r="B132" s="9">
        <v>66</v>
      </c>
      <c r="C132" s="9" t="s">
        <v>485</v>
      </c>
      <c r="E132" s="9">
        <v>165690</v>
      </c>
      <c r="G132" s="9">
        <v>2016</v>
      </c>
      <c r="H132" s="9">
        <v>5</v>
      </c>
      <c r="I132" s="9">
        <v>0</v>
      </c>
      <c r="J132" s="9" t="s">
        <v>78</v>
      </c>
      <c r="K132" s="158">
        <v>7</v>
      </c>
      <c r="L132" s="9">
        <f t="shared" si="45"/>
        <v>2023</v>
      </c>
      <c r="M132" s="127">
        <f t="shared" si="46"/>
        <v>2023.4166666666667</v>
      </c>
      <c r="N132" s="13">
        <v>39173.440000000002</v>
      </c>
      <c r="O132" s="13">
        <f t="shared" si="47"/>
        <v>39173.440000000002</v>
      </c>
      <c r="P132" s="13">
        <f t="shared" si="48"/>
        <v>466.35047619047623</v>
      </c>
      <c r="Q132" s="13">
        <f t="shared" si="49"/>
        <v>5596.2057142857147</v>
      </c>
      <c r="R132" s="13">
        <v>5596.2057142857147</v>
      </c>
      <c r="S132" s="13">
        <f t="shared" si="50"/>
        <v>5596.2057142857147</v>
      </c>
      <c r="T132" s="13">
        <f t="shared" si="51"/>
        <v>27981.028571428575</v>
      </c>
      <c r="U132" s="13">
        <f t="shared" si="52"/>
        <v>33577.234285714287</v>
      </c>
      <c r="V132" s="13">
        <v>22384.822857142859</v>
      </c>
      <c r="W132" s="13">
        <f t="shared" si="53"/>
        <v>5596.2057142857157</v>
      </c>
      <c r="X132" s="115">
        <f t="shared" si="37"/>
        <v>5596.2057142857147</v>
      </c>
      <c r="Y132" s="116">
        <f t="shared" si="38"/>
        <v>5596.2057142857157</v>
      </c>
      <c r="Z132" s="116">
        <f t="shared" si="43"/>
        <v>0</v>
      </c>
      <c r="AA132" s="116">
        <f t="shared" si="44"/>
        <v>-16788.617142857143</v>
      </c>
      <c r="AB132" s="117">
        <f>'Ratios (C)'!$C$27</f>
        <v>0.72727998160891272</v>
      </c>
      <c r="AC132" s="116">
        <f t="shared" si="39"/>
        <v>4070.008388965407</v>
      </c>
      <c r="AD132" s="116">
        <f t="shared" si="40"/>
        <v>4070.0083889654074</v>
      </c>
      <c r="AE132" s="118"/>
      <c r="AF132" s="119"/>
      <c r="AG132" s="120"/>
      <c r="AH132" s="118"/>
      <c r="AI132" s="119"/>
      <c r="AJ132" s="121"/>
    </row>
    <row r="133" spans="2:36" s="9" customFormat="1">
      <c r="B133" s="9">
        <v>2</v>
      </c>
      <c r="C133" s="9" t="s">
        <v>516</v>
      </c>
      <c r="E133" s="9">
        <v>132890</v>
      </c>
      <c r="G133" s="9">
        <v>2016</v>
      </c>
      <c r="H133" s="9">
        <v>5</v>
      </c>
      <c r="I133" s="9">
        <v>0</v>
      </c>
      <c r="J133" s="9" t="s">
        <v>78</v>
      </c>
      <c r="K133" s="158">
        <v>7</v>
      </c>
      <c r="L133" s="9">
        <f t="shared" si="45"/>
        <v>2023</v>
      </c>
      <c r="M133" s="127">
        <f t="shared" si="46"/>
        <v>2023.4166666666667</v>
      </c>
      <c r="N133" s="13">
        <v>1585.76</v>
      </c>
      <c r="O133" s="13">
        <f t="shared" si="47"/>
        <v>1585.76</v>
      </c>
      <c r="P133" s="13">
        <f t="shared" si="48"/>
        <v>18.878095238095238</v>
      </c>
      <c r="Q133" s="13">
        <f t="shared" si="49"/>
        <v>226.53714285714284</v>
      </c>
      <c r="R133" s="13">
        <v>226.53714285714284</v>
      </c>
      <c r="S133" s="13">
        <f t="shared" si="50"/>
        <v>226.53714285714284</v>
      </c>
      <c r="T133" s="13">
        <f t="shared" si="51"/>
        <v>1132.6857142857143</v>
      </c>
      <c r="U133" s="13">
        <f t="shared" si="52"/>
        <v>1359.2228571428573</v>
      </c>
      <c r="V133" s="13">
        <v>906.14857142857147</v>
      </c>
      <c r="W133" s="13">
        <f t="shared" si="53"/>
        <v>226.53714285714273</v>
      </c>
      <c r="X133" s="115">
        <f t="shared" si="37"/>
        <v>226.53714285714284</v>
      </c>
      <c r="Y133" s="116">
        <f t="shared" si="38"/>
        <v>226.53714285714273</v>
      </c>
      <c r="Z133" s="116">
        <f t="shared" si="43"/>
        <v>0</v>
      </c>
      <c r="AA133" s="116">
        <f t="shared" si="44"/>
        <v>-679.61142857142875</v>
      </c>
      <c r="AB133" s="117">
        <f>'Ratios (C)'!$C$27</f>
        <v>0.72727998160891272</v>
      </c>
      <c r="AC133" s="116">
        <f t="shared" si="39"/>
        <v>164.75592909087848</v>
      </c>
      <c r="AD133" s="116">
        <f t="shared" si="40"/>
        <v>164.7559290908784</v>
      </c>
      <c r="AE133" s="118"/>
      <c r="AF133" s="119"/>
      <c r="AG133" s="120"/>
      <c r="AH133" s="118"/>
      <c r="AI133" s="119"/>
      <c r="AJ133" s="121"/>
    </row>
    <row r="134" spans="2:36" s="9" customFormat="1">
      <c r="B134" s="9">
        <v>38</v>
      </c>
      <c r="C134" s="9" t="s">
        <v>516</v>
      </c>
      <c r="E134" s="9">
        <v>133363</v>
      </c>
      <c r="G134" s="9">
        <v>2016</v>
      </c>
      <c r="H134" s="9">
        <v>5</v>
      </c>
      <c r="I134" s="9">
        <v>0</v>
      </c>
      <c r="J134" s="9" t="s">
        <v>78</v>
      </c>
      <c r="K134" s="158">
        <v>7</v>
      </c>
      <c r="L134" s="9">
        <f t="shared" si="45"/>
        <v>2023</v>
      </c>
      <c r="M134" s="127">
        <f t="shared" si="46"/>
        <v>2023.4166666666667</v>
      </c>
      <c r="N134" s="13">
        <v>30292.639999999999</v>
      </c>
      <c r="O134" s="13">
        <f t="shared" si="47"/>
        <v>30292.639999999999</v>
      </c>
      <c r="P134" s="13">
        <f t="shared" si="48"/>
        <v>360.62666666666661</v>
      </c>
      <c r="Q134" s="13">
        <f t="shared" si="49"/>
        <v>4327.5199999999995</v>
      </c>
      <c r="R134" s="13">
        <v>4327.5199999999995</v>
      </c>
      <c r="S134" s="13">
        <f t="shared" si="50"/>
        <v>4327.5199999999995</v>
      </c>
      <c r="T134" s="13">
        <f t="shared" si="51"/>
        <v>21637.599999999999</v>
      </c>
      <c r="U134" s="13">
        <f t="shared" si="52"/>
        <v>25965.119999999999</v>
      </c>
      <c r="V134" s="13">
        <v>17310.080000000002</v>
      </c>
      <c r="W134" s="13">
        <f t="shared" si="53"/>
        <v>4327.5200000000004</v>
      </c>
      <c r="X134" s="115">
        <f t="shared" si="37"/>
        <v>4327.5199999999995</v>
      </c>
      <c r="Y134" s="116">
        <f t="shared" si="38"/>
        <v>4327.5200000000004</v>
      </c>
      <c r="Z134" s="116">
        <f t="shared" si="43"/>
        <v>0</v>
      </c>
      <c r="AA134" s="116">
        <f t="shared" si="44"/>
        <v>-12982.560000000001</v>
      </c>
      <c r="AB134" s="117">
        <f>'Ratios (C)'!$C$27</f>
        <v>0.72727998160891272</v>
      </c>
      <c r="AC134" s="116">
        <f t="shared" si="39"/>
        <v>3147.3186660122014</v>
      </c>
      <c r="AD134" s="116">
        <f t="shared" si="40"/>
        <v>3147.3186660122024</v>
      </c>
      <c r="AE134" s="118"/>
      <c r="AF134" s="119"/>
      <c r="AG134" s="120"/>
      <c r="AH134" s="118"/>
      <c r="AI134" s="119"/>
      <c r="AJ134" s="121"/>
    </row>
    <row r="135" spans="2:36" s="9" customFormat="1">
      <c r="B135" s="9">
        <v>3</v>
      </c>
      <c r="C135" s="9" t="s">
        <v>464</v>
      </c>
      <c r="E135" s="9">
        <v>139652</v>
      </c>
      <c r="G135" s="9">
        <v>2016</v>
      </c>
      <c r="H135" s="9">
        <v>6</v>
      </c>
      <c r="I135" s="9">
        <v>0</v>
      </c>
      <c r="J135" s="9" t="s">
        <v>78</v>
      </c>
      <c r="K135" s="158">
        <v>7</v>
      </c>
      <c r="L135" s="9">
        <f t="shared" si="45"/>
        <v>2023</v>
      </c>
      <c r="M135" s="127">
        <f t="shared" si="46"/>
        <v>2023.5</v>
      </c>
      <c r="N135" s="13">
        <v>1419.84</v>
      </c>
      <c r="O135" s="13">
        <f t="shared" si="47"/>
        <v>1419.84</v>
      </c>
      <c r="P135" s="13">
        <f t="shared" si="48"/>
        <v>16.90285714285714</v>
      </c>
      <c r="Q135" s="13">
        <f t="shared" si="49"/>
        <v>202.83428571428567</v>
      </c>
      <c r="R135" s="13">
        <v>202.83428571428567</v>
      </c>
      <c r="S135" s="13">
        <f t="shared" si="50"/>
        <v>202.83428571428567</v>
      </c>
      <c r="T135" s="13">
        <f t="shared" si="51"/>
        <v>1014.1714285714284</v>
      </c>
      <c r="U135" s="13">
        <f t="shared" si="52"/>
        <v>1217.005714285714</v>
      </c>
      <c r="V135" s="13">
        <v>811.33714285714291</v>
      </c>
      <c r="W135" s="13">
        <f t="shared" si="53"/>
        <v>202.8342857142859</v>
      </c>
      <c r="X135" s="115">
        <f t="shared" si="37"/>
        <v>202.83428571428567</v>
      </c>
      <c r="Y135" s="116">
        <f t="shared" si="38"/>
        <v>202.8342857142859</v>
      </c>
      <c r="Z135" s="116">
        <f t="shared" si="43"/>
        <v>0</v>
      </c>
      <c r="AA135" s="116">
        <f t="shared" si="44"/>
        <v>-608.50285714285701</v>
      </c>
      <c r="AB135" s="117">
        <f>'Ratios (C)'!$C$27</f>
        <v>0.72727998160891272</v>
      </c>
      <c r="AC135" s="116">
        <f t="shared" si="39"/>
        <v>147.51731558394263</v>
      </c>
      <c r="AD135" s="116">
        <f t="shared" si="40"/>
        <v>147.5173155839428</v>
      </c>
      <c r="AE135" s="118"/>
      <c r="AF135" s="119"/>
      <c r="AG135" s="120"/>
      <c r="AH135" s="118"/>
      <c r="AI135" s="119"/>
      <c r="AJ135" s="121"/>
    </row>
    <row r="136" spans="2:36" s="9" customFormat="1">
      <c r="B136" s="9">
        <v>12</v>
      </c>
      <c r="C136" s="9" t="s">
        <v>464</v>
      </c>
      <c r="E136" s="9">
        <v>133567</v>
      </c>
      <c r="G136" s="9">
        <v>2016</v>
      </c>
      <c r="H136" s="9">
        <v>6</v>
      </c>
      <c r="I136" s="9">
        <v>0</v>
      </c>
      <c r="J136" s="9" t="s">
        <v>78</v>
      </c>
      <c r="K136" s="158">
        <v>7</v>
      </c>
      <c r="L136" s="9">
        <f t="shared" si="45"/>
        <v>2023</v>
      </c>
      <c r="M136" s="127">
        <f t="shared" si="46"/>
        <v>2023.5</v>
      </c>
      <c r="N136" s="13">
        <v>5679.3689999999997</v>
      </c>
      <c r="O136" s="13">
        <f t="shared" si="47"/>
        <v>5679.3689999999997</v>
      </c>
      <c r="P136" s="13">
        <f t="shared" si="48"/>
        <v>67.611535714285708</v>
      </c>
      <c r="Q136" s="13">
        <f t="shared" si="49"/>
        <v>811.33842857142849</v>
      </c>
      <c r="R136" s="13">
        <v>811.33842857142849</v>
      </c>
      <c r="S136" s="13">
        <f t="shared" si="50"/>
        <v>811.33842857142849</v>
      </c>
      <c r="T136" s="13">
        <f t="shared" si="51"/>
        <v>4056.6921428571422</v>
      </c>
      <c r="U136" s="13">
        <f t="shared" si="52"/>
        <v>4868.0305714285705</v>
      </c>
      <c r="V136" s="13">
        <v>3245.353714285714</v>
      </c>
      <c r="W136" s="13">
        <f t="shared" si="53"/>
        <v>811.33842857142918</v>
      </c>
      <c r="X136" s="115">
        <f t="shared" si="37"/>
        <v>811.33842857142849</v>
      </c>
      <c r="Y136" s="116">
        <f t="shared" si="38"/>
        <v>811.33842857142918</v>
      </c>
      <c r="Z136" s="116">
        <f t="shared" si="43"/>
        <v>0</v>
      </c>
      <c r="AA136" s="116">
        <f t="shared" si="44"/>
        <v>-2434.0152857142848</v>
      </c>
      <c r="AB136" s="117">
        <f>'Ratios (C)'!$C$27</f>
        <v>0.72727998160891272</v>
      </c>
      <c r="AC136" s="116">
        <f t="shared" si="39"/>
        <v>590.07019741003262</v>
      </c>
      <c r="AD136" s="116">
        <f t="shared" si="40"/>
        <v>590.07019741003319</v>
      </c>
      <c r="AE136" s="118"/>
      <c r="AF136" s="119"/>
      <c r="AG136" s="120"/>
      <c r="AH136" s="118"/>
      <c r="AI136" s="119"/>
      <c r="AJ136" s="121"/>
    </row>
    <row r="137" spans="2:36" s="9" customFormat="1">
      <c r="B137" s="9">
        <v>36</v>
      </c>
      <c r="C137" s="9" t="s">
        <v>503</v>
      </c>
      <c r="E137" s="9">
        <v>133568</v>
      </c>
      <c r="G137" s="9">
        <v>2016</v>
      </c>
      <c r="H137" s="9">
        <v>6</v>
      </c>
      <c r="I137" s="9">
        <v>0</v>
      </c>
      <c r="J137" s="9" t="s">
        <v>78</v>
      </c>
      <c r="K137" s="158">
        <v>7</v>
      </c>
      <c r="L137" s="9">
        <f t="shared" si="45"/>
        <v>2023</v>
      </c>
      <c r="M137" s="127">
        <f t="shared" si="46"/>
        <v>2023.5</v>
      </c>
      <c r="N137" s="13">
        <v>24382.080000000002</v>
      </c>
      <c r="O137" s="13">
        <f t="shared" si="47"/>
        <v>24382.080000000002</v>
      </c>
      <c r="P137" s="13">
        <f t="shared" si="48"/>
        <v>290.26285714285717</v>
      </c>
      <c r="Q137" s="13">
        <f t="shared" si="49"/>
        <v>3483.1542857142858</v>
      </c>
      <c r="R137" s="13">
        <v>3483.1542857142858</v>
      </c>
      <c r="S137" s="13">
        <f t="shared" si="50"/>
        <v>3483.1542857142858</v>
      </c>
      <c r="T137" s="13">
        <f t="shared" si="51"/>
        <v>17415.771428571428</v>
      </c>
      <c r="U137" s="13">
        <f t="shared" si="52"/>
        <v>20898.925714285713</v>
      </c>
      <c r="V137" s="13">
        <v>13932.617142857143</v>
      </c>
      <c r="W137" s="13">
        <f t="shared" si="53"/>
        <v>3483.1542857142886</v>
      </c>
      <c r="X137" s="115">
        <f t="shared" si="37"/>
        <v>3483.1542857142858</v>
      </c>
      <c r="Y137" s="116">
        <f t="shared" si="38"/>
        <v>3483.1542857142886</v>
      </c>
      <c r="Z137" s="116">
        <f t="shared" si="43"/>
        <v>0</v>
      </c>
      <c r="AA137" s="116">
        <f t="shared" si="44"/>
        <v>-10449.462857142855</v>
      </c>
      <c r="AB137" s="117">
        <f>'Ratios (C)'!$C$27</f>
        <v>0.72727998160891272</v>
      </c>
      <c r="AC137" s="116">
        <f t="shared" si="39"/>
        <v>2533.2283848552911</v>
      </c>
      <c r="AD137" s="116">
        <f t="shared" si="40"/>
        <v>2533.2283848552934</v>
      </c>
      <c r="AE137" s="118"/>
      <c r="AF137" s="119"/>
      <c r="AG137" s="120"/>
      <c r="AH137" s="118"/>
      <c r="AI137" s="119"/>
      <c r="AJ137" s="121"/>
    </row>
    <row r="138" spans="2:36" s="9" customFormat="1">
      <c r="B138" s="9">
        <v>7</v>
      </c>
      <c r="C138" s="9" t="s">
        <v>460</v>
      </c>
      <c r="E138" s="9">
        <v>168664</v>
      </c>
      <c r="G138" s="9">
        <v>2016</v>
      </c>
      <c r="H138" s="9">
        <v>9</v>
      </c>
      <c r="I138" s="9">
        <v>0</v>
      </c>
      <c r="J138" s="9" t="s">
        <v>78</v>
      </c>
      <c r="K138" s="158">
        <v>12</v>
      </c>
      <c r="L138" s="9">
        <f t="shared" si="45"/>
        <v>2028</v>
      </c>
      <c r="M138" s="127">
        <f t="shared" si="46"/>
        <v>2028.75</v>
      </c>
      <c r="N138" s="13">
        <v>3236.8</v>
      </c>
      <c r="O138" s="13">
        <f t="shared" si="47"/>
        <v>3236.8</v>
      </c>
      <c r="P138" s="13">
        <f t="shared" si="48"/>
        <v>22.477777777777778</v>
      </c>
      <c r="Q138" s="13">
        <f t="shared" si="49"/>
        <v>269.73333333333335</v>
      </c>
      <c r="R138" s="13">
        <v>269.73333333333335</v>
      </c>
      <c r="S138" s="13">
        <f t="shared" si="50"/>
        <v>269.73333333333335</v>
      </c>
      <c r="T138" s="13">
        <f t="shared" si="51"/>
        <v>1348.6666666666667</v>
      </c>
      <c r="U138" s="13">
        <f t="shared" si="52"/>
        <v>1618.4</v>
      </c>
      <c r="V138" s="13">
        <v>2427.6000000000004</v>
      </c>
      <c r="W138" s="13">
        <f t="shared" si="53"/>
        <v>1618.4</v>
      </c>
      <c r="X138" s="115">
        <f t="shared" si="37"/>
        <v>269.73333333333335</v>
      </c>
      <c r="Y138" s="116">
        <f t="shared" si="38"/>
        <v>1618.4</v>
      </c>
      <c r="Z138" s="116">
        <f t="shared" si="43"/>
        <v>0</v>
      </c>
      <c r="AA138" s="116">
        <f t="shared" si="44"/>
        <v>-809.20000000000027</v>
      </c>
      <c r="AB138" s="117">
        <f>'Ratios (C)'!$C$27</f>
        <v>0.72727998160891272</v>
      </c>
      <c r="AC138" s="116">
        <f t="shared" si="39"/>
        <v>196.17165370597741</v>
      </c>
      <c r="AD138" s="116">
        <f t="shared" si="40"/>
        <v>1177.0299222358644</v>
      </c>
      <c r="AE138" s="118"/>
      <c r="AF138" s="119"/>
      <c r="AG138" s="120"/>
      <c r="AH138" s="118"/>
      <c r="AI138" s="119"/>
      <c r="AJ138" s="121"/>
    </row>
    <row r="139" spans="2:36" s="9" customFormat="1">
      <c r="B139" s="9">
        <v>29</v>
      </c>
      <c r="C139" s="9" t="s">
        <v>460</v>
      </c>
      <c r="E139" s="9">
        <v>168783</v>
      </c>
      <c r="G139" s="9">
        <v>2016</v>
      </c>
      <c r="H139" s="9">
        <v>9</v>
      </c>
      <c r="I139" s="9">
        <v>0</v>
      </c>
      <c r="J139" s="9" t="s">
        <v>78</v>
      </c>
      <c r="K139" s="158">
        <v>12</v>
      </c>
      <c r="L139" s="9">
        <f t="shared" si="45"/>
        <v>2028</v>
      </c>
      <c r="M139" s="127">
        <f t="shared" si="46"/>
        <v>2028.75</v>
      </c>
      <c r="N139" s="13">
        <v>13409.6</v>
      </c>
      <c r="O139" s="13">
        <f t="shared" si="47"/>
        <v>13409.6</v>
      </c>
      <c r="P139" s="13">
        <f t="shared" si="48"/>
        <v>93.12222222222222</v>
      </c>
      <c r="Q139" s="13">
        <f t="shared" si="49"/>
        <v>1117.4666666666667</v>
      </c>
      <c r="R139" s="13">
        <v>1117.4666666666667</v>
      </c>
      <c r="S139" s="13">
        <f t="shared" si="50"/>
        <v>1117.4666666666667</v>
      </c>
      <c r="T139" s="13">
        <f t="shared" si="51"/>
        <v>5587.3333333333339</v>
      </c>
      <c r="U139" s="13">
        <f t="shared" si="52"/>
        <v>6704.8000000000011</v>
      </c>
      <c r="V139" s="13">
        <v>10057.200000000001</v>
      </c>
      <c r="W139" s="13">
        <f t="shared" si="53"/>
        <v>6704.7999999999993</v>
      </c>
      <c r="X139" s="115">
        <f t="shared" si="37"/>
        <v>1117.4666666666667</v>
      </c>
      <c r="Y139" s="116">
        <f t="shared" si="38"/>
        <v>6704.7999999999993</v>
      </c>
      <c r="Z139" s="116">
        <f t="shared" si="43"/>
        <v>0</v>
      </c>
      <c r="AA139" s="116">
        <f t="shared" si="44"/>
        <v>-3352.4000000000015</v>
      </c>
      <c r="AB139" s="117">
        <f>'Ratios (C)'!$C$27</f>
        <v>0.72727998160891272</v>
      </c>
      <c r="AC139" s="116">
        <f t="shared" si="39"/>
        <v>812.71113678190636</v>
      </c>
      <c r="AD139" s="116">
        <f t="shared" si="40"/>
        <v>4876.2668206914377</v>
      </c>
      <c r="AE139" s="118"/>
      <c r="AF139" s="119"/>
      <c r="AG139" s="120"/>
      <c r="AH139" s="118"/>
      <c r="AI139" s="119"/>
      <c r="AJ139" s="121"/>
    </row>
    <row r="140" spans="2:36" s="9" customFormat="1">
      <c r="B140" s="9">
        <v>32</v>
      </c>
      <c r="C140" s="9" t="s">
        <v>472</v>
      </c>
      <c r="E140" s="9">
        <v>171562</v>
      </c>
      <c r="G140" s="9">
        <v>2016</v>
      </c>
      <c r="H140" s="9">
        <v>12</v>
      </c>
      <c r="I140" s="9">
        <v>0</v>
      </c>
      <c r="J140" s="9" t="s">
        <v>78</v>
      </c>
      <c r="K140" s="158">
        <v>12</v>
      </c>
      <c r="L140" s="9">
        <f t="shared" si="45"/>
        <v>2028</v>
      </c>
      <c r="M140" s="127">
        <f t="shared" si="46"/>
        <v>2029</v>
      </c>
      <c r="N140" s="13">
        <v>18452.48</v>
      </c>
      <c r="O140" s="13">
        <f t="shared" si="47"/>
        <v>18452.48</v>
      </c>
      <c r="P140" s="13">
        <f t="shared" si="48"/>
        <v>128.14222222222222</v>
      </c>
      <c r="Q140" s="13">
        <f t="shared" si="49"/>
        <v>1537.7066666666665</v>
      </c>
      <c r="R140" s="13">
        <v>1537.7066666666665</v>
      </c>
      <c r="S140" s="13">
        <f t="shared" si="50"/>
        <v>1537.7066666666665</v>
      </c>
      <c r="T140" s="13">
        <f t="shared" si="51"/>
        <v>7688.5333333333328</v>
      </c>
      <c r="U140" s="13">
        <f t="shared" si="52"/>
        <v>9226.24</v>
      </c>
      <c r="V140" s="13">
        <v>13839.36</v>
      </c>
      <c r="W140" s="13">
        <f t="shared" si="53"/>
        <v>9226.24</v>
      </c>
      <c r="X140" s="115">
        <f t="shared" si="37"/>
        <v>1537.7066666666665</v>
      </c>
      <c r="Y140" s="116">
        <f t="shared" si="38"/>
        <v>9226.24</v>
      </c>
      <c r="Z140" s="116">
        <f t="shared" si="43"/>
        <v>0</v>
      </c>
      <c r="AA140" s="116">
        <f t="shared" si="44"/>
        <v>-4613.1200000000008</v>
      </c>
      <c r="AB140" s="117">
        <f>'Ratios (C)'!$C$27</f>
        <v>0.72727998160891272</v>
      </c>
      <c r="AC140" s="116">
        <f t="shared" si="39"/>
        <v>1118.3432762532357</v>
      </c>
      <c r="AD140" s="116">
        <f t="shared" si="40"/>
        <v>6710.0596575194149</v>
      </c>
      <c r="AE140" s="118"/>
      <c r="AF140" s="119"/>
      <c r="AG140" s="120"/>
      <c r="AH140" s="118"/>
      <c r="AI140" s="119"/>
      <c r="AJ140" s="121"/>
    </row>
    <row r="141" spans="2:36" s="9" customFormat="1">
      <c r="B141" s="9">
        <v>32</v>
      </c>
      <c r="C141" s="9" t="s">
        <v>512</v>
      </c>
      <c r="E141" s="9">
        <v>171564</v>
      </c>
      <c r="G141" s="9">
        <v>2016</v>
      </c>
      <c r="H141" s="9">
        <v>12</v>
      </c>
      <c r="I141" s="9">
        <v>0</v>
      </c>
      <c r="J141" s="9" t="s">
        <v>78</v>
      </c>
      <c r="K141" s="158">
        <v>7</v>
      </c>
      <c r="L141" s="9">
        <f t="shared" ref="L141:L172" si="54">G141+K141</f>
        <v>2023</v>
      </c>
      <c r="M141" s="127">
        <f t="shared" ref="M141:M172" si="55">+L141+(H141/12)</f>
        <v>2024</v>
      </c>
      <c r="N141" s="13">
        <v>23208.11</v>
      </c>
      <c r="O141" s="13">
        <f t="shared" ref="O141:O172" si="56">N141-N141*I141</f>
        <v>23208.11</v>
      </c>
      <c r="P141" s="13">
        <f t="shared" ref="P141:P172" si="57">O141/K141/12</f>
        <v>276.28702380952382</v>
      </c>
      <c r="Q141" s="13">
        <f t="shared" ref="Q141:Q172" si="58">P141*12</f>
        <v>3315.4442857142858</v>
      </c>
      <c r="R141" s="13">
        <v>3315.4442857142858</v>
      </c>
      <c r="S141" s="13">
        <f t="shared" ref="S141:S172" si="59">+IF(M141&lt;=$O$5,0,IF(L141&gt;$O$4,Q141,(P141*H141)))</f>
        <v>3315.4442857142858</v>
      </c>
      <c r="T141" s="13">
        <f t="shared" ref="T141:T172" si="60">+IF(S141=0,N141,IF($O$3-G141&lt;1,0,(($O$3-G141)*Q141)))</f>
        <v>16577.221428571429</v>
      </c>
      <c r="U141" s="13">
        <f t="shared" ref="U141:U172" si="61">+IF(S141=0,T141,T141+S141)</f>
        <v>19892.665714285715</v>
      </c>
      <c r="V141" s="13">
        <v>13261.777142857143</v>
      </c>
      <c r="W141" s="13">
        <f t="shared" si="53"/>
        <v>3315.4442857142858</v>
      </c>
      <c r="X141" s="115">
        <f t="shared" si="37"/>
        <v>3315.4442857142858</v>
      </c>
      <c r="Y141" s="116">
        <f t="shared" si="38"/>
        <v>3315.4442857142858</v>
      </c>
      <c r="Z141" s="116">
        <f t="shared" si="43"/>
        <v>0</v>
      </c>
      <c r="AA141" s="116">
        <f t="shared" si="44"/>
        <v>-9946.3328571428574</v>
      </c>
      <c r="AB141" s="117">
        <f>'Ratios (C)'!$C$27</f>
        <v>0.72727998160891272</v>
      </c>
      <c r="AC141" s="116">
        <f t="shared" si="39"/>
        <v>2411.2562591396604</v>
      </c>
      <c r="AD141" s="116">
        <f t="shared" si="40"/>
        <v>2411.2562591396604</v>
      </c>
      <c r="AE141" s="118"/>
      <c r="AF141" s="119"/>
      <c r="AG141" s="120"/>
      <c r="AH141" s="118"/>
      <c r="AI141" s="119"/>
      <c r="AJ141" s="121"/>
    </row>
    <row r="142" spans="2:36" s="9" customFormat="1">
      <c r="B142" s="9">
        <v>32</v>
      </c>
      <c r="C142" s="9" t="s">
        <v>484</v>
      </c>
      <c r="E142" s="9">
        <v>172666</v>
      </c>
      <c r="G142" s="9">
        <v>2017</v>
      </c>
      <c r="H142" s="9">
        <v>1</v>
      </c>
      <c r="I142" s="9">
        <v>0</v>
      </c>
      <c r="J142" s="9" t="s">
        <v>78</v>
      </c>
      <c r="K142" s="158">
        <v>7</v>
      </c>
      <c r="L142" s="9">
        <f t="shared" si="54"/>
        <v>2024</v>
      </c>
      <c r="M142" s="127">
        <f t="shared" si="55"/>
        <v>2024.0833333333333</v>
      </c>
      <c r="N142" s="13">
        <v>17985.71</v>
      </c>
      <c r="O142" s="13">
        <f t="shared" si="56"/>
        <v>17985.71</v>
      </c>
      <c r="P142" s="13">
        <f t="shared" si="57"/>
        <v>214.11559523809524</v>
      </c>
      <c r="Q142" s="13">
        <f t="shared" si="58"/>
        <v>2569.3871428571429</v>
      </c>
      <c r="R142" s="13">
        <v>2569.3871428571429</v>
      </c>
      <c r="S142" s="13">
        <f t="shared" si="59"/>
        <v>2569.3871428571429</v>
      </c>
      <c r="T142" s="13">
        <f t="shared" si="60"/>
        <v>10277.548571428571</v>
      </c>
      <c r="U142" s="13">
        <f t="shared" si="61"/>
        <v>12846.935714285715</v>
      </c>
      <c r="V142" s="13">
        <v>12846.935714285713</v>
      </c>
      <c r="W142" s="13">
        <f t="shared" si="53"/>
        <v>5138.7742857142839</v>
      </c>
      <c r="X142" s="115">
        <f t="shared" ref="X142:X181" si="62">S142</f>
        <v>2569.3871428571429</v>
      </c>
      <c r="Y142" s="116">
        <f t="shared" ref="Y142:Y181" si="63">W142</f>
        <v>5138.7742857142839</v>
      </c>
      <c r="Z142" s="116">
        <f t="shared" si="43"/>
        <v>0</v>
      </c>
      <c r="AA142" s="116">
        <f t="shared" si="44"/>
        <v>-7708.1614285714295</v>
      </c>
      <c r="AB142" s="117">
        <f>'Ratios (C)'!$C$27</f>
        <v>0.72727998160891272</v>
      </c>
      <c r="AC142" s="116">
        <f t="shared" si="39"/>
        <v>1868.6638340033196</v>
      </c>
      <c r="AD142" s="116">
        <f t="shared" si="40"/>
        <v>3737.3276680066379</v>
      </c>
      <c r="AE142" s="118"/>
      <c r="AF142" s="119"/>
      <c r="AG142" s="120"/>
      <c r="AH142" s="118"/>
      <c r="AI142" s="119"/>
      <c r="AJ142" s="121"/>
    </row>
    <row r="143" spans="2:36" s="9" customFormat="1">
      <c r="B143" s="9">
        <v>24</v>
      </c>
      <c r="C143" s="9" t="s">
        <v>484</v>
      </c>
      <c r="E143" s="9">
        <v>181672</v>
      </c>
      <c r="G143" s="9">
        <v>2017</v>
      </c>
      <c r="H143" s="9">
        <v>4</v>
      </c>
      <c r="I143" s="9">
        <v>0</v>
      </c>
      <c r="J143" s="9" t="s">
        <v>78</v>
      </c>
      <c r="K143" s="158">
        <v>7</v>
      </c>
      <c r="L143" s="9">
        <f t="shared" si="54"/>
        <v>2024</v>
      </c>
      <c r="M143" s="127">
        <f t="shared" si="55"/>
        <v>2024.3333333333333</v>
      </c>
      <c r="N143" s="13">
        <v>13828.86</v>
      </c>
      <c r="O143" s="13">
        <f t="shared" si="56"/>
        <v>13828.86</v>
      </c>
      <c r="P143" s="13">
        <f t="shared" si="57"/>
        <v>164.62928571428571</v>
      </c>
      <c r="Q143" s="13">
        <f t="shared" si="58"/>
        <v>1975.5514285714285</v>
      </c>
      <c r="R143" s="13">
        <v>1975.5514285714285</v>
      </c>
      <c r="S143" s="13">
        <f t="shared" si="59"/>
        <v>1975.5514285714285</v>
      </c>
      <c r="T143" s="13">
        <f t="shared" si="60"/>
        <v>7902.2057142857138</v>
      </c>
      <c r="U143" s="13">
        <f t="shared" si="61"/>
        <v>9877.7571428571428</v>
      </c>
      <c r="V143" s="13">
        <v>9877.7571428571428</v>
      </c>
      <c r="W143" s="13">
        <f t="shared" si="53"/>
        <v>3951.1028571428578</v>
      </c>
      <c r="X143" s="115">
        <f t="shared" si="62"/>
        <v>1975.5514285714285</v>
      </c>
      <c r="Y143" s="116">
        <f t="shared" si="63"/>
        <v>3951.1028571428578</v>
      </c>
      <c r="Z143" s="116">
        <f t="shared" si="43"/>
        <v>0</v>
      </c>
      <c r="AA143" s="116">
        <f t="shared" si="44"/>
        <v>-5926.6542857142849</v>
      </c>
      <c r="AB143" s="117">
        <f>'Ratios (C)'!$C$27</f>
        <v>0.72727998160891272</v>
      </c>
      <c r="AC143" s="116">
        <f t="shared" si="39"/>
        <v>1436.7790066388898</v>
      </c>
      <c r="AD143" s="116">
        <f t="shared" si="40"/>
        <v>2873.55801327778</v>
      </c>
      <c r="AE143" s="118"/>
      <c r="AF143" s="119"/>
      <c r="AG143" s="120"/>
      <c r="AH143" s="118"/>
      <c r="AI143" s="119"/>
      <c r="AJ143" s="121"/>
    </row>
    <row r="144" spans="2:36" s="9" customFormat="1">
      <c r="B144" s="9">
        <v>20</v>
      </c>
      <c r="C144" s="9" t="s">
        <v>512</v>
      </c>
      <c r="E144" s="9">
        <v>181673</v>
      </c>
      <c r="G144" s="9">
        <v>2017</v>
      </c>
      <c r="H144" s="9">
        <v>4</v>
      </c>
      <c r="I144" s="9">
        <v>0</v>
      </c>
      <c r="J144" s="9" t="s">
        <v>78</v>
      </c>
      <c r="K144" s="158">
        <v>7</v>
      </c>
      <c r="L144" s="9">
        <f t="shared" si="54"/>
        <v>2024</v>
      </c>
      <c r="M144" s="127">
        <f t="shared" si="55"/>
        <v>2024.3333333333333</v>
      </c>
      <c r="N144" s="13">
        <v>15378.51</v>
      </c>
      <c r="O144" s="13">
        <f t="shared" si="56"/>
        <v>15378.51</v>
      </c>
      <c r="P144" s="13">
        <f t="shared" si="57"/>
        <v>183.07749999999999</v>
      </c>
      <c r="Q144" s="13">
        <f t="shared" si="58"/>
        <v>2196.9299999999998</v>
      </c>
      <c r="R144" s="13">
        <v>2196.9299999999998</v>
      </c>
      <c r="S144" s="13">
        <f t="shared" si="59"/>
        <v>2196.9299999999998</v>
      </c>
      <c r="T144" s="13">
        <f t="shared" si="60"/>
        <v>8787.7199999999993</v>
      </c>
      <c r="U144" s="13">
        <f t="shared" si="61"/>
        <v>10984.65</v>
      </c>
      <c r="V144" s="13">
        <v>10984.650000000001</v>
      </c>
      <c r="W144" s="13">
        <f t="shared" si="53"/>
        <v>4393.8600000000006</v>
      </c>
      <c r="X144" s="115">
        <f t="shared" si="62"/>
        <v>2196.9299999999998</v>
      </c>
      <c r="Y144" s="116">
        <f t="shared" si="63"/>
        <v>4393.8600000000006</v>
      </c>
      <c r="Z144" s="116">
        <f t="shared" si="43"/>
        <v>0</v>
      </c>
      <c r="AA144" s="116">
        <f t="shared" si="44"/>
        <v>-6590.7900000000009</v>
      </c>
      <c r="AB144" s="117">
        <f>'Ratios (C)'!$C$27</f>
        <v>0.72727998160891272</v>
      </c>
      <c r="AC144" s="116">
        <f t="shared" si="39"/>
        <v>1597.7832099960685</v>
      </c>
      <c r="AD144" s="116">
        <f t="shared" si="40"/>
        <v>3195.5664199921375</v>
      </c>
      <c r="AE144" s="118"/>
      <c r="AF144" s="119"/>
      <c r="AG144" s="120"/>
      <c r="AH144" s="118"/>
      <c r="AI144" s="119"/>
      <c r="AJ144" s="121"/>
    </row>
    <row r="145" spans="2:36" s="9" customFormat="1">
      <c r="B145" s="9">
        <v>28</v>
      </c>
      <c r="C145" s="9" t="s">
        <v>460</v>
      </c>
      <c r="E145" s="9">
        <v>185090</v>
      </c>
      <c r="G145" s="9">
        <v>2017</v>
      </c>
      <c r="H145" s="9">
        <v>7</v>
      </c>
      <c r="I145" s="9">
        <v>0</v>
      </c>
      <c r="J145" s="9" t="s">
        <v>78</v>
      </c>
      <c r="K145" s="158">
        <v>7</v>
      </c>
      <c r="L145" s="9">
        <f t="shared" si="54"/>
        <v>2024</v>
      </c>
      <c r="M145" s="127">
        <f t="shared" si="55"/>
        <v>2024.5833333333333</v>
      </c>
      <c r="N145" s="13">
        <v>14995.96</v>
      </c>
      <c r="O145" s="13">
        <f t="shared" si="56"/>
        <v>14995.96</v>
      </c>
      <c r="P145" s="13">
        <f t="shared" si="57"/>
        <v>178.52333333333331</v>
      </c>
      <c r="Q145" s="13">
        <f t="shared" si="58"/>
        <v>2142.2799999999997</v>
      </c>
      <c r="R145" s="13">
        <v>2142.2799999999997</v>
      </c>
      <c r="S145" s="13">
        <f t="shared" si="59"/>
        <v>2142.2799999999997</v>
      </c>
      <c r="T145" s="13">
        <f t="shared" si="60"/>
        <v>8569.119999999999</v>
      </c>
      <c r="U145" s="13">
        <f t="shared" si="61"/>
        <v>10711.399999999998</v>
      </c>
      <c r="V145" s="13">
        <v>10711.4</v>
      </c>
      <c r="W145" s="13">
        <f t="shared" si="53"/>
        <v>4284.5600000000013</v>
      </c>
      <c r="X145" s="115">
        <f t="shared" si="62"/>
        <v>2142.2799999999997</v>
      </c>
      <c r="Y145" s="116">
        <f t="shared" si="63"/>
        <v>4284.5600000000013</v>
      </c>
      <c r="Z145" s="116">
        <f t="shared" si="43"/>
        <v>0</v>
      </c>
      <c r="AA145" s="116">
        <f t="shared" si="44"/>
        <v>-6426.8399999999983</v>
      </c>
      <c r="AB145" s="117">
        <f>'Ratios (C)'!$C$27</f>
        <v>0.72727998160891272</v>
      </c>
      <c r="AC145" s="116">
        <f t="shared" ref="AC145:AC181" si="64">X145*AB145</f>
        <v>1558.0373590011413</v>
      </c>
      <c r="AD145" s="116">
        <f t="shared" ref="AD145:AD181" si="65">Y145*AB145</f>
        <v>3116.074718002284</v>
      </c>
      <c r="AE145" s="118"/>
      <c r="AF145" s="119"/>
      <c r="AG145" s="120"/>
      <c r="AH145" s="118"/>
      <c r="AI145" s="119"/>
      <c r="AJ145" s="121"/>
    </row>
    <row r="146" spans="2:36" s="9" customFormat="1">
      <c r="B146" s="9">
        <v>36</v>
      </c>
      <c r="C146" s="9" t="s">
        <v>485</v>
      </c>
      <c r="E146" s="9">
        <v>185868</v>
      </c>
      <c r="G146" s="9">
        <v>2017</v>
      </c>
      <c r="H146" s="9">
        <v>7</v>
      </c>
      <c r="I146" s="9">
        <v>0</v>
      </c>
      <c r="J146" s="9" t="s">
        <v>78</v>
      </c>
      <c r="K146" s="158">
        <v>7</v>
      </c>
      <c r="L146" s="9">
        <f t="shared" si="54"/>
        <v>2024</v>
      </c>
      <c r="M146" s="127">
        <f t="shared" si="55"/>
        <v>2024.5833333333333</v>
      </c>
      <c r="N146" s="13">
        <v>22809.35</v>
      </c>
      <c r="O146" s="13">
        <f t="shared" si="56"/>
        <v>22809.35</v>
      </c>
      <c r="P146" s="13">
        <f t="shared" si="57"/>
        <v>271.53988095238094</v>
      </c>
      <c r="Q146" s="13">
        <f t="shared" si="58"/>
        <v>3258.4785714285713</v>
      </c>
      <c r="R146" s="13">
        <v>3258.4785714285713</v>
      </c>
      <c r="S146" s="13">
        <f t="shared" si="59"/>
        <v>3258.4785714285713</v>
      </c>
      <c r="T146" s="13">
        <f t="shared" si="60"/>
        <v>13033.914285714285</v>
      </c>
      <c r="U146" s="13">
        <f t="shared" si="61"/>
        <v>16292.392857142857</v>
      </c>
      <c r="V146" s="13">
        <v>16292.392857142855</v>
      </c>
      <c r="W146" s="13">
        <f t="shared" si="53"/>
        <v>6516.9571428571417</v>
      </c>
      <c r="X146" s="115">
        <f t="shared" si="62"/>
        <v>3258.4785714285713</v>
      </c>
      <c r="Y146" s="116">
        <f t="shared" si="63"/>
        <v>6516.9571428571417</v>
      </c>
      <c r="Z146" s="116">
        <f t="shared" si="43"/>
        <v>0</v>
      </c>
      <c r="AA146" s="116">
        <f t="shared" si="44"/>
        <v>-9775.4357142857134</v>
      </c>
      <c r="AB146" s="117">
        <f>'Ratios (C)'!$C$27</f>
        <v>0.72727998160891272</v>
      </c>
      <c r="AC146" s="116">
        <f t="shared" si="64"/>
        <v>2369.8262355016077</v>
      </c>
      <c r="AD146" s="116">
        <f t="shared" si="65"/>
        <v>4739.6524710032145</v>
      </c>
      <c r="AE146" s="118"/>
      <c r="AF146" s="119"/>
      <c r="AG146" s="120"/>
      <c r="AH146" s="118"/>
      <c r="AI146" s="119"/>
      <c r="AJ146" s="121"/>
    </row>
    <row r="147" spans="2:36" s="9" customFormat="1">
      <c r="B147" s="9">
        <v>30</v>
      </c>
      <c r="C147" s="9" t="s">
        <v>512</v>
      </c>
      <c r="E147" s="9">
        <v>185089</v>
      </c>
      <c r="G147" s="9">
        <v>2017</v>
      </c>
      <c r="H147" s="9">
        <v>7</v>
      </c>
      <c r="I147" s="9">
        <v>0</v>
      </c>
      <c r="J147" s="9" t="s">
        <v>78</v>
      </c>
      <c r="K147" s="158">
        <v>7</v>
      </c>
      <c r="L147" s="9">
        <f t="shared" si="54"/>
        <v>2024</v>
      </c>
      <c r="M147" s="127">
        <f t="shared" si="55"/>
        <v>2024.5833333333333</v>
      </c>
      <c r="N147" s="13">
        <v>27570.46</v>
      </c>
      <c r="O147" s="13">
        <f t="shared" si="56"/>
        <v>27570.46</v>
      </c>
      <c r="P147" s="13">
        <f t="shared" si="57"/>
        <v>328.21976190476192</v>
      </c>
      <c r="Q147" s="13">
        <f t="shared" si="58"/>
        <v>3938.6371428571429</v>
      </c>
      <c r="R147" s="13">
        <v>3938.6371428571429</v>
      </c>
      <c r="S147" s="13">
        <f t="shared" si="59"/>
        <v>3938.6371428571429</v>
      </c>
      <c r="T147" s="13">
        <f t="shared" si="60"/>
        <v>15754.548571428571</v>
      </c>
      <c r="U147" s="13">
        <f t="shared" si="61"/>
        <v>19693.185714285715</v>
      </c>
      <c r="V147" s="13">
        <v>19693.185714285712</v>
      </c>
      <c r="W147" s="13">
        <f t="shared" si="53"/>
        <v>7877.2742857142839</v>
      </c>
      <c r="X147" s="115">
        <f t="shared" si="62"/>
        <v>3938.6371428571429</v>
      </c>
      <c r="Y147" s="116">
        <f t="shared" si="63"/>
        <v>7877.2742857142839</v>
      </c>
      <c r="Z147" s="116">
        <f t="shared" si="43"/>
        <v>0</v>
      </c>
      <c r="AA147" s="116">
        <f t="shared" si="44"/>
        <v>-11815.911428571428</v>
      </c>
      <c r="AB147" s="117">
        <f>'Ratios (C)'!$C$27</f>
        <v>0.72727998160891272</v>
      </c>
      <c r="AC147" s="116">
        <f t="shared" si="64"/>
        <v>2864.4919488213236</v>
      </c>
      <c r="AD147" s="116">
        <f t="shared" si="65"/>
        <v>5728.9838976426454</v>
      </c>
      <c r="AE147" s="118"/>
      <c r="AF147" s="119"/>
      <c r="AG147" s="120"/>
      <c r="AH147" s="118"/>
      <c r="AI147" s="119"/>
      <c r="AJ147" s="121"/>
    </row>
    <row r="148" spans="2:36" s="9" customFormat="1">
      <c r="B148" s="9">
        <v>16</v>
      </c>
      <c r="C148" s="9" t="s">
        <v>490</v>
      </c>
      <c r="E148" s="9">
        <v>185323</v>
      </c>
      <c r="G148" s="9">
        <v>2017</v>
      </c>
      <c r="H148" s="9">
        <v>8</v>
      </c>
      <c r="I148" s="9">
        <v>0</v>
      </c>
      <c r="J148" s="9" t="s">
        <v>78</v>
      </c>
      <c r="K148" s="158">
        <v>7</v>
      </c>
      <c r="L148" s="9">
        <f t="shared" si="54"/>
        <v>2024</v>
      </c>
      <c r="M148" s="127">
        <f t="shared" si="55"/>
        <v>2024.6666666666667</v>
      </c>
      <c r="N148" s="13">
        <v>8656.56</v>
      </c>
      <c r="O148" s="13">
        <f t="shared" si="56"/>
        <v>8656.56</v>
      </c>
      <c r="P148" s="13">
        <f t="shared" si="57"/>
        <v>103.05428571428571</v>
      </c>
      <c r="Q148" s="13">
        <f t="shared" si="58"/>
        <v>1236.6514285714286</v>
      </c>
      <c r="R148" s="13">
        <v>1236.6514285714286</v>
      </c>
      <c r="S148" s="13">
        <f t="shared" si="59"/>
        <v>1236.6514285714286</v>
      </c>
      <c r="T148" s="13">
        <f t="shared" si="60"/>
        <v>4946.6057142857144</v>
      </c>
      <c r="U148" s="13">
        <f t="shared" si="61"/>
        <v>6183.2571428571428</v>
      </c>
      <c r="V148" s="13">
        <v>6183.2571428571428</v>
      </c>
      <c r="W148" s="13">
        <f t="shared" si="53"/>
        <v>2473.3028571428567</v>
      </c>
      <c r="X148" s="115">
        <f t="shared" si="62"/>
        <v>1236.6514285714286</v>
      </c>
      <c r="Y148" s="116">
        <f t="shared" si="63"/>
        <v>2473.3028571428567</v>
      </c>
      <c r="Z148" s="116">
        <f t="shared" si="43"/>
        <v>0</v>
      </c>
      <c r="AA148" s="116">
        <f t="shared" si="44"/>
        <v>-3709.954285714286</v>
      </c>
      <c r="AB148" s="117">
        <f>'Ratios (C)'!$C$27</f>
        <v>0.72727998160891272</v>
      </c>
      <c r="AC148" s="116">
        <f t="shared" si="64"/>
        <v>899.39182822806424</v>
      </c>
      <c r="AD148" s="116">
        <f t="shared" si="65"/>
        <v>1798.783656456128</v>
      </c>
      <c r="AE148" s="118"/>
      <c r="AF148" s="119"/>
      <c r="AG148" s="120"/>
      <c r="AH148" s="118"/>
      <c r="AI148" s="119"/>
      <c r="AJ148" s="121"/>
    </row>
    <row r="149" spans="2:36" s="9" customFormat="1">
      <c r="B149" s="9">
        <v>12</v>
      </c>
      <c r="C149" s="9" t="s">
        <v>525</v>
      </c>
      <c r="E149" s="9">
        <v>185871</v>
      </c>
      <c r="G149" s="9">
        <v>2017</v>
      </c>
      <c r="H149" s="9">
        <v>8</v>
      </c>
      <c r="I149" s="9">
        <v>0</v>
      </c>
      <c r="J149" s="9" t="s">
        <v>78</v>
      </c>
      <c r="K149" s="158">
        <v>12</v>
      </c>
      <c r="L149" s="9">
        <f t="shared" si="54"/>
        <v>2029</v>
      </c>
      <c r="M149" s="127">
        <f t="shared" si="55"/>
        <v>2029.6666666666667</v>
      </c>
      <c r="N149" s="13">
        <v>10634.3</v>
      </c>
      <c r="O149" s="13">
        <f t="shared" si="56"/>
        <v>10634.3</v>
      </c>
      <c r="P149" s="13">
        <f t="shared" si="57"/>
        <v>73.849305555555546</v>
      </c>
      <c r="Q149" s="13">
        <f t="shared" si="58"/>
        <v>886.19166666666661</v>
      </c>
      <c r="R149" s="13">
        <v>886.19166666666661</v>
      </c>
      <c r="S149" s="13">
        <f t="shared" si="59"/>
        <v>886.19166666666661</v>
      </c>
      <c r="T149" s="13">
        <f t="shared" si="60"/>
        <v>3544.7666666666664</v>
      </c>
      <c r="U149" s="13">
        <f t="shared" si="61"/>
        <v>4430.958333333333</v>
      </c>
      <c r="V149" s="13">
        <v>8861.9166666666661</v>
      </c>
      <c r="W149" s="13">
        <f t="shared" si="53"/>
        <v>6203.3416666666662</v>
      </c>
      <c r="X149" s="115">
        <f t="shared" si="62"/>
        <v>886.19166666666661</v>
      </c>
      <c r="Y149" s="116">
        <f t="shared" si="63"/>
        <v>6203.3416666666662</v>
      </c>
      <c r="Z149" s="116">
        <f t="shared" si="43"/>
        <v>0</v>
      </c>
      <c r="AA149" s="116">
        <f t="shared" si="44"/>
        <v>-2658.5749999999998</v>
      </c>
      <c r="AB149" s="117">
        <f>'Ratios (C)'!$C$27</f>
        <v>0.72727998160891272</v>
      </c>
      <c r="AC149" s="116">
        <f t="shared" si="64"/>
        <v>644.50945903530499</v>
      </c>
      <c r="AD149" s="116">
        <f t="shared" si="65"/>
        <v>4511.5662132471352</v>
      </c>
      <c r="AE149" s="118"/>
      <c r="AF149" s="119"/>
      <c r="AG149" s="120"/>
      <c r="AH149" s="118"/>
      <c r="AI149" s="119"/>
      <c r="AJ149" s="121"/>
    </row>
    <row r="150" spans="2:36" s="9" customFormat="1" ht="13.5" customHeight="1">
      <c r="B150" s="9">
        <v>28</v>
      </c>
      <c r="C150" s="9" t="s">
        <v>526</v>
      </c>
      <c r="E150" s="9">
        <v>185181</v>
      </c>
      <c r="G150" s="9">
        <v>2017</v>
      </c>
      <c r="H150" s="9">
        <v>8</v>
      </c>
      <c r="I150" s="9">
        <v>0</v>
      </c>
      <c r="J150" s="9" t="s">
        <v>78</v>
      </c>
      <c r="K150" s="158">
        <v>7</v>
      </c>
      <c r="L150" s="9">
        <f t="shared" si="54"/>
        <v>2024</v>
      </c>
      <c r="M150" s="127">
        <f t="shared" si="55"/>
        <v>2024.6666666666667</v>
      </c>
      <c r="N150" s="13">
        <v>11103.98</v>
      </c>
      <c r="O150" s="13">
        <f t="shared" si="56"/>
        <v>11103.98</v>
      </c>
      <c r="P150" s="13">
        <f t="shared" si="57"/>
        <v>132.19023809523807</v>
      </c>
      <c r="Q150" s="13">
        <f t="shared" si="58"/>
        <v>1586.2828571428568</v>
      </c>
      <c r="R150" s="13">
        <v>1586.2828571428568</v>
      </c>
      <c r="S150" s="13">
        <f t="shared" si="59"/>
        <v>1586.2828571428568</v>
      </c>
      <c r="T150" s="13">
        <f t="shared" si="60"/>
        <v>6345.131428571427</v>
      </c>
      <c r="U150" s="13">
        <f t="shared" si="61"/>
        <v>7931.4142857142833</v>
      </c>
      <c r="V150" s="13">
        <v>7931.4142857142861</v>
      </c>
      <c r="W150" s="13">
        <f t="shared" si="53"/>
        <v>3172.5657142857162</v>
      </c>
      <c r="X150" s="115">
        <f t="shared" si="62"/>
        <v>1586.2828571428568</v>
      </c>
      <c r="Y150" s="116">
        <f t="shared" si="63"/>
        <v>3172.5657142857162</v>
      </c>
      <c r="Z150" s="116">
        <f t="shared" si="43"/>
        <v>0</v>
      </c>
      <c r="AA150" s="116">
        <f t="shared" si="44"/>
        <v>-4758.8485714285698</v>
      </c>
      <c r="AB150" s="117">
        <f>'Ratios (C)'!$C$27</f>
        <v>0.72727998160891272</v>
      </c>
      <c r="AC150" s="116">
        <f t="shared" si="64"/>
        <v>1153.6717671693905</v>
      </c>
      <c r="AD150" s="116">
        <f t="shared" si="65"/>
        <v>2307.3435343387828</v>
      </c>
      <c r="AE150" s="118"/>
      <c r="AF150" s="119"/>
      <c r="AG150" s="120"/>
      <c r="AH150" s="118"/>
      <c r="AI150" s="119"/>
      <c r="AJ150" s="121"/>
    </row>
    <row r="151" spans="2:36" s="9" customFormat="1">
      <c r="B151" s="9">
        <v>16</v>
      </c>
      <c r="C151" s="9" t="s">
        <v>525</v>
      </c>
      <c r="E151" s="9">
        <v>188831</v>
      </c>
      <c r="G151" s="9">
        <v>2017</v>
      </c>
      <c r="H151" s="9">
        <v>9</v>
      </c>
      <c r="I151" s="9">
        <v>0</v>
      </c>
      <c r="J151" s="9" t="s">
        <v>78</v>
      </c>
      <c r="K151" s="158">
        <v>12</v>
      </c>
      <c r="L151" s="9">
        <f t="shared" si="54"/>
        <v>2029</v>
      </c>
      <c r="M151" s="127">
        <f t="shared" si="55"/>
        <v>2029.75</v>
      </c>
      <c r="N151" s="13">
        <v>13540.65</v>
      </c>
      <c r="O151" s="13">
        <f t="shared" si="56"/>
        <v>13540.65</v>
      </c>
      <c r="P151" s="13">
        <f t="shared" si="57"/>
        <v>94.032291666666666</v>
      </c>
      <c r="Q151" s="13">
        <f t="shared" si="58"/>
        <v>1128.3875</v>
      </c>
      <c r="R151" s="13">
        <v>1128.3875</v>
      </c>
      <c r="S151" s="13">
        <f t="shared" si="59"/>
        <v>1128.3875</v>
      </c>
      <c r="T151" s="13">
        <f t="shared" si="60"/>
        <v>4513.55</v>
      </c>
      <c r="U151" s="13">
        <f t="shared" si="61"/>
        <v>5641.9375</v>
      </c>
      <c r="V151" s="13">
        <v>11283.875</v>
      </c>
      <c r="W151" s="13">
        <f t="shared" si="53"/>
        <v>7898.7124999999996</v>
      </c>
      <c r="X151" s="115">
        <f t="shared" si="62"/>
        <v>1128.3875</v>
      </c>
      <c r="Y151" s="116">
        <f t="shared" si="63"/>
        <v>7898.7124999999996</v>
      </c>
      <c r="Z151" s="116">
        <f t="shared" si="43"/>
        <v>0</v>
      </c>
      <c r="AA151" s="116">
        <f t="shared" si="44"/>
        <v>-3385.1625000000004</v>
      </c>
      <c r="AB151" s="117">
        <f>'Ratios (C)'!$C$27</f>
        <v>0.72727998160891272</v>
      </c>
      <c r="AC151" s="116">
        <f t="shared" si="64"/>
        <v>820.65364024772703</v>
      </c>
      <c r="AD151" s="116">
        <f t="shared" si="65"/>
        <v>5744.5754817340885</v>
      </c>
      <c r="AE151" s="118"/>
      <c r="AF151" s="119"/>
      <c r="AG151" s="120"/>
      <c r="AH151" s="118"/>
      <c r="AI151" s="119"/>
      <c r="AJ151" s="121"/>
    </row>
    <row r="152" spans="2:36" s="9" customFormat="1">
      <c r="B152" s="9">
        <v>16</v>
      </c>
      <c r="C152" s="9" t="s">
        <v>525</v>
      </c>
      <c r="E152" s="9">
        <v>187205</v>
      </c>
      <c r="G152" s="9">
        <v>2017</v>
      </c>
      <c r="H152" s="9">
        <v>9</v>
      </c>
      <c r="I152" s="9">
        <v>0</v>
      </c>
      <c r="J152" s="9" t="s">
        <v>78</v>
      </c>
      <c r="K152" s="158">
        <v>12</v>
      </c>
      <c r="L152" s="9">
        <f t="shared" si="54"/>
        <v>2029</v>
      </c>
      <c r="M152" s="127">
        <f t="shared" si="55"/>
        <v>2029.75</v>
      </c>
      <c r="N152" s="13">
        <v>13540.65</v>
      </c>
      <c r="O152" s="13">
        <f t="shared" si="56"/>
        <v>13540.65</v>
      </c>
      <c r="P152" s="13">
        <f t="shared" si="57"/>
        <v>94.032291666666666</v>
      </c>
      <c r="Q152" s="13">
        <f t="shared" si="58"/>
        <v>1128.3875</v>
      </c>
      <c r="R152" s="13">
        <v>1128.3875</v>
      </c>
      <c r="S152" s="13">
        <f t="shared" si="59"/>
        <v>1128.3875</v>
      </c>
      <c r="T152" s="13">
        <f t="shared" si="60"/>
        <v>4513.55</v>
      </c>
      <c r="U152" s="13">
        <f t="shared" si="61"/>
        <v>5641.9375</v>
      </c>
      <c r="V152" s="13">
        <v>11283.875</v>
      </c>
      <c r="W152" s="13">
        <f t="shared" si="53"/>
        <v>7898.7124999999996</v>
      </c>
      <c r="X152" s="115">
        <f t="shared" si="62"/>
        <v>1128.3875</v>
      </c>
      <c r="Y152" s="116">
        <f t="shared" si="63"/>
        <v>7898.7124999999996</v>
      </c>
      <c r="Z152" s="116">
        <f t="shared" si="43"/>
        <v>0</v>
      </c>
      <c r="AA152" s="116">
        <f t="shared" si="44"/>
        <v>-3385.1625000000004</v>
      </c>
      <c r="AB152" s="117">
        <f>'Ratios (C)'!$C$27</f>
        <v>0.72727998160891272</v>
      </c>
      <c r="AC152" s="116">
        <f t="shared" si="64"/>
        <v>820.65364024772703</v>
      </c>
      <c r="AD152" s="116">
        <f t="shared" si="65"/>
        <v>5744.5754817340885</v>
      </c>
      <c r="AE152" s="118"/>
      <c r="AF152" s="119"/>
      <c r="AG152" s="120"/>
      <c r="AH152" s="118"/>
      <c r="AI152" s="119"/>
      <c r="AJ152" s="121"/>
    </row>
    <row r="153" spans="2:36" s="9" customFormat="1">
      <c r="B153" s="9">
        <v>16</v>
      </c>
      <c r="C153" s="9" t="s">
        <v>525</v>
      </c>
      <c r="E153" s="9">
        <v>186097</v>
      </c>
      <c r="G153" s="9">
        <v>2017</v>
      </c>
      <c r="H153" s="9">
        <v>9</v>
      </c>
      <c r="I153" s="9">
        <v>0</v>
      </c>
      <c r="J153" s="9" t="s">
        <v>78</v>
      </c>
      <c r="K153" s="158">
        <v>12</v>
      </c>
      <c r="L153" s="9">
        <f t="shared" si="54"/>
        <v>2029</v>
      </c>
      <c r="M153" s="127">
        <f t="shared" si="55"/>
        <v>2029.75</v>
      </c>
      <c r="N153" s="13">
        <v>13540.65</v>
      </c>
      <c r="O153" s="13">
        <f t="shared" si="56"/>
        <v>13540.65</v>
      </c>
      <c r="P153" s="13">
        <f t="shared" si="57"/>
        <v>94.032291666666666</v>
      </c>
      <c r="Q153" s="13">
        <f t="shared" si="58"/>
        <v>1128.3875</v>
      </c>
      <c r="R153" s="13">
        <v>1128.3875</v>
      </c>
      <c r="S153" s="13">
        <f t="shared" si="59"/>
        <v>1128.3875</v>
      </c>
      <c r="T153" s="13">
        <f t="shared" si="60"/>
        <v>4513.55</v>
      </c>
      <c r="U153" s="13">
        <f t="shared" si="61"/>
        <v>5641.9375</v>
      </c>
      <c r="V153" s="13">
        <v>11283.875</v>
      </c>
      <c r="W153" s="13">
        <f t="shared" si="53"/>
        <v>7898.7124999999996</v>
      </c>
      <c r="X153" s="115">
        <f t="shared" si="62"/>
        <v>1128.3875</v>
      </c>
      <c r="Y153" s="116">
        <f t="shared" si="63"/>
        <v>7898.7124999999996</v>
      </c>
      <c r="Z153" s="116">
        <f t="shared" si="43"/>
        <v>0</v>
      </c>
      <c r="AA153" s="116">
        <f t="shared" si="44"/>
        <v>-3385.1625000000004</v>
      </c>
      <c r="AB153" s="117">
        <f>'Ratios (C)'!$C$27</f>
        <v>0.72727998160891272</v>
      </c>
      <c r="AC153" s="116">
        <f t="shared" si="64"/>
        <v>820.65364024772703</v>
      </c>
      <c r="AD153" s="116">
        <f t="shared" si="65"/>
        <v>5744.5754817340885</v>
      </c>
      <c r="AE153" s="118"/>
      <c r="AF153" s="119"/>
      <c r="AG153" s="120"/>
      <c r="AH153" s="118"/>
      <c r="AI153" s="119"/>
      <c r="AJ153" s="121"/>
    </row>
    <row r="154" spans="2:36" s="9" customFormat="1">
      <c r="B154" s="9">
        <v>16</v>
      </c>
      <c r="C154" s="9" t="s">
        <v>526</v>
      </c>
      <c r="E154" s="9">
        <v>187204</v>
      </c>
      <c r="G154" s="9">
        <v>2017</v>
      </c>
      <c r="H154" s="9">
        <v>9</v>
      </c>
      <c r="I154" s="9">
        <v>0</v>
      </c>
      <c r="J154" s="9" t="s">
        <v>78</v>
      </c>
      <c r="K154" s="158">
        <v>12</v>
      </c>
      <c r="L154" s="9">
        <f t="shared" si="54"/>
        <v>2029</v>
      </c>
      <c r="M154" s="127">
        <f t="shared" si="55"/>
        <v>2029.75</v>
      </c>
      <c r="N154" s="13">
        <v>13540.65</v>
      </c>
      <c r="O154" s="13">
        <f t="shared" si="56"/>
        <v>13540.65</v>
      </c>
      <c r="P154" s="13">
        <f t="shared" si="57"/>
        <v>94.032291666666666</v>
      </c>
      <c r="Q154" s="13">
        <f t="shared" si="58"/>
        <v>1128.3875</v>
      </c>
      <c r="R154" s="13">
        <v>1128.3875</v>
      </c>
      <c r="S154" s="13">
        <f t="shared" si="59"/>
        <v>1128.3875</v>
      </c>
      <c r="T154" s="13">
        <f t="shared" si="60"/>
        <v>4513.55</v>
      </c>
      <c r="U154" s="13">
        <f t="shared" si="61"/>
        <v>5641.9375</v>
      </c>
      <c r="V154" s="13">
        <v>11283.875</v>
      </c>
      <c r="W154" s="13">
        <f t="shared" si="53"/>
        <v>7898.7124999999996</v>
      </c>
      <c r="X154" s="115">
        <f t="shared" si="62"/>
        <v>1128.3875</v>
      </c>
      <c r="Y154" s="116">
        <f t="shared" si="63"/>
        <v>7898.7124999999996</v>
      </c>
      <c r="Z154" s="116">
        <f t="shared" si="43"/>
        <v>0</v>
      </c>
      <c r="AA154" s="116">
        <f t="shared" si="44"/>
        <v>-3385.1625000000004</v>
      </c>
      <c r="AB154" s="117">
        <f>'Ratios (C)'!$C$27</f>
        <v>0.72727998160891272</v>
      </c>
      <c r="AC154" s="116">
        <f t="shared" si="64"/>
        <v>820.65364024772703</v>
      </c>
      <c r="AD154" s="116">
        <f t="shared" si="65"/>
        <v>5744.5754817340885</v>
      </c>
      <c r="AE154" s="118"/>
      <c r="AF154" s="119"/>
      <c r="AG154" s="120"/>
      <c r="AH154" s="118"/>
      <c r="AI154" s="119"/>
      <c r="AJ154" s="121"/>
    </row>
    <row r="155" spans="2:36" s="9" customFormat="1">
      <c r="B155" s="9">
        <v>32</v>
      </c>
      <c r="C155" s="9" t="s">
        <v>461</v>
      </c>
      <c r="E155" s="9">
        <v>189893</v>
      </c>
      <c r="G155" s="9">
        <v>2017</v>
      </c>
      <c r="H155" s="9">
        <v>11</v>
      </c>
      <c r="I155" s="9">
        <v>0</v>
      </c>
      <c r="J155" s="9" t="s">
        <v>78</v>
      </c>
      <c r="K155" s="158">
        <v>12</v>
      </c>
      <c r="L155" s="9">
        <f t="shared" si="54"/>
        <v>2029</v>
      </c>
      <c r="M155" s="127">
        <f t="shared" si="55"/>
        <v>2029.9166666666667</v>
      </c>
      <c r="N155" s="13">
        <v>16564.64</v>
      </c>
      <c r="O155" s="13">
        <f t="shared" si="56"/>
        <v>16564.64</v>
      </c>
      <c r="P155" s="13">
        <f t="shared" si="57"/>
        <v>115.03222222222222</v>
      </c>
      <c r="Q155" s="13">
        <f t="shared" si="58"/>
        <v>1380.3866666666665</v>
      </c>
      <c r="R155" s="13">
        <v>1380.3866666666665</v>
      </c>
      <c r="S155" s="13">
        <f t="shared" si="59"/>
        <v>1380.3866666666665</v>
      </c>
      <c r="T155" s="13">
        <f t="shared" si="60"/>
        <v>5521.5466666666662</v>
      </c>
      <c r="U155" s="13">
        <f t="shared" si="61"/>
        <v>6901.9333333333325</v>
      </c>
      <c r="V155" s="13">
        <v>13803.866666666667</v>
      </c>
      <c r="W155" s="13">
        <f t="shared" si="53"/>
        <v>9662.7066666666669</v>
      </c>
      <c r="X155" s="115">
        <f t="shared" si="62"/>
        <v>1380.3866666666665</v>
      </c>
      <c r="Y155" s="116">
        <f t="shared" si="63"/>
        <v>9662.7066666666669</v>
      </c>
      <c r="Z155" s="116">
        <f t="shared" si="43"/>
        <v>0</v>
      </c>
      <c r="AA155" s="116">
        <f t="shared" si="44"/>
        <v>-4141.16</v>
      </c>
      <c r="AB155" s="117">
        <f>'Ratios (C)'!$C$27</f>
        <v>0.72727998160891272</v>
      </c>
      <c r="AC155" s="116">
        <f t="shared" si="64"/>
        <v>1003.9275895465215</v>
      </c>
      <c r="AD155" s="116">
        <f t="shared" si="65"/>
        <v>7027.4931268256514</v>
      </c>
      <c r="AE155" s="118"/>
      <c r="AF155" s="119"/>
      <c r="AG155" s="120"/>
      <c r="AH155" s="118"/>
      <c r="AI155" s="119"/>
      <c r="AJ155" s="121"/>
    </row>
    <row r="156" spans="2:36" s="9" customFormat="1">
      <c r="B156" s="9">
        <v>36</v>
      </c>
      <c r="C156" s="9" t="s">
        <v>512</v>
      </c>
      <c r="E156" s="9">
        <v>190185</v>
      </c>
      <c r="G156" s="9">
        <v>2017</v>
      </c>
      <c r="H156" s="9">
        <v>12</v>
      </c>
      <c r="I156" s="9">
        <v>0</v>
      </c>
      <c r="J156" s="9" t="s">
        <v>78</v>
      </c>
      <c r="K156" s="158">
        <v>7</v>
      </c>
      <c r="L156" s="9">
        <f t="shared" si="54"/>
        <v>2024</v>
      </c>
      <c r="M156" s="127">
        <f t="shared" si="55"/>
        <v>2025</v>
      </c>
      <c r="N156" s="13">
        <v>28526.21</v>
      </c>
      <c r="O156" s="13">
        <f t="shared" si="56"/>
        <v>28526.21</v>
      </c>
      <c r="P156" s="13">
        <f t="shared" si="57"/>
        <v>339.59773809523807</v>
      </c>
      <c r="Q156" s="13">
        <f t="shared" si="58"/>
        <v>4075.1728571428566</v>
      </c>
      <c r="R156" s="13">
        <v>4075.1728571428566</v>
      </c>
      <c r="S156" s="13">
        <f t="shared" si="59"/>
        <v>4075.1728571428566</v>
      </c>
      <c r="T156" s="13">
        <f t="shared" si="60"/>
        <v>16300.691428571427</v>
      </c>
      <c r="U156" s="13">
        <f t="shared" si="61"/>
        <v>20375.864285714284</v>
      </c>
      <c r="V156" s="13">
        <v>20375.864285714284</v>
      </c>
      <c r="W156" s="13">
        <f t="shared" si="53"/>
        <v>8150.3457142857151</v>
      </c>
      <c r="X156" s="115">
        <f t="shared" si="62"/>
        <v>4075.1728571428566</v>
      </c>
      <c r="Y156" s="116">
        <f t="shared" si="63"/>
        <v>8150.3457142857151</v>
      </c>
      <c r="Z156" s="116">
        <f t="shared" si="43"/>
        <v>0</v>
      </c>
      <c r="AA156" s="116">
        <f t="shared" si="44"/>
        <v>-12225.518571428569</v>
      </c>
      <c r="AB156" s="117">
        <f>'Ratios (C)'!$C$27</f>
        <v>0.72727998160891272</v>
      </c>
      <c r="AC156" s="116">
        <f t="shared" si="64"/>
        <v>2963.7916405959973</v>
      </c>
      <c r="AD156" s="116">
        <f t="shared" si="65"/>
        <v>5927.5832811919954</v>
      </c>
      <c r="AE156" s="118"/>
      <c r="AF156" s="119"/>
      <c r="AG156" s="120"/>
      <c r="AH156" s="118"/>
      <c r="AI156" s="119"/>
      <c r="AJ156" s="121"/>
    </row>
    <row r="157" spans="2:36" s="9" customFormat="1">
      <c r="B157" s="9">
        <v>24</v>
      </c>
      <c r="C157" s="9" t="s">
        <v>534</v>
      </c>
      <c r="E157" s="9">
        <v>194617</v>
      </c>
      <c r="G157" s="9">
        <v>2018</v>
      </c>
      <c r="H157" s="9">
        <v>3</v>
      </c>
      <c r="I157" s="9">
        <v>0</v>
      </c>
      <c r="J157" s="9" t="s">
        <v>78</v>
      </c>
      <c r="K157" s="158">
        <v>12</v>
      </c>
      <c r="L157" s="9">
        <f t="shared" si="54"/>
        <v>2030</v>
      </c>
      <c r="M157" s="127">
        <f t="shared" si="55"/>
        <v>2030.25</v>
      </c>
      <c r="N157" s="13">
        <v>12066.72</v>
      </c>
      <c r="O157" s="13">
        <f t="shared" si="56"/>
        <v>12066.72</v>
      </c>
      <c r="P157" s="13">
        <f t="shared" si="57"/>
        <v>83.796666666666667</v>
      </c>
      <c r="Q157" s="13">
        <f t="shared" si="58"/>
        <v>1005.56</v>
      </c>
      <c r="R157" s="13">
        <v>1005.56</v>
      </c>
      <c r="S157" s="13">
        <f t="shared" si="59"/>
        <v>1005.56</v>
      </c>
      <c r="T157" s="13">
        <f t="shared" si="60"/>
        <v>3016.68</v>
      </c>
      <c r="U157" s="13">
        <f t="shared" si="61"/>
        <v>4022.24</v>
      </c>
      <c r="V157" s="13">
        <v>11061.16</v>
      </c>
      <c r="W157" s="13">
        <f t="shared" si="53"/>
        <v>8044.48</v>
      </c>
      <c r="X157" s="115">
        <f t="shared" si="62"/>
        <v>1005.56</v>
      </c>
      <c r="Y157" s="116">
        <f t="shared" si="63"/>
        <v>8044.48</v>
      </c>
      <c r="Z157" s="116">
        <f t="shared" si="43"/>
        <v>0</v>
      </c>
      <c r="AA157" s="116">
        <f t="shared" si="44"/>
        <v>-3016.6800000000003</v>
      </c>
      <c r="AB157" s="117">
        <f>'Ratios (C)'!$C$27</f>
        <v>0.72727998160891272</v>
      </c>
      <c r="AC157" s="116">
        <f t="shared" si="64"/>
        <v>731.32365830665822</v>
      </c>
      <c r="AD157" s="116">
        <f t="shared" si="65"/>
        <v>5850.5892664532657</v>
      </c>
      <c r="AE157" s="118"/>
      <c r="AF157" s="119"/>
      <c r="AG157" s="120"/>
      <c r="AH157" s="118"/>
      <c r="AI157" s="119"/>
      <c r="AJ157" s="121"/>
    </row>
    <row r="158" spans="2:36" s="9" customFormat="1">
      <c r="B158" s="9">
        <v>24</v>
      </c>
      <c r="C158" s="9" t="s">
        <v>535</v>
      </c>
      <c r="E158" s="9">
        <v>194618</v>
      </c>
      <c r="G158" s="9">
        <v>2018</v>
      </c>
      <c r="H158" s="9">
        <v>3</v>
      </c>
      <c r="I158" s="9">
        <v>0</v>
      </c>
      <c r="J158" s="9" t="s">
        <v>78</v>
      </c>
      <c r="K158" s="158">
        <v>12</v>
      </c>
      <c r="L158" s="9">
        <f t="shared" si="54"/>
        <v>2030</v>
      </c>
      <c r="M158" s="127">
        <f t="shared" si="55"/>
        <v>2030.25</v>
      </c>
      <c r="N158" s="13">
        <v>11673.24</v>
      </c>
      <c r="O158" s="13">
        <f t="shared" si="56"/>
        <v>11673.24</v>
      </c>
      <c r="P158" s="13">
        <f t="shared" si="57"/>
        <v>81.064166666666665</v>
      </c>
      <c r="Q158" s="13">
        <f t="shared" si="58"/>
        <v>972.77</v>
      </c>
      <c r="R158" s="13">
        <v>972.77</v>
      </c>
      <c r="S158" s="13">
        <f t="shared" si="59"/>
        <v>972.77</v>
      </c>
      <c r="T158" s="13">
        <f t="shared" si="60"/>
        <v>2918.31</v>
      </c>
      <c r="U158" s="13">
        <f t="shared" si="61"/>
        <v>3891.08</v>
      </c>
      <c r="V158" s="13">
        <v>10700.47</v>
      </c>
      <c r="W158" s="13">
        <f t="shared" si="53"/>
        <v>7782.16</v>
      </c>
      <c r="X158" s="115">
        <f t="shared" si="62"/>
        <v>972.77</v>
      </c>
      <c r="Y158" s="116">
        <f t="shared" si="63"/>
        <v>7782.16</v>
      </c>
      <c r="Z158" s="116">
        <f t="shared" si="43"/>
        <v>0</v>
      </c>
      <c r="AA158" s="116">
        <f t="shared" si="44"/>
        <v>-2918.3099999999995</v>
      </c>
      <c r="AB158" s="117">
        <f>'Ratios (C)'!$C$27</f>
        <v>0.72727998160891272</v>
      </c>
      <c r="AC158" s="116">
        <f t="shared" si="64"/>
        <v>707.47614770970199</v>
      </c>
      <c r="AD158" s="116">
        <f t="shared" si="65"/>
        <v>5659.8091816776159</v>
      </c>
      <c r="AE158" s="118"/>
      <c r="AF158" s="119"/>
      <c r="AG158" s="120"/>
      <c r="AH158" s="118"/>
      <c r="AI158" s="119"/>
      <c r="AJ158" s="121"/>
    </row>
    <row r="159" spans="2:36" s="9" customFormat="1">
      <c r="B159" s="9">
        <v>24</v>
      </c>
      <c r="C159" s="9" t="s">
        <v>536</v>
      </c>
      <c r="E159" s="9">
        <v>194616</v>
      </c>
      <c r="G159" s="9">
        <v>2018</v>
      </c>
      <c r="H159" s="9">
        <v>3</v>
      </c>
      <c r="I159" s="9">
        <v>0</v>
      </c>
      <c r="J159" s="9" t="s">
        <v>78</v>
      </c>
      <c r="K159" s="158">
        <v>12</v>
      </c>
      <c r="L159" s="9">
        <f t="shared" si="54"/>
        <v>2030</v>
      </c>
      <c r="M159" s="127">
        <f t="shared" si="55"/>
        <v>2030.25</v>
      </c>
      <c r="N159" s="13">
        <v>12984.85</v>
      </c>
      <c r="O159" s="13">
        <f t="shared" si="56"/>
        <v>12984.85</v>
      </c>
      <c r="P159" s="13">
        <f t="shared" si="57"/>
        <v>90.172569444444449</v>
      </c>
      <c r="Q159" s="13">
        <f t="shared" si="58"/>
        <v>1082.0708333333334</v>
      </c>
      <c r="R159" s="13">
        <v>1082.0708333333334</v>
      </c>
      <c r="S159" s="13">
        <f t="shared" si="59"/>
        <v>1082.0708333333334</v>
      </c>
      <c r="T159" s="13">
        <f t="shared" si="60"/>
        <v>3246.2125000000005</v>
      </c>
      <c r="U159" s="13">
        <f t="shared" si="61"/>
        <v>4328.2833333333338</v>
      </c>
      <c r="V159" s="13">
        <v>11902.779166666667</v>
      </c>
      <c r="W159" s="13">
        <f t="shared" si="53"/>
        <v>8656.5666666666657</v>
      </c>
      <c r="X159" s="115">
        <f t="shared" si="62"/>
        <v>1082.0708333333334</v>
      </c>
      <c r="Y159" s="116">
        <f t="shared" si="63"/>
        <v>8656.5666666666657</v>
      </c>
      <c r="Z159" s="116">
        <f t="shared" si="43"/>
        <v>0</v>
      </c>
      <c r="AA159" s="116">
        <f t="shared" si="44"/>
        <v>-3246.2125000000015</v>
      </c>
      <c r="AB159" s="117">
        <f>'Ratios (C)'!$C$27</f>
        <v>0.72727998160891272</v>
      </c>
      <c r="AC159" s="116">
        <f t="shared" si="64"/>
        <v>786.96845576620763</v>
      </c>
      <c r="AD159" s="116">
        <f t="shared" si="65"/>
        <v>6295.7476461296592</v>
      </c>
      <c r="AE159" s="118"/>
      <c r="AF159" s="119"/>
      <c r="AG159" s="120"/>
      <c r="AH159" s="118"/>
      <c r="AI159" s="119"/>
      <c r="AJ159" s="121"/>
    </row>
    <row r="160" spans="2:36" s="9" customFormat="1">
      <c r="B160" s="9">
        <v>30</v>
      </c>
      <c r="C160" s="9" t="s">
        <v>513</v>
      </c>
      <c r="E160" s="9">
        <v>204171</v>
      </c>
      <c r="G160" s="9">
        <v>2018</v>
      </c>
      <c r="H160" s="9">
        <v>7</v>
      </c>
      <c r="I160" s="9">
        <v>0</v>
      </c>
      <c r="J160" s="9" t="s">
        <v>78</v>
      </c>
      <c r="K160" s="158">
        <v>12</v>
      </c>
      <c r="L160" s="9">
        <f t="shared" si="54"/>
        <v>2030</v>
      </c>
      <c r="M160" s="127">
        <f t="shared" si="55"/>
        <v>2030.5833333333333</v>
      </c>
      <c r="N160" s="13">
        <v>26542.2</v>
      </c>
      <c r="O160" s="13">
        <f t="shared" si="56"/>
        <v>26542.2</v>
      </c>
      <c r="P160" s="13">
        <f t="shared" si="57"/>
        <v>184.32083333333333</v>
      </c>
      <c r="Q160" s="13">
        <f t="shared" si="58"/>
        <v>2211.85</v>
      </c>
      <c r="R160" s="13">
        <v>2211.85</v>
      </c>
      <c r="S160" s="13">
        <f t="shared" si="59"/>
        <v>2211.85</v>
      </c>
      <c r="T160" s="13">
        <f t="shared" si="60"/>
        <v>6635.5499999999993</v>
      </c>
      <c r="U160" s="13">
        <f t="shared" si="61"/>
        <v>8847.4</v>
      </c>
      <c r="V160" s="13">
        <v>24330.350000000002</v>
      </c>
      <c r="W160" s="13">
        <f t="shared" si="53"/>
        <v>17694.800000000003</v>
      </c>
      <c r="X160" s="115">
        <f t="shared" si="62"/>
        <v>2211.85</v>
      </c>
      <c r="Y160" s="116">
        <f t="shared" si="63"/>
        <v>17694.800000000003</v>
      </c>
      <c r="Z160" s="116">
        <f t="shared" si="43"/>
        <v>0</v>
      </c>
      <c r="AA160" s="116">
        <f t="shared" si="44"/>
        <v>-6635.5499999999993</v>
      </c>
      <c r="AB160" s="117">
        <f>'Ratios (C)'!$C$27</f>
        <v>0.72727998160891272</v>
      </c>
      <c r="AC160" s="116">
        <f t="shared" si="64"/>
        <v>1608.6342273216735</v>
      </c>
      <c r="AD160" s="116">
        <f t="shared" si="65"/>
        <v>12869.073818573392</v>
      </c>
      <c r="AE160" s="118"/>
      <c r="AF160" s="119"/>
      <c r="AG160" s="120"/>
      <c r="AH160" s="118"/>
      <c r="AI160" s="119"/>
      <c r="AJ160" s="121"/>
    </row>
    <row r="161" spans="2:36" s="9" customFormat="1">
      <c r="B161" s="9">
        <v>12</v>
      </c>
      <c r="C161" s="9" t="s">
        <v>529</v>
      </c>
      <c r="E161" s="9">
        <v>202810</v>
      </c>
      <c r="G161" s="9">
        <v>2018</v>
      </c>
      <c r="H161" s="9">
        <v>8</v>
      </c>
      <c r="I161" s="9">
        <v>0</v>
      </c>
      <c r="J161" s="9" t="s">
        <v>78</v>
      </c>
      <c r="K161" s="158">
        <v>12</v>
      </c>
      <c r="L161" s="9">
        <f t="shared" si="54"/>
        <v>2030</v>
      </c>
      <c r="M161" s="127">
        <f t="shared" si="55"/>
        <v>2030.6666666666667</v>
      </c>
      <c r="N161" s="13">
        <v>12004.42</v>
      </c>
      <c r="O161" s="13">
        <f t="shared" si="56"/>
        <v>12004.42</v>
      </c>
      <c r="P161" s="13">
        <f t="shared" si="57"/>
        <v>83.364027777777778</v>
      </c>
      <c r="Q161" s="13">
        <f t="shared" si="58"/>
        <v>1000.3683333333333</v>
      </c>
      <c r="R161" s="13">
        <v>1000.3683333333333</v>
      </c>
      <c r="S161" s="13">
        <f t="shared" si="59"/>
        <v>1000.3683333333333</v>
      </c>
      <c r="T161" s="13">
        <f t="shared" si="60"/>
        <v>3001.105</v>
      </c>
      <c r="U161" s="13">
        <f t="shared" si="61"/>
        <v>4001.4733333333334</v>
      </c>
      <c r="V161" s="13">
        <v>11004.051666666666</v>
      </c>
      <c r="W161" s="13">
        <f t="shared" ref="W161:W181" si="66">+N161-U161</f>
        <v>8002.9466666666667</v>
      </c>
      <c r="X161" s="115">
        <f t="shared" si="62"/>
        <v>1000.3683333333333</v>
      </c>
      <c r="Y161" s="116">
        <f t="shared" si="63"/>
        <v>8002.9466666666667</v>
      </c>
      <c r="Z161" s="116">
        <f t="shared" si="43"/>
        <v>0</v>
      </c>
      <c r="AA161" s="116">
        <f t="shared" si="44"/>
        <v>-3001.1049999999996</v>
      </c>
      <c r="AB161" s="117">
        <f>'Ratios (C)'!$C$27</f>
        <v>0.72727998160891272</v>
      </c>
      <c r="AC161" s="116">
        <f t="shared" si="64"/>
        <v>727.54786306880533</v>
      </c>
      <c r="AD161" s="116">
        <f t="shared" si="65"/>
        <v>5820.3829045504426</v>
      </c>
      <c r="AE161" s="118"/>
      <c r="AF161" s="119"/>
      <c r="AG161" s="120"/>
      <c r="AH161" s="118"/>
      <c r="AI161" s="119"/>
      <c r="AJ161" s="121"/>
    </row>
    <row r="162" spans="2:36" s="9" customFormat="1">
      <c r="B162" s="9">
        <v>5</v>
      </c>
      <c r="C162" s="9" t="s">
        <v>476</v>
      </c>
      <c r="E162" s="9">
        <v>206681</v>
      </c>
      <c r="G162" s="9">
        <v>2018</v>
      </c>
      <c r="H162" s="9">
        <v>10</v>
      </c>
      <c r="I162" s="9">
        <v>0</v>
      </c>
      <c r="J162" s="9" t="s">
        <v>78</v>
      </c>
      <c r="K162" s="158">
        <v>12</v>
      </c>
      <c r="L162" s="9">
        <f t="shared" si="54"/>
        <v>2030</v>
      </c>
      <c r="M162" s="127">
        <f t="shared" si="55"/>
        <v>2030.8333333333333</v>
      </c>
      <c r="N162" s="13">
        <v>3186.1</v>
      </c>
      <c r="O162" s="13">
        <f t="shared" si="56"/>
        <v>3186.1</v>
      </c>
      <c r="P162" s="13">
        <f t="shared" si="57"/>
        <v>22.125694444444445</v>
      </c>
      <c r="Q162" s="13">
        <f t="shared" si="58"/>
        <v>265.50833333333333</v>
      </c>
      <c r="R162" s="13">
        <v>265.50833333333333</v>
      </c>
      <c r="S162" s="13">
        <f t="shared" si="59"/>
        <v>265.50833333333333</v>
      </c>
      <c r="T162" s="13">
        <f t="shared" si="60"/>
        <v>796.52499999999998</v>
      </c>
      <c r="U162" s="13">
        <f t="shared" si="61"/>
        <v>1062.0333333333333</v>
      </c>
      <c r="V162" s="13">
        <v>2920.5916666666667</v>
      </c>
      <c r="W162" s="13">
        <f t="shared" si="66"/>
        <v>2124.0666666666666</v>
      </c>
      <c r="X162" s="115">
        <f t="shared" si="62"/>
        <v>265.50833333333333</v>
      </c>
      <c r="Y162" s="116">
        <f t="shared" si="63"/>
        <v>2124.0666666666666</v>
      </c>
      <c r="Z162" s="116">
        <f t="shared" si="43"/>
        <v>0</v>
      </c>
      <c r="AA162" s="116">
        <f t="shared" si="44"/>
        <v>-796.52500000000009</v>
      </c>
      <c r="AB162" s="117">
        <f>'Ratios (C)'!$C$27</f>
        <v>0.72727998160891272</v>
      </c>
      <c r="AC162" s="116">
        <f t="shared" si="64"/>
        <v>193.09889578367972</v>
      </c>
      <c r="AD162" s="116">
        <f t="shared" si="65"/>
        <v>1544.7911662694378</v>
      </c>
      <c r="AE162" s="118"/>
      <c r="AF162" s="119"/>
      <c r="AG162" s="120"/>
      <c r="AH162" s="118"/>
      <c r="AI162" s="119"/>
      <c r="AJ162" s="121"/>
    </row>
    <row r="163" spans="2:36" s="9" customFormat="1">
      <c r="B163" s="9">
        <v>24</v>
      </c>
      <c r="C163" s="9" t="s">
        <v>504</v>
      </c>
      <c r="E163" s="9">
        <v>207203</v>
      </c>
      <c r="G163" s="9">
        <v>2018</v>
      </c>
      <c r="H163" s="9">
        <v>10</v>
      </c>
      <c r="I163" s="9">
        <v>0</v>
      </c>
      <c r="J163" s="9" t="s">
        <v>78</v>
      </c>
      <c r="K163" s="158">
        <v>12</v>
      </c>
      <c r="L163" s="9">
        <f t="shared" si="54"/>
        <v>2030</v>
      </c>
      <c r="M163" s="127">
        <f t="shared" si="55"/>
        <v>2030.8333333333333</v>
      </c>
      <c r="N163" s="13">
        <v>17313.12</v>
      </c>
      <c r="O163" s="13">
        <f t="shared" si="56"/>
        <v>17313.12</v>
      </c>
      <c r="P163" s="13">
        <f t="shared" si="57"/>
        <v>120.23</v>
      </c>
      <c r="Q163" s="13">
        <f t="shared" si="58"/>
        <v>1442.76</v>
      </c>
      <c r="R163" s="13">
        <v>1442.76</v>
      </c>
      <c r="S163" s="13">
        <f t="shared" si="59"/>
        <v>1442.76</v>
      </c>
      <c r="T163" s="13">
        <f t="shared" si="60"/>
        <v>4328.28</v>
      </c>
      <c r="U163" s="13">
        <f t="shared" si="61"/>
        <v>5771.04</v>
      </c>
      <c r="V163" s="13">
        <v>15870.359999999999</v>
      </c>
      <c r="W163" s="13">
        <f t="shared" si="66"/>
        <v>11542.079999999998</v>
      </c>
      <c r="X163" s="115">
        <f t="shared" si="62"/>
        <v>1442.76</v>
      </c>
      <c r="Y163" s="116">
        <f t="shared" si="63"/>
        <v>11542.079999999998</v>
      </c>
      <c r="Z163" s="116">
        <f t="shared" si="43"/>
        <v>0</v>
      </c>
      <c r="AA163" s="116">
        <f t="shared" si="44"/>
        <v>-4328.2800000000007</v>
      </c>
      <c r="AB163" s="117">
        <f>'Ratios (C)'!$C$27</f>
        <v>0.72727998160891272</v>
      </c>
      <c r="AC163" s="116">
        <f t="shared" si="64"/>
        <v>1049.2904662660749</v>
      </c>
      <c r="AD163" s="116">
        <f t="shared" si="65"/>
        <v>8394.3237301285972</v>
      </c>
      <c r="AE163" s="118"/>
      <c r="AF163" s="119"/>
      <c r="AG163" s="120"/>
      <c r="AH163" s="118"/>
      <c r="AI163" s="119"/>
      <c r="AJ163" s="121"/>
    </row>
    <row r="164" spans="2:36" s="9" customFormat="1">
      <c r="B164" s="9">
        <v>8</v>
      </c>
      <c r="C164" s="9" t="s">
        <v>518</v>
      </c>
      <c r="E164" s="9">
        <v>206678</v>
      </c>
      <c r="G164" s="9">
        <v>2018</v>
      </c>
      <c r="H164" s="9">
        <v>10</v>
      </c>
      <c r="I164" s="9">
        <v>0</v>
      </c>
      <c r="J164" s="9" t="s">
        <v>78</v>
      </c>
      <c r="K164" s="158">
        <v>12</v>
      </c>
      <c r="L164" s="9">
        <f t="shared" si="54"/>
        <v>2030</v>
      </c>
      <c r="M164" s="127">
        <f t="shared" si="55"/>
        <v>2030.8333333333333</v>
      </c>
      <c r="N164" s="13">
        <v>7904.57</v>
      </c>
      <c r="O164" s="13">
        <f t="shared" si="56"/>
        <v>7904.57</v>
      </c>
      <c r="P164" s="13">
        <f t="shared" si="57"/>
        <v>54.892847222222223</v>
      </c>
      <c r="Q164" s="13">
        <f t="shared" si="58"/>
        <v>658.71416666666664</v>
      </c>
      <c r="R164" s="13">
        <v>658.71416666666664</v>
      </c>
      <c r="S164" s="13">
        <f t="shared" si="59"/>
        <v>658.71416666666664</v>
      </c>
      <c r="T164" s="13">
        <f t="shared" si="60"/>
        <v>1976.1424999999999</v>
      </c>
      <c r="U164" s="13">
        <f t="shared" si="61"/>
        <v>2634.8566666666666</v>
      </c>
      <c r="V164" s="13">
        <v>7245.8558333333331</v>
      </c>
      <c r="W164" s="13">
        <f t="shared" si="66"/>
        <v>5269.7133333333331</v>
      </c>
      <c r="X164" s="115">
        <f t="shared" si="62"/>
        <v>658.71416666666664</v>
      </c>
      <c r="Y164" s="116">
        <f t="shared" si="63"/>
        <v>5269.7133333333331</v>
      </c>
      <c r="Z164" s="116">
        <f t="shared" si="43"/>
        <v>0</v>
      </c>
      <c r="AA164" s="116">
        <f t="shared" si="44"/>
        <v>-1976.1424999999999</v>
      </c>
      <c r="AB164" s="117">
        <f>'Ratios (C)'!$C$27</f>
        <v>0.72727998160891272</v>
      </c>
      <c r="AC164" s="116">
        <f t="shared" si="64"/>
        <v>479.06962701886357</v>
      </c>
      <c r="AD164" s="116">
        <f t="shared" si="65"/>
        <v>3832.5570161509086</v>
      </c>
      <c r="AE164" s="118"/>
      <c r="AF164" s="119"/>
      <c r="AG164" s="120"/>
      <c r="AH164" s="118"/>
      <c r="AI164" s="119"/>
      <c r="AJ164" s="121"/>
    </row>
    <row r="165" spans="2:36" s="9" customFormat="1">
      <c r="B165" s="9">
        <v>13</v>
      </c>
      <c r="C165" s="9" t="s">
        <v>519</v>
      </c>
      <c r="E165" s="9">
        <v>206679</v>
      </c>
      <c r="G165" s="9">
        <v>2018</v>
      </c>
      <c r="H165" s="9">
        <v>10</v>
      </c>
      <c r="I165" s="9">
        <v>0</v>
      </c>
      <c r="J165" s="9" t="s">
        <v>78</v>
      </c>
      <c r="K165" s="158">
        <v>12</v>
      </c>
      <c r="L165" s="9">
        <f t="shared" si="54"/>
        <v>2030</v>
      </c>
      <c r="M165" s="127">
        <f t="shared" si="55"/>
        <v>2030.8333333333333</v>
      </c>
      <c r="N165" s="13">
        <v>12844.93</v>
      </c>
      <c r="O165" s="13">
        <f t="shared" si="56"/>
        <v>12844.93</v>
      </c>
      <c r="P165" s="13">
        <f t="shared" si="57"/>
        <v>89.200902777777785</v>
      </c>
      <c r="Q165" s="13">
        <f t="shared" si="58"/>
        <v>1070.4108333333334</v>
      </c>
      <c r="R165" s="13">
        <v>1070.4108333333334</v>
      </c>
      <c r="S165" s="13">
        <f t="shared" si="59"/>
        <v>1070.4108333333334</v>
      </c>
      <c r="T165" s="13">
        <f t="shared" si="60"/>
        <v>3211.2325000000001</v>
      </c>
      <c r="U165" s="13">
        <f t="shared" si="61"/>
        <v>4281.6433333333334</v>
      </c>
      <c r="V165" s="13">
        <v>11774.519166666667</v>
      </c>
      <c r="W165" s="13">
        <f t="shared" si="66"/>
        <v>8563.2866666666669</v>
      </c>
      <c r="X165" s="115">
        <f t="shared" si="62"/>
        <v>1070.4108333333334</v>
      </c>
      <c r="Y165" s="116">
        <f t="shared" si="63"/>
        <v>8563.2866666666669</v>
      </c>
      <c r="Z165" s="116">
        <f t="shared" si="43"/>
        <v>0</v>
      </c>
      <c r="AA165" s="116">
        <f t="shared" si="44"/>
        <v>-3211.2325000000001</v>
      </c>
      <c r="AB165" s="117">
        <f>'Ratios (C)'!$C$27</f>
        <v>0.72727998160891272</v>
      </c>
      <c r="AC165" s="116">
        <f t="shared" si="64"/>
        <v>778.48837118064762</v>
      </c>
      <c r="AD165" s="116">
        <f t="shared" si="65"/>
        <v>6227.9069694451809</v>
      </c>
      <c r="AE165" s="118"/>
      <c r="AF165" s="119"/>
      <c r="AG165" s="120"/>
      <c r="AH165" s="118"/>
      <c r="AI165" s="119"/>
      <c r="AJ165" s="121"/>
    </row>
    <row r="166" spans="2:36" s="9" customFormat="1">
      <c r="B166" s="9">
        <v>13</v>
      </c>
      <c r="C166" s="9" t="s">
        <v>528</v>
      </c>
      <c r="E166" s="9">
        <v>204287</v>
      </c>
      <c r="G166" s="9">
        <v>2018</v>
      </c>
      <c r="H166" s="9">
        <v>10</v>
      </c>
      <c r="I166" s="9">
        <v>0</v>
      </c>
      <c r="J166" s="9" t="s">
        <v>78</v>
      </c>
      <c r="K166" s="158">
        <v>12</v>
      </c>
      <c r="L166" s="9">
        <f t="shared" si="54"/>
        <v>2030</v>
      </c>
      <c r="M166" s="127">
        <f t="shared" si="55"/>
        <v>2030.8333333333333</v>
      </c>
      <c r="N166" s="13">
        <v>13897.5</v>
      </c>
      <c r="O166" s="13">
        <f t="shared" si="56"/>
        <v>13897.5</v>
      </c>
      <c r="P166" s="13">
        <f t="shared" si="57"/>
        <v>96.510416666666671</v>
      </c>
      <c r="Q166" s="13">
        <f t="shared" si="58"/>
        <v>1158.125</v>
      </c>
      <c r="R166" s="13">
        <v>1158.125</v>
      </c>
      <c r="S166" s="13">
        <f t="shared" si="59"/>
        <v>1158.125</v>
      </c>
      <c r="T166" s="13">
        <f t="shared" si="60"/>
        <v>3474.375</v>
      </c>
      <c r="U166" s="13">
        <f t="shared" si="61"/>
        <v>4632.5</v>
      </c>
      <c r="V166" s="13">
        <v>12739.375</v>
      </c>
      <c r="W166" s="13">
        <f t="shared" si="66"/>
        <v>9265</v>
      </c>
      <c r="X166" s="115">
        <f t="shared" si="62"/>
        <v>1158.125</v>
      </c>
      <c r="Y166" s="116">
        <f t="shared" si="63"/>
        <v>9265</v>
      </c>
      <c r="Z166" s="116">
        <f t="shared" si="43"/>
        <v>0</v>
      </c>
      <c r="AA166" s="116">
        <f t="shared" si="44"/>
        <v>-3474.375</v>
      </c>
      <c r="AB166" s="117">
        <f>'Ratios (C)'!$C$27</f>
        <v>0.72727998160891272</v>
      </c>
      <c r="AC166" s="116">
        <f t="shared" si="64"/>
        <v>842.28112870082202</v>
      </c>
      <c r="AD166" s="116">
        <f t="shared" si="65"/>
        <v>6738.2490296065762</v>
      </c>
      <c r="AE166" s="118"/>
      <c r="AF166" s="119"/>
      <c r="AG166" s="120"/>
      <c r="AH166" s="118"/>
      <c r="AI166" s="119"/>
      <c r="AJ166" s="121"/>
    </row>
    <row r="167" spans="2:36" s="9" customFormat="1">
      <c r="B167" s="9">
        <v>6</v>
      </c>
      <c r="C167" s="9" t="s">
        <v>452</v>
      </c>
      <c r="E167" s="9">
        <v>206682</v>
      </c>
      <c r="G167" s="9">
        <v>2018</v>
      </c>
      <c r="H167" s="9">
        <v>11</v>
      </c>
      <c r="I167" s="9">
        <v>0</v>
      </c>
      <c r="J167" s="9" t="s">
        <v>78</v>
      </c>
      <c r="K167" s="158">
        <v>12</v>
      </c>
      <c r="L167" s="9">
        <f t="shared" si="54"/>
        <v>2030</v>
      </c>
      <c r="M167" s="127">
        <f t="shared" si="55"/>
        <v>2030.9166666666667</v>
      </c>
      <c r="N167" s="13">
        <v>3423.27</v>
      </c>
      <c r="O167" s="13">
        <f t="shared" si="56"/>
        <v>3423.27</v>
      </c>
      <c r="P167" s="13">
        <f t="shared" si="57"/>
        <v>23.77270833333333</v>
      </c>
      <c r="Q167" s="13">
        <f t="shared" si="58"/>
        <v>285.27249999999998</v>
      </c>
      <c r="R167" s="13">
        <v>285.27249999999998</v>
      </c>
      <c r="S167" s="13">
        <f t="shared" si="59"/>
        <v>285.27249999999998</v>
      </c>
      <c r="T167" s="13">
        <f t="shared" si="60"/>
        <v>855.81749999999988</v>
      </c>
      <c r="U167" s="13">
        <f t="shared" si="61"/>
        <v>1141.0899999999999</v>
      </c>
      <c r="V167" s="13">
        <v>3137.9974999999999</v>
      </c>
      <c r="W167" s="13">
        <f t="shared" si="66"/>
        <v>2282.1800000000003</v>
      </c>
      <c r="X167" s="115">
        <f t="shared" si="62"/>
        <v>285.27249999999998</v>
      </c>
      <c r="Y167" s="116">
        <f t="shared" si="63"/>
        <v>2282.1800000000003</v>
      </c>
      <c r="Z167" s="116">
        <f t="shared" si="43"/>
        <v>0</v>
      </c>
      <c r="AA167" s="116">
        <f t="shared" si="44"/>
        <v>-855.81749999999965</v>
      </c>
      <c r="AB167" s="117">
        <f>'Ratios (C)'!$C$27</f>
        <v>0.72727998160891272</v>
      </c>
      <c r="AC167" s="116">
        <f t="shared" si="64"/>
        <v>207.47297855352855</v>
      </c>
      <c r="AD167" s="116">
        <f t="shared" si="65"/>
        <v>1659.7838284282286</v>
      </c>
      <c r="AE167" s="118"/>
      <c r="AF167" s="119"/>
      <c r="AG167" s="120"/>
      <c r="AH167" s="118"/>
      <c r="AI167" s="119"/>
      <c r="AJ167" s="121"/>
    </row>
    <row r="168" spans="2:36" s="9" customFormat="1">
      <c r="B168" s="9">
        <v>6</v>
      </c>
      <c r="C168" s="9" t="s">
        <v>452</v>
      </c>
      <c r="E168" s="9">
        <v>206685</v>
      </c>
      <c r="G168" s="9">
        <v>2018</v>
      </c>
      <c r="H168" s="9">
        <v>11</v>
      </c>
      <c r="I168" s="9">
        <v>0</v>
      </c>
      <c r="J168" s="9" t="s">
        <v>78</v>
      </c>
      <c r="K168" s="158">
        <v>12</v>
      </c>
      <c r="L168" s="9">
        <f t="shared" si="54"/>
        <v>2030</v>
      </c>
      <c r="M168" s="127">
        <f t="shared" si="55"/>
        <v>2030.9166666666667</v>
      </c>
      <c r="N168" s="13">
        <v>3423.27</v>
      </c>
      <c r="O168" s="13">
        <f t="shared" si="56"/>
        <v>3423.27</v>
      </c>
      <c r="P168" s="13">
        <f t="shared" si="57"/>
        <v>23.77270833333333</v>
      </c>
      <c r="Q168" s="13">
        <f t="shared" si="58"/>
        <v>285.27249999999998</v>
      </c>
      <c r="R168" s="13">
        <v>285.27249999999998</v>
      </c>
      <c r="S168" s="13">
        <f t="shared" si="59"/>
        <v>285.27249999999998</v>
      </c>
      <c r="T168" s="13">
        <f t="shared" si="60"/>
        <v>855.81749999999988</v>
      </c>
      <c r="U168" s="13">
        <f t="shared" si="61"/>
        <v>1141.0899999999999</v>
      </c>
      <c r="V168" s="13">
        <v>3137.9974999999999</v>
      </c>
      <c r="W168" s="13">
        <f t="shared" si="66"/>
        <v>2282.1800000000003</v>
      </c>
      <c r="X168" s="115">
        <f t="shared" si="62"/>
        <v>285.27249999999998</v>
      </c>
      <c r="Y168" s="116">
        <f t="shared" si="63"/>
        <v>2282.1800000000003</v>
      </c>
      <c r="Z168" s="116">
        <f t="shared" si="43"/>
        <v>0</v>
      </c>
      <c r="AA168" s="116">
        <f t="shared" si="44"/>
        <v>-855.81749999999965</v>
      </c>
      <c r="AB168" s="117">
        <f>'Ratios (C)'!$C$27</f>
        <v>0.72727998160891272</v>
      </c>
      <c r="AC168" s="116">
        <f t="shared" si="64"/>
        <v>207.47297855352855</v>
      </c>
      <c r="AD168" s="116">
        <f t="shared" si="65"/>
        <v>1659.7838284282286</v>
      </c>
      <c r="AE168" s="118"/>
      <c r="AF168" s="119"/>
      <c r="AG168" s="120"/>
      <c r="AH168" s="118"/>
      <c r="AI168" s="119"/>
      <c r="AJ168" s="121"/>
    </row>
    <row r="169" spans="2:36" s="9" customFormat="1">
      <c r="B169" s="9">
        <v>6</v>
      </c>
      <c r="C169" s="9" t="s">
        <v>475</v>
      </c>
      <c r="E169" s="9">
        <v>206683</v>
      </c>
      <c r="G169" s="9">
        <v>2018</v>
      </c>
      <c r="H169" s="9">
        <v>11</v>
      </c>
      <c r="I169" s="9">
        <v>0</v>
      </c>
      <c r="J169" s="9" t="s">
        <v>78</v>
      </c>
      <c r="K169" s="158">
        <v>12</v>
      </c>
      <c r="L169" s="9">
        <f t="shared" si="54"/>
        <v>2030</v>
      </c>
      <c r="M169" s="127">
        <f t="shared" si="55"/>
        <v>2030.9166666666667</v>
      </c>
      <c r="N169" s="13">
        <v>3823.32</v>
      </c>
      <c r="O169" s="13">
        <f t="shared" si="56"/>
        <v>3823.32</v>
      </c>
      <c r="P169" s="13">
        <f t="shared" si="57"/>
        <v>26.550833333333333</v>
      </c>
      <c r="Q169" s="13">
        <f t="shared" si="58"/>
        <v>318.61</v>
      </c>
      <c r="R169" s="13">
        <v>318.61</v>
      </c>
      <c r="S169" s="13">
        <f t="shared" si="59"/>
        <v>318.61</v>
      </c>
      <c r="T169" s="13">
        <f t="shared" si="60"/>
        <v>955.83</v>
      </c>
      <c r="U169" s="13">
        <f t="shared" si="61"/>
        <v>1274.44</v>
      </c>
      <c r="V169" s="13">
        <v>3504.71</v>
      </c>
      <c r="W169" s="13">
        <f t="shared" si="66"/>
        <v>2548.88</v>
      </c>
      <c r="X169" s="115">
        <f t="shared" si="62"/>
        <v>318.61</v>
      </c>
      <c r="Y169" s="116">
        <f t="shared" si="63"/>
        <v>2548.88</v>
      </c>
      <c r="Z169" s="116">
        <f t="shared" si="43"/>
        <v>0</v>
      </c>
      <c r="AA169" s="116">
        <f t="shared" si="44"/>
        <v>-955.82999999999993</v>
      </c>
      <c r="AB169" s="117">
        <f>'Ratios (C)'!$C$27</f>
        <v>0.72727998160891272</v>
      </c>
      <c r="AC169" s="116">
        <f t="shared" si="64"/>
        <v>231.7186749404157</v>
      </c>
      <c r="AD169" s="116">
        <f t="shared" si="65"/>
        <v>1853.7493995233256</v>
      </c>
      <c r="AE169" s="118"/>
      <c r="AF169" s="119"/>
      <c r="AG169" s="120"/>
      <c r="AH169" s="118"/>
      <c r="AI169" s="119"/>
      <c r="AJ169" s="121"/>
    </row>
    <row r="170" spans="2:36" s="9" customFormat="1">
      <c r="B170" s="9">
        <v>3</v>
      </c>
      <c r="C170" s="9" t="s">
        <v>476</v>
      </c>
      <c r="E170" s="9">
        <v>206686</v>
      </c>
      <c r="G170" s="9">
        <v>2018</v>
      </c>
      <c r="H170" s="9">
        <v>11</v>
      </c>
      <c r="I170" s="9">
        <v>0</v>
      </c>
      <c r="J170" s="9" t="s">
        <v>78</v>
      </c>
      <c r="K170" s="158">
        <v>12</v>
      </c>
      <c r="L170" s="9">
        <f t="shared" si="54"/>
        <v>2030</v>
      </c>
      <c r="M170" s="127">
        <f t="shared" si="55"/>
        <v>2030.9166666666667</v>
      </c>
      <c r="N170" s="13">
        <v>1911.65</v>
      </c>
      <c r="O170" s="13">
        <f t="shared" si="56"/>
        <v>1911.65</v>
      </c>
      <c r="P170" s="13">
        <f t="shared" si="57"/>
        <v>13.275347222222223</v>
      </c>
      <c r="Q170" s="13">
        <f t="shared" si="58"/>
        <v>159.30416666666667</v>
      </c>
      <c r="R170" s="13">
        <v>159.30416666666667</v>
      </c>
      <c r="S170" s="13">
        <f t="shared" si="59"/>
        <v>159.30416666666667</v>
      </c>
      <c r="T170" s="13">
        <f t="shared" si="60"/>
        <v>477.91250000000002</v>
      </c>
      <c r="U170" s="13">
        <f t="shared" si="61"/>
        <v>637.2166666666667</v>
      </c>
      <c r="V170" s="13">
        <v>1752.3458333333333</v>
      </c>
      <c r="W170" s="13">
        <f t="shared" si="66"/>
        <v>1274.4333333333334</v>
      </c>
      <c r="X170" s="115">
        <f t="shared" si="62"/>
        <v>159.30416666666667</v>
      </c>
      <c r="Y170" s="116">
        <f t="shared" si="63"/>
        <v>1274.4333333333334</v>
      </c>
      <c r="Z170" s="116">
        <f t="shared" si="43"/>
        <v>0</v>
      </c>
      <c r="AA170" s="116">
        <f t="shared" si="44"/>
        <v>-477.91249999999991</v>
      </c>
      <c r="AB170" s="117">
        <f>'Ratios (C)'!$C$27</f>
        <v>0.72727998160891272</v>
      </c>
      <c r="AC170" s="116">
        <f t="shared" si="64"/>
        <v>115.8587314035565</v>
      </c>
      <c r="AD170" s="116">
        <f t="shared" si="65"/>
        <v>926.86985122845203</v>
      </c>
      <c r="AE170" s="118"/>
      <c r="AF170" s="119"/>
      <c r="AG170" s="120"/>
      <c r="AH170" s="118"/>
      <c r="AI170" s="119"/>
      <c r="AJ170" s="121"/>
    </row>
    <row r="171" spans="2:36" s="9" customFormat="1">
      <c r="B171" s="9">
        <v>10</v>
      </c>
      <c r="C171" s="9" t="s">
        <v>476</v>
      </c>
      <c r="E171" s="9">
        <v>206680</v>
      </c>
      <c r="G171" s="9">
        <v>2018</v>
      </c>
      <c r="H171" s="9">
        <v>11</v>
      </c>
      <c r="I171" s="9">
        <v>0</v>
      </c>
      <c r="J171" s="9" t="s">
        <v>78</v>
      </c>
      <c r="K171" s="158">
        <v>12</v>
      </c>
      <c r="L171" s="9">
        <f t="shared" si="54"/>
        <v>2030</v>
      </c>
      <c r="M171" s="127">
        <f t="shared" si="55"/>
        <v>2030.9166666666667</v>
      </c>
      <c r="N171" s="13">
        <v>6372.19</v>
      </c>
      <c r="O171" s="13">
        <f t="shared" si="56"/>
        <v>6372.19</v>
      </c>
      <c r="P171" s="13">
        <f t="shared" si="57"/>
        <v>44.251319444444441</v>
      </c>
      <c r="Q171" s="13">
        <f t="shared" si="58"/>
        <v>531.01583333333326</v>
      </c>
      <c r="R171" s="13">
        <v>531.01583333333326</v>
      </c>
      <c r="S171" s="13">
        <f t="shared" si="59"/>
        <v>531.01583333333326</v>
      </c>
      <c r="T171" s="13">
        <f t="shared" si="60"/>
        <v>1593.0474999999997</v>
      </c>
      <c r="U171" s="13">
        <f t="shared" si="61"/>
        <v>2124.063333333333</v>
      </c>
      <c r="V171" s="13">
        <v>5841.1741666666667</v>
      </c>
      <c r="W171" s="13">
        <f t="shared" si="66"/>
        <v>4248.126666666667</v>
      </c>
      <c r="X171" s="115">
        <f t="shared" si="62"/>
        <v>531.01583333333326</v>
      </c>
      <c r="Y171" s="116">
        <f t="shared" si="63"/>
        <v>4248.126666666667</v>
      </c>
      <c r="Z171" s="116">
        <f t="shared" ref="Z171:Z243" si="67">X171-R171</f>
        <v>0</v>
      </c>
      <c r="AA171" s="116">
        <f t="shared" ref="AA171:AA243" si="68">Y171-V171</f>
        <v>-1593.0474999999997</v>
      </c>
      <c r="AB171" s="117">
        <f>'Ratios (C)'!$C$27</f>
        <v>0.72727998160891272</v>
      </c>
      <c r="AC171" s="116">
        <f t="shared" si="64"/>
        <v>386.19718550070809</v>
      </c>
      <c r="AD171" s="116">
        <f t="shared" si="65"/>
        <v>3089.5774840056652</v>
      </c>
      <c r="AE171" s="118"/>
      <c r="AF171" s="119"/>
      <c r="AG171" s="120"/>
      <c r="AH171" s="118"/>
      <c r="AI171" s="119"/>
      <c r="AJ171" s="121"/>
    </row>
    <row r="172" spans="2:36" s="9" customFormat="1">
      <c r="B172" s="9">
        <v>24</v>
      </c>
      <c r="C172" s="9" t="s">
        <v>492</v>
      </c>
      <c r="E172" s="9">
        <v>202809</v>
      </c>
      <c r="G172" s="9">
        <v>2018</v>
      </c>
      <c r="H172" s="9">
        <v>12</v>
      </c>
      <c r="I172" s="9">
        <v>0</v>
      </c>
      <c r="J172" s="9" t="s">
        <v>78</v>
      </c>
      <c r="K172" s="158">
        <v>12</v>
      </c>
      <c r="L172" s="9">
        <f t="shared" si="54"/>
        <v>2030</v>
      </c>
      <c r="M172" s="127">
        <f t="shared" si="55"/>
        <v>2031</v>
      </c>
      <c r="N172" s="13">
        <v>16328.33</v>
      </c>
      <c r="O172" s="13">
        <f t="shared" si="56"/>
        <v>16328.33</v>
      </c>
      <c r="P172" s="13">
        <f t="shared" si="57"/>
        <v>113.39118055555555</v>
      </c>
      <c r="Q172" s="13">
        <f t="shared" si="58"/>
        <v>1360.6941666666667</v>
      </c>
      <c r="R172" s="13">
        <v>1360.6941666666667</v>
      </c>
      <c r="S172" s="13">
        <f t="shared" si="59"/>
        <v>1360.6941666666667</v>
      </c>
      <c r="T172" s="13">
        <f t="shared" si="60"/>
        <v>4082.0825</v>
      </c>
      <c r="U172" s="13">
        <f t="shared" si="61"/>
        <v>5442.7766666666666</v>
      </c>
      <c r="V172" s="13">
        <v>14967.635833333334</v>
      </c>
      <c r="W172" s="13">
        <f t="shared" si="66"/>
        <v>10885.553333333333</v>
      </c>
      <c r="X172" s="115">
        <f t="shared" si="62"/>
        <v>1360.6941666666667</v>
      </c>
      <c r="Y172" s="116">
        <f t="shared" si="63"/>
        <v>10885.553333333333</v>
      </c>
      <c r="Z172" s="116">
        <f t="shared" si="67"/>
        <v>0</v>
      </c>
      <c r="AA172" s="116">
        <f t="shared" si="68"/>
        <v>-4082.0825000000004</v>
      </c>
      <c r="AB172" s="117">
        <f>'Ratios (C)'!$C$27</f>
        <v>0.72727998160891272</v>
      </c>
      <c r="AC172" s="116">
        <f t="shared" si="64"/>
        <v>989.60562850868814</v>
      </c>
      <c r="AD172" s="116">
        <f t="shared" si="65"/>
        <v>7916.8450280695051</v>
      </c>
      <c r="AE172" s="118"/>
      <c r="AF172" s="119"/>
      <c r="AG172" s="120"/>
      <c r="AH172" s="118"/>
      <c r="AI172" s="119"/>
      <c r="AJ172" s="121"/>
    </row>
    <row r="173" spans="2:36" s="9" customFormat="1">
      <c r="B173" s="9">
        <v>12</v>
      </c>
      <c r="C173" s="9" t="s">
        <v>527</v>
      </c>
      <c r="E173" s="9">
        <v>202807</v>
      </c>
      <c r="G173" s="9">
        <v>2018</v>
      </c>
      <c r="H173" s="9">
        <v>12</v>
      </c>
      <c r="I173" s="9">
        <v>0</v>
      </c>
      <c r="J173" s="9" t="s">
        <v>78</v>
      </c>
      <c r="K173" s="158">
        <v>12</v>
      </c>
      <c r="L173" s="9">
        <f t="shared" ref="L173:L183" si="69">G173+K173</f>
        <v>2030</v>
      </c>
      <c r="M173" s="127">
        <f t="shared" ref="M173:M183" si="70">+L173+(H173/12)</f>
        <v>2031</v>
      </c>
      <c r="N173" s="13">
        <v>12004.42</v>
      </c>
      <c r="O173" s="13">
        <f t="shared" ref="O173:O181" si="71">N173-N173*I173</f>
        <v>12004.42</v>
      </c>
      <c r="P173" s="13">
        <f t="shared" ref="P173:P181" si="72">O173/K173/12</f>
        <v>83.364027777777778</v>
      </c>
      <c r="Q173" s="13">
        <f t="shared" ref="Q173:Q181" si="73">P173*12</f>
        <v>1000.3683333333333</v>
      </c>
      <c r="R173" s="13">
        <v>1000.3683333333333</v>
      </c>
      <c r="S173" s="13">
        <f t="shared" ref="S173:S181" si="74">+IF(M173&lt;=$O$5,0,IF(L173&gt;$O$4,Q173,(P173*H173)))</f>
        <v>1000.3683333333333</v>
      </c>
      <c r="T173" s="13">
        <f t="shared" ref="T173:T181" si="75">+IF(S173=0,N173,IF($O$3-G173&lt;1,0,(($O$3-G173)*Q173)))</f>
        <v>3001.105</v>
      </c>
      <c r="U173" s="13">
        <f t="shared" ref="U173:U181" si="76">+IF(S173=0,T173,T173+S173)</f>
        <v>4001.4733333333334</v>
      </c>
      <c r="V173" s="13">
        <v>11004.051666666666</v>
      </c>
      <c r="W173" s="13">
        <f t="shared" si="66"/>
        <v>8002.9466666666667</v>
      </c>
      <c r="X173" s="115">
        <f t="shared" si="62"/>
        <v>1000.3683333333333</v>
      </c>
      <c r="Y173" s="116">
        <f t="shared" si="63"/>
        <v>8002.9466666666667</v>
      </c>
      <c r="Z173" s="116">
        <f t="shared" si="67"/>
        <v>0</v>
      </c>
      <c r="AA173" s="116">
        <f t="shared" si="68"/>
        <v>-3001.1049999999996</v>
      </c>
      <c r="AB173" s="117">
        <f>'Ratios (C)'!$C$27</f>
        <v>0.72727998160891272</v>
      </c>
      <c r="AC173" s="116">
        <f t="shared" si="64"/>
        <v>727.54786306880533</v>
      </c>
      <c r="AD173" s="116">
        <f t="shared" si="65"/>
        <v>5820.3829045504426</v>
      </c>
      <c r="AE173" s="118"/>
      <c r="AF173" s="119"/>
      <c r="AG173" s="120"/>
      <c r="AH173" s="118"/>
      <c r="AI173" s="119"/>
      <c r="AJ173" s="121"/>
    </row>
    <row r="174" spans="2:36" s="9" customFormat="1">
      <c r="B174" s="9">
        <v>24</v>
      </c>
      <c r="C174" s="9" t="s">
        <v>533</v>
      </c>
      <c r="E174" s="9">
        <v>202731</v>
      </c>
      <c r="G174" s="9">
        <v>2018</v>
      </c>
      <c r="H174" s="9">
        <v>12</v>
      </c>
      <c r="I174" s="9">
        <v>0</v>
      </c>
      <c r="J174" s="9" t="s">
        <v>78</v>
      </c>
      <c r="K174" s="158">
        <v>12</v>
      </c>
      <c r="L174" s="9">
        <f t="shared" si="69"/>
        <v>2030</v>
      </c>
      <c r="M174" s="127">
        <f t="shared" si="70"/>
        <v>2031</v>
      </c>
      <c r="N174" s="13">
        <v>16555.669999999998</v>
      </c>
      <c r="O174" s="13">
        <f t="shared" si="71"/>
        <v>16555.669999999998</v>
      </c>
      <c r="P174" s="13">
        <f t="shared" si="72"/>
        <v>114.96993055555555</v>
      </c>
      <c r="Q174" s="13">
        <f t="shared" si="73"/>
        <v>1379.6391666666666</v>
      </c>
      <c r="R174" s="13">
        <v>1379.6391666666666</v>
      </c>
      <c r="S174" s="13">
        <f t="shared" si="74"/>
        <v>1379.6391666666666</v>
      </c>
      <c r="T174" s="13">
        <f t="shared" si="75"/>
        <v>4138.9174999999996</v>
      </c>
      <c r="U174" s="13">
        <f t="shared" si="76"/>
        <v>5518.5566666666664</v>
      </c>
      <c r="V174" s="13">
        <v>15176.030833333332</v>
      </c>
      <c r="W174" s="13">
        <f t="shared" si="66"/>
        <v>11037.113333333331</v>
      </c>
      <c r="X174" s="115">
        <f t="shared" si="62"/>
        <v>1379.6391666666666</v>
      </c>
      <c r="Y174" s="116">
        <f t="shared" si="63"/>
        <v>11037.113333333331</v>
      </c>
      <c r="Z174" s="116">
        <f t="shared" si="67"/>
        <v>0</v>
      </c>
      <c r="AA174" s="116">
        <f t="shared" si="68"/>
        <v>-4138.9175000000014</v>
      </c>
      <c r="AB174" s="117">
        <f>'Ratios (C)'!$C$27</f>
        <v>0.72727998160891272</v>
      </c>
      <c r="AC174" s="116">
        <f t="shared" si="64"/>
        <v>1003.3839477602689</v>
      </c>
      <c r="AD174" s="116">
        <f t="shared" si="65"/>
        <v>8027.0715820821506</v>
      </c>
      <c r="AE174" s="118"/>
      <c r="AF174" s="119"/>
      <c r="AG174" s="120"/>
      <c r="AH174" s="118"/>
      <c r="AI174" s="119"/>
      <c r="AJ174" s="121"/>
    </row>
    <row r="175" spans="2:36" s="9" customFormat="1">
      <c r="B175" s="9">
        <v>12</v>
      </c>
      <c r="C175" s="9" t="s">
        <v>471</v>
      </c>
      <c r="E175" s="9">
        <v>208945</v>
      </c>
      <c r="G175" s="9">
        <v>2019</v>
      </c>
      <c r="H175" s="9">
        <v>1</v>
      </c>
      <c r="I175" s="9">
        <v>0</v>
      </c>
      <c r="J175" s="9" t="s">
        <v>78</v>
      </c>
      <c r="K175" s="158">
        <v>12</v>
      </c>
      <c r="L175" s="9">
        <f t="shared" si="69"/>
        <v>2031</v>
      </c>
      <c r="M175" s="127">
        <f t="shared" si="70"/>
        <v>2031.0833333333333</v>
      </c>
      <c r="N175" s="13">
        <v>6662.92</v>
      </c>
      <c r="O175" s="13">
        <f t="shared" si="71"/>
        <v>6662.92</v>
      </c>
      <c r="P175" s="13">
        <f t="shared" si="72"/>
        <v>46.270277777777778</v>
      </c>
      <c r="Q175" s="13">
        <f t="shared" si="73"/>
        <v>555.24333333333334</v>
      </c>
      <c r="R175" s="13">
        <v>555.24333333333334</v>
      </c>
      <c r="S175" s="13">
        <f t="shared" si="74"/>
        <v>555.24333333333334</v>
      </c>
      <c r="T175" s="13">
        <f t="shared" si="75"/>
        <v>1110.4866666666667</v>
      </c>
      <c r="U175" s="13">
        <f t="shared" si="76"/>
        <v>1665.73</v>
      </c>
      <c r="V175" s="13">
        <v>6107.6766666666663</v>
      </c>
      <c r="W175" s="13">
        <f t="shared" si="66"/>
        <v>4997.1900000000005</v>
      </c>
      <c r="X175" s="115">
        <f t="shared" si="62"/>
        <v>555.24333333333334</v>
      </c>
      <c r="Y175" s="116">
        <f t="shared" si="63"/>
        <v>4997.1900000000005</v>
      </c>
      <c r="Z175" s="116">
        <f t="shared" si="67"/>
        <v>0</v>
      </c>
      <c r="AA175" s="116">
        <f t="shared" si="68"/>
        <v>-1110.4866666666658</v>
      </c>
      <c r="AB175" s="117">
        <f>'Ratios (C)'!$C$27</f>
        <v>0.72727998160891272</v>
      </c>
      <c r="AC175" s="116">
        <f t="shared" si="64"/>
        <v>403.81736125513805</v>
      </c>
      <c r="AD175" s="116">
        <f t="shared" si="65"/>
        <v>3634.356251296243</v>
      </c>
      <c r="AE175" s="118"/>
      <c r="AF175" s="119"/>
      <c r="AG175" s="120"/>
      <c r="AH175" s="118"/>
      <c r="AI175" s="119"/>
      <c r="AJ175" s="121"/>
    </row>
    <row r="176" spans="2:36" s="9" customFormat="1">
      <c r="B176" s="9">
        <v>24</v>
      </c>
      <c r="C176" s="9" t="s">
        <v>481</v>
      </c>
      <c r="E176" s="9">
        <v>215453</v>
      </c>
      <c r="G176" s="9">
        <v>2019</v>
      </c>
      <c r="H176" s="9">
        <v>5</v>
      </c>
      <c r="I176" s="9">
        <v>0</v>
      </c>
      <c r="J176" s="9" t="s">
        <v>78</v>
      </c>
      <c r="K176" s="158">
        <v>12</v>
      </c>
      <c r="L176" s="9">
        <f t="shared" si="69"/>
        <v>2031</v>
      </c>
      <c r="M176" s="127">
        <f t="shared" si="70"/>
        <v>2031.4166666666667</v>
      </c>
      <c r="N176" s="13">
        <v>15299.16</v>
      </c>
      <c r="O176" s="13">
        <f t="shared" si="71"/>
        <v>15299.16</v>
      </c>
      <c r="P176" s="13">
        <f t="shared" si="72"/>
        <v>106.24416666666667</v>
      </c>
      <c r="Q176" s="13">
        <f t="shared" si="73"/>
        <v>1274.93</v>
      </c>
      <c r="R176" s="13">
        <v>1274.93</v>
      </c>
      <c r="S176" s="13">
        <f t="shared" si="74"/>
        <v>1274.93</v>
      </c>
      <c r="T176" s="13">
        <f t="shared" si="75"/>
        <v>2549.86</v>
      </c>
      <c r="U176" s="13">
        <f t="shared" si="76"/>
        <v>3824.79</v>
      </c>
      <c r="V176" s="13">
        <v>14024.23</v>
      </c>
      <c r="W176" s="13">
        <f t="shared" si="66"/>
        <v>11474.369999999999</v>
      </c>
      <c r="X176" s="115">
        <f t="shared" si="62"/>
        <v>1274.93</v>
      </c>
      <c r="Y176" s="116">
        <f t="shared" si="63"/>
        <v>11474.369999999999</v>
      </c>
      <c r="Z176" s="116">
        <f t="shared" si="67"/>
        <v>0</v>
      </c>
      <c r="AA176" s="116">
        <f t="shared" si="68"/>
        <v>-2549.8600000000006</v>
      </c>
      <c r="AB176" s="117">
        <f>'Ratios (C)'!$C$27</f>
        <v>0.72727998160891272</v>
      </c>
      <c r="AC176" s="116">
        <f t="shared" si="64"/>
        <v>927.23106695265119</v>
      </c>
      <c r="AD176" s="116">
        <f t="shared" si="65"/>
        <v>8345.0796025738582</v>
      </c>
      <c r="AE176" s="118"/>
      <c r="AF176" s="119"/>
      <c r="AG176" s="120"/>
      <c r="AH176" s="118"/>
      <c r="AI176" s="119"/>
      <c r="AJ176" s="121"/>
    </row>
    <row r="177" spans="1:36" s="9" customFormat="1">
      <c r="B177" s="9">
        <v>24</v>
      </c>
      <c r="C177" s="9" t="s">
        <v>488</v>
      </c>
      <c r="E177" s="9">
        <v>215452</v>
      </c>
      <c r="G177" s="9">
        <v>2019</v>
      </c>
      <c r="H177" s="9">
        <v>5</v>
      </c>
      <c r="I177" s="9">
        <v>0</v>
      </c>
      <c r="J177" s="9" t="s">
        <v>78</v>
      </c>
      <c r="K177" s="158">
        <v>12</v>
      </c>
      <c r="L177" s="9">
        <f t="shared" si="69"/>
        <v>2031</v>
      </c>
      <c r="M177" s="127">
        <f t="shared" si="70"/>
        <v>2031.4166666666667</v>
      </c>
      <c r="N177" s="13">
        <v>15194.23</v>
      </c>
      <c r="O177" s="13">
        <f t="shared" si="71"/>
        <v>15194.23</v>
      </c>
      <c r="P177" s="13">
        <f t="shared" si="72"/>
        <v>105.5154861111111</v>
      </c>
      <c r="Q177" s="13">
        <f t="shared" si="73"/>
        <v>1266.1858333333332</v>
      </c>
      <c r="R177" s="13">
        <v>1266.1858333333332</v>
      </c>
      <c r="S177" s="13">
        <f t="shared" si="74"/>
        <v>1266.1858333333332</v>
      </c>
      <c r="T177" s="13">
        <f t="shared" si="75"/>
        <v>2532.3716666666664</v>
      </c>
      <c r="U177" s="13">
        <f t="shared" si="76"/>
        <v>3798.5574999999999</v>
      </c>
      <c r="V177" s="13">
        <v>13928.044166666667</v>
      </c>
      <c r="W177" s="13">
        <f t="shared" si="66"/>
        <v>11395.672500000001</v>
      </c>
      <c r="X177" s="115">
        <f t="shared" si="62"/>
        <v>1266.1858333333332</v>
      </c>
      <c r="Y177" s="116">
        <f t="shared" si="63"/>
        <v>11395.672500000001</v>
      </c>
      <c r="Z177" s="116">
        <f t="shared" si="67"/>
        <v>0</v>
      </c>
      <c r="AA177" s="116">
        <f t="shared" si="68"/>
        <v>-2532.371666666666</v>
      </c>
      <c r="AB177" s="117">
        <f>'Ratios (C)'!$C$27</f>
        <v>0.72727998160891272</v>
      </c>
      <c r="AC177" s="116">
        <f t="shared" si="64"/>
        <v>920.87160958013237</v>
      </c>
      <c r="AD177" s="116">
        <f t="shared" si="65"/>
        <v>8287.8444862211927</v>
      </c>
      <c r="AE177" s="118"/>
      <c r="AF177" s="119"/>
      <c r="AG177" s="120"/>
      <c r="AH177" s="118"/>
      <c r="AI177" s="119"/>
      <c r="AJ177" s="121"/>
    </row>
    <row r="178" spans="1:36" s="9" customFormat="1">
      <c r="B178" s="9">
        <v>48</v>
      </c>
      <c r="C178" s="9" t="s">
        <v>499</v>
      </c>
      <c r="E178" s="9">
        <v>215454</v>
      </c>
      <c r="G178" s="9">
        <v>2019</v>
      </c>
      <c r="H178" s="9">
        <v>5</v>
      </c>
      <c r="I178" s="9">
        <v>0</v>
      </c>
      <c r="J178" s="9" t="s">
        <v>78</v>
      </c>
      <c r="K178" s="158">
        <v>12</v>
      </c>
      <c r="L178" s="9">
        <f t="shared" si="69"/>
        <v>2031</v>
      </c>
      <c r="M178" s="127">
        <f t="shared" si="70"/>
        <v>2031.4166666666667</v>
      </c>
      <c r="N178" s="13">
        <v>33378.47</v>
      </c>
      <c r="O178" s="13">
        <f t="shared" si="71"/>
        <v>33378.47</v>
      </c>
      <c r="P178" s="13">
        <f t="shared" si="72"/>
        <v>231.79493055555557</v>
      </c>
      <c r="Q178" s="13">
        <f t="shared" si="73"/>
        <v>2781.5391666666669</v>
      </c>
      <c r="R178" s="13">
        <v>2781.5391666666669</v>
      </c>
      <c r="S178" s="13">
        <f t="shared" si="74"/>
        <v>2781.5391666666669</v>
      </c>
      <c r="T178" s="13">
        <f t="shared" si="75"/>
        <v>5563.0783333333338</v>
      </c>
      <c r="U178" s="13">
        <f t="shared" si="76"/>
        <v>8344.6175000000003</v>
      </c>
      <c r="V178" s="13">
        <v>30596.930833333336</v>
      </c>
      <c r="W178" s="13">
        <f t="shared" si="66"/>
        <v>25033.852500000001</v>
      </c>
      <c r="X178" s="115">
        <f t="shared" si="62"/>
        <v>2781.5391666666669</v>
      </c>
      <c r="Y178" s="116">
        <f t="shared" si="63"/>
        <v>25033.852500000001</v>
      </c>
      <c r="Z178" s="116">
        <f t="shared" si="67"/>
        <v>0</v>
      </c>
      <c r="AA178" s="116">
        <f t="shared" si="68"/>
        <v>-5563.0783333333347</v>
      </c>
      <c r="AB178" s="117">
        <f>'Ratios (C)'!$C$27</f>
        <v>0.72727998160891272</v>
      </c>
      <c r="AC178" s="116">
        <f t="shared" si="64"/>
        <v>2022.957753977804</v>
      </c>
      <c r="AD178" s="116">
        <f t="shared" si="65"/>
        <v>18206.619785800234</v>
      </c>
      <c r="AE178" s="118"/>
      <c r="AF178" s="119"/>
      <c r="AG178" s="120"/>
      <c r="AH178" s="118"/>
      <c r="AI178" s="119"/>
      <c r="AJ178" s="121"/>
    </row>
    <row r="179" spans="1:36" s="9" customFormat="1">
      <c r="B179" s="9">
        <f>24+12</f>
        <v>36</v>
      </c>
      <c r="C179" s="9" t="s">
        <v>458</v>
      </c>
      <c r="E179" s="9" t="s">
        <v>459</v>
      </c>
      <c r="G179" s="9">
        <v>2019</v>
      </c>
      <c r="H179" s="9">
        <v>10</v>
      </c>
      <c r="I179" s="9">
        <v>0</v>
      </c>
      <c r="J179" s="9" t="s">
        <v>78</v>
      </c>
      <c r="K179" s="158">
        <v>12</v>
      </c>
      <c r="L179" s="9">
        <f t="shared" si="69"/>
        <v>2031</v>
      </c>
      <c r="M179" s="127">
        <f t="shared" si="70"/>
        <v>2031.8333333333333</v>
      </c>
      <c r="N179" s="13">
        <f>13142.23+6480.82</f>
        <v>19623.05</v>
      </c>
      <c r="O179" s="13">
        <f t="shared" si="71"/>
        <v>19623.05</v>
      </c>
      <c r="P179" s="13">
        <f t="shared" si="72"/>
        <v>136.27118055555556</v>
      </c>
      <c r="Q179" s="13">
        <f t="shared" si="73"/>
        <v>1635.2541666666666</v>
      </c>
      <c r="R179" s="13">
        <v>1635.2541666666666</v>
      </c>
      <c r="S179" s="13">
        <f t="shared" si="74"/>
        <v>1635.2541666666666</v>
      </c>
      <c r="T179" s="13">
        <f t="shared" si="75"/>
        <v>3270.5083333333332</v>
      </c>
      <c r="U179" s="13">
        <f t="shared" si="76"/>
        <v>4905.7624999999998</v>
      </c>
      <c r="V179" s="13">
        <v>17987.795833333334</v>
      </c>
      <c r="W179" s="13">
        <f t="shared" si="66"/>
        <v>14717.287499999999</v>
      </c>
      <c r="X179" s="115">
        <f t="shared" si="62"/>
        <v>1635.2541666666666</v>
      </c>
      <c r="Y179" s="116">
        <f t="shared" si="63"/>
        <v>14717.287499999999</v>
      </c>
      <c r="Z179" s="116">
        <f t="shared" si="67"/>
        <v>0</v>
      </c>
      <c r="AA179" s="116">
        <f t="shared" si="68"/>
        <v>-3270.508333333335</v>
      </c>
      <c r="AB179" s="117">
        <f>'Ratios (C)'!$C$27</f>
        <v>0.72727998160891272</v>
      </c>
      <c r="AC179" s="116">
        <f t="shared" si="64"/>
        <v>1189.2876202592313</v>
      </c>
      <c r="AD179" s="116">
        <f t="shared" si="65"/>
        <v>10703.588582333079</v>
      </c>
      <c r="AE179" s="118"/>
      <c r="AF179" s="119"/>
      <c r="AG179" s="120"/>
      <c r="AH179" s="118"/>
      <c r="AI179" s="119"/>
      <c r="AJ179" s="121"/>
    </row>
    <row r="180" spans="1:36" s="9" customFormat="1">
      <c r="B180" s="9">
        <v>12</v>
      </c>
      <c r="C180" s="9" t="s">
        <v>471</v>
      </c>
      <c r="E180" s="9">
        <v>222647</v>
      </c>
      <c r="G180" s="9">
        <v>2019</v>
      </c>
      <c r="H180" s="9">
        <v>10</v>
      </c>
      <c r="I180" s="9">
        <v>0</v>
      </c>
      <c r="J180" s="9" t="s">
        <v>78</v>
      </c>
      <c r="K180" s="158">
        <v>12</v>
      </c>
      <c r="L180" s="9">
        <f t="shared" si="69"/>
        <v>2031</v>
      </c>
      <c r="M180" s="127">
        <f t="shared" si="70"/>
        <v>2031.8333333333333</v>
      </c>
      <c r="N180" s="13">
        <v>6808.72</v>
      </c>
      <c r="O180" s="13">
        <f t="shared" si="71"/>
        <v>6808.72</v>
      </c>
      <c r="P180" s="13">
        <f t="shared" si="72"/>
        <v>47.282777777777774</v>
      </c>
      <c r="Q180" s="13">
        <f t="shared" si="73"/>
        <v>567.39333333333332</v>
      </c>
      <c r="R180" s="13">
        <v>567.39333333333332</v>
      </c>
      <c r="S180" s="13">
        <f t="shared" si="74"/>
        <v>567.39333333333332</v>
      </c>
      <c r="T180" s="13">
        <f t="shared" si="75"/>
        <v>1134.7866666666666</v>
      </c>
      <c r="U180" s="13">
        <f t="shared" si="76"/>
        <v>1702.1799999999998</v>
      </c>
      <c r="V180" s="13">
        <v>6241.3266666666668</v>
      </c>
      <c r="W180" s="13">
        <f t="shared" si="66"/>
        <v>5106.5400000000009</v>
      </c>
      <c r="X180" s="115">
        <f>S180</f>
        <v>567.39333333333332</v>
      </c>
      <c r="Y180" s="116">
        <f>W180</f>
        <v>5106.5400000000009</v>
      </c>
      <c r="Z180" s="116">
        <f t="shared" si="67"/>
        <v>0</v>
      </c>
      <c r="AA180" s="116">
        <f t="shared" si="68"/>
        <v>-1134.786666666666</v>
      </c>
      <c r="AB180" s="117">
        <f>'Ratios (C)'!$C$27</f>
        <v>0.72727998160891272</v>
      </c>
      <c r="AC180" s="116">
        <f t="shared" si="64"/>
        <v>412.65381303168635</v>
      </c>
      <c r="AD180" s="116">
        <f t="shared" si="65"/>
        <v>3713.884317285178</v>
      </c>
      <c r="AE180" s="118"/>
      <c r="AF180" s="119"/>
      <c r="AG180" s="120"/>
      <c r="AH180" s="118"/>
      <c r="AI180" s="119"/>
      <c r="AJ180" s="121"/>
    </row>
    <row r="181" spans="1:36" s="9" customFormat="1">
      <c r="B181" s="9">
        <f>36+54</f>
        <v>90</v>
      </c>
      <c r="C181" s="9" t="s">
        <v>488</v>
      </c>
      <c r="E181" s="9" t="s">
        <v>489</v>
      </c>
      <c r="G181" s="9">
        <v>2019</v>
      </c>
      <c r="H181" s="9">
        <v>10</v>
      </c>
      <c r="I181" s="9">
        <v>0</v>
      </c>
      <c r="J181" s="9" t="s">
        <v>78</v>
      </c>
      <c r="K181" s="158">
        <v>12</v>
      </c>
      <c r="L181" s="9">
        <f t="shared" si="69"/>
        <v>2031</v>
      </c>
      <c r="M181" s="127">
        <f t="shared" si="70"/>
        <v>2031.8333333333333</v>
      </c>
      <c r="N181" s="13">
        <f>34652.76+23490.76</f>
        <v>58143.520000000004</v>
      </c>
      <c r="O181" s="13">
        <f t="shared" si="71"/>
        <v>58143.520000000004</v>
      </c>
      <c r="P181" s="13">
        <f t="shared" si="72"/>
        <v>403.7744444444445</v>
      </c>
      <c r="Q181" s="13">
        <f t="shared" si="73"/>
        <v>4845.293333333334</v>
      </c>
      <c r="R181" s="13">
        <v>4845.293333333334</v>
      </c>
      <c r="S181" s="13">
        <f t="shared" si="74"/>
        <v>4845.293333333334</v>
      </c>
      <c r="T181" s="13">
        <f t="shared" si="75"/>
        <v>9690.586666666668</v>
      </c>
      <c r="U181" s="13">
        <f t="shared" si="76"/>
        <v>14535.880000000001</v>
      </c>
      <c r="V181" s="13">
        <v>53298.226666666669</v>
      </c>
      <c r="W181" s="13">
        <f t="shared" si="66"/>
        <v>43607.64</v>
      </c>
      <c r="X181" s="115">
        <f t="shared" si="62"/>
        <v>4845.293333333334</v>
      </c>
      <c r="Y181" s="116">
        <f t="shared" si="63"/>
        <v>43607.64</v>
      </c>
      <c r="Z181" s="116">
        <f t="shared" si="67"/>
        <v>0</v>
      </c>
      <c r="AA181" s="116">
        <f t="shared" si="68"/>
        <v>-9690.5866666666698</v>
      </c>
      <c r="AB181" s="117">
        <f>'Ratios (C)'!$C$27</f>
        <v>0.72727998160891272</v>
      </c>
      <c r="AC181" s="116">
        <f t="shared" si="64"/>
        <v>3523.8848463564545</v>
      </c>
      <c r="AD181" s="116">
        <f t="shared" si="65"/>
        <v>31714.963617208086</v>
      </c>
      <c r="AE181" s="118"/>
      <c r="AF181" s="119"/>
      <c r="AG181" s="120"/>
      <c r="AH181" s="118"/>
      <c r="AI181" s="119"/>
      <c r="AJ181" s="121"/>
    </row>
    <row r="182" spans="1:36" s="181" customFormat="1">
      <c r="A182" s="9"/>
      <c r="B182" s="9">
        <v>4</v>
      </c>
      <c r="C182" s="9" t="s">
        <v>1374</v>
      </c>
      <c r="D182" s="9"/>
      <c r="E182" s="9">
        <v>259131</v>
      </c>
      <c r="F182" s="9"/>
      <c r="G182" s="9">
        <v>2021</v>
      </c>
      <c r="H182" s="9">
        <v>7</v>
      </c>
      <c r="I182" s="9">
        <v>0</v>
      </c>
      <c r="J182" s="9" t="s">
        <v>78</v>
      </c>
      <c r="K182" s="158">
        <v>12</v>
      </c>
      <c r="L182" s="9">
        <f t="shared" si="69"/>
        <v>2033</v>
      </c>
      <c r="M182" s="127">
        <f t="shared" si="70"/>
        <v>2033.5833333333333</v>
      </c>
      <c r="N182" s="13">
        <v>6151.95</v>
      </c>
      <c r="O182" s="13">
        <f t="shared" ref="O182:O192" si="77">N182-N182*I182</f>
        <v>6151.95</v>
      </c>
      <c r="P182" s="13">
        <f t="shared" ref="P182:P192" si="78">O182/K182/12</f>
        <v>42.721875000000004</v>
      </c>
      <c r="Q182" s="13">
        <f t="shared" ref="Q182:Q192" si="79">P182*12</f>
        <v>512.66250000000002</v>
      </c>
      <c r="R182" s="13">
        <v>4846.2933333333303</v>
      </c>
      <c r="S182" s="13">
        <f t="shared" ref="S182:S192" si="80">+IF(M182&lt;=$O$5,0,IF(L182&gt;$O$4,Q182,(P182*H182)))</f>
        <v>512.66250000000002</v>
      </c>
      <c r="T182" s="13">
        <f t="shared" ref="T182:T192" si="81">+IF(S182=0,N182,IF($O$3-G182&lt;1,0,(($O$3-G182)*Q182)))</f>
        <v>0</v>
      </c>
      <c r="U182" s="13">
        <f t="shared" ref="U182:U192" si="82">+IF(S182=0,T182,T182+S182)</f>
        <v>512.66250000000002</v>
      </c>
      <c r="V182" s="13">
        <v>53299.226666666698</v>
      </c>
      <c r="W182" s="13">
        <f t="shared" ref="W182:W192" si="83">+N182-U182</f>
        <v>5639.2874999999995</v>
      </c>
      <c r="X182" s="182">
        <f t="shared" ref="X182:X192" si="84">S182</f>
        <v>512.66250000000002</v>
      </c>
      <c r="Y182" s="183">
        <f t="shared" ref="Y182:Y192" si="85">W182</f>
        <v>5639.2874999999995</v>
      </c>
      <c r="Z182" s="183">
        <f t="shared" ref="Z182:Z192" si="86">X182-R182</f>
        <v>-4333.63083333333</v>
      </c>
      <c r="AA182" s="183">
        <f t="shared" ref="AA182:AA192" si="87">Y182-V182</f>
        <v>-47659.9391666667</v>
      </c>
      <c r="AB182" s="184">
        <f>'Ratios (C)'!$C$27</f>
        <v>0.72727998160891272</v>
      </c>
      <c r="AC182" s="183">
        <f t="shared" ref="AC182:AC192" si="88">X182*AB182</f>
        <v>372.84917357157923</v>
      </c>
      <c r="AD182" s="183">
        <f t="shared" ref="AD182:AD192" si="89">Y182*AB182</f>
        <v>4101.3409092873708</v>
      </c>
      <c r="AE182" s="187"/>
      <c r="AF182" s="187"/>
      <c r="AG182" s="187"/>
      <c r="AH182" s="187"/>
      <c r="AI182" s="187"/>
      <c r="AJ182" s="187"/>
    </row>
    <row r="183" spans="1:36" s="181" customFormat="1">
      <c r="A183" s="9"/>
      <c r="B183" s="9">
        <v>4</v>
      </c>
      <c r="C183" s="9" t="s">
        <v>528</v>
      </c>
      <c r="D183" s="9"/>
      <c r="E183" s="9">
        <v>259130</v>
      </c>
      <c r="F183" s="9"/>
      <c r="G183" s="9">
        <v>2021</v>
      </c>
      <c r="H183" s="9">
        <v>7</v>
      </c>
      <c r="I183" s="9">
        <v>0</v>
      </c>
      <c r="J183" s="9" t="s">
        <v>78</v>
      </c>
      <c r="K183" s="158">
        <v>12</v>
      </c>
      <c r="L183" s="9">
        <f t="shared" si="69"/>
        <v>2033</v>
      </c>
      <c r="M183" s="127">
        <f t="shared" si="70"/>
        <v>2033.5833333333333</v>
      </c>
      <c r="N183" s="13">
        <v>6151.95</v>
      </c>
      <c r="O183" s="13">
        <f t="shared" si="77"/>
        <v>6151.95</v>
      </c>
      <c r="P183" s="13">
        <f t="shared" si="78"/>
        <v>42.721875000000004</v>
      </c>
      <c r="Q183" s="13">
        <f t="shared" si="79"/>
        <v>512.66250000000002</v>
      </c>
      <c r="R183" s="13">
        <v>4847.2933333333303</v>
      </c>
      <c r="S183" s="13">
        <f t="shared" si="80"/>
        <v>512.66250000000002</v>
      </c>
      <c r="T183" s="13">
        <f t="shared" si="81"/>
        <v>0</v>
      </c>
      <c r="U183" s="13">
        <f t="shared" si="82"/>
        <v>512.66250000000002</v>
      </c>
      <c r="V183" s="13">
        <v>53300.226666666698</v>
      </c>
      <c r="W183" s="13">
        <f t="shared" si="83"/>
        <v>5639.2874999999995</v>
      </c>
      <c r="X183" s="182">
        <f t="shared" si="84"/>
        <v>512.66250000000002</v>
      </c>
      <c r="Y183" s="183">
        <f t="shared" si="85"/>
        <v>5639.2874999999995</v>
      </c>
      <c r="Z183" s="183">
        <f t="shared" si="86"/>
        <v>-4334.63083333333</v>
      </c>
      <c r="AA183" s="183">
        <f t="shared" si="87"/>
        <v>-47660.9391666667</v>
      </c>
      <c r="AB183" s="184">
        <f>'Ratios (C)'!$C$27</f>
        <v>0.72727998160891272</v>
      </c>
      <c r="AC183" s="183">
        <f t="shared" si="88"/>
        <v>372.84917357157923</v>
      </c>
      <c r="AD183" s="183">
        <f t="shared" si="89"/>
        <v>4101.3409092873708</v>
      </c>
      <c r="AE183" s="187"/>
      <c r="AF183" s="187"/>
      <c r="AG183" s="187"/>
      <c r="AH183" s="187"/>
      <c r="AI183" s="187"/>
      <c r="AJ183" s="187"/>
    </row>
    <row r="184" spans="1:36" s="181" customFormat="1">
      <c r="A184" s="9"/>
      <c r="B184" s="9">
        <v>4</v>
      </c>
      <c r="C184" s="9" t="s">
        <v>528</v>
      </c>
      <c r="D184" s="9"/>
      <c r="E184" s="9">
        <v>259129</v>
      </c>
      <c r="F184" s="9"/>
      <c r="G184" s="9">
        <v>2021</v>
      </c>
      <c r="H184" s="9">
        <v>7</v>
      </c>
      <c r="I184" s="9">
        <v>0</v>
      </c>
      <c r="J184" s="9" t="s">
        <v>78</v>
      </c>
      <c r="K184" s="158">
        <v>12</v>
      </c>
      <c r="L184" s="9">
        <f t="shared" ref="L184:L192" si="90">G184+K184</f>
        <v>2033</v>
      </c>
      <c r="M184" s="127">
        <f t="shared" ref="M184:M192" si="91">+L184+(H184/12)</f>
        <v>2033.5833333333333</v>
      </c>
      <c r="N184" s="13">
        <v>6151.95</v>
      </c>
      <c r="O184" s="13">
        <f t="shared" si="77"/>
        <v>6151.95</v>
      </c>
      <c r="P184" s="13">
        <f t="shared" si="78"/>
        <v>42.721875000000004</v>
      </c>
      <c r="Q184" s="13">
        <f t="shared" si="79"/>
        <v>512.66250000000002</v>
      </c>
      <c r="R184" s="13">
        <v>4848.2933333333303</v>
      </c>
      <c r="S184" s="13">
        <f t="shared" si="80"/>
        <v>512.66250000000002</v>
      </c>
      <c r="T184" s="13">
        <f t="shared" si="81"/>
        <v>0</v>
      </c>
      <c r="U184" s="13">
        <f t="shared" si="82"/>
        <v>512.66250000000002</v>
      </c>
      <c r="V184" s="13">
        <v>53301.226666666698</v>
      </c>
      <c r="W184" s="13">
        <f t="shared" si="83"/>
        <v>5639.2874999999995</v>
      </c>
      <c r="X184" s="182">
        <f t="shared" si="84"/>
        <v>512.66250000000002</v>
      </c>
      <c r="Y184" s="183">
        <f t="shared" si="85"/>
        <v>5639.2874999999995</v>
      </c>
      <c r="Z184" s="183">
        <f t="shared" si="86"/>
        <v>-4335.63083333333</v>
      </c>
      <c r="AA184" s="183">
        <f t="shared" si="87"/>
        <v>-47661.9391666667</v>
      </c>
      <c r="AB184" s="184">
        <f>'Ratios (C)'!$C$27</f>
        <v>0.72727998160891272</v>
      </c>
      <c r="AC184" s="183">
        <f t="shared" si="88"/>
        <v>372.84917357157923</v>
      </c>
      <c r="AD184" s="183">
        <f t="shared" si="89"/>
        <v>4101.3409092873708</v>
      </c>
      <c r="AE184" s="187"/>
      <c r="AF184" s="187"/>
      <c r="AG184" s="187"/>
      <c r="AH184" s="187"/>
      <c r="AI184" s="187"/>
      <c r="AJ184" s="187"/>
    </row>
    <row r="185" spans="1:36" s="181" customFormat="1">
      <c r="A185" s="9"/>
      <c r="B185" s="9">
        <v>4</v>
      </c>
      <c r="C185" s="9" t="s">
        <v>528</v>
      </c>
      <c r="D185" s="9"/>
      <c r="E185" s="9">
        <v>259128</v>
      </c>
      <c r="F185" s="9"/>
      <c r="G185" s="9">
        <v>2021</v>
      </c>
      <c r="H185" s="9">
        <v>7</v>
      </c>
      <c r="I185" s="9">
        <v>0</v>
      </c>
      <c r="J185" s="9" t="s">
        <v>78</v>
      </c>
      <c r="K185" s="158">
        <v>12</v>
      </c>
      <c r="L185" s="9">
        <f t="shared" si="90"/>
        <v>2033</v>
      </c>
      <c r="M185" s="127">
        <f t="shared" si="91"/>
        <v>2033.5833333333333</v>
      </c>
      <c r="N185" s="13">
        <v>6151.95</v>
      </c>
      <c r="O185" s="13">
        <f t="shared" si="77"/>
        <v>6151.95</v>
      </c>
      <c r="P185" s="13">
        <f t="shared" si="78"/>
        <v>42.721875000000004</v>
      </c>
      <c r="Q185" s="13">
        <f t="shared" si="79"/>
        <v>512.66250000000002</v>
      </c>
      <c r="R185" s="13">
        <v>4849.2933333333303</v>
      </c>
      <c r="S185" s="13">
        <f t="shared" si="80"/>
        <v>512.66250000000002</v>
      </c>
      <c r="T185" s="13">
        <f t="shared" si="81"/>
        <v>0</v>
      </c>
      <c r="U185" s="13">
        <f t="shared" si="82"/>
        <v>512.66250000000002</v>
      </c>
      <c r="V185" s="13">
        <v>53302.226666666698</v>
      </c>
      <c r="W185" s="13">
        <f t="shared" si="83"/>
        <v>5639.2874999999995</v>
      </c>
      <c r="X185" s="182">
        <f t="shared" si="84"/>
        <v>512.66250000000002</v>
      </c>
      <c r="Y185" s="183">
        <f t="shared" si="85"/>
        <v>5639.2874999999995</v>
      </c>
      <c r="Z185" s="183">
        <f t="shared" si="86"/>
        <v>-4336.63083333333</v>
      </c>
      <c r="AA185" s="183">
        <f t="shared" si="87"/>
        <v>-47662.9391666667</v>
      </c>
      <c r="AB185" s="184">
        <f>'Ratios (C)'!$C$27</f>
        <v>0.72727998160891272</v>
      </c>
      <c r="AC185" s="183">
        <f t="shared" si="88"/>
        <v>372.84917357157923</v>
      </c>
      <c r="AD185" s="183">
        <f t="shared" si="89"/>
        <v>4101.3409092873708</v>
      </c>
      <c r="AE185" s="187"/>
      <c r="AF185" s="187"/>
      <c r="AG185" s="187"/>
      <c r="AH185" s="187"/>
      <c r="AI185" s="187"/>
      <c r="AJ185" s="187"/>
    </row>
    <row r="186" spans="1:36" s="181" customFormat="1">
      <c r="A186" s="9"/>
      <c r="B186" s="9">
        <v>4</v>
      </c>
      <c r="C186" s="9" t="s">
        <v>528</v>
      </c>
      <c r="D186" s="9"/>
      <c r="E186" s="9">
        <v>259127</v>
      </c>
      <c r="F186" s="9"/>
      <c r="G186" s="9">
        <v>2021</v>
      </c>
      <c r="H186" s="9">
        <v>7</v>
      </c>
      <c r="I186" s="9">
        <v>0</v>
      </c>
      <c r="J186" s="9" t="s">
        <v>78</v>
      </c>
      <c r="K186" s="158">
        <v>12</v>
      </c>
      <c r="L186" s="9">
        <f t="shared" si="90"/>
        <v>2033</v>
      </c>
      <c r="M186" s="127">
        <f t="shared" si="91"/>
        <v>2033.5833333333333</v>
      </c>
      <c r="N186" s="13">
        <v>6151.95</v>
      </c>
      <c r="O186" s="13">
        <f t="shared" si="77"/>
        <v>6151.95</v>
      </c>
      <c r="P186" s="13">
        <f t="shared" si="78"/>
        <v>42.721875000000004</v>
      </c>
      <c r="Q186" s="13">
        <f t="shared" si="79"/>
        <v>512.66250000000002</v>
      </c>
      <c r="R186" s="13">
        <v>4850.2933333333303</v>
      </c>
      <c r="S186" s="13">
        <f t="shared" si="80"/>
        <v>512.66250000000002</v>
      </c>
      <c r="T186" s="13">
        <f t="shared" si="81"/>
        <v>0</v>
      </c>
      <c r="U186" s="13">
        <f t="shared" si="82"/>
        <v>512.66250000000002</v>
      </c>
      <c r="V186" s="13">
        <v>53303.226666666698</v>
      </c>
      <c r="W186" s="13">
        <f t="shared" si="83"/>
        <v>5639.2874999999995</v>
      </c>
      <c r="X186" s="182">
        <f t="shared" si="84"/>
        <v>512.66250000000002</v>
      </c>
      <c r="Y186" s="183">
        <f t="shared" si="85"/>
        <v>5639.2874999999995</v>
      </c>
      <c r="Z186" s="183">
        <f t="shared" si="86"/>
        <v>-4337.63083333333</v>
      </c>
      <c r="AA186" s="183">
        <f t="shared" si="87"/>
        <v>-47663.9391666667</v>
      </c>
      <c r="AB186" s="184">
        <f>'Ratios (C)'!$C$27</f>
        <v>0.72727998160891272</v>
      </c>
      <c r="AC186" s="183">
        <f t="shared" si="88"/>
        <v>372.84917357157923</v>
      </c>
      <c r="AD186" s="183">
        <f t="shared" si="89"/>
        <v>4101.3409092873708</v>
      </c>
      <c r="AE186" s="187"/>
      <c r="AF186" s="187"/>
      <c r="AG186" s="187"/>
      <c r="AH186" s="187"/>
      <c r="AI186" s="187"/>
      <c r="AJ186" s="187"/>
    </row>
    <row r="187" spans="1:36" s="181" customFormat="1">
      <c r="A187" s="9"/>
      <c r="B187" s="9">
        <v>2</v>
      </c>
      <c r="C187" s="9" t="s">
        <v>528</v>
      </c>
      <c r="D187" s="9"/>
      <c r="E187" s="9">
        <v>259126</v>
      </c>
      <c r="F187" s="9"/>
      <c r="G187" s="9">
        <v>2021</v>
      </c>
      <c r="H187" s="9">
        <v>7</v>
      </c>
      <c r="I187" s="9">
        <v>0</v>
      </c>
      <c r="J187" s="9" t="s">
        <v>78</v>
      </c>
      <c r="K187" s="158">
        <v>12</v>
      </c>
      <c r="L187" s="9">
        <f t="shared" si="90"/>
        <v>2033</v>
      </c>
      <c r="M187" s="127">
        <f t="shared" si="91"/>
        <v>2033.5833333333333</v>
      </c>
      <c r="N187" s="13">
        <v>3052.26</v>
      </c>
      <c r="O187" s="13">
        <f t="shared" si="77"/>
        <v>3052.26</v>
      </c>
      <c r="P187" s="13">
        <f t="shared" si="78"/>
        <v>21.196250000000003</v>
      </c>
      <c r="Q187" s="13">
        <f t="shared" si="79"/>
        <v>254.35500000000002</v>
      </c>
      <c r="R187" s="13">
        <v>4851.2933333333303</v>
      </c>
      <c r="S187" s="13">
        <f t="shared" si="80"/>
        <v>254.35500000000002</v>
      </c>
      <c r="T187" s="13">
        <f t="shared" si="81"/>
        <v>0</v>
      </c>
      <c r="U187" s="13">
        <f t="shared" si="82"/>
        <v>254.35500000000002</v>
      </c>
      <c r="V187" s="13">
        <v>53304.226666666698</v>
      </c>
      <c r="W187" s="13">
        <f t="shared" si="83"/>
        <v>2797.9050000000002</v>
      </c>
      <c r="X187" s="182">
        <f t="shared" si="84"/>
        <v>254.35500000000002</v>
      </c>
      <c r="Y187" s="183">
        <f t="shared" si="85"/>
        <v>2797.9050000000002</v>
      </c>
      <c r="Z187" s="183">
        <f t="shared" si="86"/>
        <v>-4596.9383333333299</v>
      </c>
      <c r="AA187" s="183">
        <f t="shared" si="87"/>
        <v>-50506.321666666699</v>
      </c>
      <c r="AB187" s="184">
        <f>'Ratios (C)'!$C$27</f>
        <v>0.72727998160891272</v>
      </c>
      <c r="AC187" s="183">
        <f t="shared" si="88"/>
        <v>184.98729972213502</v>
      </c>
      <c r="AD187" s="183">
        <f t="shared" si="89"/>
        <v>2034.8602969434851</v>
      </c>
      <c r="AE187" s="187"/>
      <c r="AF187" s="187"/>
      <c r="AG187" s="187"/>
      <c r="AH187" s="187"/>
      <c r="AI187" s="187"/>
      <c r="AJ187" s="187"/>
    </row>
    <row r="188" spans="1:36" s="181" customFormat="1">
      <c r="A188" s="9"/>
      <c r="B188" s="9">
        <v>36</v>
      </c>
      <c r="C188" s="9" t="s">
        <v>1375</v>
      </c>
      <c r="D188" s="9"/>
      <c r="E188" s="9">
        <v>247911</v>
      </c>
      <c r="F188" s="9"/>
      <c r="G188" s="9">
        <v>2021</v>
      </c>
      <c r="H188" s="9">
        <v>2</v>
      </c>
      <c r="I188" s="9">
        <v>0</v>
      </c>
      <c r="J188" s="9" t="s">
        <v>78</v>
      </c>
      <c r="K188" s="158">
        <v>12</v>
      </c>
      <c r="L188" s="9">
        <f t="shared" si="90"/>
        <v>2033</v>
      </c>
      <c r="M188" s="127">
        <f t="shared" si="91"/>
        <v>2033.1666666666667</v>
      </c>
      <c r="N188" s="13">
        <v>34292.36</v>
      </c>
      <c r="O188" s="13">
        <f t="shared" si="77"/>
        <v>34292.36</v>
      </c>
      <c r="P188" s="13">
        <f t="shared" si="78"/>
        <v>238.14138888888888</v>
      </c>
      <c r="Q188" s="13">
        <f t="shared" si="79"/>
        <v>2857.6966666666667</v>
      </c>
      <c r="R188" s="13">
        <v>4852.2933333333303</v>
      </c>
      <c r="S188" s="13">
        <f t="shared" si="80"/>
        <v>2857.6966666666667</v>
      </c>
      <c r="T188" s="13">
        <f t="shared" si="81"/>
        <v>0</v>
      </c>
      <c r="U188" s="13">
        <f t="shared" si="82"/>
        <v>2857.6966666666667</v>
      </c>
      <c r="V188" s="13">
        <v>53305.226666666698</v>
      </c>
      <c r="W188" s="13">
        <f t="shared" si="83"/>
        <v>31434.663333333334</v>
      </c>
      <c r="X188" s="182">
        <f t="shared" si="84"/>
        <v>2857.6966666666667</v>
      </c>
      <c r="Y188" s="183">
        <f t="shared" si="85"/>
        <v>31434.663333333334</v>
      </c>
      <c r="Z188" s="183">
        <f t="shared" si="86"/>
        <v>-1994.5966666666636</v>
      </c>
      <c r="AA188" s="183">
        <f t="shared" si="87"/>
        <v>-21870.563333333364</v>
      </c>
      <c r="AB188" s="184">
        <f>'Ratios (C)'!$C$27</f>
        <v>0.72727998160891272</v>
      </c>
      <c r="AC188" s="183">
        <f t="shared" si="88"/>
        <v>2078.3455791771844</v>
      </c>
      <c r="AD188" s="183">
        <f t="shared" si="89"/>
        <v>22861.80137094903</v>
      </c>
      <c r="AE188" s="187"/>
      <c r="AF188" s="187"/>
      <c r="AG188" s="187"/>
      <c r="AH188" s="187"/>
      <c r="AI188" s="187"/>
      <c r="AJ188" s="187"/>
    </row>
    <row r="189" spans="1:36" s="181" customFormat="1">
      <c r="A189" s="9"/>
      <c r="B189" s="9">
        <v>36</v>
      </c>
      <c r="C189" s="9" t="s">
        <v>1376</v>
      </c>
      <c r="D189" s="9"/>
      <c r="E189" s="9">
        <v>247910</v>
      </c>
      <c r="F189" s="9"/>
      <c r="G189" s="9">
        <v>2021</v>
      </c>
      <c r="H189" s="9">
        <v>2</v>
      </c>
      <c r="I189" s="9">
        <v>0</v>
      </c>
      <c r="J189" s="9" t="s">
        <v>78</v>
      </c>
      <c r="K189" s="158">
        <v>12</v>
      </c>
      <c r="L189" s="9">
        <f t="shared" si="90"/>
        <v>2033</v>
      </c>
      <c r="M189" s="127">
        <f t="shared" si="91"/>
        <v>2033.1666666666667</v>
      </c>
      <c r="N189" s="13">
        <v>27960</v>
      </c>
      <c r="O189" s="13">
        <f t="shared" si="77"/>
        <v>27960</v>
      </c>
      <c r="P189" s="13">
        <f t="shared" si="78"/>
        <v>194.16666666666666</v>
      </c>
      <c r="Q189" s="13">
        <f t="shared" si="79"/>
        <v>2330</v>
      </c>
      <c r="R189" s="13">
        <v>4853.2933333333303</v>
      </c>
      <c r="S189" s="13">
        <f t="shared" si="80"/>
        <v>2330</v>
      </c>
      <c r="T189" s="13">
        <f t="shared" si="81"/>
        <v>0</v>
      </c>
      <c r="U189" s="13">
        <f t="shared" si="82"/>
        <v>2330</v>
      </c>
      <c r="V189" s="13">
        <v>53306.226666666698</v>
      </c>
      <c r="W189" s="13">
        <f t="shared" si="83"/>
        <v>25630</v>
      </c>
      <c r="X189" s="182">
        <f t="shared" si="84"/>
        <v>2330</v>
      </c>
      <c r="Y189" s="183">
        <f t="shared" si="85"/>
        <v>25630</v>
      </c>
      <c r="Z189" s="183">
        <f t="shared" si="86"/>
        <v>-2523.2933333333303</v>
      </c>
      <c r="AA189" s="183">
        <f t="shared" si="87"/>
        <v>-27676.226666666698</v>
      </c>
      <c r="AB189" s="184">
        <f>'Ratios (C)'!$C$27</f>
        <v>0.72727998160891272</v>
      </c>
      <c r="AC189" s="183">
        <f t="shared" si="88"/>
        <v>1694.5623571487665</v>
      </c>
      <c r="AD189" s="183">
        <f t="shared" si="89"/>
        <v>18640.185928636434</v>
      </c>
      <c r="AE189" s="187"/>
      <c r="AF189" s="187"/>
      <c r="AG189" s="187"/>
      <c r="AH189" s="187"/>
      <c r="AI189" s="187"/>
      <c r="AJ189" s="187"/>
    </row>
    <row r="190" spans="1:36" s="181" customFormat="1">
      <c r="A190" s="9"/>
      <c r="B190" s="9">
        <v>36</v>
      </c>
      <c r="C190" s="9" t="s">
        <v>1377</v>
      </c>
      <c r="D190" s="9"/>
      <c r="E190" s="9">
        <v>247909</v>
      </c>
      <c r="F190" s="9"/>
      <c r="G190" s="9">
        <v>2021</v>
      </c>
      <c r="H190" s="9">
        <v>2</v>
      </c>
      <c r="I190" s="9">
        <v>0</v>
      </c>
      <c r="J190" s="9" t="s">
        <v>78</v>
      </c>
      <c r="K190" s="158">
        <v>12</v>
      </c>
      <c r="L190" s="9">
        <f t="shared" si="90"/>
        <v>2033</v>
      </c>
      <c r="M190" s="127">
        <f t="shared" si="91"/>
        <v>2033.1666666666667</v>
      </c>
      <c r="N190" s="13">
        <v>25205</v>
      </c>
      <c r="O190" s="13">
        <f t="shared" si="77"/>
        <v>25205</v>
      </c>
      <c r="P190" s="13">
        <f t="shared" si="78"/>
        <v>175.0347222222222</v>
      </c>
      <c r="Q190" s="13">
        <f t="shared" si="79"/>
        <v>2100.4166666666665</v>
      </c>
      <c r="R190" s="13">
        <v>4854.2933333333303</v>
      </c>
      <c r="S190" s="13">
        <f t="shared" si="80"/>
        <v>2100.4166666666665</v>
      </c>
      <c r="T190" s="13">
        <f t="shared" si="81"/>
        <v>0</v>
      </c>
      <c r="U190" s="13">
        <f t="shared" si="82"/>
        <v>2100.4166666666665</v>
      </c>
      <c r="V190" s="13">
        <v>53307.226666666698</v>
      </c>
      <c r="W190" s="13">
        <f t="shared" si="83"/>
        <v>23104.583333333332</v>
      </c>
      <c r="X190" s="182">
        <f t="shared" si="84"/>
        <v>2100.4166666666665</v>
      </c>
      <c r="Y190" s="183">
        <f t="shared" si="85"/>
        <v>23104.583333333332</v>
      </c>
      <c r="Z190" s="183">
        <f t="shared" si="86"/>
        <v>-2753.8766666666638</v>
      </c>
      <c r="AA190" s="183">
        <f t="shared" si="87"/>
        <v>-30202.643333333366</v>
      </c>
      <c r="AB190" s="184">
        <f>'Ratios (C)'!$C$27</f>
        <v>0.72727998160891272</v>
      </c>
      <c r="AC190" s="183">
        <f t="shared" si="88"/>
        <v>1527.590994704387</v>
      </c>
      <c r="AD190" s="183">
        <f t="shared" si="89"/>
        <v>16803.500941748258</v>
      </c>
      <c r="AE190" s="187"/>
      <c r="AF190" s="187"/>
      <c r="AG190" s="187"/>
      <c r="AH190" s="187"/>
      <c r="AI190" s="187"/>
      <c r="AJ190" s="187"/>
    </row>
    <row r="191" spans="1:36" s="181" customFormat="1">
      <c r="A191" s="9"/>
      <c r="B191" s="9">
        <v>60</v>
      </c>
      <c r="C191" s="9" t="s">
        <v>1378</v>
      </c>
      <c r="D191" s="9"/>
      <c r="E191" s="9">
        <v>247908</v>
      </c>
      <c r="F191" s="9"/>
      <c r="G191" s="9">
        <v>2021</v>
      </c>
      <c r="H191" s="9">
        <v>2</v>
      </c>
      <c r="I191" s="9">
        <v>0</v>
      </c>
      <c r="J191" s="9" t="s">
        <v>78</v>
      </c>
      <c r="K191" s="158">
        <v>12</v>
      </c>
      <c r="L191" s="9">
        <f t="shared" si="90"/>
        <v>2033</v>
      </c>
      <c r="M191" s="127">
        <f t="shared" si="91"/>
        <v>2033.1666666666667</v>
      </c>
      <c r="N191" s="13">
        <v>37615</v>
      </c>
      <c r="O191" s="13">
        <f t="shared" si="77"/>
        <v>37615</v>
      </c>
      <c r="P191" s="13">
        <f t="shared" si="78"/>
        <v>261.21527777777777</v>
      </c>
      <c r="Q191" s="13">
        <f t="shared" si="79"/>
        <v>3134.583333333333</v>
      </c>
      <c r="R191" s="13">
        <v>4855.2933333333303</v>
      </c>
      <c r="S191" s="13">
        <f t="shared" si="80"/>
        <v>3134.583333333333</v>
      </c>
      <c r="T191" s="13">
        <f t="shared" si="81"/>
        <v>0</v>
      </c>
      <c r="U191" s="13">
        <f t="shared" si="82"/>
        <v>3134.583333333333</v>
      </c>
      <c r="V191" s="13">
        <v>53308.226666666698</v>
      </c>
      <c r="W191" s="13">
        <f t="shared" si="83"/>
        <v>34480.416666666664</v>
      </c>
      <c r="X191" s="182">
        <f t="shared" si="84"/>
        <v>3134.583333333333</v>
      </c>
      <c r="Y191" s="183">
        <f t="shared" si="85"/>
        <v>34480.416666666664</v>
      </c>
      <c r="Z191" s="183">
        <f t="shared" si="86"/>
        <v>-1720.7099999999973</v>
      </c>
      <c r="AA191" s="183">
        <f t="shared" si="87"/>
        <v>-18827.810000000034</v>
      </c>
      <c r="AB191" s="184">
        <f>'Ratios (C)'!$C$27</f>
        <v>0.72727998160891272</v>
      </c>
      <c r="AC191" s="183">
        <f t="shared" si="88"/>
        <v>2279.7197090182708</v>
      </c>
      <c r="AD191" s="183">
        <f t="shared" si="89"/>
        <v>25076.916799200979</v>
      </c>
      <c r="AE191" s="187"/>
      <c r="AF191" s="187"/>
      <c r="AG191" s="187"/>
      <c r="AH191" s="187"/>
      <c r="AI191" s="187"/>
      <c r="AJ191" s="187"/>
    </row>
    <row r="192" spans="1:36" s="181" customFormat="1">
      <c r="A192" s="9"/>
      <c r="B192" s="9">
        <v>24</v>
      </c>
      <c r="C192" s="9" t="s">
        <v>1379</v>
      </c>
      <c r="D192" s="9"/>
      <c r="E192" s="9">
        <v>247907</v>
      </c>
      <c r="F192" s="9"/>
      <c r="G192" s="9">
        <v>2021</v>
      </c>
      <c r="H192" s="9">
        <v>2</v>
      </c>
      <c r="I192" s="9">
        <v>0</v>
      </c>
      <c r="J192" s="9" t="s">
        <v>78</v>
      </c>
      <c r="K192" s="158">
        <v>12</v>
      </c>
      <c r="L192" s="9">
        <f t="shared" si="90"/>
        <v>2033</v>
      </c>
      <c r="M192" s="127">
        <f t="shared" si="91"/>
        <v>2033.1666666666667</v>
      </c>
      <c r="N192" s="13">
        <v>13026</v>
      </c>
      <c r="O192" s="13">
        <f t="shared" si="77"/>
        <v>13026</v>
      </c>
      <c r="P192" s="13">
        <f t="shared" si="78"/>
        <v>90.458333333333329</v>
      </c>
      <c r="Q192" s="13">
        <f t="shared" si="79"/>
        <v>1085.5</v>
      </c>
      <c r="R192" s="13">
        <v>4856.2933333333303</v>
      </c>
      <c r="S192" s="13">
        <f t="shared" si="80"/>
        <v>1085.5</v>
      </c>
      <c r="T192" s="13">
        <f t="shared" si="81"/>
        <v>0</v>
      </c>
      <c r="U192" s="13">
        <f t="shared" si="82"/>
        <v>1085.5</v>
      </c>
      <c r="V192" s="13">
        <v>53309.226666666698</v>
      </c>
      <c r="W192" s="13">
        <f t="shared" si="83"/>
        <v>11940.5</v>
      </c>
      <c r="X192" s="182">
        <f t="shared" si="84"/>
        <v>1085.5</v>
      </c>
      <c r="Y192" s="183">
        <f t="shared" si="85"/>
        <v>11940.5</v>
      </c>
      <c r="Z192" s="183">
        <f t="shared" si="86"/>
        <v>-3770.7933333333303</v>
      </c>
      <c r="AA192" s="183">
        <f t="shared" si="87"/>
        <v>-41368.726666666698</v>
      </c>
      <c r="AB192" s="184">
        <f>'Ratios (C)'!$C$27</f>
        <v>0.72727998160891272</v>
      </c>
      <c r="AC192" s="183">
        <f t="shared" si="88"/>
        <v>789.46242003647478</v>
      </c>
      <c r="AD192" s="183">
        <f t="shared" si="89"/>
        <v>8684.0866204012218</v>
      </c>
      <c r="AE192" s="187"/>
      <c r="AF192" s="187"/>
      <c r="AG192" s="187"/>
      <c r="AH192" s="187"/>
      <c r="AI192" s="187"/>
      <c r="AJ192" s="187"/>
    </row>
    <row r="193" spans="1:36" s="9" customFormat="1">
      <c r="K193" s="158"/>
      <c r="M193" s="127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Z193" s="116"/>
      <c r="AA193" s="116"/>
      <c r="AB193" s="117"/>
    </row>
    <row r="194" spans="1:36" s="9" customFormat="1">
      <c r="K194" s="158"/>
      <c r="L194" s="159" t="s">
        <v>537</v>
      </c>
      <c r="M194" s="160"/>
      <c r="N194" s="150">
        <f>SUM(N13:N193)</f>
        <v>1971651.1289999997</v>
      </c>
      <c r="O194" s="150">
        <f>SUM(O13:O193)</f>
        <v>1971651.1289999997</v>
      </c>
      <c r="P194" s="150">
        <f>SUM(P13:P193)</f>
        <v>16486.75646230159</v>
      </c>
      <c r="Q194" s="150">
        <f>SUM(Q13:Q193)</f>
        <v>197841.07754761906</v>
      </c>
      <c r="R194" s="150">
        <v>131694.57771428567</v>
      </c>
      <c r="S194" s="150">
        <f>SUM(S13:S193)</f>
        <v>123004.57354761905</v>
      </c>
      <c r="T194" s="150">
        <f>SUM(T13:T193)</f>
        <v>1242434.1204761902</v>
      </c>
      <c r="U194" s="150">
        <f>SUM(U13:U193)</f>
        <v>1365438.6940238108</v>
      </c>
      <c r="V194" s="150">
        <v>787692.63778571424</v>
      </c>
      <c r="W194" s="150">
        <f>SUM(W13:W193)</f>
        <v>606212.43497619033</v>
      </c>
      <c r="X194" s="150">
        <f>SUM(X13:X193)</f>
        <v>123004.57354761905</v>
      </c>
      <c r="Y194" s="150">
        <f>SUM(Y13:Y193)</f>
        <v>606212.43497619033</v>
      </c>
      <c r="Z194" s="150">
        <f>SUM(Z13:Z193)</f>
        <v>-62054.230833333299</v>
      </c>
      <c r="AA194" s="150">
        <f>SUM(AA13:AA193)</f>
        <v>-767826.69614285743</v>
      </c>
      <c r="AB194" s="150"/>
      <c r="AC194" s="150">
        <f>SUM(AC13:AC193)</f>
        <v>89458.763987524566</v>
      </c>
      <c r="AD194" s="150">
        <f>SUM(AD13:AD193)</f>
        <v>440886.16856057808</v>
      </c>
      <c r="AE194" s="150">
        <f>AC194</f>
        <v>89458.763987524566</v>
      </c>
      <c r="AF194" s="150">
        <f>SUM(AF13:AF193)</f>
        <v>0</v>
      </c>
      <c r="AG194" s="150">
        <f>SUM(AG13:AG193)</f>
        <v>0</v>
      </c>
      <c r="AH194" s="150">
        <f>AD194</f>
        <v>440886.16856057808</v>
      </c>
      <c r="AI194" s="150">
        <f>SUM(AI13:AI193)</f>
        <v>0</v>
      </c>
      <c r="AJ194" s="150">
        <f>SUM(AJ13:AJ193)</f>
        <v>0</v>
      </c>
    </row>
    <row r="195" spans="1:36" s="9" customFormat="1">
      <c r="K195" s="158"/>
      <c r="M195" s="127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Z195" s="116"/>
      <c r="AA195" s="116"/>
    </row>
    <row r="196" spans="1:36" s="9" customFormat="1">
      <c r="A196" s="142" t="s">
        <v>538</v>
      </c>
      <c r="K196" s="158"/>
      <c r="M196" s="127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Z196" s="116"/>
      <c r="AA196" s="116"/>
    </row>
    <row r="197" spans="1:36" s="9" customFormat="1">
      <c r="B197" s="9">
        <v>42</v>
      </c>
      <c r="C197" s="9" t="s">
        <v>539</v>
      </c>
      <c r="E197" s="9">
        <v>126210</v>
      </c>
      <c r="G197" s="9">
        <v>2015</v>
      </c>
      <c r="H197" s="9">
        <v>9</v>
      </c>
      <c r="I197" s="9">
        <v>0</v>
      </c>
      <c r="J197" s="9" t="s">
        <v>78</v>
      </c>
      <c r="K197" s="158">
        <v>7</v>
      </c>
      <c r="L197" s="9">
        <f t="shared" ref="L197:L246" si="92">G197+K197</f>
        <v>2022</v>
      </c>
      <c r="M197" s="127">
        <f t="shared" ref="M197:M246" si="93">+L197+(H197/12)</f>
        <v>2022.75</v>
      </c>
      <c r="N197" s="13">
        <v>24186.240000000002</v>
      </c>
      <c r="O197" s="13">
        <f t="shared" ref="O197:O246" si="94">N197-N197*I197</f>
        <v>24186.240000000002</v>
      </c>
      <c r="P197" s="13">
        <f t="shared" ref="P197:P246" si="95">O197/K197/12</f>
        <v>287.93142857142863</v>
      </c>
      <c r="Q197" s="13">
        <f t="shared" ref="Q197:Q246" si="96">P197*12</f>
        <v>3455.1771428571437</v>
      </c>
      <c r="R197" s="13">
        <v>3455.1771428571437</v>
      </c>
      <c r="S197" s="13">
        <f t="shared" ref="S197:S246" si="97">+IF(M197&lt;=$O$5,0,IF(L197&gt;$O$4,Q197,(P197*H197)))</f>
        <v>0</v>
      </c>
      <c r="T197" s="13">
        <f t="shared" ref="T197:T246" si="98">+IF(S197=0,N197,IF($O$3-G197&lt;1,0,(($O$3-G197)*Q197)))</f>
        <v>24186.240000000002</v>
      </c>
      <c r="U197" s="13">
        <f t="shared" ref="U197:U246" si="99">+IF(S197=0,T197,T197+S197)</f>
        <v>24186.240000000002</v>
      </c>
      <c r="V197" s="13">
        <v>10365.531428571427</v>
      </c>
      <c r="W197" s="13">
        <f t="shared" ref="W197:W246" si="100">+N197-U197</f>
        <v>0</v>
      </c>
      <c r="X197" s="115">
        <f t="shared" ref="X197" si="101">S197</f>
        <v>0</v>
      </c>
      <c r="Y197" s="116">
        <f t="shared" ref="Y197" si="102">W197</f>
        <v>0</v>
      </c>
      <c r="Z197" s="116">
        <f t="shared" si="67"/>
        <v>-3455.1771428571437</v>
      </c>
      <c r="AA197" s="116">
        <f t="shared" si="68"/>
        <v>-10365.531428571427</v>
      </c>
      <c r="AB197" s="117">
        <v>0</v>
      </c>
      <c r="AC197" s="116">
        <f t="shared" ref="AC197" si="103">X197*AB197</f>
        <v>0</v>
      </c>
      <c r="AD197" s="116">
        <f t="shared" ref="AD197" si="104">Y197*AB197</f>
        <v>0</v>
      </c>
      <c r="AE197" s="118"/>
      <c r="AF197" s="119"/>
      <c r="AG197" s="120"/>
      <c r="AH197" s="118"/>
      <c r="AI197" s="119"/>
      <c r="AJ197" s="121"/>
    </row>
    <row r="198" spans="1:36" s="9" customFormat="1">
      <c r="B198" s="9">
        <f>30-5</f>
        <v>25</v>
      </c>
      <c r="C198" s="9" t="s">
        <v>540</v>
      </c>
      <c r="E198" s="9">
        <v>75721</v>
      </c>
      <c r="G198" s="9">
        <v>2010</v>
      </c>
      <c r="H198" s="9">
        <v>6</v>
      </c>
      <c r="I198" s="9">
        <v>0</v>
      </c>
      <c r="J198" s="9" t="s">
        <v>78</v>
      </c>
      <c r="K198" s="158" t="s">
        <v>449</v>
      </c>
      <c r="L198" s="9">
        <f t="shared" si="92"/>
        <v>2020</v>
      </c>
      <c r="M198" s="127">
        <f t="shared" si="93"/>
        <v>2020.5</v>
      </c>
      <c r="N198" s="13">
        <f>(8224.76/30)*25</f>
        <v>6853.9666666666662</v>
      </c>
      <c r="O198" s="13">
        <f t="shared" si="94"/>
        <v>6853.9666666666662</v>
      </c>
      <c r="P198" s="13">
        <f t="shared" si="95"/>
        <v>57.116388888888885</v>
      </c>
      <c r="Q198" s="13">
        <f t="shared" si="96"/>
        <v>685.39666666666665</v>
      </c>
      <c r="R198" s="13">
        <v>685.39666666666665</v>
      </c>
      <c r="S198" s="13">
        <f t="shared" si="97"/>
        <v>0</v>
      </c>
      <c r="T198" s="13">
        <f t="shared" si="98"/>
        <v>6853.9666666666662</v>
      </c>
      <c r="U198" s="13">
        <f t="shared" si="99"/>
        <v>6853.9666666666662</v>
      </c>
      <c r="V198" s="13">
        <v>685.39666666666653</v>
      </c>
      <c r="W198" s="13">
        <f t="shared" si="100"/>
        <v>0</v>
      </c>
      <c r="X198" s="115">
        <f t="shared" ref="X198:X246" si="105">S198</f>
        <v>0</v>
      </c>
      <c r="Y198" s="116">
        <f>W198</f>
        <v>0</v>
      </c>
      <c r="Z198" s="116">
        <f t="shared" si="67"/>
        <v>-685.39666666666665</v>
      </c>
      <c r="AA198" s="116">
        <f t="shared" si="68"/>
        <v>-685.39666666666653</v>
      </c>
      <c r="AB198" s="117">
        <v>0</v>
      </c>
      <c r="AC198" s="116">
        <f t="shared" ref="AC198:AC243" si="106">X198*AB198</f>
        <v>0</v>
      </c>
      <c r="AD198" s="116">
        <f t="shared" ref="AD198:AD243" si="107">Y198*AB198</f>
        <v>0</v>
      </c>
      <c r="AE198" s="118"/>
      <c r="AF198" s="119"/>
      <c r="AG198" s="120"/>
      <c r="AH198" s="118"/>
      <c r="AI198" s="119"/>
      <c r="AJ198" s="121"/>
    </row>
    <row r="199" spans="1:36" s="9" customFormat="1">
      <c r="B199" s="9">
        <v>13</v>
      </c>
      <c r="C199" s="9" t="s">
        <v>474</v>
      </c>
      <c r="E199" s="9">
        <v>75009</v>
      </c>
      <c r="G199" s="9">
        <v>2010</v>
      </c>
      <c r="H199" s="9">
        <v>6</v>
      </c>
      <c r="I199" s="9">
        <v>0</v>
      </c>
      <c r="J199" s="9" t="s">
        <v>78</v>
      </c>
      <c r="K199" s="158" t="s">
        <v>449</v>
      </c>
      <c r="L199" s="9">
        <f t="shared" si="92"/>
        <v>2020</v>
      </c>
      <c r="M199" s="127">
        <f t="shared" si="93"/>
        <v>2020.5</v>
      </c>
      <c r="N199" s="13">
        <v>6771.14</v>
      </c>
      <c r="O199" s="13">
        <f t="shared" si="94"/>
        <v>6771.14</v>
      </c>
      <c r="P199" s="13">
        <f t="shared" si="95"/>
        <v>56.426166666666667</v>
      </c>
      <c r="Q199" s="13">
        <f t="shared" si="96"/>
        <v>677.11400000000003</v>
      </c>
      <c r="R199" s="13">
        <v>677.11400000000003</v>
      </c>
      <c r="S199" s="13">
        <f t="shared" si="97"/>
        <v>0</v>
      </c>
      <c r="T199" s="13">
        <f t="shared" si="98"/>
        <v>6771.14</v>
      </c>
      <c r="U199" s="13">
        <f t="shared" si="99"/>
        <v>6771.14</v>
      </c>
      <c r="V199" s="13">
        <v>677.11400000000049</v>
      </c>
      <c r="W199" s="13">
        <f t="shared" si="100"/>
        <v>0</v>
      </c>
      <c r="X199" s="115">
        <f t="shared" si="105"/>
        <v>0</v>
      </c>
      <c r="Y199" s="116">
        <f t="shared" ref="Y199:Y246" si="108">W199</f>
        <v>0</v>
      </c>
      <c r="Z199" s="116">
        <f t="shared" si="67"/>
        <v>-677.11400000000003</v>
      </c>
      <c r="AA199" s="116">
        <f t="shared" si="68"/>
        <v>-677.11400000000049</v>
      </c>
      <c r="AB199" s="117">
        <v>0</v>
      </c>
      <c r="AC199" s="116">
        <f t="shared" si="106"/>
        <v>0</v>
      </c>
      <c r="AD199" s="116">
        <f t="shared" si="107"/>
        <v>0</v>
      </c>
      <c r="AE199" s="118"/>
      <c r="AF199" s="119"/>
      <c r="AG199" s="120"/>
      <c r="AH199" s="118"/>
      <c r="AI199" s="119"/>
      <c r="AJ199" s="121"/>
    </row>
    <row r="200" spans="1:36" s="9" customFormat="1">
      <c r="B200" s="9">
        <v>16</v>
      </c>
      <c r="C200" s="9" t="s">
        <v>479</v>
      </c>
      <c r="G200" s="9">
        <v>2008</v>
      </c>
      <c r="H200" s="9">
        <v>3</v>
      </c>
      <c r="I200" s="9">
        <v>0</v>
      </c>
      <c r="J200" s="9" t="s">
        <v>78</v>
      </c>
      <c r="K200" s="158" t="s">
        <v>449</v>
      </c>
      <c r="L200" s="9">
        <f t="shared" si="92"/>
        <v>2018</v>
      </c>
      <c r="M200" s="127">
        <f t="shared" si="93"/>
        <v>2018.25</v>
      </c>
      <c r="N200" s="13">
        <v>5543.01</v>
      </c>
      <c r="O200" s="13">
        <f t="shared" si="94"/>
        <v>5543.01</v>
      </c>
      <c r="P200" s="13">
        <f t="shared" si="95"/>
        <v>46.191750000000006</v>
      </c>
      <c r="Q200" s="13">
        <f t="shared" si="96"/>
        <v>554.30100000000004</v>
      </c>
      <c r="R200" s="13">
        <v>0</v>
      </c>
      <c r="S200" s="13">
        <f t="shared" si="97"/>
        <v>0</v>
      </c>
      <c r="T200" s="13">
        <f t="shared" si="98"/>
        <v>5543.01</v>
      </c>
      <c r="U200" s="13">
        <f t="shared" si="99"/>
        <v>5543.01</v>
      </c>
      <c r="V200" s="13">
        <v>0</v>
      </c>
      <c r="W200" s="13">
        <f t="shared" si="100"/>
        <v>0</v>
      </c>
      <c r="X200" s="115">
        <f t="shared" si="105"/>
        <v>0</v>
      </c>
      <c r="Y200" s="116">
        <f t="shared" si="108"/>
        <v>0</v>
      </c>
      <c r="Z200" s="116">
        <f t="shared" si="67"/>
        <v>0</v>
      </c>
      <c r="AA200" s="116">
        <f t="shared" si="68"/>
        <v>0</v>
      </c>
      <c r="AB200" s="117">
        <v>0</v>
      </c>
      <c r="AC200" s="116">
        <f t="shared" si="106"/>
        <v>0</v>
      </c>
      <c r="AD200" s="116">
        <f t="shared" si="107"/>
        <v>0</v>
      </c>
      <c r="AE200" s="118"/>
      <c r="AF200" s="119"/>
      <c r="AG200" s="120"/>
      <c r="AH200" s="118"/>
      <c r="AI200" s="119"/>
      <c r="AJ200" s="121"/>
    </row>
    <row r="201" spans="1:36" s="9" customFormat="1">
      <c r="B201" s="9">
        <v>16</v>
      </c>
      <c r="C201" s="9" t="s">
        <v>479</v>
      </c>
      <c r="G201" s="9">
        <v>2005</v>
      </c>
      <c r="H201" s="9">
        <v>3</v>
      </c>
      <c r="I201" s="9">
        <v>0</v>
      </c>
      <c r="J201" s="9" t="s">
        <v>78</v>
      </c>
      <c r="K201" s="158" t="s">
        <v>449</v>
      </c>
      <c r="L201" s="9">
        <f t="shared" si="92"/>
        <v>2015</v>
      </c>
      <c r="M201" s="127">
        <f t="shared" si="93"/>
        <v>2015.25</v>
      </c>
      <c r="N201" s="13">
        <v>5559.68</v>
      </c>
      <c r="O201" s="13">
        <f t="shared" si="94"/>
        <v>5559.68</v>
      </c>
      <c r="P201" s="13">
        <f t="shared" si="95"/>
        <v>46.330666666666673</v>
      </c>
      <c r="Q201" s="13">
        <f t="shared" si="96"/>
        <v>555.96800000000007</v>
      </c>
      <c r="R201" s="13">
        <v>0</v>
      </c>
      <c r="S201" s="13">
        <f t="shared" si="97"/>
        <v>0</v>
      </c>
      <c r="T201" s="13">
        <f t="shared" si="98"/>
        <v>5559.68</v>
      </c>
      <c r="U201" s="13">
        <f t="shared" si="99"/>
        <v>5559.68</v>
      </c>
      <c r="V201" s="13">
        <v>0</v>
      </c>
      <c r="W201" s="13">
        <f t="shared" si="100"/>
        <v>0</v>
      </c>
      <c r="X201" s="115">
        <f t="shared" si="105"/>
        <v>0</v>
      </c>
      <c r="Y201" s="116">
        <f t="shared" si="108"/>
        <v>0</v>
      </c>
      <c r="Z201" s="116">
        <f t="shared" si="67"/>
        <v>0</v>
      </c>
      <c r="AA201" s="116">
        <f t="shared" si="68"/>
        <v>0</v>
      </c>
      <c r="AB201" s="117">
        <v>0</v>
      </c>
      <c r="AC201" s="116">
        <f t="shared" si="106"/>
        <v>0</v>
      </c>
      <c r="AD201" s="116">
        <f t="shared" si="107"/>
        <v>0</v>
      </c>
      <c r="AE201" s="118"/>
      <c r="AF201" s="119"/>
      <c r="AG201" s="120"/>
      <c r="AH201" s="118"/>
      <c r="AI201" s="119"/>
      <c r="AJ201" s="121"/>
    </row>
    <row r="202" spans="1:36" s="9" customFormat="1">
      <c r="B202" s="9">
        <v>17</v>
      </c>
      <c r="C202" s="9" t="s">
        <v>479</v>
      </c>
      <c r="G202" s="9">
        <v>2004</v>
      </c>
      <c r="H202" s="9">
        <v>8</v>
      </c>
      <c r="I202" s="9">
        <v>0</v>
      </c>
      <c r="J202" s="9" t="s">
        <v>78</v>
      </c>
      <c r="K202" s="158" t="s">
        <v>449</v>
      </c>
      <c r="L202" s="9">
        <f t="shared" si="92"/>
        <v>2014</v>
      </c>
      <c r="M202" s="127">
        <f t="shared" si="93"/>
        <v>2014.6666666666667</v>
      </c>
      <c r="N202" s="13">
        <v>5722.88</v>
      </c>
      <c r="O202" s="13">
        <f t="shared" si="94"/>
        <v>5722.88</v>
      </c>
      <c r="P202" s="13">
        <f t="shared" si="95"/>
        <v>47.690666666666665</v>
      </c>
      <c r="Q202" s="13">
        <f t="shared" si="96"/>
        <v>572.28800000000001</v>
      </c>
      <c r="R202" s="13">
        <v>0</v>
      </c>
      <c r="S202" s="13">
        <f t="shared" si="97"/>
        <v>0</v>
      </c>
      <c r="T202" s="13">
        <f t="shared" si="98"/>
        <v>5722.88</v>
      </c>
      <c r="U202" s="13">
        <f t="shared" si="99"/>
        <v>5722.88</v>
      </c>
      <c r="V202" s="13">
        <v>0</v>
      </c>
      <c r="W202" s="13">
        <f t="shared" si="100"/>
        <v>0</v>
      </c>
      <c r="X202" s="115">
        <f t="shared" si="105"/>
        <v>0</v>
      </c>
      <c r="Y202" s="116">
        <f t="shared" si="108"/>
        <v>0</v>
      </c>
      <c r="Z202" s="116">
        <f t="shared" si="67"/>
        <v>0</v>
      </c>
      <c r="AA202" s="116">
        <f t="shared" si="68"/>
        <v>0</v>
      </c>
      <c r="AB202" s="117">
        <v>0</v>
      </c>
      <c r="AC202" s="116">
        <f t="shared" si="106"/>
        <v>0</v>
      </c>
      <c r="AD202" s="116">
        <f t="shared" si="107"/>
        <v>0</v>
      </c>
      <c r="AE202" s="118"/>
      <c r="AF202" s="119"/>
      <c r="AG202" s="120"/>
      <c r="AH202" s="118"/>
      <c r="AI202" s="119"/>
      <c r="AJ202" s="121"/>
    </row>
    <row r="203" spans="1:36" s="9" customFormat="1">
      <c r="B203" s="9">
        <v>19</v>
      </c>
      <c r="C203" s="9" t="s">
        <v>479</v>
      </c>
      <c r="G203" s="9">
        <v>2001</v>
      </c>
      <c r="H203" s="9">
        <v>7</v>
      </c>
      <c r="I203" s="9">
        <v>0</v>
      </c>
      <c r="J203" s="9" t="s">
        <v>78</v>
      </c>
      <c r="K203" s="158" t="s">
        <v>449</v>
      </c>
      <c r="L203" s="9">
        <f t="shared" si="92"/>
        <v>2011</v>
      </c>
      <c r="M203" s="127">
        <f t="shared" si="93"/>
        <v>2011.5833333333333</v>
      </c>
      <c r="N203" s="13">
        <v>6576.96</v>
      </c>
      <c r="O203" s="13">
        <f t="shared" si="94"/>
        <v>6576.96</v>
      </c>
      <c r="P203" s="13">
        <f t="shared" si="95"/>
        <v>54.808</v>
      </c>
      <c r="Q203" s="13">
        <f t="shared" si="96"/>
        <v>657.69600000000003</v>
      </c>
      <c r="R203" s="13">
        <v>0</v>
      </c>
      <c r="S203" s="13">
        <f t="shared" si="97"/>
        <v>0</v>
      </c>
      <c r="T203" s="13">
        <f t="shared" si="98"/>
        <v>6576.96</v>
      </c>
      <c r="U203" s="13">
        <f t="shared" si="99"/>
        <v>6576.96</v>
      </c>
      <c r="V203" s="13">
        <v>0</v>
      </c>
      <c r="W203" s="13">
        <f t="shared" si="100"/>
        <v>0</v>
      </c>
      <c r="X203" s="115">
        <f t="shared" si="105"/>
        <v>0</v>
      </c>
      <c r="Y203" s="116">
        <f t="shared" si="108"/>
        <v>0</v>
      </c>
      <c r="Z203" s="116">
        <f t="shared" si="67"/>
        <v>0</v>
      </c>
      <c r="AA203" s="116">
        <f t="shared" si="68"/>
        <v>0</v>
      </c>
      <c r="AB203" s="117">
        <v>0</v>
      </c>
      <c r="AC203" s="116">
        <f t="shared" si="106"/>
        <v>0</v>
      </c>
      <c r="AD203" s="116">
        <f t="shared" si="107"/>
        <v>0</v>
      </c>
      <c r="AE203" s="118"/>
      <c r="AF203" s="119"/>
      <c r="AG203" s="120"/>
      <c r="AH203" s="118"/>
      <c r="AI203" s="119"/>
      <c r="AJ203" s="121"/>
    </row>
    <row r="204" spans="1:36" s="9" customFormat="1">
      <c r="B204" s="9">
        <v>24</v>
      </c>
      <c r="C204" s="9" t="s">
        <v>479</v>
      </c>
      <c r="G204" s="9">
        <v>2006</v>
      </c>
      <c r="H204" s="9">
        <v>9</v>
      </c>
      <c r="I204" s="9">
        <v>0</v>
      </c>
      <c r="J204" s="9" t="s">
        <v>78</v>
      </c>
      <c r="K204" s="158" t="s">
        <v>449</v>
      </c>
      <c r="L204" s="9">
        <f t="shared" si="92"/>
        <v>2016</v>
      </c>
      <c r="M204" s="127">
        <f t="shared" si="93"/>
        <v>2016.75</v>
      </c>
      <c r="N204" s="13">
        <v>8290.56</v>
      </c>
      <c r="O204" s="13">
        <f t="shared" si="94"/>
        <v>8290.56</v>
      </c>
      <c r="P204" s="13">
        <f t="shared" si="95"/>
        <v>69.087999999999994</v>
      </c>
      <c r="Q204" s="13">
        <f t="shared" si="96"/>
        <v>829.05599999999993</v>
      </c>
      <c r="R204" s="13">
        <v>0</v>
      </c>
      <c r="S204" s="13">
        <f t="shared" si="97"/>
        <v>0</v>
      </c>
      <c r="T204" s="13">
        <f t="shared" si="98"/>
        <v>8290.56</v>
      </c>
      <c r="U204" s="13">
        <f t="shared" si="99"/>
        <v>8290.56</v>
      </c>
      <c r="V204" s="13">
        <v>0</v>
      </c>
      <c r="W204" s="13">
        <f t="shared" si="100"/>
        <v>0</v>
      </c>
      <c r="X204" s="115">
        <f t="shared" si="105"/>
        <v>0</v>
      </c>
      <c r="Y204" s="116">
        <f t="shared" si="108"/>
        <v>0</v>
      </c>
      <c r="Z204" s="116">
        <f t="shared" si="67"/>
        <v>0</v>
      </c>
      <c r="AA204" s="116">
        <f t="shared" si="68"/>
        <v>0</v>
      </c>
      <c r="AB204" s="117">
        <v>0</v>
      </c>
      <c r="AC204" s="116">
        <f t="shared" si="106"/>
        <v>0</v>
      </c>
      <c r="AD204" s="116">
        <f t="shared" si="107"/>
        <v>0</v>
      </c>
      <c r="AE204" s="118"/>
      <c r="AF204" s="119"/>
      <c r="AG204" s="120"/>
      <c r="AH204" s="118"/>
      <c r="AI204" s="119"/>
      <c r="AJ204" s="121"/>
    </row>
    <row r="205" spans="1:36" s="9" customFormat="1">
      <c r="B205" s="9">
        <v>28</v>
      </c>
      <c r="C205" s="9" t="s">
        <v>479</v>
      </c>
      <c r="G205" s="9">
        <v>2008</v>
      </c>
      <c r="H205" s="9">
        <v>3</v>
      </c>
      <c r="I205" s="9">
        <v>0</v>
      </c>
      <c r="J205" s="9" t="s">
        <v>78</v>
      </c>
      <c r="K205" s="158" t="s">
        <v>449</v>
      </c>
      <c r="L205" s="9">
        <f t="shared" si="92"/>
        <v>2018</v>
      </c>
      <c r="M205" s="127">
        <f t="shared" si="93"/>
        <v>2018.25</v>
      </c>
      <c r="N205" s="13">
        <v>10840</v>
      </c>
      <c r="O205" s="13">
        <f t="shared" si="94"/>
        <v>10840</v>
      </c>
      <c r="P205" s="13">
        <f t="shared" si="95"/>
        <v>90.333333333333329</v>
      </c>
      <c r="Q205" s="13">
        <f t="shared" si="96"/>
        <v>1084</v>
      </c>
      <c r="R205" s="13">
        <v>0</v>
      </c>
      <c r="S205" s="13">
        <f t="shared" si="97"/>
        <v>0</v>
      </c>
      <c r="T205" s="13">
        <f t="shared" si="98"/>
        <v>10840</v>
      </c>
      <c r="U205" s="13">
        <f t="shared" si="99"/>
        <v>10840</v>
      </c>
      <c r="V205" s="13">
        <v>0</v>
      </c>
      <c r="W205" s="13">
        <f t="shared" si="100"/>
        <v>0</v>
      </c>
      <c r="X205" s="115">
        <f t="shared" si="105"/>
        <v>0</v>
      </c>
      <c r="Y205" s="116">
        <f t="shared" si="108"/>
        <v>0</v>
      </c>
      <c r="Z205" s="116">
        <f t="shared" si="67"/>
        <v>0</v>
      </c>
      <c r="AA205" s="116">
        <f t="shared" si="68"/>
        <v>0</v>
      </c>
      <c r="AB205" s="117">
        <v>0</v>
      </c>
      <c r="AC205" s="116">
        <f t="shared" si="106"/>
        <v>0</v>
      </c>
      <c r="AD205" s="116">
        <f t="shared" si="107"/>
        <v>0</v>
      </c>
      <c r="AE205" s="118"/>
      <c r="AF205" s="119"/>
      <c r="AG205" s="120"/>
      <c r="AH205" s="118"/>
      <c r="AI205" s="119"/>
      <c r="AJ205" s="121"/>
    </row>
    <row r="206" spans="1:36" s="9" customFormat="1">
      <c r="B206" s="9">
        <v>41</v>
      </c>
      <c r="C206" s="9" t="s">
        <v>479</v>
      </c>
      <c r="G206" s="9">
        <v>2008</v>
      </c>
      <c r="H206" s="9">
        <v>2</v>
      </c>
      <c r="I206" s="9">
        <v>0</v>
      </c>
      <c r="J206" s="9" t="s">
        <v>78</v>
      </c>
      <c r="K206" s="158" t="s">
        <v>449</v>
      </c>
      <c r="L206" s="9">
        <f t="shared" si="92"/>
        <v>2018</v>
      </c>
      <c r="M206" s="127">
        <f t="shared" si="93"/>
        <v>2018.1666666666667</v>
      </c>
      <c r="N206" s="13">
        <v>13857.52</v>
      </c>
      <c r="O206" s="13">
        <f t="shared" si="94"/>
        <v>13857.52</v>
      </c>
      <c r="P206" s="13">
        <f t="shared" si="95"/>
        <v>115.47933333333333</v>
      </c>
      <c r="Q206" s="13">
        <f t="shared" si="96"/>
        <v>1385.752</v>
      </c>
      <c r="R206" s="13">
        <v>0</v>
      </c>
      <c r="S206" s="13">
        <f t="shared" si="97"/>
        <v>0</v>
      </c>
      <c r="T206" s="13">
        <f t="shared" si="98"/>
        <v>13857.52</v>
      </c>
      <c r="U206" s="13">
        <f t="shared" si="99"/>
        <v>13857.52</v>
      </c>
      <c r="V206" s="13">
        <v>0</v>
      </c>
      <c r="W206" s="13">
        <f t="shared" si="100"/>
        <v>0</v>
      </c>
      <c r="X206" s="115">
        <f t="shared" si="105"/>
        <v>0</v>
      </c>
      <c r="Y206" s="116">
        <f t="shared" si="108"/>
        <v>0</v>
      </c>
      <c r="Z206" s="116">
        <f t="shared" si="67"/>
        <v>0</v>
      </c>
      <c r="AA206" s="116">
        <f t="shared" si="68"/>
        <v>0</v>
      </c>
      <c r="AB206" s="117">
        <v>0</v>
      </c>
      <c r="AC206" s="116">
        <f t="shared" si="106"/>
        <v>0</v>
      </c>
      <c r="AD206" s="116">
        <f t="shared" si="107"/>
        <v>0</v>
      </c>
      <c r="AE206" s="118"/>
      <c r="AF206" s="119"/>
      <c r="AG206" s="120"/>
      <c r="AH206" s="118"/>
      <c r="AI206" s="119"/>
      <c r="AJ206" s="121"/>
    </row>
    <row r="207" spans="1:36" s="9" customFormat="1">
      <c r="B207" s="9">
        <v>36</v>
      </c>
      <c r="C207" s="9" t="s">
        <v>541</v>
      </c>
      <c r="E207" s="9">
        <v>126209</v>
      </c>
      <c r="G207" s="9">
        <v>2015</v>
      </c>
      <c r="H207" s="9">
        <v>9</v>
      </c>
      <c r="I207" s="9">
        <v>0</v>
      </c>
      <c r="J207" s="9" t="s">
        <v>78</v>
      </c>
      <c r="K207" s="158">
        <v>7</v>
      </c>
      <c r="L207" s="9">
        <f t="shared" si="92"/>
        <v>2022</v>
      </c>
      <c r="M207" s="127">
        <f t="shared" si="93"/>
        <v>2022.75</v>
      </c>
      <c r="N207" s="13">
        <v>24545.279999999999</v>
      </c>
      <c r="O207" s="13">
        <f t="shared" si="94"/>
        <v>24545.279999999999</v>
      </c>
      <c r="P207" s="13">
        <f t="shared" si="95"/>
        <v>292.20571428571424</v>
      </c>
      <c r="Q207" s="13">
        <f t="shared" si="96"/>
        <v>3506.4685714285706</v>
      </c>
      <c r="R207" s="13">
        <v>3506.4685714285706</v>
      </c>
      <c r="S207" s="13">
        <f t="shared" si="97"/>
        <v>0</v>
      </c>
      <c r="T207" s="13">
        <f t="shared" si="98"/>
        <v>24545.279999999999</v>
      </c>
      <c r="U207" s="13">
        <f t="shared" si="99"/>
        <v>24545.279999999999</v>
      </c>
      <c r="V207" s="13">
        <v>10519.405714285716</v>
      </c>
      <c r="W207" s="13">
        <f t="shared" si="100"/>
        <v>0</v>
      </c>
      <c r="X207" s="115">
        <f t="shared" si="105"/>
        <v>0</v>
      </c>
      <c r="Y207" s="116">
        <f t="shared" si="108"/>
        <v>0</v>
      </c>
      <c r="Z207" s="116">
        <f t="shared" si="67"/>
        <v>-3506.4685714285706</v>
      </c>
      <c r="AA207" s="116">
        <f t="shared" si="68"/>
        <v>-10519.405714285716</v>
      </c>
      <c r="AB207" s="117">
        <v>0</v>
      </c>
      <c r="AC207" s="116">
        <f t="shared" si="106"/>
        <v>0</v>
      </c>
      <c r="AD207" s="116">
        <f t="shared" si="107"/>
        <v>0</v>
      </c>
      <c r="AE207" s="118"/>
      <c r="AF207" s="119"/>
      <c r="AG207" s="120"/>
      <c r="AH207" s="118"/>
      <c r="AI207" s="119"/>
      <c r="AJ207" s="121"/>
    </row>
    <row r="208" spans="1:36" s="9" customFormat="1">
      <c r="B208" s="9">
        <v>27</v>
      </c>
      <c r="C208" s="9" t="s">
        <v>509</v>
      </c>
      <c r="E208" s="9" t="s">
        <v>542</v>
      </c>
      <c r="G208" s="9">
        <v>2011</v>
      </c>
      <c r="H208" s="9">
        <v>6</v>
      </c>
      <c r="I208" s="9">
        <v>0</v>
      </c>
      <c r="J208" s="9" t="s">
        <v>78</v>
      </c>
      <c r="K208" s="158">
        <v>10</v>
      </c>
      <c r="L208" s="9">
        <f t="shared" si="92"/>
        <v>2021</v>
      </c>
      <c r="M208" s="127">
        <f t="shared" si="93"/>
        <v>2021.5</v>
      </c>
      <c r="N208" s="13">
        <f>12054.44+7090.84</f>
        <v>19145.28</v>
      </c>
      <c r="O208" s="13">
        <f t="shared" si="94"/>
        <v>19145.28</v>
      </c>
      <c r="P208" s="13">
        <f t="shared" si="95"/>
        <v>159.54399999999998</v>
      </c>
      <c r="Q208" s="13">
        <f t="shared" si="96"/>
        <v>1914.5279999999998</v>
      </c>
      <c r="R208" s="13">
        <v>1914.5279999999998</v>
      </c>
      <c r="S208" s="13">
        <f t="shared" si="97"/>
        <v>0</v>
      </c>
      <c r="T208" s="13">
        <f t="shared" si="98"/>
        <v>19145.28</v>
      </c>
      <c r="U208" s="13">
        <f t="shared" si="99"/>
        <v>19145.28</v>
      </c>
      <c r="V208" s="13">
        <v>3829.0560000000005</v>
      </c>
      <c r="W208" s="13">
        <f t="shared" si="100"/>
        <v>0</v>
      </c>
      <c r="X208" s="115">
        <f t="shared" si="105"/>
        <v>0</v>
      </c>
      <c r="Y208" s="116">
        <f t="shared" si="108"/>
        <v>0</v>
      </c>
      <c r="Z208" s="116">
        <f t="shared" si="67"/>
        <v>-1914.5279999999998</v>
      </c>
      <c r="AA208" s="116">
        <f t="shared" si="68"/>
        <v>-3829.0560000000005</v>
      </c>
      <c r="AB208" s="117">
        <v>0</v>
      </c>
      <c r="AC208" s="116">
        <f t="shared" si="106"/>
        <v>0</v>
      </c>
      <c r="AD208" s="116">
        <f t="shared" si="107"/>
        <v>0</v>
      </c>
      <c r="AE208" s="118"/>
      <c r="AF208" s="119"/>
      <c r="AG208" s="120"/>
      <c r="AH208" s="118"/>
      <c r="AI208" s="119"/>
      <c r="AJ208" s="121"/>
    </row>
    <row r="209" spans="2:36" s="9" customFormat="1">
      <c r="B209" s="9">
        <v>10</v>
      </c>
      <c r="C209" s="9" t="s">
        <v>510</v>
      </c>
      <c r="G209" s="9">
        <v>2005</v>
      </c>
      <c r="H209" s="9">
        <v>8</v>
      </c>
      <c r="I209" s="9">
        <v>0</v>
      </c>
      <c r="J209" s="9" t="s">
        <v>78</v>
      </c>
      <c r="K209" s="158" t="s">
        <v>449</v>
      </c>
      <c r="L209" s="9">
        <f t="shared" si="92"/>
        <v>2015</v>
      </c>
      <c r="M209" s="127">
        <f t="shared" si="93"/>
        <v>2015.6666666666667</v>
      </c>
      <c r="N209" s="13">
        <v>4093.45</v>
      </c>
      <c r="O209" s="13">
        <f t="shared" si="94"/>
        <v>4093.45</v>
      </c>
      <c r="P209" s="13">
        <f t="shared" si="95"/>
        <v>34.112083333333331</v>
      </c>
      <c r="Q209" s="13">
        <f t="shared" si="96"/>
        <v>409.34499999999997</v>
      </c>
      <c r="R209" s="13">
        <v>0</v>
      </c>
      <c r="S209" s="13">
        <f t="shared" si="97"/>
        <v>0</v>
      </c>
      <c r="T209" s="13">
        <f t="shared" si="98"/>
        <v>4093.45</v>
      </c>
      <c r="U209" s="13">
        <f t="shared" si="99"/>
        <v>4093.45</v>
      </c>
      <c r="V209" s="13">
        <v>0</v>
      </c>
      <c r="W209" s="13">
        <f t="shared" si="100"/>
        <v>0</v>
      </c>
      <c r="X209" s="115">
        <f t="shared" si="105"/>
        <v>0</v>
      </c>
      <c r="Y209" s="116">
        <f t="shared" si="108"/>
        <v>0</v>
      </c>
      <c r="Z209" s="116">
        <f t="shared" si="67"/>
        <v>0</v>
      </c>
      <c r="AA209" s="116">
        <f t="shared" si="68"/>
        <v>0</v>
      </c>
      <c r="AB209" s="117">
        <v>0</v>
      </c>
      <c r="AC209" s="116">
        <f t="shared" si="106"/>
        <v>0</v>
      </c>
      <c r="AD209" s="116">
        <f t="shared" si="107"/>
        <v>0</v>
      </c>
      <c r="AE209" s="118"/>
      <c r="AF209" s="119"/>
      <c r="AG209" s="120"/>
      <c r="AH209" s="118"/>
      <c r="AI209" s="119"/>
      <c r="AJ209" s="121"/>
    </row>
    <row r="210" spans="2:36" s="9" customFormat="1">
      <c r="B210" s="9">
        <v>10</v>
      </c>
      <c r="C210" s="9" t="s">
        <v>510</v>
      </c>
      <c r="G210" s="9">
        <v>2004</v>
      </c>
      <c r="H210" s="9">
        <v>3</v>
      </c>
      <c r="I210" s="9">
        <v>0</v>
      </c>
      <c r="J210" s="9" t="s">
        <v>78</v>
      </c>
      <c r="K210" s="158" t="s">
        <v>449</v>
      </c>
      <c r="L210" s="9">
        <f t="shared" si="92"/>
        <v>2014</v>
      </c>
      <c r="M210" s="127">
        <f t="shared" si="93"/>
        <v>2014.25</v>
      </c>
      <c r="N210" s="13">
        <v>4127.87</v>
      </c>
      <c r="O210" s="13">
        <f t="shared" si="94"/>
        <v>4127.87</v>
      </c>
      <c r="P210" s="13">
        <f t="shared" si="95"/>
        <v>34.398916666666665</v>
      </c>
      <c r="Q210" s="13">
        <f t="shared" si="96"/>
        <v>412.78699999999998</v>
      </c>
      <c r="R210" s="13">
        <v>0</v>
      </c>
      <c r="S210" s="13">
        <f t="shared" si="97"/>
        <v>0</v>
      </c>
      <c r="T210" s="13">
        <f t="shared" si="98"/>
        <v>4127.87</v>
      </c>
      <c r="U210" s="13">
        <f t="shared" si="99"/>
        <v>4127.87</v>
      </c>
      <c r="V210" s="13">
        <v>0</v>
      </c>
      <c r="W210" s="13">
        <f t="shared" si="100"/>
        <v>0</v>
      </c>
      <c r="X210" s="115">
        <f t="shared" si="105"/>
        <v>0</v>
      </c>
      <c r="Y210" s="116">
        <f t="shared" si="108"/>
        <v>0</v>
      </c>
      <c r="Z210" s="116">
        <f t="shared" si="67"/>
        <v>0</v>
      </c>
      <c r="AA210" s="116">
        <f t="shared" si="68"/>
        <v>0</v>
      </c>
      <c r="AB210" s="117">
        <v>0</v>
      </c>
      <c r="AC210" s="116">
        <f t="shared" si="106"/>
        <v>0</v>
      </c>
      <c r="AD210" s="116">
        <f t="shared" si="107"/>
        <v>0</v>
      </c>
      <c r="AE210" s="118"/>
      <c r="AF210" s="119"/>
      <c r="AG210" s="120"/>
      <c r="AH210" s="118"/>
      <c r="AI210" s="119"/>
      <c r="AJ210" s="121"/>
    </row>
    <row r="211" spans="2:36" s="9" customFormat="1">
      <c r="B211" s="9">
        <v>10</v>
      </c>
      <c r="C211" s="9" t="s">
        <v>510</v>
      </c>
      <c r="G211" s="9">
        <v>2005</v>
      </c>
      <c r="H211" s="9">
        <v>8</v>
      </c>
      <c r="I211" s="9">
        <v>0</v>
      </c>
      <c r="J211" s="9" t="s">
        <v>78</v>
      </c>
      <c r="K211" s="158" t="s">
        <v>449</v>
      </c>
      <c r="L211" s="9">
        <f t="shared" si="92"/>
        <v>2015</v>
      </c>
      <c r="M211" s="127">
        <f t="shared" si="93"/>
        <v>2015.6666666666667</v>
      </c>
      <c r="N211" s="13">
        <v>4204.21</v>
      </c>
      <c r="O211" s="13">
        <f t="shared" si="94"/>
        <v>4204.21</v>
      </c>
      <c r="P211" s="13">
        <f t="shared" si="95"/>
        <v>35.035083333333333</v>
      </c>
      <c r="Q211" s="13">
        <f t="shared" si="96"/>
        <v>420.42099999999999</v>
      </c>
      <c r="R211" s="13">
        <v>0</v>
      </c>
      <c r="S211" s="13">
        <f t="shared" si="97"/>
        <v>0</v>
      </c>
      <c r="T211" s="13">
        <f t="shared" si="98"/>
        <v>4204.21</v>
      </c>
      <c r="U211" s="13">
        <f t="shared" si="99"/>
        <v>4204.21</v>
      </c>
      <c r="V211" s="13">
        <v>0</v>
      </c>
      <c r="W211" s="13">
        <f t="shared" si="100"/>
        <v>0</v>
      </c>
      <c r="X211" s="115">
        <f t="shared" si="105"/>
        <v>0</v>
      </c>
      <c r="Y211" s="116">
        <f t="shared" si="108"/>
        <v>0</v>
      </c>
      <c r="Z211" s="116">
        <f t="shared" si="67"/>
        <v>0</v>
      </c>
      <c r="AA211" s="116">
        <f t="shared" si="68"/>
        <v>0</v>
      </c>
      <c r="AB211" s="117">
        <v>0</v>
      </c>
      <c r="AC211" s="116">
        <f t="shared" si="106"/>
        <v>0</v>
      </c>
      <c r="AD211" s="116">
        <f t="shared" si="107"/>
        <v>0</v>
      </c>
      <c r="AE211" s="118"/>
      <c r="AF211" s="119"/>
      <c r="AG211" s="120"/>
      <c r="AH211" s="118"/>
      <c r="AI211" s="119"/>
      <c r="AJ211" s="121"/>
    </row>
    <row r="212" spans="2:36" s="9" customFormat="1">
      <c r="B212" s="9">
        <v>14</v>
      </c>
      <c r="C212" s="9" t="s">
        <v>510</v>
      </c>
      <c r="G212" s="9">
        <v>2003</v>
      </c>
      <c r="H212" s="9">
        <v>7</v>
      </c>
      <c r="I212" s="9">
        <v>0</v>
      </c>
      <c r="J212" s="9" t="s">
        <v>78</v>
      </c>
      <c r="K212" s="158" t="s">
        <v>449</v>
      </c>
      <c r="L212" s="9">
        <f t="shared" si="92"/>
        <v>2013</v>
      </c>
      <c r="M212" s="127">
        <f t="shared" si="93"/>
        <v>2013.5833333333333</v>
      </c>
      <c r="N212" s="13">
        <v>5679.36</v>
      </c>
      <c r="O212" s="13">
        <f t="shared" si="94"/>
        <v>5679.36</v>
      </c>
      <c r="P212" s="13">
        <f t="shared" si="95"/>
        <v>47.327999999999996</v>
      </c>
      <c r="Q212" s="13">
        <f t="shared" si="96"/>
        <v>567.93599999999992</v>
      </c>
      <c r="R212" s="13">
        <v>0</v>
      </c>
      <c r="S212" s="13">
        <f t="shared" si="97"/>
        <v>0</v>
      </c>
      <c r="T212" s="13">
        <f t="shared" si="98"/>
        <v>5679.36</v>
      </c>
      <c r="U212" s="13">
        <f t="shared" si="99"/>
        <v>5679.36</v>
      </c>
      <c r="V212" s="13">
        <v>0</v>
      </c>
      <c r="W212" s="13">
        <f t="shared" si="100"/>
        <v>0</v>
      </c>
      <c r="X212" s="115">
        <f t="shared" si="105"/>
        <v>0</v>
      </c>
      <c r="Y212" s="116">
        <f t="shared" si="108"/>
        <v>0</v>
      </c>
      <c r="Z212" s="116">
        <f t="shared" si="67"/>
        <v>0</v>
      </c>
      <c r="AA212" s="116">
        <f t="shared" si="68"/>
        <v>0</v>
      </c>
      <c r="AB212" s="117">
        <v>0</v>
      </c>
      <c r="AC212" s="116">
        <f t="shared" si="106"/>
        <v>0</v>
      </c>
      <c r="AD212" s="116">
        <f t="shared" si="107"/>
        <v>0</v>
      </c>
      <c r="AE212" s="118"/>
      <c r="AF212" s="119"/>
      <c r="AG212" s="120"/>
      <c r="AH212" s="118"/>
      <c r="AI212" s="119"/>
      <c r="AJ212" s="121"/>
    </row>
    <row r="213" spans="2:36" s="9" customFormat="1">
      <c r="B213" s="9">
        <v>16</v>
      </c>
      <c r="C213" s="9" t="s">
        <v>510</v>
      </c>
      <c r="G213" s="9">
        <v>2004</v>
      </c>
      <c r="H213" s="9">
        <v>11</v>
      </c>
      <c r="I213" s="9">
        <v>0</v>
      </c>
      <c r="J213" s="9" t="s">
        <v>78</v>
      </c>
      <c r="K213" s="158" t="s">
        <v>449</v>
      </c>
      <c r="L213" s="9">
        <f t="shared" si="92"/>
        <v>2014</v>
      </c>
      <c r="M213" s="127">
        <f t="shared" si="93"/>
        <v>2014.9166666666667</v>
      </c>
      <c r="N213" s="13">
        <v>6528</v>
      </c>
      <c r="O213" s="13">
        <f t="shared" si="94"/>
        <v>6528</v>
      </c>
      <c r="P213" s="13">
        <f t="shared" si="95"/>
        <v>54.4</v>
      </c>
      <c r="Q213" s="13">
        <f t="shared" si="96"/>
        <v>652.79999999999995</v>
      </c>
      <c r="R213" s="13">
        <v>0</v>
      </c>
      <c r="S213" s="13">
        <f t="shared" si="97"/>
        <v>0</v>
      </c>
      <c r="T213" s="13">
        <f t="shared" si="98"/>
        <v>6528</v>
      </c>
      <c r="U213" s="13">
        <f t="shared" si="99"/>
        <v>6528</v>
      </c>
      <c r="V213" s="13">
        <v>0</v>
      </c>
      <c r="W213" s="13">
        <f t="shared" si="100"/>
        <v>0</v>
      </c>
      <c r="X213" s="115">
        <f t="shared" si="105"/>
        <v>0</v>
      </c>
      <c r="Y213" s="116">
        <f t="shared" si="108"/>
        <v>0</v>
      </c>
      <c r="Z213" s="116">
        <f t="shared" si="67"/>
        <v>0</v>
      </c>
      <c r="AA213" s="116">
        <f t="shared" si="68"/>
        <v>0</v>
      </c>
      <c r="AB213" s="117">
        <v>0</v>
      </c>
      <c r="AC213" s="116">
        <f t="shared" si="106"/>
        <v>0</v>
      </c>
      <c r="AD213" s="116">
        <f t="shared" si="107"/>
        <v>0</v>
      </c>
      <c r="AE213" s="118"/>
      <c r="AF213" s="119"/>
      <c r="AG213" s="120"/>
      <c r="AH213" s="118"/>
      <c r="AI213" s="119"/>
      <c r="AJ213" s="121"/>
    </row>
    <row r="214" spans="2:36" s="9" customFormat="1">
      <c r="B214" s="9">
        <v>16</v>
      </c>
      <c r="C214" s="9" t="s">
        <v>510</v>
      </c>
      <c r="G214" s="9">
        <v>2005</v>
      </c>
      <c r="H214" s="9">
        <v>3</v>
      </c>
      <c r="I214" s="9">
        <v>0</v>
      </c>
      <c r="J214" s="9" t="s">
        <v>78</v>
      </c>
      <c r="K214" s="158" t="s">
        <v>449</v>
      </c>
      <c r="L214" s="9">
        <f t="shared" si="92"/>
        <v>2015</v>
      </c>
      <c r="M214" s="127">
        <f t="shared" si="93"/>
        <v>2015.25</v>
      </c>
      <c r="N214" s="13">
        <v>6658.56</v>
      </c>
      <c r="O214" s="13">
        <f t="shared" si="94"/>
        <v>6658.56</v>
      </c>
      <c r="P214" s="13">
        <f t="shared" si="95"/>
        <v>55.488</v>
      </c>
      <c r="Q214" s="13">
        <f t="shared" si="96"/>
        <v>665.85599999999999</v>
      </c>
      <c r="R214" s="13">
        <v>0</v>
      </c>
      <c r="S214" s="13">
        <f t="shared" si="97"/>
        <v>0</v>
      </c>
      <c r="T214" s="13">
        <f t="shared" si="98"/>
        <v>6658.56</v>
      </c>
      <c r="U214" s="13">
        <f t="shared" si="99"/>
        <v>6658.56</v>
      </c>
      <c r="V214" s="13">
        <v>0</v>
      </c>
      <c r="W214" s="13">
        <f t="shared" si="100"/>
        <v>0</v>
      </c>
      <c r="X214" s="115">
        <f t="shared" si="105"/>
        <v>0</v>
      </c>
      <c r="Y214" s="116">
        <f t="shared" si="108"/>
        <v>0</v>
      </c>
      <c r="Z214" s="116">
        <f t="shared" si="67"/>
        <v>0</v>
      </c>
      <c r="AA214" s="116">
        <f t="shared" si="68"/>
        <v>0</v>
      </c>
      <c r="AB214" s="117">
        <v>0</v>
      </c>
      <c r="AC214" s="116">
        <f t="shared" si="106"/>
        <v>0</v>
      </c>
      <c r="AD214" s="116">
        <f t="shared" si="107"/>
        <v>0</v>
      </c>
      <c r="AE214" s="118"/>
      <c r="AF214" s="119"/>
      <c r="AG214" s="120"/>
      <c r="AH214" s="118"/>
      <c r="AI214" s="119"/>
      <c r="AJ214" s="121"/>
    </row>
    <row r="215" spans="2:36" s="9" customFormat="1">
      <c r="B215" s="9">
        <v>17</v>
      </c>
      <c r="C215" s="9" t="s">
        <v>510</v>
      </c>
      <c r="G215" s="9">
        <v>2004</v>
      </c>
      <c r="H215" s="9">
        <v>7</v>
      </c>
      <c r="I215" s="9">
        <v>0</v>
      </c>
      <c r="J215" s="9" t="s">
        <v>78</v>
      </c>
      <c r="K215" s="158" t="s">
        <v>449</v>
      </c>
      <c r="L215" s="9">
        <f t="shared" si="92"/>
        <v>2014</v>
      </c>
      <c r="M215" s="127">
        <f t="shared" si="93"/>
        <v>2014.5833333333333</v>
      </c>
      <c r="N215" s="13">
        <v>6767.36</v>
      </c>
      <c r="O215" s="13">
        <f t="shared" si="94"/>
        <v>6767.36</v>
      </c>
      <c r="P215" s="13">
        <f t="shared" si="95"/>
        <v>56.394666666666666</v>
      </c>
      <c r="Q215" s="13">
        <f t="shared" si="96"/>
        <v>676.73599999999999</v>
      </c>
      <c r="R215" s="13">
        <v>0</v>
      </c>
      <c r="S215" s="13">
        <f t="shared" si="97"/>
        <v>0</v>
      </c>
      <c r="T215" s="13">
        <f t="shared" si="98"/>
        <v>6767.36</v>
      </c>
      <c r="U215" s="13">
        <f t="shared" si="99"/>
        <v>6767.36</v>
      </c>
      <c r="V215" s="13">
        <v>0</v>
      </c>
      <c r="W215" s="13">
        <f t="shared" si="100"/>
        <v>0</v>
      </c>
      <c r="X215" s="115">
        <f t="shared" si="105"/>
        <v>0</v>
      </c>
      <c r="Y215" s="116">
        <f t="shared" si="108"/>
        <v>0</v>
      </c>
      <c r="Z215" s="116">
        <f t="shared" si="67"/>
        <v>0</v>
      </c>
      <c r="AA215" s="116">
        <f t="shared" si="68"/>
        <v>0</v>
      </c>
      <c r="AB215" s="117">
        <v>0</v>
      </c>
      <c r="AC215" s="116">
        <f t="shared" si="106"/>
        <v>0</v>
      </c>
      <c r="AD215" s="116">
        <f t="shared" si="107"/>
        <v>0</v>
      </c>
      <c r="AE215" s="118"/>
      <c r="AF215" s="119"/>
      <c r="AG215" s="120"/>
      <c r="AH215" s="118"/>
      <c r="AI215" s="119"/>
      <c r="AJ215" s="121"/>
    </row>
    <row r="216" spans="2:36" s="9" customFormat="1">
      <c r="B216" s="9">
        <v>17</v>
      </c>
      <c r="C216" s="9" t="s">
        <v>510</v>
      </c>
      <c r="G216" s="9">
        <v>2003</v>
      </c>
      <c r="H216" s="9">
        <v>6</v>
      </c>
      <c r="I216" s="9">
        <v>0</v>
      </c>
      <c r="J216" s="9" t="s">
        <v>78</v>
      </c>
      <c r="K216" s="158" t="s">
        <v>449</v>
      </c>
      <c r="L216" s="9">
        <f t="shared" si="92"/>
        <v>2013</v>
      </c>
      <c r="M216" s="127">
        <f t="shared" si="93"/>
        <v>2013.5</v>
      </c>
      <c r="N216" s="13">
        <v>6958.85</v>
      </c>
      <c r="O216" s="13">
        <f t="shared" si="94"/>
        <v>6958.85</v>
      </c>
      <c r="P216" s="13">
        <f t="shared" si="95"/>
        <v>57.990416666666668</v>
      </c>
      <c r="Q216" s="13">
        <f t="shared" si="96"/>
        <v>695.88499999999999</v>
      </c>
      <c r="R216" s="13">
        <v>0</v>
      </c>
      <c r="S216" s="13">
        <f t="shared" si="97"/>
        <v>0</v>
      </c>
      <c r="T216" s="13">
        <f t="shared" si="98"/>
        <v>6958.85</v>
      </c>
      <c r="U216" s="13">
        <f t="shared" si="99"/>
        <v>6958.85</v>
      </c>
      <c r="V216" s="13">
        <v>0</v>
      </c>
      <c r="W216" s="13">
        <f t="shared" si="100"/>
        <v>0</v>
      </c>
      <c r="X216" s="115">
        <f t="shared" si="105"/>
        <v>0</v>
      </c>
      <c r="Y216" s="116">
        <f t="shared" si="108"/>
        <v>0</v>
      </c>
      <c r="Z216" s="116">
        <f t="shared" si="67"/>
        <v>0</v>
      </c>
      <c r="AA216" s="116">
        <f t="shared" si="68"/>
        <v>0</v>
      </c>
      <c r="AB216" s="117">
        <v>0</v>
      </c>
      <c r="AC216" s="116">
        <f t="shared" si="106"/>
        <v>0</v>
      </c>
      <c r="AD216" s="116">
        <f t="shared" si="107"/>
        <v>0</v>
      </c>
      <c r="AE216" s="118"/>
      <c r="AF216" s="119"/>
      <c r="AG216" s="120"/>
      <c r="AH216" s="118"/>
      <c r="AI216" s="119"/>
      <c r="AJ216" s="121"/>
    </row>
    <row r="217" spans="2:36" s="9" customFormat="1">
      <c r="B217" s="9">
        <v>17</v>
      </c>
      <c r="C217" s="9" t="s">
        <v>510</v>
      </c>
      <c r="G217" s="9">
        <v>2003</v>
      </c>
      <c r="H217" s="9">
        <v>6</v>
      </c>
      <c r="I217" s="9">
        <v>0</v>
      </c>
      <c r="J217" s="9" t="s">
        <v>78</v>
      </c>
      <c r="K217" s="158" t="s">
        <v>449</v>
      </c>
      <c r="L217" s="9">
        <f t="shared" si="92"/>
        <v>2013</v>
      </c>
      <c r="M217" s="127">
        <f t="shared" si="93"/>
        <v>2013.5</v>
      </c>
      <c r="N217" s="13">
        <v>6958.85</v>
      </c>
      <c r="O217" s="13">
        <f t="shared" si="94"/>
        <v>6958.85</v>
      </c>
      <c r="P217" s="13">
        <f t="shared" si="95"/>
        <v>57.990416666666668</v>
      </c>
      <c r="Q217" s="13">
        <f t="shared" si="96"/>
        <v>695.88499999999999</v>
      </c>
      <c r="R217" s="13">
        <v>0</v>
      </c>
      <c r="S217" s="13">
        <f t="shared" si="97"/>
        <v>0</v>
      </c>
      <c r="T217" s="13">
        <f t="shared" si="98"/>
        <v>6958.85</v>
      </c>
      <c r="U217" s="13">
        <f t="shared" si="99"/>
        <v>6958.85</v>
      </c>
      <c r="V217" s="13">
        <v>0</v>
      </c>
      <c r="W217" s="13">
        <f t="shared" si="100"/>
        <v>0</v>
      </c>
      <c r="X217" s="115">
        <f t="shared" si="105"/>
        <v>0</v>
      </c>
      <c r="Y217" s="116">
        <f t="shared" si="108"/>
        <v>0</v>
      </c>
      <c r="Z217" s="116">
        <f t="shared" si="67"/>
        <v>0</v>
      </c>
      <c r="AA217" s="116">
        <f t="shared" si="68"/>
        <v>0</v>
      </c>
      <c r="AB217" s="117">
        <v>0</v>
      </c>
      <c r="AC217" s="116">
        <f t="shared" si="106"/>
        <v>0</v>
      </c>
      <c r="AD217" s="116">
        <f t="shared" si="107"/>
        <v>0</v>
      </c>
      <c r="AE217" s="118"/>
      <c r="AF217" s="119"/>
      <c r="AG217" s="120"/>
      <c r="AH217" s="118"/>
      <c r="AI217" s="119"/>
      <c r="AJ217" s="121"/>
    </row>
    <row r="218" spans="2:36" s="9" customFormat="1">
      <c r="B218" s="9">
        <v>18</v>
      </c>
      <c r="C218" s="9" t="s">
        <v>510</v>
      </c>
      <c r="G218" s="9">
        <v>2006</v>
      </c>
      <c r="H218" s="9">
        <v>9</v>
      </c>
      <c r="I218" s="9">
        <v>0</v>
      </c>
      <c r="J218" s="9" t="s">
        <v>78</v>
      </c>
      <c r="K218" s="158" t="s">
        <v>449</v>
      </c>
      <c r="L218" s="9">
        <f t="shared" si="92"/>
        <v>2016</v>
      </c>
      <c r="M218" s="127">
        <f t="shared" si="93"/>
        <v>2016.75</v>
      </c>
      <c r="N218" s="13">
        <v>7311.36</v>
      </c>
      <c r="O218" s="13">
        <f t="shared" si="94"/>
        <v>7311.36</v>
      </c>
      <c r="P218" s="13">
        <f t="shared" si="95"/>
        <v>60.927999999999997</v>
      </c>
      <c r="Q218" s="13">
        <f t="shared" si="96"/>
        <v>731.13599999999997</v>
      </c>
      <c r="R218" s="13">
        <v>0</v>
      </c>
      <c r="S218" s="13">
        <f t="shared" si="97"/>
        <v>0</v>
      </c>
      <c r="T218" s="13">
        <f t="shared" si="98"/>
        <v>7311.36</v>
      </c>
      <c r="U218" s="13">
        <f t="shared" si="99"/>
        <v>7311.36</v>
      </c>
      <c r="V218" s="13">
        <v>0</v>
      </c>
      <c r="W218" s="13">
        <f t="shared" si="100"/>
        <v>0</v>
      </c>
      <c r="X218" s="115">
        <f t="shared" si="105"/>
        <v>0</v>
      </c>
      <c r="Y218" s="116">
        <f t="shared" si="108"/>
        <v>0</v>
      </c>
      <c r="Z218" s="116">
        <f t="shared" si="67"/>
        <v>0</v>
      </c>
      <c r="AA218" s="116">
        <f t="shared" si="68"/>
        <v>0</v>
      </c>
      <c r="AB218" s="117">
        <v>0</v>
      </c>
      <c r="AC218" s="116">
        <f t="shared" si="106"/>
        <v>0</v>
      </c>
      <c r="AD218" s="116">
        <f t="shared" si="107"/>
        <v>0</v>
      </c>
      <c r="AE218" s="118"/>
      <c r="AF218" s="119"/>
      <c r="AG218" s="120"/>
      <c r="AH218" s="118"/>
      <c r="AI218" s="119"/>
      <c r="AJ218" s="121"/>
    </row>
    <row r="219" spans="2:36" s="9" customFormat="1">
      <c r="B219" s="9">
        <v>40</v>
      </c>
      <c r="C219" s="9" t="s">
        <v>510</v>
      </c>
      <c r="G219" s="9">
        <v>2008</v>
      </c>
      <c r="H219" s="9">
        <v>4</v>
      </c>
      <c r="I219" s="9">
        <v>0</v>
      </c>
      <c r="J219" s="9" t="s">
        <v>78</v>
      </c>
      <c r="K219" s="158" t="s">
        <v>449</v>
      </c>
      <c r="L219" s="9">
        <f t="shared" si="92"/>
        <v>2018</v>
      </c>
      <c r="M219" s="127">
        <f t="shared" si="93"/>
        <v>2018.3333333333333</v>
      </c>
      <c r="N219" s="13">
        <v>16371.8</v>
      </c>
      <c r="O219" s="13">
        <f t="shared" si="94"/>
        <v>16371.8</v>
      </c>
      <c r="P219" s="13">
        <f t="shared" si="95"/>
        <v>136.43166666666664</v>
      </c>
      <c r="Q219" s="13">
        <f t="shared" si="96"/>
        <v>1637.1799999999998</v>
      </c>
      <c r="R219" s="13">
        <v>0</v>
      </c>
      <c r="S219" s="13">
        <f t="shared" si="97"/>
        <v>0</v>
      </c>
      <c r="T219" s="13">
        <f t="shared" si="98"/>
        <v>16371.8</v>
      </c>
      <c r="U219" s="13">
        <f t="shared" si="99"/>
        <v>16371.8</v>
      </c>
      <c r="V219" s="13">
        <v>0</v>
      </c>
      <c r="W219" s="13">
        <f t="shared" si="100"/>
        <v>0</v>
      </c>
      <c r="X219" s="115">
        <f t="shared" si="105"/>
        <v>0</v>
      </c>
      <c r="Y219" s="116">
        <f t="shared" si="108"/>
        <v>0</v>
      </c>
      <c r="Z219" s="116">
        <f t="shared" si="67"/>
        <v>0</v>
      </c>
      <c r="AA219" s="116">
        <f t="shared" si="68"/>
        <v>0</v>
      </c>
      <c r="AB219" s="117">
        <v>0</v>
      </c>
      <c r="AC219" s="116">
        <f t="shared" si="106"/>
        <v>0</v>
      </c>
      <c r="AD219" s="116">
        <f t="shared" si="107"/>
        <v>0</v>
      </c>
      <c r="AE219" s="118"/>
      <c r="AF219" s="119"/>
      <c r="AG219" s="120"/>
      <c r="AH219" s="118"/>
      <c r="AI219" s="119"/>
      <c r="AJ219" s="121"/>
    </row>
    <row r="220" spans="2:36" s="9" customFormat="1">
      <c r="B220" s="9">
        <v>24</v>
      </c>
      <c r="C220" s="9" t="s">
        <v>543</v>
      </c>
      <c r="E220" s="9">
        <v>215455</v>
      </c>
      <c r="G220" s="9">
        <v>2019</v>
      </c>
      <c r="H220" s="9">
        <v>5</v>
      </c>
      <c r="I220" s="9">
        <v>0</v>
      </c>
      <c r="J220" s="9" t="s">
        <v>78</v>
      </c>
      <c r="K220" s="158">
        <v>12</v>
      </c>
      <c r="L220" s="9">
        <f t="shared" si="92"/>
        <v>2031</v>
      </c>
      <c r="M220" s="127">
        <f t="shared" si="93"/>
        <v>2031.4166666666667</v>
      </c>
      <c r="N220" s="13">
        <v>17476.41</v>
      </c>
      <c r="O220" s="13">
        <f t="shared" si="94"/>
        <v>17476.41</v>
      </c>
      <c r="P220" s="13">
        <f t="shared" si="95"/>
        <v>121.36395833333334</v>
      </c>
      <c r="Q220" s="13">
        <f t="shared" si="96"/>
        <v>1456.3675000000001</v>
      </c>
      <c r="R220" s="13">
        <v>1456.3675000000001</v>
      </c>
      <c r="S220" s="13">
        <f t="shared" si="97"/>
        <v>1456.3675000000001</v>
      </c>
      <c r="T220" s="13">
        <f t="shared" si="98"/>
        <v>2912.7350000000001</v>
      </c>
      <c r="U220" s="13">
        <f t="shared" si="99"/>
        <v>4369.1025</v>
      </c>
      <c r="V220" s="13">
        <v>16020.0425</v>
      </c>
      <c r="W220" s="13">
        <f t="shared" si="100"/>
        <v>13107.307499999999</v>
      </c>
      <c r="X220" s="115">
        <f t="shared" si="105"/>
        <v>1456.3675000000001</v>
      </c>
      <c r="Y220" s="116">
        <f t="shared" si="108"/>
        <v>13107.307499999999</v>
      </c>
      <c r="Z220" s="116">
        <f t="shared" si="67"/>
        <v>0</v>
      </c>
      <c r="AA220" s="116">
        <f t="shared" si="68"/>
        <v>-2912.7350000000006</v>
      </c>
      <c r="AB220" s="117">
        <v>0</v>
      </c>
      <c r="AC220" s="116">
        <f t="shared" si="106"/>
        <v>0</v>
      </c>
      <c r="AD220" s="116">
        <f t="shared" si="107"/>
        <v>0</v>
      </c>
      <c r="AE220" s="118"/>
      <c r="AF220" s="119"/>
      <c r="AG220" s="120"/>
      <c r="AH220" s="118"/>
      <c r="AI220" s="119"/>
      <c r="AJ220" s="121"/>
    </row>
    <row r="221" spans="2:36" s="9" customFormat="1">
      <c r="B221" s="9">
        <f>24+12</f>
        <v>36</v>
      </c>
      <c r="C221" s="9" t="s">
        <v>543</v>
      </c>
      <c r="E221" s="9" t="s">
        <v>544</v>
      </c>
      <c r="G221" s="9">
        <v>2019</v>
      </c>
      <c r="H221" s="9">
        <v>10</v>
      </c>
      <c r="I221" s="9">
        <v>0</v>
      </c>
      <c r="J221" s="9" t="s">
        <v>78</v>
      </c>
      <c r="K221" s="158">
        <v>12</v>
      </c>
      <c r="L221" s="9">
        <f t="shared" si="92"/>
        <v>2031</v>
      </c>
      <c r="M221" s="127">
        <f t="shared" si="93"/>
        <v>2031.8333333333333</v>
      </c>
      <c r="N221" s="13">
        <f>18126.31+10507.44</f>
        <v>28633.75</v>
      </c>
      <c r="O221" s="13">
        <f t="shared" si="94"/>
        <v>28633.75</v>
      </c>
      <c r="P221" s="13">
        <f t="shared" si="95"/>
        <v>198.84548611111111</v>
      </c>
      <c r="Q221" s="13">
        <f t="shared" si="96"/>
        <v>2386.1458333333335</v>
      </c>
      <c r="R221" s="13">
        <v>2386.1458333333335</v>
      </c>
      <c r="S221" s="13">
        <f t="shared" si="97"/>
        <v>2386.1458333333335</v>
      </c>
      <c r="T221" s="13">
        <f t="shared" si="98"/>
        <v>4772.291666666667</v>
      </c>
      <c r="U221" s="13">
        <f t="shared" si="99"/>
        <v>7158.4375</v>
      </c>
      <c r="V221" s="13">
        <v>26247.604166666668</v>
      </c>
      <c r="W221" s="13">
        <f t="shared" si="100"/>
        <v>21475.3125</v>
      </c>
      <c r="X221" s="115">
        <f t="shared" si="105"/>
        <v>2386.1458333333335</v>
      </c>
      <c r="Y221" s="116">
        <f t="shared" si="108"/>
        <v>21475.3125</v>
      </c>
      <c r="Z221" s="116">
        <f t="shared" si="67"/>
        <v>0</v>
      </c>
      <c r="AA221" s="116">
        <f t="shared" si="68"/>
        <v>-4772.2916666666679</v>
      </c>
      <c r="AB221" s="117">
        <v>0</v>
      </c>
      <c r="AC221" s="116">
        <f t="shared" si="106"/>
        <v>0</v>
      </c>
      <c r="AD221" s="116">
        <f t="shared" si="107"/>
        <v>0</v>
      </c>
      <c r="AE221" s="118"/>
      <c r="AF221" s="119"/>
      <c r="AG221" s="120"/>
      <c r="AH221" s="118"/>
      <c r="AI221" s="119"/>
      <c r="AJ221" s="121"/>
    </row>
    <row r="222" spans="2:36" s="9" customFormat="1">
      <c r="B222" s="9">
        <v>15</v>
      </c>
      <c r="C222" s="9" t="s">
        <v>512</v>
      </c>
      <c r="E222" s="9">
        <v>171565</v>
      </c>
      <c r="G222" s="9">
        <v>2016</v>
      </c>
      <c r="H222" s="9">
        <v>12</v>
      </c>
      <c r="I222" s="9">
        <v>0</v>
      </c>
      <c r="J222" s="9" t="s">
        <v>78</v>
      </c>
      <c r="K222" s="158">
        <v>7</v>
      </c>
      <c r="L222" s="9">
        <f t="shared" si="92"/>
        <v>2023</v>
      </c>
      <c r="M222" s="127">
        <f t="shared" si="93"/>
        <v>2024</v>
      </c>
      <c r="N222" s="13">
        <v>12240</v>
      </c>
      <c r="O222" s="13">
        <f t="shared" si="94"/>
        <v>12240</v>
      </c>
      <c r="P222" s="13">
        <f t="shared" si="95"/>
        <v>145.71428571428572</v>
      </c>
      <c r="Q222" s="13">
        <f t="shared" si="96"/>
        <v>1748.5714285714287</v>
      </c>
      <c r="R222" s="13">
        <v>1748.5714285714287</v>
      </c>
      <c r="S222" s="13">
        <f t="shared" si="97"/>
        <v>1748.5714285714287</v>
      </c>
      <c r="T222" s="13">
        <f t="shared" si="98"/>
        <v>8742.8571428571431</v>
      </c>
      <c r="U222" s="13">
        <f t="shared" si="99"/>
        <v>10491.428571428572</v>
      </c>
      <c r="V222" s="13">
        <v>6994.2857142857138</v>
      </c>
      <c r="W222" s="13">
        <f t="shared" si="100"/>
        <v>1748.5714285714275</v>
      </c>
      <c r="X222" s="115">
        <f t="shared" si="105"/>
        <v>1748.5714285714287</v>
      </c>
      <c r="Y222" s="116">
        <f t="shared" si="108"/>
        <v>1748.5714285714275</v>
      </c>
      <c r="Z222" s="116">
        <f t="shared" si="67"/>
        <v>0</v>
      </c>
      <c r="AA222" s="116">
        <f t="shared" si="68"/>
        <v>-5245.7142857142862</v>
      </c>
      <c r="AB222" s="117">
        <v>0</v>
      </c>
      <c r="AC222" s="116">
        <f t="shared" si="106"/>
        <v>0</v>
      </c>
      <c r="AD222" s="116">
        <f t="shared" si="107"/>
        <v>0</v>
      </c>
      <c r="AE222" s="118"/>
      <c r="AF222" s="119"/>
      <c r="AG222" s="120"/>
      <c r="AH222" s="118"/>
      <c r="AI222" s="119"/>
      <c r="AJ222" s="121"/>
    </row>
    <row r="223" spans="2:36" s="9" customFormat="1">
      <c r="B223" s="9">
        <v>55</v>
      </c>
      <c r="C223" s="9" t="s">
        <v>545</v>
      </c>
      <c r="E223" s="9">
        <v>128765</v>
      </c>
      <c r="G223" s="9">
        <v>2015</v>
      </c>
      <c r="H223" s="9">
        <v>9</v>
      </c>
      <c r="I223" s="9">
        <v>0</v>
      </c>
      <c r="J223" s="9" t="s">
        <v>78</v>
      </c>
      <c r="K223" s="158">
        <v>7</v>
      </c>
      <c r="L223" s="9">
        <f t="shared" si="92"/>
        <v>2022</v>
      </c>
      <c r="M223" s="127">
        <f t="shared" si="93"/>
        <v>2022.75</v>
      </c>
      <c r="N223" s="13">
        <v>36034.559999999998</v>
      </c>
      <c r="O223" s="13">
        <f t="shared" si="94"/>
        <v>36034.559999999998</v>
      </c>
      <c r="P223" s="13">
        <f t="shared" si="95"/>
        <v>428.98285714285709</v>
      </c>
      <c r="Q223" s="13">
        <f t="shared" si="96"/>
        <v>5147.7942857142853</v>
      </c>
      <c r="R223" s="13">
        <v>5147.7942857142853</v>
      </c>
      <c r="S223" s="13">
        <f t="shared" si="97"/>
        <v>0</v>
      </c>
      <c r="T223" s="13">
        <f t="shared" si="98"/>
        <v>36034.559999999998</v>
      </c>
      <c r="U223" s="13">
        <f t="shared" si="99"/>
        <v>36034.559999999998</v>
      </c>
      <c r="V223" s="13">
        <v>15443.382857142857</v>
      </c>
      <c r="W223" s="13">
        <f t="shared" si="100"/>
        <v>0</v>
      </c>
      <c r="X223" s="115">
        <f t="shared" si="105"/>
        <v>0</v>
      </c>
      <c r="Y223" s="116">
        <f t="shared" si="108"/>
        <v>0</v>
      </c>
      <c r="Z223" s="116">
        <f t="shared" si="67"/>
        <v>-5147.7942857142853</v>
      </c>
      <c r="AA223" s="116">
        <f t="shared" si="68"/>
        <v>-15443.382857142857</v>
      </c>
      <c r="AB223" s="117">
        <v>0</v>
      </c>
      <c r="AC223" s="116">
        <f t="shared" si="106"/>
        <v>0</v>
      </c>
      <c r="AD223" s="116">
        <f t="shared" si="107"/>
        <v>0</v>
      </c>
      <c r="AE223" s="118"/>
      <c r="AF223" s="119"/>
      <c r="AG223" s="120"/>
      <c r="AH223" s="118"/>
      <c r="AI223" s="119"/>
      <c r="AJ223" s="121"/>
    </row>
    <row r="224" spans="2:36" s="9" customFormat="1">
      <c r="B224" s="9">
        <v>9</v>
      </c>
      <c r="C224" s="9" t="s">
        <v>524</v>
      </c>
      <c r="E224" s="9">
        <v>86880</v>
      </c>
      <c r="G224" s="9">
        <v>2011</v>
      </c>
      <c r="H224" s="9">
        <v>9</v>
      </c>
      <c r="I224" s="9">
        <v>0</v>
      </c>
      <c r="J224" s="9" t="s">
        <v>78</v>
      </c>
      <c r="K224" s="158">
        <v>10</v>
      </c>
      <c r="L224" s="9">
        <f t="shared" si="92"/>
        <v>2021</v>
      </c>
      <c r="M224" s="127">
        <f t="shared" si="93"/>
        <v>2021.75</v>
      </c>
      <c r="N224" s="13">
        <v>7358.08</v>
      </c>
      <c r="O224" s="13">
        <f t="shared" si="94"/>
        <v>7358.08</v>
      </c>
      <c r="P224" s="13">
        <f t="shared" si="95"/>
        <v>61.31733333333333</v>
      </c>
      <c r="Q224" s="13">
        <f t="shared" si="96"/>
        <v>735.80799999999999</v>
      </c>
      <c r="R224" s="13">
        <v>735.80799999999999</v>
      </c>
      <c r="S224" s="13">
        <f t="shared" si="97"/>
        <v>0</v>
      </c>
      <c r="T224" s="13">
        <f t="shared" si="98"/>
        <v>7358.08</v>
      </c>
      <c r="U224" s="13">
        <f t="shared" si="99"/>
        <v>7358.08</v>
      </c>
      <c r="V224" s="13">
        <v>1471.616</v>
      </c>
      <c r="W224" s="13">
        <f t="shared" si="100"/>
        <v>0</v>
      </c>
      <c r="X224" s="115">
        <f t="shared" si="105"/>
        <v>0</v>
      </c>
      <c r="Y224" s="116">
        <f t="shared" si="108"/>
        <v>0</v>
      </c>
      <c r="Z224" s="116">
        <f t="shared" si="67"/>
        <v>-735.80799999999999</v>
      </c>
      <c r="AA224" s="116">
        <f t="shared" si="68"/>
        <v>-1471.616</v>
      </c>
      <c r="AB224" s="117">
        <v>0</v>
      </c>
      <c r="AC224" s="116">
        <f t="shared" si="106"/>
        <v>0</v>
      </c>
      <c r="AD224" s="116">
        <f t="shared" si="107"/>
        <v>0</v>
      </c>
      <c r="AE224" s="118"/>
      <c r="AF224" s="119"/>
      <c r="AG224" s="120"/>
      <c r="AH224" s="118"/>
      <c r="AI224" s="119"/>
      <c r="AJ224" s="121"/>
    </row>
    <row r="225" spans="2:36" s="9" customFormat="1">
      <c r="B225" s="9">
        <v>29</v>
      </c>
      <c r="C225" s="9" t="s">
        <v>524</v>
      </c>
      <c r="G225" s="9">
        <v>2007</v>
      </c>
      <c r="H225" s="9">
        <v>9</v>
      </c>
      <c r="I225" s="9">
        <v>0</v>
      </c>
      <c r="J225" s="9" t="s">
        <v>78</v>
      </c>
      <c r="K225" s="158" t="s">
        <v>449</v>
      </c>
      <c r="L225" s="9">
        <f t="shared" si="92"/>
        <v>2017</v>
      </c>
      <c r="M225" s="127">
        <f t="shared" si="93"/>
        <v>2017.75</v>
      </c>
      <c r="N225" s="13">
        <v>13081.07</v>
      </c>
      <c r="O225" s="13">
        <f t="shared" si="94"/>
        <v>13081.07</v>
      </c>
      <c r="P225" s="13">
        <f t="shared" si="95"/>
        <v>109.00891666666666</v>
      </c>
      <c r="Q225" s="13">
        <f t="shared" si="96"/>
        <v>1308.107</v>
      </c>
      <c r="R225" s="13">
        <v>0</v>
      </c>
      <c r="S225" s="13">
        <f t="shared" si="97"/>
        <v>0</v>
      </c>
      <c r="T225" s="13">
        <f t="shared" si="98"/>
        <v>13081.07</v>
      </c>
      <c r="U225" s="13">
        <f t="shared" si="99"/>
        <v>13081.07</v>
      </c>
      <c r="V225" s="13">
        <v>0</v>
      </c>
      <c r="W225" s="13">
        <f t="shared" si="100"/>
        <v>0</v>
      </c>
      <c r="X225" s="115">
        <f t="shared" si="105"/>
        <v>0</v>
      </c>
      <c r="Y225" s="116">
        <f t="shared" si="108"/>
        <v>0</v>
      </c>
      <c r="Z225" s="116">
        <f t="shared" si="67"/>
        <v>0</v>
      </c>
      <c r="AA225" s="116">
        <f t="shared" si="68"/>
        <v>0</v>
      </c>
      <c r="AB225" s="117">
        <v>0</v>
      </c>
      <c r="AC225" s="116">
        <f t="shared" si="106"/>
        <v>0</v>
      </c>
      <c r="AD225" s="116">
        <f t="shared" si="107"/>
        <v>0</v>
      </c>
      <c r="AE225" s="118"/>
      <c r="AF225" s="119"/>
      <c r="AG225" s="120"/>
      <c r="AH225" s="118"/>
      <c r="AI225" s="119"/>
      <c r="AJ225" s="121"/>
    </row>
    <row r="226" spans="2:36" s="9" customFormat="1">
      <c r="B226" s="9">
        <v>38</v>
      </c>
      <c r="C226" s="9" t="s">
        <v>524</v>
      </c>
      <c r="G226" s="9">
        <v>2007</v>
      </c>
      <c r="H226" s="9">
        <v>9</v>
      </c>
      <c r="I226" s="9">
        <v>0</v>
      </c>
      <c r="J226" s="9" t="s">
        <v>78</v>
      </c>
      <c r="K226" s="158" t="s">
        <v>449</v>
      </c>
      <c r="L226" s="9">
        <f t="shared" si="92"/>
        <v>2017</v>
      </c>
      <c r="M226" s="127">
        <f t="shared" si="93"/>
        <v>2017.75</v>
      </c>
      <c r="N226" s="13">
        <v>17106.009999999998</v>
      </c>
      <c r="O226" s="13">
        <f t="shared" si="94"/>
        <v>17106.009999999998</v>
      </c>
      <c r="P226" s="13">
        <f t="shared" si="95"/>
        <v>142.55008333333333</v>
      </c>
      <c r="Q226" s="13">
        <f t="shared" si="96"/>
        <v>1710.6010000000001</v>
      </c>
      <c r="R226" s="13">
        <v>0</v>
      </c>
      <c r="S226" s="13">
        <f t="shared" si="97"/>
        <v>0</v>
      </c>
      <c r="T226" s="13">
        <f t="shared" si="98"/>
        <v>17106.009999999998</v>
      </c>
      <c r="U226" s="13">
        <f t="shared" si="99"/>
        <v>17106.009999999998</v>
      </c>
      <c r="V226" s="13">
        <v>0</v>
      </c>
      <c r="W226" s="13">
        <f t="shared" si="100"/>
        <v>0</v>
      </c>
      <c r="X226" s="115">
        <f t="shared" si="105"/>
        <v>0</v>
      </c>
      <c r="Y226" s="116">
        <f t="shared" si="108"/>
        <v>0</v>
      </c>
      <c r="Z226" s="116">
        <f t="shared" si="67"/>
        <v>0</v>
      </c>
      <c r="AA226" s="116">
        <f t="shared" si="68"/>
        <v>0</v>
      </c>
      <c r="AB226" s="117">
        <v>0</v>
      </c>
      <c r="AC226" s="116">
        <f t="shared" si="106"/>
        <v>0</v>
      </c>
      <c r="AD226" s="116">
        <f t="shared" si="107"/>
        <v>0</v>
      </c>
      <c r="AE226" s="118"/>
      <c r="AF226" s="119"/>
      <c r="AG226" s="120"/>
      <c r="AH226" s="118"/>
      <c r="AI226" s="119"/>
      <c r="AJ226" s="121"/>
    </row>
    <row r="227" spans="2:36" s="9" customFormat="1">
      <c r="B227" s="9">
        <v>49</v>
      </c>
      <c r="C227" s="9" t="s">
        <v>524</v>
      </c>
      <c r="G227" s="9">
        <v>2008</v>
      </c>
      <c r="H227" s="9">
        <v>7</v>
      </c>
      <c r="I227" s="9">
        <v>0</v>
      </c>
      <c r="J227" s="9" t="s">
        <v>78</v>
      </c>
      <c r="K227" s="158" t="s">
        <v>449</v>
      </c>
      <c r="L227" s="9">
        <f t="shared" si="92"/>
        <v>2018</v>
      </c>
      <c r="M227" s="127">
        <f t="shared" si="93"/>
        <v>2018.5833333333333</v>
      </c>
      <c r="N227" s="13">
        <v>22330.400000000001</v>
      </c>
      <c r="O227" s="13">
        <f t="shared" si="94"/>
        <v>22330.400000000001</v>
      </c>
      <c r="P227" s="13">
        <f t="shared" si="95"/>
        <v>186.08666666666667</v>
      </c>
      <c r="Q227" s="13">
        <f t="shared" si="96"/>
        <v>2233.04</v>
      </c>
      <c r="R227" s="13">
        <v>0</v>
      </c>
      <c r="S227" s="13">
        <f t="shared" si="97"/>
        <v>0</v>
      </c>
      <c r="T227" s="13">
        <f t="shared" si="98"/>
        <v>22330.400000000001</v>
      </c>
      <c r="U227" s="13">
        <f t="shared" si="99"/>
        <v>22330.400000000001</v>
      </c>
      <c r="V227" s="13">
        <v>0</v>
      </c>
      <c r="W227" s="13">
        <f t="shared" si="100"/>
        <v>0</v>
      </c>
      <c r="X227" s="115">
        <f t="shared" si="105"/>
        <v>0</v>
      </c>
      <c r="Y227" s="116">
        <f t="shared" si="108"/>
        <v>0</v>
      </c>
      <c r="Z227" s="116">
        <f t="shared" si="67"/>
        <v>0</v>
      </c>
      <c r="AA227" s="116">
        <f t="shared" si="68"/>
        <v>0</v>
      </c>
      <c r="AB227" s="117">
        <v>0</v>
      </c>
      <c r="AC227" s="116">
        <f t="shared" si="106"/>
        <v>0</v>
      </c>
      <c r="AD227" s="116">
        <f t="shared" si="107"/>
        <v>0</v>
      </c>
      <c r="AE227" s="118"/>
      <c r="AF227" s="119"/>
      <c r="AG227" s="120"/>
      <c r="AH227" s="118"/>
      <c r="AI227" s="119"/>
      <c r="AJ227" s="121"/>
    </row>
    <row r="228" spans="2:36" s="9" customFormat="1">
      <c r="B228" s="9">
        <v>54</v>
      </c>
      <c r="C228" s="9" t="s">
        <v>524</v>
      </c>
      <c r="G228" s="9">
        <v>2008</v>
      </c>
      <c r="H228" s="9">
        <v>8</v>
      </c>
      <c r="I228" s="9">
        <v>0</v>
      </c>
      <c r="J228" s="9" t="s">
        <v>78</v>
      </c>
      <c r="K228" s="158" t="s">
        <v>449</v>
      </c>
      <c r="L228" s="9">
        <f t="shared" si="92"/>
        <v>2018</v>
      </c>
      <c r="M228" s="127">
        <f t="shared" si="93"/>
        <v>2018.6666666666667</v>
      </c>
      <c r="N228" s="13">
        <v>24654.080000000002</v>
      </c>
      <c r="O228" s="13">
        <f t="shared" si="94"/>
        <v>24654.080000000002</v>
      </c>
      <c r="P228" s="13">
        <f t="shared" si="95"/>
        <v>205.45066666666671</v>
      </c>
      <c r="Q228" s="13">
        <f t="shared" si="96"/>
        <v>2465.4080000000004</v>
      </c>
      <c r="R228" s="13">
        <v>0</v>
      </c>
      <c r="S228" s="13">
        <f t="shared" si="97"/>
        <v>0</v>
      </c>
      <c r="T228" s="13">
        <f t="shared" si="98"/>
        <v>24654.080000000002</v>
      </c>
      <c r="U228" s="13">
        <f t="shared" si="99"/>
        <v>24654.080000000002</v>
      </c>
      <c r="V228" s="13">
        <v>0</v>
      </c>
      <c r="W228" s="13">
        <f t="shared" si="100"/>
        <v>0</v>
      </c>
      <c r="X228" s="115">
        <f t="shared" si="105"/>
        <v>0</v>
      </c>
      <c r="Y228" s="116">
        <f t="shared" si="108"/>
        <v>0</v>
      </c>
      <c r="Z228" s="116">
        <f t="shared" si="67"/>
        <v>0</v>
      </c>
      <c r="AA228" s="116">
        <f t="shared" si="68"/>
        <v>0</v>
      </c>
      <c r="AB228" s="117">
        <v>0</v>
      </c>
      <c r="AC228" s="116">
        <f t="shared" si="106"/>
        <v>0</v>
      </c>
      <c r="AD228" s="116">
        <f t="shared" si="107"/>
        <v>0</v>
      </c>
      <c r="AE228" s="118"/>
      <c r="AF228" s="119"/>
      <c r="AG228" s="120"/>
      <c r="AH228" s="118"/>
      <c r="AI228" s="119"/>
      <c r="AJ228" s="121"/>
    </row>
    <row r="229" spans="2:36" s="9" customFormat="1">
      <c r="B229" s="9">
        <v>24</v>
      </c>
      <c r="C229" s="9" t="s">
        <v>546</v>
      </c>
      <c r="E229" s="9">
        <v>215456</v>
      </c>
      <c r="G229" s="9">
        <v>2019</v>
      </c>
      <c r="H229" s="9">
        <v>5</v>
      </c>
      <c r="I229" s="9">
        <v>0</v>
      </c>
      <c r="J229" s="9" t="s">
        <v>78</v>
      </c>
      <c r="K229" s="158">
        <v>12</v>
      </c>
      <c r="L229" s="9">
        <f t="shared" si="92"/>
        <v>2031</v>
      </c>
      <c r="M229" s="127">
        <f t="shared" si="93"/>
        <v>2031.4166666666667</v>
      </c>
      <c r="N229" s="13">
        <v>23273.69</v>
      </c>
      <c r="O229" s="13">
        <f t="shared" si="94"/>
        <v>23273.69</v>
      </c>
      <c r="P229" s="13">
        <f t="shared" si="95"/>
        <v>161.62284722222222</v>
      </c>
      <c r="Q229" s="13">
        <f t="shared" si="96"/>
        <v>1939.4741666666666</v>
      </c>
      <c r="R229" s="13">
        <v>1939.4741666666666</v>
      </c>
      <c r="S229" s="13">
        <f t="shared" si="97"/>
        <v>1939.4741666666666</v>
      </c>
      <c r="T229" s="13">
        <f t="shared" si="98"/>
        <v>3878.9483333333333</v>
      </c>
      <c r="U229" s="13">
        <f t="shared" si="99"/>
        <v>5818.4224999999997</v>
      </c>
      <c r="V229" s="13">
        <v>21334.215833333332</v>
      </c>
      <c r="W229" s="13">
        <f t="shared" si="100"/>
        <v>17455.267499999998</v>
      </c>
      <c r="X229" s="115">
        <f t="shared" si="105"/>
        <v>1939.4741666666666</v>
      </c>
      <c r="Y229" s="116">
        <f t="shared" si="108"/>
        <v>17455.267499999998</v>
      </c>
      <c r="Z229" s="116">
        <f t="shared" si="67"/>
        <v>0</v>
      </c>
      <c r="AA229" s="116">
        <f t="shared" si="68"/>
        <v>-3878.9483333333337</v>
      </c>
      <c r="AB229" s="117">
        <v>0</v>
      </c>
      <c r="AC229" s="116">
        <f t="shared" si="106"/>
        <v>0</v>
      </c>
      <c r="AD229" s="116">
        <f t="shared" si="107"/>
        <v>0</v>
      </c>
      <c r="AE229" s="118"/>
      <c r="AF229" s="119"/>
      <c r="AG229" s="120"/>
      <c r="AH229" s="118"/>
      <c r="AI229" s="119"/>
      <c r="AJ229" s="121"/>
    </row>
    <row r="230" spans="2:36" s="9" customFormat="1">
      <c r="B230" s="9">
        <f>36+48</f>
        <v>84</v>
      </c>
      <c r="C230" s="9" t="s">
        <v>546</v>
      </c>
      <c r="E230" s="9" t="s">
        <v>547</v>
      </c>
      <c r="G230" s="9">
        <v>2019</v>
      </c>
      <c r="H230" s="9">
        <v>10</v>
      </c>
      <c r="I230" s="9">
        <v>0</v>
      </c>
      <c r="J230" s="9" t="s">
        <v>78</v>
      </c>
      <c r="K230" s="158">
        <v>12</v>
      </c>
      <c r="L230" s="9">
        <f t="shared" si="92"/>
        <v>2031</v>
      </c>
      <c r="M230" s="127">
        <f t="shared" si="93"/>
        <v>2031.8333333333333</v>
      </c>
      <c r="N230" s="13">
        <f>46489.19+33917.97</f>
        <v>80407.16</v>
      </c>
      <c r="O230" s="13">
        <f t="shared" si="94"/>
        <v>80407.16</v>
      </c>
      <c r="P230" s="13">
        <f t="shared" si="95"/>
        <v>558.38305555555564</v>
      </c>
      <c r="Q230" s="13">
        <f t="shared" si="96"/>
        <v>6700.5966666666682</v>
      </c>
      <c r="R230" s="13">
        <v>6700.5966666666682</v>
      </c>
      <c r="S230" s="13">
        <f t="shared" si="97"/>
        <v>6700.5966666666682</v>
      </c>
      <c r="T230" s="13">
        <f t="shared" si="98"/>
        <v>13401.193333333336</v>
      </c>
      <c r="U230" s="13">
        <f t="shared" si="99"/>
        <v>20101.790000000005</v>
      </c>
      <c r="V230" s="13">
        <v>73706.563333333339</v>
      </c>
      <c r="W230" s="13">
        <f t="shared" si="100"/>
        <v>60305.369999999995</v>
      </c>
      <c r="X230" s="115">
        <f t="shared" si="105"/>
        <v>6700.5966666666682</v>
      </c>
      <c r="Y230" s="116">
        <f t="shared" si="108"/>
        <v>60305.369999999995</v>
      </c>
      <c r="Z230" s="116">
        <f t="shared" si="67"/>
        <v>0</v>
      </c>
      <c r="AA230" s="116">
        <f t="shared" si="68"/>
        <v>-13401.193333333344</v>
      </c>
      <c r="AB230" s="117">
        <v>0</v>
      </c>
      <c r="AC230" s="116">
        <f t="shared" si="106"/>
        <v>0</v>
      </c>
      <c r="AD230" s="116">
        <f t="shared" si="107"/>
        <v>0</v>
      </c>
      <c r="AE230" s="118"/>
      <c r="AF230" s="119"/>
      <c r="AG230" s="120"/>
      <c r="AH230" s="118"/>
      <c r="AI230" s="119"/>
      <c r="AJ230" s="121"/>
    </row>
    <row r="231" spans="2:36" s="9" customFormat="1">
      <c r="B231" s="9">
        <v>20</v>
      </c>
      <c r="C231" s="9" t="s">
        <v>548</v>
      </c>
      <c r="E231" s="9" t="s">
        <v>549</v>
      </c>
      <c r="G231" s="9">
        <v>2014</v>
      </c>
      <c r="H231" s="9">
        <v>3</v>
      </c>
      <c r="I231" s="9">
        <v>0</v>
      </c>
      <c r="J231" s="9" t="s">
        <v>78</v>
      </c>
      <c r="K231" s="158">
        <v>12</v>
      </c>
      <c r="L231" s="9">
        <f t="shared" si="92"/>
        <v>2026</v>
      </c>
      <c r="M231" s="127">
        <f t="shared" si="93"/>
        <v>2026.25</v>
      </c>
      <c r="N231" s="13">
        <f>5635.84+8856.32+1610.24</f>
        <v>16102.4</v>
      </c>
      <c r="O231" s="13">
        <f t="shared" si="94"/>
        <v>16102.4</v>
      </c>
      <c r="P231" s="13">
        <f t="shared" si="95"/>
        <v>111.82222222222221</v>
      </c>
      <c r="Q231" s="13">
        <f t="shared" si="96"/>
        <v>1341.8666666666666</v>
      </c>
      <c r="R231" s="13">
        <v>1341.8666666666666</v>
      </c>
      <c r="S231" s="13">
        <f t="shared" si="97"/>
        <v>1341.8666666666666</v>
      </c>
      <c r="T231" s="13">
        <f t="shared" si="98"/>
        <v>9393.0666666666657</v>
      </c>
      <c r="U231" s="13">
        <f t="shared" si="99"/>
        <v>10734.933333333332</v>
      </c>
      <c r="V231" s="13">
        <v>9393.0666666666657</v>
      </c>
      <c r="W231" s="13">
        <f t="shared" si="100"/>
        <v>5367.4666666666672</v>
      </c>
      <c r="X231" s="115">
        <f t="shared" si="105"/>
        <v>1341.8666666666666</v>
      </c>
      <c r="Y231" s="116">
        <f t="shared" si="108"/>
        <v>5367.4666666666672</v>
      </c>
      <c r="Z231" s="116">
        <f t="shared" si="67"/>
        <v>0</v>
      </c>
      <c r="AA231" s="116">
        <f t="shared" si="68"/>
        <v>-4025.5999999999985</v>
      </c>
      <c r="AB231" s="117">
        <v>0</v>
      </c>
      <c r="AC231" s="116">
        <f t="shared" si="106"/>
        <v>0</v>
      </c>
      <c r="AD231" s="116">
        <f t="shared" si="107"/>
        <v>0</v>
      </c>
      <c r="AE231" s="118"/>
      <c r="AF231" s="119"/>
      <c r="AG231" s="120"/>
      <c r="AH231" s="118"/>
      <c r="AI231" s="119"/>
      <c r="AJ231" s="121"/>
    </row>
    <row r="232" spans="2:36" s="9" customFormat="1">
      <c r="B232" s="9">
        <v>40</v>
      </c>
      <c r="C232" s="9" t="s">
        <v>550</v>
      </c>
      <c r="E232" s="9" t="s">
        <v>551</v>
      </c>
      <c r="G232" s="9">
        <v>2013</v>
      </c>
      <c r="H232" s="9">
        <v>6</v>
      </c>
      <c r="I232" s="9">
        <v>0</v>
      </c>
      <c r="J232" s="9" t="s">
        <v>78</v>
      </c>
      <c r="K232" s="158">
        <v>12</v>
      </c>
      <c r="L232" s="9">
        <f t="shared" si="92"/>
        <v>2025</v>
      </c>
      <c r="M232" s="127">
        <f t="shared" si="93"/>
        <v>2025.5</v>
      </c>
      <c r="N232" s="13">
        <v>31552</v>
      </c>
      <c r="O232" s="13">
        <f t="shared" si="94"/>
        <v>31552</v>
      </c>
      <c r="P232" s="13">
        <f t="shared" si="95"/>
        <v>219.11111111111111</v>
      </c>
      <c r="Q232" s="13">
        <f t="shared" si="96"/>
        <v>2629.3333333333335</v>
      </c>
      <c r="R232" s="13">
        <v>2629.3333333333335</v>
      </c>
      <c r="S232" s="13">
        <f t="shared" si="97"/>
        <v>2629.3333333333335</v>
      </c>
      <c r="T232" s="13">
        <f t="shared" si="98"/>
        <v>21034.666666666668</v>
      </c>
      <c r="U232" s="13">
        <f t="shared" si="99"/>
        <v>23664</v>
      </c>
      <c r="V232" s="13">
        <v>15775.999999999998</v>
      </c>
      <c r="W232" s="13">
        <f t="shared" si="100"/>
        <v>7888</v>
      </c>
      <c r="X232" s="115">
        <f t="shared" si="105"/>
        <v>2629.3333333333335</v>
      </c>
      <c r="Y232" s="116">
        <f t="shared" si="108"/>
        <v>7888</v>
      </c>
      <c r="Z232" s="116">
        <f t="shared" si="67"/>
        <v>0</v>
      </c>
      <c r="AA232" s="116">
        <f t="shared" si="68"/>
        <v>-7887.9999999999982</v>
      </c>
      <c r="AB232" s="117">
        <v>0</v>
      </c>
      <c r="AC232" s="116">
        <f t="shared" si="106"/>
        <v>0</v>
      </c>
      <c r="AD232" s="116">
        <f t="shared" si="107"/>
        <v>0</v>
      </c>
      <c r="AE232" s="118"/>
      <c r="AF232" s="119"/>
      <c r="AG232" s="120"/>
      <c r="AH232" s="118"/>
      <c r="AI232" s="119"/>
      <c r="AJ232" s="121"/>
    </row>
    <row r="233" spans="2:36" s="9" customFormat="1">
      <c r="B233" s="9">
        <v>13</v>
      </c>
      <c r="C233" s="9" t="s">
        <v>552</v>
      </c>
      <c r="E233" s="9">
        <v>183935</v>
      </c>
      <c r="G233" s="9">
        <v>2017</v>
      </c>
      <c r="H233" s="9">
        <v>6</v>
      </c>
      <c r="I233" s="9">
        <v>0</v>
      </c>
      <c r="J233" s="9" t="s">
        <v>78</v>
      </c>
      <c r="K233" s="158">
        <v>7</v>
      </c>
      <c r="L233" s="9">
        <f t="shared" si="92"/>
        <v>2024</v>
      </c>
      <c r="M233" s="127">
        <f t="shared" si="93"/>
        <v>2024.5</v>
      </c>
      <c r="N233" s="13">
        <v>17637.47</v>
      </c>
      <c r="O233" s="13">
        <f t="shared" si="94"/>
        <v>17637.47</v>
      </c>
      <c r="P233" s="13">
        <f t="shared" si="95"/>
        <v>209.96988095238098</v>
      </c>
      <c r="Q233" s="13">
        <f t="shared" si="96"/>
        <v>2519.6385714285716</v>
      </c>
      <c r="R233" s="13">
        <v>2519.6385714285716</v>
      </c>
      <c r="S233" s="13">
        <f t="shared" si="97"/>
        <v>2519.6385714285716</v>
      </c>
      <c r="T233" s="13">
        <f t="shared" si="98"/>
        <v>10078.554285714286</v>
      </c>
      <c r="U233" s="13">
        <f t="shared" si="99"/>
        <v>12598.192857142858</v>
      </c>
      <c r="V233" s="13">
        <v>12598.192857142858</v>
      </c>
      <c r="W233" s="13">
        <f t="shared" si="100"/>
        <v>5039.2771428571432</v>
      </c>
      <c r="X233" s="115">
        <f t="shared" si="105"/>
        <v>2519.6385714285716</v>
      </c>
      <c r="Y233" s="116">
        <f t="shared" si="108"/>
        <v>5039.2771428571432</v>
      </c>
      <c r="Z233" s="116">
        <f t="shared" si="67"/>
        <v>0</v>
      </c>
      <c r="AA233" s="116">
        <f t="shared" si="68"/>
        <v>-7558.9157142857148</v>
      </c>
      <c r="AB233" s="117">
        <v>0</v>
      </c>
      <c r="AC233" s="116">
        <f t="shared" si="106"/>
        <v>0</v>
      </c>
      <c r="AD233" s="116">
        <f t="shared" si="107"/>
        <v>0</v>
      </c>
      <c r="AE233" s="118"/>
      <c r="AF233" s="119"/>
      <c r="AG233" s="120"/>
      <c r="AH233" s="118"/>
      <c r="AI233" s="119"/>
      <c r="AJ233" s="121"/>
    </row>
    <row r="234" spans="2:36" s="9" customFormat="1">
      <c r="B234" s="9">
        <v>16</v>
      </c>
      <c r="C234" s="9" t="s">
        <v>552</v>
      </c>
      <c r="E234" s="9">
        <v>169573</v>
      </c>
      <c r="G234" s="9">
        <v>2016</v>
      </c>
      <c r="H234" s="9">
        <v>10</v>
      </c>
      <c r="I234" s="9">
        <v>0</v>
      </c>
      <c r="J234" s="9" t="s">
        <v>78</v>
      </c>
      <c r="K234" s="158">
        <v>7</v>
      </c>
      <c r="L234" s="9">
        <f t="shared" si="92"/>
        <v>2023</v>
      </c>
      <c r="M234" s="127">
        <f t="shared" si="93"/>
        <v>2023.8333333333333</v>
      </c>
      <c r="N234" s="13">
        <v>18430.72</v>
      </c>
      <c r="O234" s="13">
        <f t="shared" si="94"/>
        <v>18430.72</v>
      </c>
      <c r="P234" s="13">
        <f t="shared" si="95"/>
        <v>219.41333333333333</v>
      </c>
      <c r="Q234" s="13">
        <f t="shared" si="96"/>
        <v>2632.96</v>
      </c>
      <c r="R234" s="13">
        <v>2632.96</v>
      </c>
      <c r="S234" s="13">
        <f t="shared" si="97"/>
        <v>2632.96</v>
      </c>
      <c r="T234" s="13">
        <f t="shared" si="98"/>
        <v>13164.8</v>
      </c>
      <c r="U234" s="13">
        <f t="shared" si="99"/>
        <v>15797.759999999998</v>
      </c>
      <c r="V234" s="13">
        <v>10531.84</v>
      </c>
      <c r="W234" s="13">
        <f t="shared" si="100"/>
        <v>2632.9600000000028</v>
      </c>
      <c r="X234" s="115">
        <f t="shared" si="105"/>
        <v>2632.96</v>
      </c>
      <c r="Y234" s="116">
        <f t="shared" si="108"/>
        <v>2632.9600000000028</v>
      </c>
      <c r="Z234" s="116">
        <f t="shared" si="67"/>
        <v>0</v>
      </c>
      <c r="AA234" s="116">
        <f t="shared" si="68"/>
        <v>-7898.8799999999974</v>
      </c>
      <c r="AB234" s="117">
        <v>0</v>
      </c>
      <c r="AC234" s="116">
        <f t="shared" si="106"/>
        <v>0</v>
      </c>
      <c r="AD234" s="116">
        <f t="shared" si="107"/>
        <v>0</v>
      </c>
      <c r="AE234" s="118"/>
      <c r="AF234" s="119"/>
      <c r="AG234" s="120"/>
      <c r="AH234" s="118"/>
      <c r="AI234" s="119"/>
      <c r="AJ234" s="121"/>
    </row>
    <row r="235" spans="2:36" s="9" customFormat="1">
      <c r="B235" s="9">
        <v>16</v>
      </c>
      <c r="C235" s="9" t="s">
        <v>552</v>
      </c>
      <c r="E235" s="9">
        <v>169624</v>
      </c>
      <c r="G235" s="9">
        <v>2016</v>
      </c>
      <c r="H235" s="9">
        <v>10</v>
      </c>
      <c r="I235" s="9">
        <v>0</v>
      </c>
      <c r="J235" s="9" t="s">
        <v>78</v>
      </c>
      <c r="K235" s="158">
        <v>7</v>
      </c>
      <c r="L235" s="9">
        <f t="shared" si="92"/>
        <v>2023</v>
      </c>
      <c r="M235" s="127">
        <f t="shared" si="93"/>
        <v>2023.8333333333333</v>
      </c>
      <c r="N235" s="13">
        <v>18430.72</v>
      </c>
      <c r="O235" s="13">
        <f t="shared" si="94"/>
        <v>18430.72</v>
      </c>
      <c r="P235" s="13">
        <f t="shared" si="95"/>
        <v>219.41333333333333</v>
      </c>
      <c r="Q235" s="13">
        <f t="shared" si="96"/>
        <v>2632.96</v>
      </c>
      <c r="R235" s="13">
        <v>2632.96</v>
      </c>
      <c r="S235" s="13">
        <f t="shared" si="97"/>
        <v>2632.96</v>
      </c>
      <c r="T235" s="13">
        <f t="shared" si="98"/>
        <v>13164.8</v>
      </c>
      <c r="U235" s="13">
        <f t="shared" si="99"/>
        <v>15797.759999999998</v>
      </c>
      <c r="V235" s="13">
        <v>10531.84</v>
      </c>
      <c r="W235" s="13">
        <f t="shared" si="100"/>
        <v>2632.9600000000028</v>
      </c>
      <c r="X235" s="115">
        <f t="shared" si="105"/>
        <v>2632.96</v>
      </c>
      <c r="Y235" s="116">
        <f t="shared" si="108"/>
        <v>2632.9600000000028</v>
      </c>
      <c r="Z235" s="116">
        <f t="shared" si="67"/>
        <v>0</v>
      </c>
      <c r="AA235" s="116">
        <f t="shared" si="68"/>
        <v>-7898.8799999999974</v>
      </c>
      <c r="AB235" s="117">
        <v>0</v>
      </c>
      <c r="AC235" s="116">
        <f t="shared" si="106"/>
        <v>0</v>
      </c>
      <c r="AD235" s="116">
        <f t="shared" si="107"/>
        <v>0</v>
      </c>
      <c r="AE235" s="118"/>
      <c r="AF235" s="119"/>
      <c r="AG235" s="120"/>
      <c r="AH235" s="118"/>
      <c r="AI235" s="119"/>
      <c r="AJ235" s="121"/>
    </row>
    <row r="236" spans="2:36" s="9" customFormat="1">
      <c r="B236" s="9">
        <v>32</v>
      </c>
      <c r="C236" s="9" t="s">
        <v>552</v>
      </c>
      <c r="E236" s="9">
        <v>167285</v>
      </c>
      <c r="G236" s="9">
        <v>2016</v>
      </c>
      <c r="H236" s="9">
        <v>8</v>
      </c>
      <c r="I236" s="9">
        <v>0</v>
      </c>
      <c r="J236" s="9" t="s">
        <v>78</v>
      </c>
      <c r="K236" s="158">
        <v>7</v>
      </c>
      <c r="L236" s="9">
        <f t="shared" si="92"/>
        <v>2023</v>
      </c>
      <c r="M236" s="127">
        <f t="shared" si="93"/>
        <v>2023.6666666666667</v>
      </c>
      <c r="N236" s="13">
        <v>41648.639999999999</v>
      </c>
      <c r="O236" s="13">
        <f t="shared" si="94"/>
        <v>41648.639999999999</v>
      </c>
      <c r="P236" s="13">
        <f t="shared" si="95"/>
        <v>495.81714285714287</v>
      </c>
      <c r="Q236" s="13">
        <f t="shared" si="96"/>
        <v>5949.8057142857142</v>
      </c>
      <c r="R236" s="13">
        <v>5949.8057142857142</v>
      </c>
      <c r="S236" s="13">
        <f t="shared" si="97"/>
        <v>5949.8057142857142</v>
      </c>
      <c r="T236" s="13">
        <f t="shared" si="98"/>
        <v>29749.028571428571</v>
      </c>
      <c r="U236" s="13">
        <f t="shared" si="99"/>
        <v>35698.834285714285</v>
      </c>
      <c r="V236" s="13">
        <v>23799.222857142857</v>
      </c>
      <c r="W236" s="13">
        <f t="shared" si="100"/>
        <v>5949.8057142857142</v>
      </c>
      <c r="X236" s="115">
        <f t="shared" si="105"/>
        <v>5949.8057142857142</v>
      </c>
      <c r="Y236" s="116">
        <f t="shared" si="108"/>
        <v>5949.8057142857142</v>
      </c>
      <c r="Z236" s="116">
        <f t="shared" si="67"/>
        <v>0</v>
      </c>
      <c r="AA236" s="116">
        <f t="shared" si="68"/>
        <v>-17849.417142857143</v>
      </c>
      <c r="AB236" s="117">
        <v>0</v>
      </c>
      <c r="AC236" s="116">
        <f t="shared" si="106"/>
        <v>0</v>
      </c>
      <c r="AD236" s="116">
        <f t="shared" si="107"/>
        <v>0</v>
      </c>
      <c r="AE236" s="118"/>
      <c r="AF236" s="119"/>
      <c r="AG236" s="120"/>
      <c r="AH236" s="118"/>
      <c r="AI236" s="119"/>
      <c r="AJ236" s="121"/>
    </row>
    <row r="237" spans="2:36" s="9" customFormat="1">
      <c r="B237" s="9">
        <v>16</v>
      </c>
      <c r="C237" s="9" t="s">
        <v>553</v>
      </c>
      <c r="E237" s="9">
        <v>165737</v>
      </c>
      <c r="G237" s="9">
        <v>2016</v>
      </c>
      <c r="H237" s="9">
        <v>5</v>
      </c>
      <c r="I237" s="9">
        <v>0</v>
      </c>
      <c r="J237" s="9" t="s">
        <v>78</v>
      </c>
      <c r="K237" s="158">
        <v>7</v>
      </c>
      <c r="L237" s="9">
        <f t="shared" si="92"/>
        <v>2023</v>
      </c>
      <c r="M237" s="127">
        <f t="shared" si="93"/>
        <v>2023.4166666666667</v>
      </c>
      <c r="N237" s="13">
        <v>17712.64</v>
      </c>
      <c r="O237" s="13">
        <f t="shared" si="94"/>
        <v>17712.64</v>
      </c>
      <c r="P237" s="13">
        <f t="shared" si="95"/>
        <v>210.86476190476188</v>
      </c>
      <c r="Q237" s="13">
        <f t="shared" si="96"/>
        <v>2530.3771428571426</v>
      </c>
      <c r="R237" s="13">
        <v>2530.3771428571426</v>
      </c>
      <c r="S237" s="13">
        <f t="shared" si="97"/>
        <v>2530.3771428571426</v>
      </c>
      <c r="T237" s="13">
        <f t="shared" si="98"/>
        <v>12651.885714285712</v>
      </c>
      <c r="U237" s="13">
        <f t="shared" si="99"/>
        <v>15182.262857142854</v>
      </c>
      <c r="V237" s="13">
        <v>10121.508571428571</v>
      </c>
      <c r="W237" s="13">
        <f t="shared" si="100"/>
        <v>2530.3771428571454</v>
      </c>
      <c r="X237" s="115">
        <f t="shared" si="105"/>
        <v>2530.3771428571426</v>
      </c>
      <c r="Y237" s="116">
        <f t="shared" si="108"/>
        <v>2530.3771428571454</v>
      </c>
      <c r="Z237" s="116">
        <f t="shared" si="67"/>
        <v>0</v>
      </c>
      <c r="AA237" s="116">
        <f t="shared" si="68"/>
        <v>-7591.1314285714252</v>
      </c>
      <c r="AB237" s="117">
        <v>0</v>
      </c>
      <c r="AC237" s="116">
        <f t="shared" si="106"/>
        <v>0</v>
      </c>
      <c r="AD237" s="116">
        <f t="shared" si="107"/>
        <v>0</v>
      </c>
      <c r="AE237" s="118"/>
      <c r="AF237" s="119"/>
      <c r="AG237" s="120"/>
      <c r="AH237" s="118"/>
      <c r="AI237" s="119"/>
      <c r="AJ237" s="121"/>
    </row>
    <row r="238" spans="2:36" s="9" customFormat="1">
      <c r="B238" s="9">
        <v>16</v>
      </c>
      <c r="C238" s="9" t="s">
        <v>553</v>
      </c>
      <c r="E238" s="9">
        <v>132891</v>
      </c>
      <c r="G238" s="9">
        <v>2016</v>
      </c>
      <c r="H238" s="9">
        <v>4</v>
      </c>
      <c r="I238" s="9">
        <v>0</v>
      </c>
      <c r="J238" s="9" t="s">
        <v>78</v>
      </c>
      <c r="K238" s="158">
        <v>7</v>
      </c>
      <c r="L238" s="9">
        <f t="shared" si="92"/>
        <v>2023</v>
      </c>
      <c r="M238" s="127">
        <f t="shared" si="93"/>
        <v>2023.3333333333333</v>
      </c>
      <c r="N238" s="13">
        <v>18430.72</v>
      </c>
      <c r="O238" s="13">
        <f t="shared" si="94"/>
        <v>18430.72</v>
      </c>
      <c r="P238" s="13">
        <f t="shared" si="95"/>
        <v>219.41333333333333</v>
      </c>
      <c r="Q238" s="13">
        <f t="shared" si="96"/>
        <v>2632.96</v>
      </c>
      <c r="R238" s="13">
        <v>2632.96</v>
      </c>
      <c r="S238" s="13">
        <f t="shared" si="97"/>
        <v>2632.96</v>
      </c>
      <c r="T238" s="13">
        <f t="shared" si="98"/>
        <v>13164.8</v>
      </c>
      <c r="U238" s="13">
        <f t="shared" si="99"/>
        <v>15797.759999999998</v>
      </c>
      <c r="V238" s="13">
        <v>10531.84</v>
      </c>
      <c r="W238" s="13">
        <f t="shared" si="100"/>
        <v>2632.9600000000028</v>
      </c>
      <c r="X238" s="115">
        <f t="shared" si="105"/>
        <v>2632.96</v>
      </c>
      <c r="Y238" s="116">
        <f t="shared" si="108"/>
        <v>2632.9600000000028</v>
      </c>
      <c r="Z238" s="116">
        <f t="shared" si="67"/>
        <v>0</v>
      </c>
      <c r="AA238" s="116">
        <f t="shared" si="68"/>
        <v>-7898.8799999999974</v>
      </c>
      <c r="AB238" s="117">
        <v>0</v>
      </c>
      <c r="AC238" s="116">
        <f t="shared" si="106"/>
        <v>0</v>
      </c>
      <c r="AD238" s="116">
        <f t="shared" si="107"/>
        <v>0</v>
      </c>
      <c r="AE238" s="118"/>
      <c r="AF238" s="119"/>
      <c r="AG238" s="120"/>
      <c r="AH238" s="118"/>
      <c r="AI238" s="119"/>
      <c r="AJ238" s="121"/>
    </row>
    <row r="239" spans="2:36" s="9" customFormat="1">
      <c r="B239" s="9">
        <v>25</v>
      </c>
      <c r="C239" s="9" t="s">
        <v>554</v>
      </c>
      <c r="E239" s="9">
        <v>128766</v>
      </c>
      <c r="G239" s="9">
        <v>2015</v>
      </c>
      <c r="H239" s="9">
        <v>9</v>
      </c>
      <c r="I239" s="9">
        <v>0</v>
      </c>
      <c r="J239" s="9" t="s">
        <v>78</v>
      </c>
      <c r="K239" s="158">
        <v>7</v>
      </c>
      <c r="L239" s="9">
        <f t="shared" si="92"/>
        <v>2022</v>
      </c>
      <c r="M239" s="127">
        <f t="shared" si="93"/>
        <v>2022.75</v>
      </c>
      <c r="N239" s="13">
        <v>18973.75</v>
      </c>
      <c r="O239" s="13">
        <f t="shared" si="94"/>
        <v>18973.75</v>
      </c>
      <c r="P239" s="13">
        <f t="shared" si="95"/>
        <v>225.87797619047618</v>
      </c>
      <c r="Q239" s="13">
        <f t="shared" si="96"/>
        <v>2710.5357142857142</v>
      </c>
      <c r="R239" s="13">
        <v>2710.5357142857142</v>
      </c>
      <c r="S239" s="13">
        <f t="shared" si="97"/>
        <v>0</v>
      </c>
      <c r="T239" s="13">
        <f t="shared" si="98"/>
        <v>18973.75</v>
      </c>
      <c r="U239" s="13">
        <f t="shared" si="99"/>
        <v>18973.75</v>
      </c>
      <c r="V239" s="13">
        <v>8131.6071428571431</v>
      </c>
      <c r="W239" s="13">
        <f t="shared" si="100"/>
        <v>0</v>
      </c>
      <c r="X239" s="115">
        <f t="shared" si="105"/>
        <v>0</v>
      </c>
      <c r="Y239" s="116">
        <f t="shared" si="108"/>
        <v>0</v>
      </c>
      <c r="Z239" s="116">
        <f t="shared" si="67"/>
        <v>-2710.5357142857142</v>
      </c>
      <c r="AA239" s="116">
        <f t="shared" si="68"/>
        <v>-8131.6071428571431</v>
      </c>
      <c r="AB239" s="117">
        <v>0</v>
      </c>
      <c r="AC239" s="116">
        <f t="shared" si="106"/>
        <v>0</v>
      </c>
      <c r="AD239" s="116">
        <f t="shared" si="107"/>
        <v>0</v>
      </c>
      <c r="AE239" s="118"/>
      <c r="AF239" s="119"/>
      <c r="AG239" s="120"/>
      <c r="AH239" s="118"/>
      <c r="AI239" s="119"/>
      <c r="AJ239" s="121"/>
    </row>
    <row r="240" spans="2:36" s="9" customFormat="1">
      <c r="B240" s="9">
        <v>4</v>
      </c>
      <c r="C240" s="9" t="s">
        <v>513</v>
      </c>
      <c r="E240" s="9">
        <v>195625</v>
      </c>
      <c r="G240" s="9">
        <v>2018</v>
      </c>
      <c r="H240" s="9">
        <v>3</v>
      </c>
      <c r="I240" s="9">
        <v>0</v>
      </c>
      <c r="J240" s="9" t="s">
        <v>78</v>
      </c>
      <c r="K240" s="158">
        <v>7</v>
      </c>
      <c r="L240" s="9">
        <f t="shared" si="92"/>
        <v>2025</v>
      </c>
      <c r="M240" s="127">
        <f t="shared" si="93"/>
        <v>2025.25</v>
      </c>
      <c r="N240" s="13">
        <v>3287.88</v>
      </c>
      <c r="O240" s="13">
        <f t="shared" si="94"/>
        <v>3287.88</v>
      </c>
      <c r="P240" s="13">
        <f t="shared" si="95"/>
        <v>39.14142857142857</v>
      </c>
      <c r="Q240" s="13">
        <f t="shared" si="96"/>
        <v>469.69714285714281</v>
      </c>
      <c r="R240" s="13">
        <v>469.69714285714281</v>
      </c>
      <c r="S240" s="13">
        <f t="shared" si="97"/>
        <v>469.69714285714281</v>
      </c>
      <c r="T240" s="13">
        <f t="shared" si="98"/>
        <v>1409.0914285714284</v>
      </c>
      <c r="U240" s="13">
        <f t="shared" si="99"/>
        <v>1878.7885714285712</v>
      </c>
      <c r="V240" s="13">
        <v>2818.1828571428573</v>
      </c>
      <c r="W240" s="13">
        <f t="shared" si="100"/>
        <v>1409.0914285714289</v>
      </c>
      <c r="X240" s="115">
        <f t="shared" si="105"/>
        <v>469.69714285714281</v>
      </c>
      <c r="Y240" s="116">
        <f>W240</f>
        <v>1409.0914285714289</v>
      </c>
      <c r="Z240" s="116">
        <f t="shared" si="67"/>
        <v>0</v>
      </c>
      <c r="AA240" s="116">
        <f t="shared" si="68"/>
        <v>-1409.0914285714284</v>
      </c>
      <c r="AB240" s="117">
        <v>0</v>
      </c>
      <c r="AC240" s="116">
        <f t="shared" si="106"/>
        <v>0</v>
      </c>
      <c r="AD240" s="116">
        <f t="shared" si="107"/>
        <v>0</v>
      </c>
      <c r="AE240" s="118"/>
      <c r="AF240" s="119"/>
      <c r="AG240" s="120"/>
      <c r="AH240" s="118"/>
      <c r="AI240" s="119"/>
      <c r="AJ240" s="121"/>
    </row>
    <row r="241" spans="1:36" s="9" customFormat="1">
      <c r="B241" s="9">
        <v>20</v>
      </c>
      <c r="C241" s="9" t="s">
        <v>513</v>
      </c>
      <c r="E241" s="9">
        <v>195626</v>
      </c>
      <c r="G241" s="9">
        <v>2018</v>
      </c>
      <c r="H241" s="9">
        <v>3</v>
      </c>
      <c r="I241" s="9">
        <v>0</v>
      </c>
      <c r="J241" s="9" t="s">
        <v>78</v>
      </c>
      <c r="K241" s="158">
        <v>7</v>
      </c>
      <c r="L241" s="9">
        <f t="shared" si="92"/>
        <v>2025</v>
      </c>
      <c r="M241" s="127">
        <f t="shared" si="93"/>
        <v>2025.25</v>
      </c>
      <c r="N241" s="13">
        <v>16439.38</v>
      </c>
      <c r="O241" s="13">
        <f t="shared" si="94"/>
        <v>16439.38</v>
      </c>
      <c r="P241" s="13">
        <f t="shared" si="95"/>
        <v>195.70690476190478</v>
      </c>
      <c r="Q241" s="13">
        <f t="shared" si="96"/>
        <v>2348.4828571428575</v>
      </c>
      <c r="R241" s="13">
        <v>2348.4828571428575</v>
      </c>
      <c r="S241" s="13">
        <f t="shared" si="97"/>
        <v>2348.4828571428575</v>
      </c>
      <c r="T241" s="13">
        <f t="shared" si="98"/>
        <v>7045.4485714285729</v>
      </c>
      <c r="U241" s="13">
        <f t="shared" si="99"/>
        <v>9393.9314285714299</v>
      </c>
      <c r="V241" s="13">
        <v>14090.897142857144</v>
      </c>
      <c r="W241" s="13">
        <f t="shared" si="100"/>
        <v>7045.4485714285711</v>
      </c>
      <c r="X241" s="115">
        <f t="shared" si="105"/>
        <v>2348.4828571428575</v>
      </c>
      <c r="Y241" s="116">
        <f t="shared" si="108"/>
        <v>7045.4485714285711</v>
      </c>
      <c r="Z241" s="116">
        <f t="shared" si="67"/>
        <v>0</v>
      </c>
      <c r="AA241" s="116">
        <f t="shared" si="68"/>
        <v>-7045.4485714285729</v>
      </c>
      <c r="AB241" s="117">
        <v>0</v>
      </c>
      <c r="AC241" s="116">
        <f t="shared" si="106"/>
        <v>0</v>
      </c>
      <c r="AD241" s="116">
        <f t="shared" si="107"/>
        <v>0</v>
      </c>
      <c r="AE241" s="118"/>
      <c r="AF241" s="119"/>
      <c r="AG241" s="120"/>
      <c r="AH241" s="118"/>
      <c r="AI241" s="119"/>
      <c r="AJ241" s="121"/>
    </row>
    <row r="242" spans="1:36" s="9" customFormat="1">
      <c r="B242" s="9">
        <v>18</v>
      </c>
      <c r="C242" s="9" t="s">
        <v>555</v>
      </c>
      <c r="E242" s="9">
        <v>196549</v>
      </c>
      <c r="G242" s="9">
        <v>2018</v>
      </c>
      <c r="H242" s="9">
        <v>3</v>
      </c>
      <c r="I242" s="9">
        <v>0</v>
      </c>
      <c r="J242" s="9" t="s">
        <v>78</v>
      </c>
      <c r="K242" s="158">
        <v>7</v>
      </c>
      <c r="L242" s="9">
        <f t="shared" si="92"/>
        <v>2025</v>
      </c>
      <c r="M242" s="127">
        <f t="shared" si="93"/>
        <v>2025.25</v>
      </c>
      <c r="N242" s="13">
        <v>11986.39</v>
      </c>
      <c r="O242" s="13">
        <f t="shared" si="94"/>
        <v>11986.39</v>
      </c>
      <c r="P242" s="13">
        <f t="shared" si="95"/>
        <v>142.69511904761904</v>
      </c>
      <c r="Q242" s="13">
        <f t="shared" si="96"/>
        <v>1712.3414285714284</v>
      </c>
      <c r="R242" s="13">
        <v>1712.3414285714284</v>
      </c>
      <c r="S242" s="13">
        <f t="shared" si="97"/>
        <v>1712.3414285714284</v>
      </c>
      <c r="T242" s="13">
        <f t="shared" si="98"/>
        <v>5137.0242857142857</v>
      </c>
      <c r="U242" s="13">
        <f t="shared" si="99"/>
        <v>6849.3657142857137</v>
      </c>
      <c r="V242" s="13">
        <v>10274.048571428571</v>
      </c>
      <c r="W242" s="13">
        <f t="shared" si="100"/>
        <v>5137.0242857142857</v>
      </c>
      <c r="X242" s="115">
        <f t="shared" si="105"/>
        <v>1712.3414285714284</v>
      </c>
      <c r="Y242" s="116">
        <f t="shared" si="108"/>
        <v>5137.0242857142857</v>
      </c>
      <c r="Z242" s="116">
        <f t="shared" si="67"/>
        <v>0</v>
      </c>
      <c r="AA242" s="116">
        <f t="shared" si="68"/>
        <v>-5137.0242857142857</v>
      </c>
      <c r="AB242" s="117">
        <v>0</v>
      </c>
      <c r="AC242" s="116">
        <f t="shared" si="106"/>
        <v>0</v>
      </c>
      <c r="AD242" s="116">
        <f t="shared" si="107"/>
        <v>0</v>
      </c>
      <c r="AE242" s="118"/>
      <c r="AF242" s="119"/>
      <c r="AG242" s="120"/>
      <c r="AH242" s="118"/>
      <c r="AI242" s="119"/>
      <c r="AJ242" s="121"/>
    </row>
    <row r="243" spans="1:36" s="9" customFormat="1">
      <c r="B243" s="9">
        <v>24</v>
      </c>
      <c r="C243" s="9" t="s">
        <v>556</v>
      </c>
      <c r="E243" s="9">
        <v>196550</v>
      </c>
      <c r="G243" s="9">
        <v>2018</v>
      </c>
      <c r="H243" s="9">
        <v>3</v>
      </c>
      <c r="I243" s="9">
        <v>0</v>
      </c>
      <c r="J243" s="9" t="s">
        <v>78</v>
      </c>
      <c r="K243" s="158">
        <v>7</v>
      </c>
      <c r="L243" s="9">
        <f t="shared" si="92"/>
        <v>2025</v>
      </c>
      <c r="M243" s="127">
        <f t="shared" si="93"/>
        <v>2025.25</v>
      </c>
      <c r="N243" s="13">
        <v>13180.99</v>
      </c>
      <c r="O243" s="13">
        <f t="shared" si="94"/>
        <v>13180.99</v>
      </c>
      <c r="P243" s="13">
        <f t="shared" si="95"/>
        <v>156.91654761904763</v>
      </c>
      <c r="Q243" s="13">
        <f t="shared" si="96"/>
        <v>1882.9985714285717</v>
      </c>
      <c r="R243" s="13">
        <v>1882.9985714285717</v>
      </c>
      <c r="S243" s="13">
        <f t="shared" si="97"/>
        <v>1882.9985714285717</v>
      </c>
      <c r="T243" s="13">
        <f t="shared" si="98"/>
        <v>5648.9957142857147</v>
      </c>
      <c r="U243" s="13">
        <f t="shared" si="99"/>
        <v>7531.9942857142869</v>
      </c>
      <c r="V243" s="13">
        <v>11297.991428571428</v>
      </c>
      <c r="W243" s="13">
        <f t="shared" si="100"/>
        <v>5648.9957142857129</v>
      </c>
      <c r="X243" s="115">
        <f t="shared" si="105"/>
        <v>1882.9985714285717</v>
      </c>
      <c r="Y243" s="116">
        <f t="shared" si="108"/>
        <v>5648.9957142857129</v>
      </c>
      <c r="Z243" s="116">
        <f t="shared" si="67"/>
        <v>0</v>
      </c>
      <c r="AA243" s="116">
        <f t="shared" si="68"/>
        <v>-5648.9957142857147</v>
      </c>
      <c r="AB243" s="117">
        <v>0</v>
      </c>
      <c r="AC243" s="116">
        <f t="shared" si="106"/>
        <v>0</v>
      </c>
      <c r="AD243" s="116">
        <f t="shared" si="107"/>
        <v>0</v>
      </c>
      <c r="AE243" s="118"/>
      <c r="AF243" s="119"/>
      <c r="AG243" s="120"/>
      <c r="AH243" s="118"/>
      <c r="AI243" s="119"/>
      <c r="AJ243" s="121"/>
    </row>
    <row r="244" spans="1:36" s="9" customFormat="1">
      <c r="B244" s="9">
        <v>60</v>
      </c>
      <c r="C244" s="9" t="s">
        <v>1306</v>
      </c>
      <c r="E244" s="9">
        <v>242721</v>
      </c>
      <c r="G244" s="9">
        <v>2020</v>
      </c>
      <c r="H244" s="9">
        <v>11</v>
      </c>
      <c r="I244" s="9">
        <v>0</v>
      </c>
      <c r="J244" s="9" t="s">
        <v>78</v>
      </c>
      <c r="K244" s="158">
        <v>12</v>
      </c>
      <c r="L244" s="9">
        <f t="shared" si="92"/>
        <v>2032</v>
      </c>
      <c r="M244" s="127">
        <f t="shared" si="93"/>
        <v>2032.9166666666667</v>
      </c>
      <c r="N244" s="13">
        <v>37052.699999999997</v>
      </c>
      <c r="O244" s="13">
        <f t="shared" si="94"/>
        <v>37052.699999999997</v>
      </c>
      <c r="P244" s="13">
        <f t="shared" si="95"/>
        <v>257.31041666666664</v>
      </c>
      <c r="Q244" s="13">
        <f t="shared" si="96"/>
        <v>3087.7249999999995</v>
      </c>
      <c r="R244" s="13"/>
      <c r="S244" s="13">
        <f t="shared" si="97"/>
        <v>3087.7249999999995</v>
      </c>
      <c r="T244" s="13">
        <f t="shared" si="98"/>
        <v>3087.7249999999995</v>
      </c>
      <c r="U244" s="13">
        <f t="shared" si="99"/>
        <v>6175.4499999999989</v>
      </c>
      <c r="V244" s="13"/>
      <c r="W244" s="13">
        <f t="shared" si="100"/>
        <v>30877.25</v>
      </c>
      <c r="X244" s="147">
        <f t="shared" si="105"/>
        <v>3087.7249999999995</v>
      </c>
      <c r="Y244" s="116">
        <f t="shared" si="108"/>
        <v>30877.25</v>
      </c>
      <c r="Z244" s="116"/>
      <c r="AA244" s="116"/>
      <c r="AB244" s="117"/>
      <c r="AC244" s="116"/>
      <c r="AD244" s="116"/>
      <c r="AE244" s="120"/>
      <c r="AF244" s="120"/>
      <c r="AG244" s="120"/>
      <c r="AH244" s="120"/>
      <c r="AI244" s="120"/>
      <c r="AJ244" s="120"/>
    </row>
    <row r="245" spans="1:36" s="9" customFormat="1">
      <c r="B245" s="9">
        <v>25</v>
      </c>
      <c r="C245" s="9" t="s">
        <v>1307</v>
      </c>
      <c r="E245" s="9">
        <v>243343</v>
      </c>
      <c r="G245" s="9">
        <v>2020</v>
      </c>
      <c r="H245" s="9">
        <v>11</v>
      </c>
      <c r="I245" s="9">
        <v>0</v>
      </c>
      <c r="J245" s="9" t="s">
        <v>78</v>
      </c>
      <c r="K245" s="158">
        <v>12</v>
      </c>
      <c r="L245" s="9">
        <f t="shared" si="92"/>
        <v>2032</v>
      </c>
      <c r="M245" s="127">
        <f t="shared" si="93"/>
        <v>2032.9166666666667</v>
      </c>
      <c r="N245" s="13">
        <v>14482.25</v>
      </c>
      <c r="O245" s="13">
        <f t="shared" si="94"/>
        <v>14482.25</v>
      </c>
      <c r="P245" s="13">
        <f t="shared" si="95"/>
        <v>100.57118055555556</v>
      </c>
      <c r="Q245" s="13">
        <f t="shared" si="96"/>
        <v>1206.8541666666667</v>
      </c>
      <c r="R245" s="13"/>
      <c r="S245" s="13">
        <f t="shared" si="97"/>
        <v>1206.8541666666667</v>
      </c>
      <c r="T245" s="13">
        <f t="shared" si="98"/>
        <v>1206.8541666666667</v>
      </c>
      <c r="U245" s="13">
        <f t="shared" si="99"/>
        <v>2413.7083333333335</v>
      </c>
      <c r="V245" s="13"/>
      <c r="W245" s="13">
        <f t="shared" si="100"/>
        <v>12068.541666666666</v>
      </c>
      <c r="X245" s="147">
        <f t="shared" si="105"/>
        <v>1206.8541666666667</v>
      </c>
      <c r="Y245" s="116">
        <f t="shared" si="108"/>
        <v>12068.541666666666</v>
      </c>
      <c r="Z245" s="116"/>
      <c r="AA245" s="116"/>
      <c r="AB245" s="117"/>
      <c r="AC245" s="116"/>
      <c r="AD245" s="116"/>
      <c r="AE245" s="120"/>
      <c r="AF245" s="120"/>
      <c r="AG245" s="120"/>
      <c r="AH245" s="120"/>
      <c r="AI245" s="120"/>
      <c r="AJ245" s="120"/>
    </row>
    <row r="246" spans="1:36" s="9" customFormat="1">
      <c r="B246" s="9">
        <v>25</v>
      </c>
      <c r="C246" s="9" t="s">
        <v>1308</v>
      </c>
      <c r="E246" s="9">
        <v>243344</v>
      </c>
      <c r="G246" s="9">
        <v>2020</v>
      </c>
      <c r="H246" s="9">
        <v>11</v>
      </c>
      <c r="I246" s="9">
        <v>0</v>
      </c>
      <c r="J246" s="9" t="s">
        <v>78</v>
      </c>
      <c r="K246" s="158">
        <v>12</v>
      </c>
      <c r="L246" s="9">
        <f t="shared" si="92"/>
        <v>2032</v>
      </c>
      <c r="M246" s="127">
        <f t="shared" si="93"/>
        <v>2032.9166666666667</v>
      </c>
      <c r="N246" s="13">
        <v>23362.87</v>
      </c>
      <c r="O246" s="13">
        <f t="shared" si="94"/>
        <v>23362.87</v>
      </c>
      <c r="P246" s="13">
        <f t="shared" si="95"/>
        <v>162.24215277777776</v>
      </c>
      <c r="Q246" s="13">
        <f t="shared" si="96"/>
        <v>1946.9058333333332</v>
      </c>
      <c r="R246" s="13"/>
      <c r="S246" s="13">
        <f t="shared" si="97"/>
        <v>1946.9058333333332</v>
      </c>
      <c r="T246" s="13">
        <f t="shared" si="98"/>
        <v>1946.9058333333332</v>
      </c>
      <c r="U246" s="13">
        <f t="shared" si="99"/>
        <v>3893.8116666666665</v>
      </c>
      <c r="V246" s="13"/>
      <c r="W246" s="13">
        <f t="shared" si="100"/>
        <v>19469.058333333334</v>
      </c>
      <c r="X246" s="147">
        <f t="shared" si="105"/>
        <v>1946.9058333333332</v>
      </c>
      <c r="Y246" s="116">
        <f t="shared" si="108"/>
        <v>19469.058333333334</v>
      </c>
      <c r="Z246" s="116"/>
      <c r="AA246" s="116"/>
      <c r="AB246" s="117"/>
      <c r="AC246" s="116"/>
      <c r="AD246" s="116"/>
      <c r="AE246" s="120"/>
      <c r="AF246" s="120"/>
      <c r="AG246" s="120"/>
      <c r="AH246" s="120"/>
      <c r="AI246" s="120"/>
      <c r="AJ246" s="120"/>
    </row>
    <row r="247" spans="1:36" s="9" customFormat="1">
      <c r="K247" s="158"/>
      <c r="M247" s="127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Z247" s="116"/>
      <c r="AA247" s="116"/>
    </row>
    <row r="248" spans="1:36" s="9" customFormat="1">
      <c r="K248" s="158"/>
      <c r="L248" s="159" t="s">
        <v>557</v>
      </c>
      <c r="M248" s="160"/>
      <c r="N248" s="150">
        <f>SUM(N197:N247)</f>
        <v>814858.91666666663</v>
      </c>
      <c r="O248" s="150">
        <f>SUM(O197:O247)</f>
        <v>814858.91666666663</v>
      </c>
      <c r="P248" s="150">
        <f>SUM(P197:P247)</f>
        <v>7459.255700396825</v>
      </c>
      <c r="Q248" s="150">
        <f>SUM(Q197:Q247)</f>
        <v>89511.068404761914</v>
      </c>
      <c r="R248" s="150">
        <v>62347.399404761913</v>
      </c>
      <c r="S248" s="150">
        <f>SUM(S197:S247)</f>
        <v>49756.062023809522</v>
      </c>
      <c r="T248" s="150">
        <f>SUM(T197:T247)</f>
        <v>534681.809047619</v>
      </c>
      <c r="U248" s="150">
        <f>SUM(U197:U247)</f>
        <v>584437.87107142864</v>
      </c>
      <c r="V248" s="150">
        <v>337190.45230952388</v>
      </c>
      <c r="W248" s="150">
        <f t="shared" ref="W248:AJ248" si="109">SUM(W197:W247)</f>
        <v>230421.04559523804</v>
      </c>
      <c r="X248" s="150">
        <f t="shared" si="109"/>
        <v>49756.062023809522</v>
      </c>
      <c r="Y248" s="150">
        <f t="shared" si="109"/>
        <v>230421.04559523804</v>
      </c>
      <c r="Z248" s="150">
        <f t="shared" si="109"/>
        <v>-18832.822380952381</v>
      </c>
      <c r="AA248" s="150">
        <f t="shared" si="109"/>
        <v>-169184.25671428576</v>
      </c>
      <c r="AB248" s="150">
        <f t="shared" si="109"/>
        <v>0</v>
      </c>
      <c r="AC248" s="150">
        <f t="shared" si="109"/>
        <v>0</v>
      </c>
      <c r="AD248" s="150">
        <f t="shared" si="109"/>
        <v>0</v>
      </c>
      <c r="AE248" s="150">
        <f t="shared" si="109"/>
        <v>0</v>
      </c>
      <c r="AF248" s="150">
        <f t="shared" si="109"/>
        <v>0</v>
      </c>
      <c r="AG248" s="150">
        <f t="shared" si="109"/>
        <v>0</v>
      </c>
      <c r="AH248" s="150">
        <f t="shared" si="109"/>
        <v>0</v>
      </c>
      <c r="AI248" s="150">
        <f t="shared" si="109"/>
        <v>0</v>
      </c>
      <c r="AJ248" s="150">
        <f t="shared" si="109"/>
        <v>0</v>
      </c>
    </row>
    <row r="249" spans="1:36" s="9" customFormat="1">
      <c r="K249" s="158"/>
      <c r="M249" s="127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Z249" s="116"/>
      <c r="AA249" s="116"/>
    </row>
    <row r="250" spans="1:36" s="9" customFormat="1">
      <c r="A250" s="142" t="s">
        <v>558</v>
      </c>
      <c r="K250" s="158"/>
      <c r="M250" s="127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Z250" s="116"/>
      <c r="AA250" s="116"/>
    </row>
    <row r="251" spans="1:36" s="9" customFormat="1">
      <c r="B251" s="9">
        <v>1</v>
      </c>
      <c r="C251" s="9" t="s">
        <v>559</v>
      </c>
      <c r="G251" s="9">
        <v>1993</v>
      </c>
      <c r="H251" s="9">
        <v>12</v>
      </c>
      <c r="I251" s="9">
        <v>0</v>
      </c>
      <c r="J251" s="9" t="s">
        <v>78</v>
      </c>
      <c r="K251" s="158" t="s">
        <v>449</v>
      </c>
      <c r="L251" s="9">
        <f t="shared" ref="L251:L314" si="110">G251+K251</f>
        <v>2003</v>
      </c>
      <c r="M251" s="127">
        <f t="shared" ref="M251:M314" si="111">+L251+(H251/12)</f>
        <v>2004</v>
      </c>
      <c r="N251" s="13">
        <v>4923</v>
      </c>
      <c r="O251" s="13">
        <f t="shared" ref="O251:O314" si="112">N251-N251*I251</f>
        <v>4923</v>
      </c>
      <c r="P251" s="13">
        <f t="shared" ref="P251:P314" si="113">O251/K251/12</f>
        <v>41.024999999999999</v>
      </c>
      <c r="Q251" s="13">
        <f t="shared" ref="Q251:Q314" si="114">P251*12</f>
        <v>492.29999999999995</v>
      </c>
      <c r="R251" s="13">
        <v>0</v>
      </c>
      <c r="S251" s="13">
        <f t="shared" ref="S251:S314" si="115">+IF(M251&lt;=$O$5,0,IF(L251&gt;$O$4,Q251,(P251*H251)))</f>
        <v>0</v>
      </c>
      <c r="T251" s="13">
        <f t="shared" ref="T251:T314" si="116">+IF(S251=0,N251,IF($O$3-G251&lt;1,0,(($O$3-G251)*Q251)))</f>
        <v>4923</v>
      </c>
      <c r="U251" s="13">
        <f t="shared" ref="U251:U314" si="117">+IF(S251=0,T251,T251+S251)</f>
        <v>4923</v>
      </c>
      <c r="V251" s="13">
        <v>0</v>
      </c>
      <c r="W251" s="13">
        <f t="shared" ref="W251:W314" si="118">+N251-U251</f>
        <v>0</v>
      </c>
      <c r="X251" s="115">
        <f>S251</f>
        <v>0</v>
      </c>
      <c r="Y251" s="116">
        <f t="shared" ref="Y251" si="119">W251</f>
        <v>0</v>
      </c>
      <c r="Z251" s="116">
        <f>X251-R251</f>
        <v>0</v>
      </c>
      <c r="AA251" s="116">
        <f t="shared" ref="AA251:AA311" si="120">Y251-V251</f>
        <v>0</v>
      </c>
      <c r="AB251" s="117">
        <f>'Ratios (C)'!$C$28+'Ratios (C)'!$D$28</f>
        <v>0.44697875883235366</v>
      </c>
      <c r="AC251" s="116">
        <f t="shared" ref="AC251" si="121">X251*AB251</f>
        <v>0</v>
      </c>
      <c r="AD251" s="116">
        <f t="shared" ref="AD251" si="122">Y251*AB251</f>
        <v>0</v>
      </c>
      <c r="AE251" s="118"/>
      <c r="AF251" s="119"/>
      <c r="AG251" s="120"/>
      <c r="AH251" s="118"/>
      <c r="AI251" s="119"/>
      <c r="AJ251" s="121"/>
    </row>
    <row r="252" spans="1:36" s="9" customFormat="1">
      <c r="B252" s="9">
        <v>10</v>
      </c>
      <c r="C252" s="9" t="s">
        <v>560</v>
      </c>
      <c r="G252" s="9">
        <v>1994</v>
      </c>
      <c r="H252" s="9">
        <v>5</v>
      </c>
      <c r="I252" s="9">
        <v>0</v>
      </c>
      <c r="J252" s="9" t="s">
        <v>78</v>
      </c>
      <c r="K252" s="158" t="s">
        <v>449</v>
      </c>
      <c r="L252" s="9">
        <f t="shared" si="110"/>
        <v>2004</v>
      </c>
      <c r="M252" s="127">
        <f t="shared" si="111"/>
        <v>2004.4166666666667</v>
      </c>
      <c r="N252" s="13">
        <v>33542</v>
      </c>
      <c r="O252" s="13">
        <f t="shared" si="112"/>
        <v>33542</v>
      </c>
      <c r="P252" s="13">
        <f t="shared" si="113"/>
        <v>279.51666666666665</v>
      </c>
      <c r="Q252" s="13">
        <f t="shared" si="114"/>
        <v>3354.2</v>
      </c>
      <c r="R252" s="13">
        <v>0</v>
      </c>
      <c r="S252" s="13">
        <f t="shared" si="115"/>
        <v>0</v>
      </c>
      <c r="T252" s="13">
        <f t="shared" si="116"/>
        <v>33542</v>
      </c>
      <c r="U252" s="13">
        <f t="shared" si="117"/>
        <v>33542</v>
      </c>
      <c r="V252" s="13">
        <v>0</v>
      </c>
      <c r="W252" s="13">
        <f t="shared" si="118"/>
        <v>0</v>
      </c>
      <c r="X252" s="115">
        <f t="shared" ref="X252:X315" si="123">S252</f>
        <v>0</v>
      </c>
      <c r="Y252" s="116">
        <f t="shared" ref="Y252:Y315" si="124">W252</f>
        <v>0</v>
      </c>
      <c r="Z252" s="116">
        <f t="shared" ref="Z252:Z311" si="125">X252-R252</f>
        <v>0</v>
      </c>
      <c r="AA252" s="116">
        <f t="shared" si="120"/>
        <v>0</v>
      </c>
      <c r="AB252" s="117">
        <f>'Ratios (C)'!$C$28+'Ratios (C)'!$D$28</f>
        <v>0.44697875883235366</v>
      </c>
      <c r="AC252" s="116">
        <f t="shared" ref="AC252:AC315" si="126">X252*AB252</f>
        <v>0</v>
      </c>
      <c r="AD252" s="116">
        <f t="shared" ref="AD252:AD315" si="127">Y252*AB252</f>
        <v>0</v>
      </c>
      <c r="AE252" s="118"/>
      <c r="AF252" s="119"/>
      <c r="AG252" s="120"/>
      <c r="AH252" s="118"/>
      <c r="AI252" s="119"/>
      <c r="AJ252" s="121"/>
    </row>
    <row r="253" spans="1:36" s="9" customFormat="1">
      <c r="B253" s="9">
        <v>2</v>
      </c>
      <c r="C253" s="9" t="s">
        <v>560</v>
      </c>
      <c r="G253" s="9">
        <v>1994</v>
      </c>
      <c r="H253" s="9">
        <v>6</v>
      </c>
      <c r="I253" s="9">
        <v>0</v>
      </c>
      <c r="J253" s="9" t="s">
        <v>78</v>
      </c>
      <c r="K253" s="158" t="s">
        <v>449</v>
      </c>
      <c r="L253" s="9">
        <f t="shared" si="110"/>
        <v>2004</v>
      </c>
      <c r="M253" s="127">
        <f t="shared" si="111"/>
        <v>2004.5</v>
      </c>
      <c r="N253" s="13">
        <v>5085</v>
      </c>
      <c r="O253" s="13">
        <f t="shared" si="112"/>
        <v>5085</v>
      </c>
      <c r="P253" s="13">
        <f t="shared" si="113"/>
        <v>42.375</v>
      </c>
      <c r="Q253" s="13">
        <f t="shared" si="114"/>
        <v>508.5</v>
      </c>
      <c r="R253" s="13">
        <v>0</v>
      </c>
      <c r="S253" s="13">
        <f t="shared" si="115"/>
        <v>0</v>
      </c>
      <c r="T253" s="13">
        <f t="shared" si="116"/>
        <v>5085</v>
      </c>
      <c r="U253" s="13">
        <f t="shared" si="117"/>
        <v>5085</v>
      </c>
      <c r="V253" s="13">
        <v>0</v>
      </c>
      <c r="W253" s="13">
        <f t="shared" si="118"/>
        <v>0</v>
      </c>
      <c r="X253" s="115">
        <f t="shared" si="123"/>
        <v>0</v>
      </c>
      <c r="Y253" s="116">
        <f t="shared" si="124"/>
        <v>0</v>
      </c>
      <c r="Z253" s="116">
        <f t="shared" si="125"/>
        <v>0</v>
      </c>
      <c r="AA253" s="116">
        <f t="shared" si="120"/>
        <v>0</v>
      </c>
      <c r="AB253" s="117">
        <f>'Ratios (C)'!$C$28+'Ratios (C)'!$D$28</f>
        <v>0.44697875883235366</v>
      </c>
      <c r="AC253" s="116">
        <f t="shared" si="126"/>
        <v>0</v>
      </c>
      <c r="AD253" s="116">
        <f t="shared" si="127"/>
        <v>0</v>
      </c>
      <c r="AE253" s="118"/>
      <c r="AF253" s="119"/>
      <c r="AG253" s="120"/>
      <c r="AH253" s="118"/>
      <c r="AI253" s="119"/>
      <c r="AJ253" s="121"/>
    </row>
    <row r="254" spans="1:36" s="9" customFormat="1">
      <c r="B254" s="9">
        <v>2</v>
      </c>
      <c r="C254" s="9" t="s">
        <v>560</v>
      </c>
      <c r="G254" s="9">
        <v>1994</v>
      </c>
      <c r="H254" s="9">
        <v>6</v>
      </c>
      <c r="I254" s="9">
        <v>0</v>
      </c>
      <c r="J254" s="9" t="s">
        <v>78</v>
      </c>
      <c r="K254" s="158" t="s">
        <v>449</v>
      </c>
      <c r="L254" s="9">
        <f t="shared" si="110"/>
        <v>2004</v>
      </c>
      <c r="M254" s="127">
        <f t="shared" si="111"/>
        <v>2004.5</v>
      </c>
      <c r="N254" s="13">
        <v>6708</v>
      </c>
      <c r="O254" s="13">
        <f t="shared" si="112"/>
        <v>6708</v>
      </c>
      <c r="P254" s="13">
        <f t="shared" si="113"/>
        <v>55.9</v>
      </c>
      <c r="Q254" s="13">
        <f t="shared" si="114"/>
        <v>670.8</v>
      </c>
      <c r="R254" s="13">
        <v>0</v>
      </c>
      <c r="S254" s="13">
        <f t="shared" si="115"/>
        <v>0</v>
      </c>
      <c r="T254" s="13">
        <f t="shared" si="116"/>
        <v>6708</v>
      </c>
      <c r="U254" s="13">
        <f t="shared" si="117"/>
        <v>6708</v>
      </c>
      <c r="V254" s="13">
        <v>0</v>
      </c>
      <c r="W254" s="13">
        <f t="shared" si="118"/>
        <v>0</v>
      </c>
      <c r="X254" s="115">
        <f t="shared" si="123"/>
        <v>0</v>
      </c>
      <c r="Y254" s="116">
        <f t="shared" si="124"/>
        <v>0</v>
      </c>
      <c r="Z254" s="116">
        <f t="shared" si="125"/>
        <v>0</v>
      </c>
      <c r="AA254" s="116">
        <f t="shared" si="120"/>
        <v>0</v>
      </c>
      <c r="AB254" s="117">
        <f>'Ratios (C)'!$C$28+'Ratios (C)'!$D$28</f>
        <v>0.44697875883235366</v>
      </c>
      <c r="AC254" s="116">
        <f t="shared" si="126"/>
        <v>0</v>
      </c>
      <c r="AD254" s="116">
        <f t="shared" si="127"/>
        <v>0</v>
      </c>
      <c r="AE254" s="118"/>
      <c r="AF254" s="119"/>
      <c r="AG254" s="120"/>
      <c r="AH254" s="118"/>
      <c r="AI254" s="119"/>
      <c r="AJ254" s="121"/>
    </row>
    <row r="255" spans="1:36" s="9" customFormat="1">
      <c r="B255" s="9">
        <v>1</v>
      </c>
      <c r="C255" s="9" t="s">
        <v>560</v>
      </c>
      <c r="G255" s="9">
        <v>1994</v>
      </c>
      <c r="H255" s="9">
        <v>8</v>
      </c>
      <c r="I255" s="9">
        <v>0</v>
      </c>
      <c r="J255" s="9" t="s">
        <v>78</v>
      </c>
      <c r="K255" s="158" t="s">
        <v>449</v>
      </c>
      <c r="L255" s="9">
        <f t="shared" si="110"/>
        <v>2004</v>
      </c>
      <c r="M255" s="127">
        <f t="shared" si="111"/>
        <v>2004.6666666666667</v>
      </c>
      <c r="N255" s="13">
        <v>3187.57</v>
      </c>
      <c r="O255" s="13">
        <f t="shared" si="112"/>
        <v>3187.57</v>
      </c>
      <c r="P255" s="13">
        <f t="shared" si="113"/>
        <v>26.563083333333335</v>
      </c>
      <c r="Q255" s="13">
        <f t="shared" si="114"/>
        <v>318.75700000000001</v>
      </c>
      <c r="R255" s="13">
        <v>0</v>
      </c>
      <c r="S255" s="13">
        <f t="shared" si="115"/>
        <v>0</v>
      </c>
      <c r="T255" s="13">
        <f t="shared" si="116"/>
        <v>3187.57</v>
      </c>
      <c r="U255" s="13">
        <f t="shared" si="117"/>
        <v>3187.57</v>
      </c>
      <c r="V255" s="13">
        <v>0</v>
      </c>
      <c r="W255" s="13">
        <f t="shared" si="118"/>
        <v>0</v>
      </c>
      <c r="X255" s="115">
        <f t="shared" si="123"/>
        <v>0</v>
      </c>
      <c r="Y255" s="116">
        <f t="shared" si="124"/>
        <v>0</v>
      </c>
      <c r="Z255" s="116">
        <f t="shared" si="125"/>
        <v>0</v>
      </c>
      <c r="AA255" s="116">
        <f t="shared" si="120"/>
        <v>0</v>
      </c>
      <c r="AB255" s="117">
        <f>'Ratios (C)'!$C$28+'Ratios (C)'!$D$28</f>
        <v>0.44697875883235366</v>
      </c>
      <c r="AC255" s="116">
        <f t="shared" si="126"/>
        <v>0</v>
      </c>
      <c r="AD255" s="116">
        <f t="shared" si="127"/>
        <v>0</v>
      </c>
      <c r="AE255" s="118"/>
      <c r="AF255" s="119"/>
      <c r="AG255" s="120"/>
      <c r="AH255" s="118"/>
      <c r="AI255" s="119"/>
      <c r="AJ255" s="121"/>
    </row>
    <row r="256" spans="1:36" s="9" customFormat="1">
      <c r="B256" s="9">
        <v>2</v>
      </c>
      <c r="C256" s="9" t="s">
        <v>561</v>
      </c>
      <c r="G256" s="9">
        <v>1995</v>
      </c>
      <c r="H256" s="9">
        <v>6</v>
      </c>
      <c r="I256" s="9">
        <v>0</v>
      </c>
      <c r="J256" s="9" t="s">
        <v>78</v>
      </c>
      <c r="K256" s="158" t="s">
        <v>449</v>
      </c>
      <c r="L256" s="9">
        <f t="shared" si="110"/>
        <v>2005</v>
      </c>
      <c r="M256" s="127">
        <f t="shared" si="111"/>
        <v>2005.5</v>
      </c>
      <c r="N256" s="13">
        <v>9711</v>
      </c>
      <c r="O256" s="13">
        <f t="shared" si="112"/>
        <v>9711</v>
      </c>
      <c r="P256" s="13">
        <f t="shared" si="113"/>
        <v>80.924999999999997</v>
      </c>
      <c r="Q256" s="13">
        <f t="shared" si="114"/>
        <v>971.09999999999991</v>
      </c>
      <c r="R256" s="13">
        <v>0</v>
      </c>
      <c r="S256" s="13">
        <f t="shared" si="115"/>
        <v>0</v>
      </c>
      <c r="T256" s="13">
        <f t="shared" si="116"/>
        <v>9711</v>
      </c>
      <c r="U256" s="13">
        <f t="shared" si="117"/>
        <v>9711</v>
      </c>
      <c r="V256" s="13">
        <v>0</v>
      </c>
      <c r="W256" s="13">
        <f t="shared" si="118"/>
        <v>0</v>
      </c>
      <c r="X256" s="115">
        <f t="shared" si="123"/>
        <v>0</v>
      </c>
      <c r="Y256" s="116">
        <f t="shared" si="124"/>
        <v>0</v>
      </c>
      <c r="Z256" s="116">
        <f t="shared" si="125"/>
        <v>0</v>
      </c>
      <c r="AA256" s="116">
        <f t="shared" si="120"/>
        <v>0</v>
      </c>
      <c r="AB256" s="117">
        <f>'Ratios (C)'!$C$28+'Ratios (C)'!$D$28</f>
        <v>0.44697875883235366</v>
      </c>
      <c r="AC256" s="116">
        <f t="shared" si="126"/>
        <v>0</v>
      </c>
      <c r="AD256" s="116">
        <f t="shared" si="127"/>
        <v>0</v>
      </c>
      <c r="AE256" s="118"/>
      <c r="AF256" s="119"/>
      <c r="AG256" s="120"/>
      <c r="AH256" s="118"/>
      <c r="AI256" s="119"/>
      <c r="AJ256" s="121"/>
    </row>
    <row r="257" spans="2:36" s="9" customFormat="1">
      <c r="B257" s="9">
        <v>3</v>
      </c>
      <c r="C257" s="9" t="s">
        <v>560</v>
      </c>
      <c r="G257" s="9">
        <v>1996</v>
      </c>
      <c r="H257" s="9">
        <v>2</v>
      </c>
      <c r="I257" s="9">
        <v>0</v>
      </c>
      <c r="J257" s="9" t="s">
        <v>78</v>
      </c>
      <c r="K257" s="158" t="s">
        <v>449</v>
      </c>
      <c r="L257" s="9">
        <f t="shared" si="110"/>
        <v>2006</v>
      </c>
      <c r="M257" s="127">
        <f t="shared" si="111"/>
        <v>2006.1666666666667</v>
      </c>
      <c r="N257" s="13">
        <v>7953</v>
      </c>
      <c r="O257" s="13">
        <f t="shared" si="112"/>
        <v>7953</v>
      </c>
      <c r="P257" s="13">
        <f t="shared" si="113"/>
        <v>66.274999999999991</v>
      </c>
      <c r="Q257" s="13">
        <f t="shared" si="114"/>
        <v>795.3</v>
      </c>
      <c r="R257" s="13">
        <v>0</v>
      </c>
      <c r="S257" s="13">
        <f t="shared" si="115"/>
        <v>0</v>
      </c>
      <c r="T257" s="13">
        <f t="shared" si="116"/>
        <v>7953</v>
      </c>
      <c r="U257" s="13">
        <f t="shared" si="117"/>
        <v>7953</v>
      </c>
      <c r="V257" s="13">
        <v>0</v>
      </c>
      <c r="W257" s="13">
        <f t="shared" si="118"/>
        <v>0</v>
      </c>
      <c r="X257" s="115">
        <f t="shared" si="123"/>
        <v>0</v>
      </c>
      <c r="Y257" s="116">
        <f t="shared" si="124"/>
        <v>0</v>
      </c>
      <c r="Z257" s="116">
        <f t="shared" si="125"/>
        <v>0</v>
      </c>
      <c r="AA257" s="116">
        <f t="shared" si="120"/>
        <v>0</v>
      </c>
      <c r="AB257" s="117">
        <f>'Ratios (C)'!$C$28+'Ratios (C)'!$D$28</f>
        <v>0.44697875883235366</v>
      </c>
      <c r="AC257" s="116">
        <f t="shared" si="126"/>
        <v>0</v>
      </c>
      <c r="AD257" s="116">
        <f t="shared" si="127"/>
        <v>0</v>
      </c>
      <c r="AE257" s="118"/>
      <c r="AF257" s="119"/>
      <c r="AG257" s="120"/>
      <c r="AH257" s="118"/>
      <c r="AI257" s="119"/>
      <c r="AJ257" s="121"/>
    </row>
    <row r="258" spans="2:36" s="9" customFormat="1">
      <c r="B258" s="9">
        <v>3</v>
      </c>
      <c r="C258" s="9" t="s">
        <v>560</v>
      </c>
      <c r="G258" s="9">
        <v>1996</v>
      </c>
      <c r="H258" s="9">
        <v>3</v>
      </c>
      <c r="I258" s="9">
        <v>0</v>
      </c>
      <c r="J258" s="9" t="s">
        <v>78</v>
      </c>
      <c r="K258" s="158" t="s">
        <v>449</v>
      </c>
      <c r="L258" s="9">
        <f t="shared" si="110"/>
        <v>2006</v>
      </c>
      <c r="M258" s="127">
        <f t="shared" si="111"/>
        <v>2006.25</v>
      </c>
      <c r="N258" s="13">
        <v>10355</v>
      </c>
      <c r="O258" s="13">
        <f t="shared" si="112"/>
        <v>10355</v>
      </c>
      <c r="P258" s="13">
        <f t="shared" si="113"/>
        <v>86.291666666666671</v>
      </c>
      <c r="Q258" s="13">
        <f t="shared" si="114"/>
        <v>1035.5</v>
      </c>
      <c r="R258" s="13">
        <v>0</v>
      </c>
      <c r="S258" s="13">
        <f t="shared" si="115"/>
        <v>0</v>
      </c>
      <c r="T258" s="13">
        <f t="shared" si="116"/>
        <v>10355</v>
      </c>
      <c r="U258" s="13">
        <f t="shared" si="117"/>
        <v>10355</v>
      </c>
      <c r="V258" s="13">
        <v>0</v>
      </c>
      <c r="W258" s="13">
        <f t="shared" si="118"/>
        <v>0</v>
      </c>
      <c r="X258" s="115">
        <f t="shared" si="123"/>
        <v>0</v>
      </c>
      <c r="Y258" s="116">
        <f t="shared" si="124"/>
        <v>0</v>
      </c>
      <c r="Z258" s="116">
        <f t="shared" si="125"/>
        <v>0</v>
      </c>
      <c r="AA258" s="116">
        <f t="shared" si="120"/>
        <v>0</v>
      </c>
      <c r="AB258" s="117">
        <f>'Ratios (C)'!$C$28+'Ratios (C)'!$D$28</f>
        <v>0.44697875883235366</v>
      </c>
      <c r="AC258" s="116">
        <f t="shared" si="126"/>
        <v>0</v>
      </c>
      <c r="AD258" s="116">
        <f t="shared" si="127"/>
        <v>0</v>
      </c>
      <c r="AE258" s="118"/>
      <c r="AF258" s="119"/>
      <c r="AG258" s="120"/>
      <c r="AH258" s="118"/>
      <c r="AI258" s="119"/>
      <c r="AJ258" s="121"/>
    </row>
    <row r="259" spans="2:36" s="9" customFormat="1">
      <c r="B259" s="9">
        <v>5</v>
      </c>
      <c r="C259" s="9" t="s">
        <v>560</v>
      </c>
      <c r="G259" s="9">
        <v>1996</v>
      </c>
      <c r="H259" s="9">
        <v>6</v>
      </c>
      <c r="I259" s="9">
        <v>0</v>
      </c>
      <c r="J259" s="9" t="s">
        <v>78</v>
      </c>
      <c r="K259" s="158" t="s">
        <v>449</v>
      </c>
      <c r="L259" s="9">
        <f t="shared" si="110"/>
        <v>2006</v>
      </c>
      <c r="M259" s="127">
        <f t="shared" si="111"/>
        <v>2006.5</v>
      </c>
      <c r="N259" s="13">
        <v>13255</v>
      </c>
      <c r="O259" s="13">
        <f t="shared" si="112"/>
        <v>13255</v>
      </c>
      <c r="P259" s="13">
        <f t="shared" si="113"/>
        <v>110.45833333333333</v>
      </c>
      <c r="Q259" s="13">
        <f t="shared" si="114"/>
        <v>1325.5</v>
      </c>
      <c r="R259" s="13">
        <v>0</v>
      </c>
      <c r="S259" s="13">
        <f t="shared" si="115"/>
        <v>0</v>
      </c>
      <c r="T259" s="13">
        <f t="shared" si="116"/>
        <v>13255</v>
      </c>
      <c r="U259" s="13">
        <f t="shared" si="117"/>
        <v>13255</v>
      </c>
      <c r="V259" s="13">
        <v>0</v>
      </c>
      <c r="W259" s="13">
        <f t="shared" si="118"/>
        <v>0</v>
      </c>
      <c r="X259" s="115">
        <f t="shared" si="123"/>
        <v>0</v>
      </c>
      <c r="Y259" s="116">
        <f t="shared" si="124"/>
        <v>0</v>
      </c>
      <c r="Z259" s="116">
        <f t="shared" si="125"/>
        <v>0</v>
      </c>
      <c r="AA259" s="116">
        <f t="shared" si="120"/>
        <v>0</v>
      </c>
      <c r="AB259" s="117">
        <f>'Ratios (C)'!$C$28+'Ratios (C)'!$D$28</f>
        <v>0.44697875883235366</v>
      </c>
      <c r="AC259" s="116">
        <f t="shared" si="126"/>
        <v>0</v>
      </c>
      <c r="AD259" s="116">
        <f t="shared" si="127"/>
        <v>0</v>
      </c>
      <c r="AE259" s="118"/>
      <c r="AF259" s="119"/>
      <c r="AG259" s="120"/>
      <c r="AH259" s="118"/>
      <c r="AI259" s="119"/>
      <c r="AJ259" s="121"/>
    </row>
    <row r="260" spans="2:36" s="9" customFormat="1">
      <c r="B260" s="9">
        <v>5</v>
      </c>
      <c r="C260" s="9" t="s">
        <v>560</v>
      </c>
      <c r="G260" s="9">
        <v>1996</v>
      </c>
      <c r="H260" s="9">
        <v>6</v>
      </c>
      <c r="I260" s="9">
        <v>0</v>
      </c>
      <c r="J260" s="9" t="s">
        <v>78</v>
      </c>
      <c r="K260" s="158" t="s">
        <v>449</v>
      </c>
      <c r="L260" s="9">
        <f t="shared" si="110"/>
        <v>2006</v>
      </c>
      <c r="M260" s="127">
        <f t="shared" si="111"/>
        <v>2006.5</v>
      </c>
      <c r="N260" s="13">
        <v>17258</v>
      </c>
      <c r="O260" s="13">
        <f t="shared" si="112"/>
        <v>17258</v>
      </c>
      <c r="P260" s="13">
        <f t="shared" si="113"/>
        <v>143.81666666666666</v>
      </c>
      <c r="Q260" s="13">
        <f t="shared" si="114"/>
        <v>1725.8</v>
      </c>
      <c r="R260" s="13">
        <v>0</v>
      </c>
      <c r="S260" s="13">
        <f t="shared" si="115"/>
        <v>0</v>
      </c>
      <c r="T260" s="13">
        <f t="shared" si="116"/>
        <v>17258</v>
      </c>
      <c r="U260" s="13">
        <f t="shared" si="117"/>
        <v>17258</v>
      </c>
      <c r="V260" s="13">
        <v>0</v>
      </c>
      <c r="W260" s="13">
        <f t="shared" si="118"/>
        <v>0</v>
      </c>
      <c r="X260" s="115">
        <f t="shared" si="123"/>
        <v>0</v>
      </c>
      <c r="Y260" s="116">
        <f t="shared" si="124"/>
        <v>0</v>
      </c>
      <c r="Z260" s="116">
        <f t="shared" si="125"/>
        <v>0</v>
      </c>
      <c r="AA260" s="116">
        <f t="shared" si="120"/>
        <v>0</v>
      </c>
      <c r="AB260" s="117">
        <f>'Ratios (C)'!$C$28+'Ratios (C)'!$D$28</f>
        <v>0.44697875883235366</v>
      </c>
      <c r="AC260" s="116">
        <f t="shared" si="126"/>
        <v>0</v>
      </c>
      <c r="AD260" s="116">
        <f t="shared" si="127"/>
        <v>0</v>
      </c>
      <c r="AE260" s="118"/>
      <c r="AF260" s="119"/>
      <c r="AG260" s="120"/>
      <c r="AH260" s="118"/>
      <c r="AI260" s="119"/>
      <c r="AJ260" s="121"/>
    </row>
    <row r="261" spans="2:36" s="9" customFormat="1">
      <c r="B261" s="9">
        <v>2</v>
      </c>
      <c r="C261" s="9" t="s">
        <v>559</v>
      </c>
      <c r="G261" s="9">
        <v>1998</v>
      </c>
      <c r="H261" s="9">
        <v>2</v>
      </c>
      <c r="I261" s="9">
        <v>0</v>
      </c>
      <c r="J261" s="9" t="s">
        <v>78</v>
      </c>
      <c r="K261" s="158" t="s">
        <v>449</v>
      </c>
      <c r="L261" s="9">
        <f t="shared" si="110"/>
        <v>2008</v>
      </c>
      <c r="M261" s="127">
        <f t="shared" si="111"/>
        <v>2008.1666666666667</v>
      </c>
      <c r="N261" s="13">
        <v>12369.54</v>
      </c>
      <c r="O261" s="13">
        <f t="shared" si="112"/>
        <v>12369.54</v>
      </c>
      <c r="P261" s="13">
        <f t="shared" si="113"/>
        <v>103.07950000000001</v>
      </c>
      <c r="Q261" s="13">
        <f t="shared" si="114"/>
        <v>1236.9540000000002</v>
      </c>
      <c r="R261" s="13">
        <v>0</v>
      </c>
      <c r="S261" s="13">
        <f t="shared" si="115"/>
        <v>0</v>
      </c>
      <c r="T261" s="13">
        <f t="shared" si="116"/>
        <v>12369.54</v>
      </c>
      <c r="U261" s="13">
        <f t="shared" si="117"/>
        <v>12369.54</v>
      </c>
      <c r="V261" s="13">
        <v>0</v>
      </c>
      <c r="W261" s="13">
        <f t="shared" si="118"/>
        <v>0</v>
      </c>
      <c r="X261" s="115">
        <f t="shared" si="123"/>
        <v>0</v>
      </c>
      <c r="Y261" s="116">
        <f t="shared" si="124"/>
        <v>0</v>
      </c>
      <c r="Z261" s="116">
        <f t="shared" si="125"/>
        <v>0</v>
      </c>
      <c r="AA261" s="116">
        <f t="shared" si="120"/>
        <v>0</v>
      </c>
      <c r="AB261" s="117">
        <f>'Ratios (C)'!$C$28+'Ratios (C)'!$D$28</f>
        <v>0.44697875883235366</v>
      </c>
      <c r="AC261" s="116">
        <f t="shared" si="126"/>
        <v>0</v>
      </c>
      <c r="AD261" s="116">
        <f t="shared" si="127"/>
        <v>0</v>
      </c>
      <c r="AE261" s="118"/>
      <c r="AF261" s="119"/>
      <c r="AG261" s="120"/>
      <c r="AH261" s="118"/>
      <c r="AI261" s="119"/>
      <c r="AJ261" s="121"/>
    </row>
    <row r="262" spans="2:36" s="9" customFormat="1">
      <c r="B262" s="9">
        <v>2</v>
      </c>
      <c r="C262" s="9" t="s">
        <v>559</v>
      </c>
      <c r="G262" s="9">
        <v>1998</v>
      </c>
      <c r="H262" s="9">
        <v>7</v>
      </c>
      <c r="I262" s="9">
        <v>0</v>
      </c>
      <c r="J262" s="9" t="s">
        <v>78</v>
      </c>
      <c r="K262" s="158" t="s">
        <v>449</v>
      </c>
      <c r="L262" s="9">
        <f t="shared" si="110"/>
        <v>2008</v>
      </c>
      <c r="M262" s="127">
        <f t="shared" si="111"/>
        <v>2008.5833333333333</v>
      </c>
      <c r="N262" s="13">
        <v>12369.54</v>
      </c>
      <c r="O262" s="13">
        <f t="shared" si="112"/>
        <v>12369.54</v>
      </c>
      <c r="P262" s="13">
        <f t="shared" si="113"/>
        <v>103.07950000000001</v>
      </c>
      <c r="Q262" s="13">
        <f t="shared" si="114"/>
        <v>1236.9540000000002</v>
      </c>
      <c r="R262" s="13">
        <v>0</v>
      </c>
      <c r="S262" s="13">
        <f t="shared" si="115"/>
        <v>0</v>
      </c>
      <c r="T262" s="13">
        <f t="shared" si="116"/>
        <v>12369.54</v>
      </c>
      <c r="U262" s="13">
        <f t="shared" si="117"/>
        <v>12369.54</v>
      </c>
      <c r="V262" s="13">
        <v>0</v>
      </c>
      <c r="W262" s="13">
        <f t="shared" si="118"/>
        <v>0</v>
      </c>
      <c r="X262" s="115">
        <f t="shared" si="123"/>
        <v>0</v>
      </c>
      <c r="Y262" s="116">
        <f t="shared" si="124"/>
        <v>0</v>
      </c>
      <c r="Z262" s="116">
        <f t="shared" si="125"/>
        <v>0</v>
      </c>
      <c r="AA262" s="116">
        <f t="shared" si="120"/>
        <v>0</v>
      </c>
      <c r="AB262" s="117">
        <f>'Ratios (C)'!$C$28+'Ratios (C)'!$D$28</f>
        <v>0.44697875883235366</v>
      </c>
      <c r="AC262" s="116">
        <f t="shared" si="126"/>
        <v>0</v>
      </c>
      <c r="AD262" s="116">
        <f t="shared" si="127"/>
        <v>0</v>
      </c>
      <c r="AE262" s="118"/>
      <c r="AF262" s="119"/>
      <c r="AG262" s="120"/>
      <c r="AH262" s="118"/>
      <c r="AI262" s="119"/>
      <c r="AJ262" s="121"/>
    </row>
    <row r="263" spans="2:36" s="9" customFormat="1">
      <c r="B263" s="9">
        <v>8</v>
      </c>
      <c r="C263" s="9" t="s">
        <v>562</v>
      </c>
      <c r="G263" s="9">
        <v>2000</v>
      </c>
      <c r="H263" s="9">
        <v>4</v>
      </c>
      <c r="I263" s="9">
        <v>0</v>
      </c>
      <c r="J263" s="9" t="s">
        <v>78</v>
      </c>
      <c r="K263" s="158" t="s">
        <v>449</v>
      </c>
      <c r="L263" s="9">
        <f t="shared" si="110"/>
        <v>2010</v>
      </c>
      <c r="M263" s="127">
        <f t="shared" si="111"/>
        <v>2010.3333333333333</v>
      </c>
      <c r="N263" s="13">
        <v>39421.800000000003</v>
      </c>
      <c r="O263" s="13">
        <f t="shared" si="112"/>
        <v>39421.800000000003</v>
      </c>
      <c r="P263" s="13">
        <f t="shared" si="113"/>
        <v>328.51500000000004</v>
      </c>
      <c r="Q263" s="13">
        <f t="shared" si="114"/>
        <v>3942.1800000000003</v>
      </c>
      <c r="R263" s="13">
        <v>0</v>
      </c>
      <c r="S263" s="13">
        <f t="shared" si="115"/>
        <v>0</v>
      </c>
      <c r="T263" s="13">
        <f t="shared" si="116"/>
        <v>39421.800000000003</v>
      </c>
      <c r="U263" s="13">
        <f t="shared" si="117"/>
        <v>39421.800000000003</v>
      </c>
      <c r="V263" s="13">
        <v>0</v>
      </c>
      <c r="W263" s="13">
        <f t="shared" si="118"/>
        <v>0</v>
      </c>
      <c r="X263" s="115">
        <f t="shared" si="123"/>
        <v>0</v>
      </c>
      <c r="Y263" s="116">
        <f t="shared" si="124"/>
        <v>0</v>
      </c>
      <c r="Z263" s="116">
        <f t="shared" si="125"/>
        <v>0</v>
      </c>
      <c r="AA263" s="116">
        <f t="shared" si="120"/>
        <v>0</v>
      </c>
      <c r="AB263" s="117">
        <f>'Ratios (C)'!$C$28+'Ratios (C)'!$D$28</f>
        <v>0.44697875883235366</v>
      </c>
      <c r="AC263" s="116">
        <f t="shared" si="126"/>
        <v>0</v>
      </c>
      <c r="AD263" s="116">
        <f t="shared" si="127"/>
        <v>0</v>
      </c>
      <c r="AE263" s="118"/>
      <c r="AF263" s="119"/>
      <c r="AG263" s="120"/>
      <c r="AH263" s="118"/>
      <c r="AI263" s="119"/>
      <c r="AJ263" s="121"/>
    </row>
    <row r="264" spans="2:36" s="9" customFormat="1">
      <c r="B264" s="9">
        <v>4</v>
      </c>
      <c r="C264" s="9" t="s">
        <v>562</v>
      </c>
      <c r="G264" s="9">
        <v>2000</v>
      </c>
      <c r="H264" s="9">
        <v>4</v>
      </c>
      <c r="I264" s="9">
        <v>0</v>
      </c>
      <c r="J264" s="9" t="s">
        <v>78</v>
      </c>
      <c r="K264" s="158" t="s">
        <v>449</v>
      </c>
      <c r="L264" s="9">
        <f t="shared" si="110"/>
        <v>2010</v>
      </c>
      <c r="M264" s="127">
        <f t="shared" si="111"/>
        <v>2010.3333333333333</v>
      </c>
      <c r="N264" s="13">
        <v>19710.900000000001</v>
      </c>
      <c r="O264" s="13">
        <f t="shared" si="112"/>
        <v>19710.900000000001</v>
      </c>
      <c r="P264" s="13">
        <f t="shared" si="113"/>
        <v>164.25750000000002</v>
      </c>
      <c r="Q264" s="13">
        <f t="shared" si="114"/>
        <v>1971.0900000000001</v>
      </c>
      <c r="R264" s="13">
        <v>0</v>
      </c>
      <c r="S264" s="13">
        <f t="shared" si="115"/>
        <v>0</v>
      </c>
      <c r="T264" s="13">
        <f t="shared" si="116"/>
        <v>19710.900000000001</v>
      </c>
      <c r="U264" s="13">
        <f t="shared" si="117"/>
        <v>19710.900000000001</v>
      </c>
      <c r="V264" s="13">
        <v>0</v>
      </c>
      <c r="W264" s="13">
        <f t="shared" si="118"/>
        <v>0</v>
      </c>
      <c r="X264" s="115">
        <f t="shared" si="123"/>
        <v>0</v>
      </c>
      <c r="Y264" s="116">
        <f t="shared" si="124"/>
        <v>0</v>
      </c>
      <c r="Z264" s="116">
        <f t="shared" si="125"/>
        <v>0</v>
      </c>
      <c r="AA264" s="116">
        <f t="shared" si="120"/>
        <v>0</v>
      </c>
      <c r="AB264" s="117">
        <f>'Ratios (C)'!$C$28+'Ratios (C)'!$D$28</f>
        <v>0.44697875883235366</v>
      </c>
      <c r="AC264" s="116">
        <f t="shared" si="126"/>
        <v>0</v>
      </c>
      <c r="AD264" s="116">
        <f t="shared" si="127"/>
        <v>0</v>
      </c>
      <c r="AE264" s="118"/>
      <c r="AF264" s="119"/>
      <c r="AG264" s="120"/>
      <c r="AH264" s="118"/>
      <c r="AI264" s="119"/>
      <c r="AJ264" s="121"/>
    </row>
    <row r="265" spans="2:36" s="9" customFormat="1">
      <c r="B265" s="9">
        <v>2</v>
      </c>
      <c r="C265" s="9" t="s">
        <v>562</v>
      </c>
      <c r="G265" s="9">
        <v>2000</v>
      </c>
      <c r="H265" s="9">
        <v>4</v>
      </c>
      <c r="I265" s="9">
        <v>0</v>
      </c>
      <c r="J265" s="9" t="s">
        <v>78</v>
      </c>
      <c r="K265" s="158" t="s">
        <v>449</v>
      </c>
      <c r="L265" s="9">
        <f t="shared" si="110"/>
        <v>2010</v>
      </c>
      <c r="M265" s="127">
        <f t="shared" si="111"/>
        <v>2010.3333333333333</v>
      </c>
      <c r="N265" s="13">
        <v>8101.56</v>
      </c>
      <c r="O265" s="13">
        <f t="shared" si="112"/>
        <v>8101.56</v>
      </c>
      <c r="P265" s="13">
        <f t="shared" si="113"/>
        <v>67.513000000000005</v>
      </c>
      <c r="Q265" s="13">
        <f t="shared" si="114"/>
        <v>810.15600000000006</v>
      </c>
      <c r="R265" s="13">
        <v>0</v>
      </c>
      <c r="S265" s="13">
        <f t="shared" si="115"/>
        <v>0</v>
      </c>
      <c r="T265" s="13">
        <f t="shared" si="116"/>
        <v>8101.56</v>
      </c>
      <c r="U265" s="13">
        <f t="shared" si="117"/>
        <v>8101.56</v>
      </c>
      <c r="V265" s="13">
        <v>0</v>
      </c>
      <c r="W265" s="13">
        <f t="shared" si="118"/>
        <v>0</v>
      </c>
      <c r="X265" s="115">
        <f t="shared" si="123"/>
        <v>0</v>
      </c>
      <c r="Y265" s="116">
        <f t="shared" si="124"/>
        <v>0</v>
      </c>
      <c r="Z265" s="116">
        <f t="shared" si="125"/>
        <v>0</v>
      </c>
      <c r="AA265" s="116">
        <f t="shared" si="120"/>
        <v>0</v>
      </c>
      <c r="AB265" s="117">
        <f>'Ratios (C)'!$C$28+'Ratios (C)'!$D$28</f>
        <v>0.44697875883235366</v>
      </c>
      <c r="AC265" s="116">
        <f t="shared" si="126"/>
        <v>0</v>
      </c>
      <c r="AD265" s="116">
        <f t="shared" si="127"/>
        <v>0</v>
      </c>
      <c r="AE265" s="118"/>
      <c r="AF265" s="119"/>
      <c r="AG265" s="120"/>
      <c r="AH265" s="118"/>
      <c r="AI265" s="119"/>
      <c r="AJ265" s="121"/>
    </row>
    <row r="266" spans="2:36" s="9" customFormat="1">
      <c r="B266" s="9">
        <v>1</v>
      </c>
      <c r="C266" s="9" t="s">
        <v>562</v>
      </c>
      <c r="G266" s="9">
        <v>2000</v>
      </c>
      <c r="H266" s="9">
        <v>4</v>
      </c>
      <c r="I266" s="9">
        <v>0</v>
      </c>
      <c r="J266" s="9" t="s">
        <v>78</v>
      </c>
      <c r="K266" s="158" t="s">
        <v>449</v>
      </c>
      <c r="L266" s="9">
        <f t="shared" si="110"/>
        <v>2010</v>
      </c>
      <c r="M266" s="127">
        <f t="shared" si="111"/>
        <v>2010.3333333333333</v>
      </c>
      <c r="N266" s="13">
        <v>3034.12</v>
      </c>
      <c r="O266" s="13">
        <f t="shared" si="112"/>
        <v>3034.12</v>
      </c>
      <c r="P266" s="13">
        <f t="shared" si="113"/>
        <v>25.284333333333333</v>
      </c>
      <c r="Q266" s="13">
        <f t="shared" si="114"/>
        <v>303.41199999999998</v>
      </c>
      <c r="R266" s="13">
        <v>0</v>
      </c>
      <c r="S266" s="13">
        <f t="shared" si="115"/>
        <v>0</v>
      </c>
      <c r="T266" s="13">
        <f t="shared" si="116"/>
        <v>3034.12</v>
      </c>
      <c r="U266" s="13">
        <f t="shared" si="117"/>
        <v>3034.12</v>
      </c>
      <c r="V266" s="13">
        <v>0</v>
      </c>
      <c r="W266" s="13">
        <f t="shared" si="118"/>
        <v>0</v>
      </c>
      <c r="X266" s="115">
        <f t="shared" si="123"/>
        <v>0</v>
      </c>
      <c r="Y266" s="116">
        <f t="shared" si="124"/>
        <v>0</v>
      </c>
      <c r="Z266" s="116">
        <f t="shared" si="125"/>
        <v>0</v>
      </c>
      <c r="AA266" s="116">
        <f t="shared" si="120"/>
        <v>0</v>
      </c>
      <c r="AB266" s="117">
        <f>'Ratios (C)'!$C$28+'Ratios (C)'!$D$28</f>
        <v>0.44697875883235366</v>
      </c>
      <c r="AC266" s="116">
        <f t="shared" si="126"/>
        <v>0</v>
      </c>
      <c r="AD266" s="116">
        <f t="shared" si="127"/>
        <v>0</v>
      </c>
      <c r="AE266" s="118"/>
      <c r="AF266" s="119"/>
      <c r="AG266" s="120"/>
      <c r="AH266" s="118"/>
      <c r="AI266" s="119"/>
      <c r="AJ266" s="121"/>
    </row>
    <row r="267" spans="2:36" s="9" customFormat="1">
      <c r="B267" s="9">
        <v>1</v>
      </c>
      <c r="C267" s="9" t="s">
        <v>562</v>
      </c>
      <c r="G267" s="9">
        <v>2000</v>
      </c>
      <c r="H267" s="9">
        <v>5</v>
      </c>
      <c r="I267" s="9">
        <v>0</v>
      </c>
      <c r="J267" s="9" t="s">
        <v>78</v>
      </c>
      <c r="K267" s="158" t="s">
        <v>449</v>
      </c>
      <c r="L267" s="9">
        <f t="shared" si="110"/>
        <v>2010</v>
      </c>
      <c r="M267" s="127">
        <f t="shared" si="111"/>
        <v>2010.4166666666667</v>
      </c>
      <c r="N267" s="13">
        <v>3330</v>
      </c>
      <c r="O267" s="13">
        <f t="shared" si="112"/>
        <v>3330</v>
      </c>
      <c r="P267" s="13">
        <f t="shared" si="113"/>
        <v>27.75</v>
      </c>
      <c r="Q267" s="13">
        <f t="shared" si="114"/>
        <v>333</v>
      </c>
      <c r="R267" s="13">
        <v>0</v>
      </c>
      <c r="S267" s="13">
        <f t="shared" si="115"/>
        <v>0</v>
      </c>
      <c r="T267" s="13">
        <f t="shared" si="116"/>
        <v>3330</v>
      </c>
      <c r="U267" s="13">
        <f t="shared" si="117"/>
        <v>3330</v>
      </c>
      <c r="V267" s="13">
        <v>0</v>
      </c>
      <c r="W267" s="13">
        <f t="shared" si="118"/>
        <v>0</v>
      </c>
      <c r="X267" s="115">
        <f t="shared" si="123"/>
        <v>0</v>
      </c>
      <c r="Y267" s="116">
        <f t="shared" si="124"/>
        <v>0</v>
      </c>
      <c r="Z267" s="116">
        <f t="shared" si="125"/>
        <v>0</v>
      </c>
      <c r="AA267" s="116">
        <f t="shared" si="120"/>
        <v>0</v>
      </c>
      <c r="AB267" s="117">
        <f>'Ratios (C)'!$C$28+'Ratios (C)'!$D$28</f>
        <v>0.44697875883235366</v>
      </c>
      <c r="AC267" s="116">
        <f t="shared" si="126"/>
        <v>0</v>
      </c>
      <c r="AD267" s="116">
        <f t="shared" si="127"/>
        <v>0</v>
      </c>
      <c r="AE267" s="118"/>
      <c r="AF267" s="119"/>
      <c r="AG267" s="120"/>
      <c r="AH267" s="118"/>
      <c r="AI267" s="119"/>
      <c r="AJ267" s="121"/>
    </row>
    <row r="268" spans="2:36" s="9" customFormat="1">
      <c r="B268" s="9">
        <v>1</v>
      </c>
      <c r="C268" s="9" t="s">
        <v>563</v>
      </c>
      <c r="G268" s="9">
        <v>2000</v>
      </c>
      <c r="H268" s="9">
        <v>6</v>
      </c>
      <c r="I268" s="9">
        <v>0</v>
      </c>
      <c r="J268" s="9" t="s">
        <v>78</v>
      </c>
      <c r="K268" s="158" t="s">
        <v>449</v>
      </c>
      <c r="L268" s="9">
        <f t="shared" si="110"/>
        <v>2010</v>
      </c>
      <c r="M268" s="127">
        <f t="shared" si="111"/>
        <v>2010.5</v>
      </c>
      <c r="N268" s="13">
        <v>2685.96</v>
      </c>
      <c r="O268" s="13">
        <f t="shared" si="112"/>
        <v>2685.96</v>
      </c>
      <c r="P268" s="13">
        <f t="shared" si="113"/>
        <v>22.382999999999999</v>
      </c>
      <c r="Q268" s="13">
        <f t="shared" si="114"/>
        <v>268.596</v>
      </c>
      <c r="R268" s="13">
        <v>0</v>
      </c>
      <c r="S268" s="13">
        <f t="shared" si="115"/>
        <v>0</v>
      </c>
      <c r="T268" s="13">
        <f t="shared" si="116"/>
        <v>2685.96</v>
      </c>
      <c r="U268" s="13">
        <f t="shared" si="117"/>
        <v>2685.96</v>
      </c>
      <c r="V268" s="13">
        <v>0</v>
      </c>
      <c r="W268" s="13">
        <f t="shared" si="118"/>
        <v>0</v>
      </c>
      <c r="X268" s="115">
        <f t="shared" si="123"/>
        <v>0</v>
      </c>
      <c r="Y268" s="116">
        <f t="shared" si="124"/>
        <v>0</v>
      </c>
      <c r="Z268" s="116">
        <f t="shared" si="125"/>
        <v>0</v>
      </c>
      <c r="AA268" s="116">
        <f t="shared" si="120"/>
        <v>0</v>
      </c>
      <c r="AB268" s="117">
        <f>'Ratios (C)'!$C$28+'Ratios (C)'!$D$28</f>
        <v>0.44697875883235366</v>
      </c>
      <c r="AC268" s="116">
        <f t="shared" si="126"/>
        <v>0</v>
      </c>
      <c r="AD268" s="116">
        <f t="shared" si="127"/>
        <v>0</v>
      </c>
      <c r="AE268" s="118"/>
      <c r="AF268" s="119"/>
      <c r="AG268" s="120"/>
      <c r="AH268" s="118"/>
      <c r="AI268" s="119"/>
      <c r="AJ268" s="121"/>
    </row>
    <row r="269" spans="2:36" s="9" customFormat="1">
      <c r="B269" s="9">
        <v>13</v>
      </c>
      <c r="C269" s="9" t="s">
        <v>560</v>
      </c>
      <c r="G269" s="9">
        <v>2000</v>
      </c>
      <c r="H269" s="9">
        <v>6</v>
      </c>
      <c r="I269" s="9">
        <v>0</v>
      </c>
      <c r="J269" s="9" t="s">
        <v>78</v>
      </c>
      <c r="K269" s="158" t="s">
        <v>449</v>
      </c>
      <c r="L269" s="9">
        <f t="shared" si="110"/>
        <v>2010</v>
      </c>
      <c r="M269" s="127">
        <f t="shared" si="111"/>
        <v>2010.5</v>
      </c>
      <c r="N269" s="13">
        <v>53349.75</v>
      </c>
      <c r="O269" s="13">
        <f t="shared" si="112"/>
        <v>53349.75</v>
      </c>
      <c r="P269" s="13">
        <f t="shared" si="113"/>
        <v>444.58125000000001</v>
      </c>
      <c r="Q269" s="13">
        <f t="shared" si="114"/>
        <v>5334.9750000000004</v>
      </c>
      <c r="R269" s="13">
        <v>0</v>
      </c>
      <c r="S269" s="13">
        <f t="shared" si="115"/>
        <v>0</v>
      </c>
      <c r="T269" s="13">
        <f t="shared" si="116"/>
        <v>53349.75</v>
      </c>
      <c r="U269" s="13">
        <f t="shared" si="117"/>
        <v>53349.75</v>
      </c>
      <c r="V269" s="13">
        <v>0</v>
      </c>
      <c r="W269" s="13">
        <f t="shared" si="118"/>
        <v>0</v>
      </c>
      <c r="X269" s="115">
        <f t="shared" si="123"/>
        <v>0</v>
      </c>
      <c r="Y269" s="116">
        <f t="shared" si="124"/>
        <v>0</v>
      </c>
      <c r="Z269" s="116">
        <f t="shared" si="125"/>
        <v>0</v>
      </c>
      <c r="AA269" s="116">
        <f t="shared" si="120"/>
        <v>0</v>
      </c>
      <c r="AB269" s="117">
        <f>'Ratios (C)'!$C$28+'Ratios (C)'!$D$28</f>
        <v>0.44697875883235366</v>
      </c>
      <c r="AC269" s="116">
        <f t="shared" si="126"/>
        <v>0</v>
      </c>
      <c r="AD269" s="116">
        <f t="shared" si="127"/>
        <v>0</v>
      </c>
      <c r="AE269" s="118"/>
      <c r="AF269" s="119"/>
      <c r="AG269" s="120"/>
      <c r="AH269" s="118"/>
      <c r="AI269" s="119"/>
      <c r="AJ269" s="121"/>
    </row>
    <row r="270" spans="2:36" s="9" customFormat="1">
      <c r="B270" s="9">
        <v>4</v>
      </c>
      <c r="C270" s="9" t="s">
        <v>560</v>
      </c>
      <c r="G270" s="9">
        <v>2000</v>
      </c>
      <c r="H270" s="9">
        <v>6</v>
      </c>
      <c r="I270" s="9">
        <v>0</v>
      </c>
      <c r="J270" s="9" t="s">
        <v>78</v>
      </c>
      <c r="K270" s="158" t="s">
        <v>449</v>
      </c>
      <c r="L270" s="9">
        <f t="shared" si="110"/>
        <v>2010</v>
      </c>
      <c r="M270" s="127">
        <f t="shared" si="111"/>
        <v>2010.5</v>
      </c>
      <c r="N270" s="13">
        <v>17723.52</v>
      </c>
      <c r="O270" s="13">
        <f t="shared" si="112"/>
        <v>17723.52</v>
      </c>
      <c r="P270" s="13">
        <f t="shared" si="113"/>
        <v>147.696</v>
      </c>
      <c r="Q270" s="13">
        <f t="shared" si="114"/>
        <v>1772.3519999999999</v>
      </c>
      <c r="R270" s="13">
        <v>0</v>
      </c>
      <c r="S270" s="13">
        <f t="shared" si="115"/>
        <v>0</v>
      </c>
      <c r="T270" s="13">
        <f t="shared" si="116"/>
        <v>17723.52</v>
      </c>
      <c r="U270" s="13">
        <f t="shared" si="117"/>
        <v>17723.52</v>
      </c>
      <c r="V270" s="13">
        <v>0</v>
      </c>
      <c r="W270" s="13">
        <f t="shared" si="118"/>
        <v>0</v>
      </c>
      <c r="X270" s="115">
        <f t="shared" si="123"/>
        <v>0</v>
      </c>
      <c r="Y270" s="116">
        <f t="shared" si="124"/>
        <v>0</v>
      </c>
      <c r="Z270" s="116">
        <f t="shared" si="125"/>
        <v>0</v>
      </c>
      <c r="AA270" s="116">
        <f t="shared" si="120"/>
        <v>0</v>
      </c>
      <c r="AB270" s="117">
        <f>'Ratios (C)'!$C$28+'Ratios (C)'!$D$28</f>
        <v>0.44697875883235366</v>
      </c>
      <c r="AC270" s="116">
        <f t="shared" si="126"/>
        <v>0</v>
      </c>
      <c r="AD270" s="116">
        <f t="shared" si="127"/>
        <v>0</v>
      </c>
      <c r="AE270" s="118"/>
      <c r="AF270" s="119"/>
      <c r="AG270" s="120"/>
      <c r="AH270" s="118"/>
      <c r="AI270" s="119"/>
      <c r="AJ270" s="121"/>
    </row>
    <row r="271" spans="2:36" s="9" customFormat="1">
      <c r="B271" s="9">
        <v>8</v>
      </c>
      <c r="C271" s="9" t="s">
        <v>562</v>
      </c>
      <c r="G271" s="9">
        <v>2000</v>
      </c>
      <c r="H271" s="9">
        <v>6</v>
      </c>
      <c r="I271" s="9">
        <v>0</v>
      </c>
      <c r="J271" s="9" t="s">
        <v>78</v>
      </c>
      <c r="K271" s="158" t="s">
        <v>449</v>
      </c>
      <c r="L271" s="9">
        <f t="shared" si="110"/>
        <v>2010</v>
      </c>
      <c r="M271" s="127">
        <f t="shared" si="111"/>
        <v>2010.5</v>
      </c>
      <c r="N271" s="13">
        <v>39421.800000000003</v>
      </c>
      <c r="O271" s="13">
        <f t="shared" si="112"/>
        <v>39421.800000000003</v>
      </c>
      <c r="P271" s="13">
        <f t="shared" si="113"/>
        <v>328.51500000000004</v>
      </c>
      <c r="Q271" s="13">
        <f t="shared" si="114"/>
        <v>3942.1800000000003</v>
      </c>
      <c r="R271" s="13">
        <v>0</v>
      </c>
      <c r="S271" s="13">
        <f t="shared" si="115"/>
        <v>0</v>
      </c>
      <c r="T271" s="13">
        <f t="shared" si="116"/>
        <v>39421.800000000003</v>
      </c>
      <c r="U271" s="13">
        <f t="shared" si="117"/>
        <v>39421.800000000003</v>
      </c>
      <c r="V271" s="13">
        <v>0</v>
      </c>
      <c r="W271" s="13">
        <f t="shared" si="118"/>
        <v>0</v>
      </c>
      <c r="X271" s="115">
        <f t="shared" si="123"/>
        <v>0</v>
      </c>
      <c r="Y271" s="116">
        <f t="shared" si="124"/>
        <v>0</v>
      </c>
      <c r="Z271" s="116">
        <f t="shared" si="125"/>
        <v>0</v>
      </c>
      <c r="AA271" s="116">
        <f t="shared" si="120"/>
        <v>0</v>
      </c>
      <c r="AB271" s="117">
        <f>'Ratios (C)'!$C$28+'Ratios (C)'!$D$28</f>
        <v>0.44697875883235366</v>
      </c>
      <c r="AC271" s="116">
        <f t="shared" si="126"/>
        <v>0</v>
      </c>
      <c r="AD271" s="116">
        <f t="shared" si="127"/>
        <v>0</v>
      </c>
      <c r="AE271" s="118"/>
      <c r="AF271" s="119"/>
      <c r="AG271" s="120"/>
      <c r="AH271" s="118"/>
      <c r="AI271" s="119"/>
      <c r="AJ271" s="121"/>
    </row>
    <row r="272" spans="2:36" s="9" customFormat="1">
      <c r="B272" s="9">
        <v>1</v>
      </c>
      <c r="C272" s="9" t="s">
        <v>562</v>
      </c>
      <c r="G272" s="9">
        <v>2000</v>
      </c>
      <c r="H272" s="9">
        <v>6</v>
      </c>
      <c r="I272" s="9">
        <v>0</v>
      </c>
      <c r="J272" s="9" t="s">
        <v>78</v>
      </c>
      <c r="K272" s="158" t="s">
        <v>449</v>
      </c>
      <c r="L272" s="9">
        <f t="shared" si="110"/>
        <v>2010</v>
      </c>
      <c r="M272" s="127">
        <f t="shared" si="111"/>
        <v>2010.5</v>
      </c>
      <c r="N272" s="13">
        <v>3609.72</v>
      </c>
      <c r="O272" s="13">
        <f t="shared" si="112"/>
        <v>3609.72</v>
      </c>
      <c r="P272" s="13">
        <f t="shared" si="113"/>
        <v>30.081</v>
      </c>
      <c r="Q272" s="13">
        <f t="shared" si="114"/>
        <v>360.97199999999998</v>
      </c>
      <c r="R272" s="13">
        <v>0</v>
      </c>
      <c r="S272" s="13">
        <f t="shared" si="115"/>
        <v>0</v>
      </c>
      <c r="T272" s="13">
        <f t="shared" si="116"/>
        <v>3609.72</v>
      </c>
      <c r="U272" s="13">
        <f t="shared" si="117"/>
        <v>3609.72</v>
      </c>
      <c r="V272" s="13">
        <v>0</v>
      </c>
      <c r="W272" s="13">
        <f t="shared" si="118"/>
        <v>0</v>
      </c>
      <c r="X272" s="115">
        <f t="shared" si="123"/>
        <v>0</v>
      </c>
      <c r="Y272" s="116">
        <f t="shared" si="124"/>
        <v>0</v>
      </c>
      <c r="Z272" s="116">
        <f t="shared" si="125"/>
        <v>0</v>
      </c>
      <c r="AA272" s="116">
        <f t="shared" si="120"/>
        <v>0</v>
      </c>
      <c r="AB272" s="117">
        <f>'Ratios (C)'!$C$28+'Ratios (C)'!$D$28</f>
        <v>0.44697875883235366</v>
      </c>
      <c r="AC272" s="116">
        <f t="shared" si="126"/>
        <v>0</v>
      </c>
      <c r="AD272" s="116">
        <f t="shared" si="127"/>
        <v>0</v>
      </c>
      <c r="AE272" s="118"/>
      <c r="AF272" s="119"/>
      <c r="AG272" s="120"/>
      <c r="AH272" s="118"/>
      <c r="AI272" s="119"/>
      <c r="AJ272" s="121"/>
    </row>
    <row r="273" spans="2:36" s="9" customFormat="1">
      <c r="B273" s="9">
        <v>5</v>
      </c>
      <c r="C273" s="9" t="s">
        <v>560</v>
      </c>
      <c r="G273" s="9">
        <v>2000</v>
      </c>
      <c r="H273" s="9">
        <v>7</v>
      </c>
      <c r="I273" s="9">
        <v>0</v>
      </c>
      <c r="J273" s="9" t="s">
        <v>78</v>
      </c>
      <c r="K273" s="158" t="s">
        <v>449</v>
      </c>
      <c r="L273" s="9">
        <f t="shared" si="110"/>
        <v>2010</v>
      </c>
      <c r="M273" s="127">
        <f t="shared" si="111"/>
        <v>2010.5833333333333</v>
      </c>
      <c r="N273" s="13">
        <v>22284.720000000001</v>
      </c>
      <c r="O273" s="13">
        <f t="shared" si="112"/>
        <v>22284.720000000001</v>
      </c>
      <c r="P273" s="13">
        <f t="shared" si="113"/>
        <v>185.70600000000002</v>
      </c>
      <c r="Q273" s="13">
        <f t="shared" si="114"/>
        <v>2228.4720000000002</v>
      </c>
      <c r="R273" s="13">
        <v>0</v>
      </c>
      <c r="S273" s="13">
        <f t="shared" si="115"/>
        <v>0</v>
      </c>
      <c r="T273" s="13">
        <f t="shared" si="116"/>
        <v>22284.720000000001</v>
      </c>
      <c r="U273" s="13">
        <f t="shared" si="117"/>
        <v>22284.720000000001</v>
      </c>
      <c r="V273" s="13">
        <v>0</v>
      </c>
      <c r="W273" s="13">
        <f t="shared" si="118"/>
        <v>0</v>
      </c>
      <c r="X273" s="115">
        <f t="shared" si="123"/>
        <v>0</v>
      </c>
      <c r="Y273" s="116">
        <f t="shared" si="124"/>
        <v>0</v>
      </c>
      <c r="Z273" s="116">
        <f t="shared" si="125"/>
        <v>0</v>
      </c>
      <c r="AA273" s="116">
        <f t="shared" si="120"/>
        <v>0</v>
      </c>
      <c r="AB273" s="117">
        <f>'Ratios (C)'!$C$28+'Ratios (C)'!$D$28</f>
        <v>0.44697875883235366</v>
      </c>
      <c r="AC273" s="116">
        <f t="shared" si="126"/>
        <v>0</v>
      </c>
      <c r="AD273" s="116">
        <f t="shared" si="127"/>
        <v>0</v>
      </c>
      <c r="AE273" s="118"/>
      <c r="AF273" s="119"/>
      <c r="AG273" s="120"/>
      <c r="AH273" s="118"/>
      <c r="AI273" s="119"/>
      <c r="AJ273" s="121"/>
    </row>
    <row r="274" spans="2:36" s="9" customFormat="1">
      <c r="B274" s="9">
        <v>2</v>
      </c>
      <c r="C274" s="9" t="s">
        <v>562</v>
      </c>
      <c r="G274" s="9">
        <v>2000</v>
      </c>
      <c r="H274" s="9">
        <v>8</v>
      </c>
      <c r="I274" s="9">
        <v>0</v>
      </c>
      <c r="J274" s="9" t="s">
        <v>78</v>
      </c>
      <c r="K274" s="158" t="s">
        <v>449</v>
      </c>
      <c r="L274" s="9">
        <f t="shared" si="110"/>
        <v>2010</v>
      </c>
      <c r="M274" s="127">
        <f t="shared" si="111"/>
        <v>2010.6666666666667</v>
      </c>
      <c r="N274" s="13">
        <v>7884.36</v>
      </c>
      <c r="O274" s="13">
        <f t="shared" si="112"/>
        <v>7884.36</v>
      </c>
      <c r="P274" s="13">
        <f t="shared" si="113"/>
        <v>65.702999999999989</v>
      </c>
      <c r="Q274" s="13">
        <f t="shared" si="114"/>
        <v>788.43599999999992</v>
      </c>
      <c r="R274" s="13">
        <v>0</v>
      </c>
      <c r="S274" s="13">
        <f t="shared" si="115"/>
        <v>0</v>
      </c>
      <c r="T274" s="13">
        <f t="shared" si="116"/>
        <v>7884.36</v>
      </c>
      <c r="U274" s="13">
        <f t="shared" si="117"/>
        <v>7884.36</v>
      </c>
      <c r="V274" s="13">
        <v>0</v>
      </c>
      <c r="W274" s="13">
        <f t="shared" si="118"/>
        <v>0</v>
      </c>
      <c r="X274" s="115">
        <f t="shared" si="123"/>
        <v>0</v>
      </c>
      <c r="Y274" s="116">
        <f t="shared" si="124"/>
        <v>0</v>
      </c>
      <c r="Z274" s="116">
        <f t="shared" si="125"/>
        <v>0</v>
      </c>
      <c r="AA274" s="116">
        <f t="shared" si="120"/>
        <v>0</v>
      </c>
      <c r="AB274" s="117">
        <f>'Ratios (C)'!$C$28+'Ratios (C)'!$D$28</f>
        <v>0.44697875883235366</v>
      </c>
      <c r="AC274" s="116">
        <f t="shared" si="126"/>
        <v>0</v>
      </c>
      <c r="AD274" s="116">
        <f t="shared" si="127"/>
        <v>0</v>
      </c>
      <c r="AE274" s="118"/>
      <c r="AF274" s="119"/>
      <c r="AG274" s="120"/>
      <c r="AH274" s="118"/>
      <c r="AI274" s="119"/>
      <c r="AJ274" s="121"/>
    </row>
    <row r="275" spans="2:36" s="9" customFormat="1">
      <c r="B275" s="9">
        <v>1</v>
      </c>
      <c r="C275" s="9" t="s">
        <v>562</v>
      </c>
      <c r="G275" s="9">
        <v>2000</v>
      </c>
      <c r="H275" s="9">
        <v>8</v>
      </c>
      <c r="I275" s="9">
        <v>0</v>
      </c>
      <c r="J275" s="9" t="s">
        <v>78</v>
      </c>
      <c r="K275" s="158" t="s">
        <v>449</v>
      </c>
      <c r="L275" s="9">
        <f t="shared" si="110"/>
        <v>2010</v>
      </c>
      <c r="M275" s="127">
        <f t="shared" si="111"/>
        <v>2010.6666666666667</v>
      </c>
      <c r="N275" s="13">
        <v>4023.63</v>
      </c>
      <c r="O275" s="13">
        <f t="shared" si="112"/>
        <v>4023.63</v>
      </c>
      <c r="P275" s="13">
        <f t="shared" si="113"/>
        <v>33.530250000000002</v>
      </c>
      <c r="Q275" s="13">
        <f t="shared" si="114"/>
        <v>402.36300000000006</v>
      </c>
      <c r="R275" s="13">
        <v>0</v>
      </c>
      <c r="S275" s="13">
        <f t="shared" si="115"/>
        <v>0</v>
      </c>
      <c r="T275" s="13">
        <f t="shared" si="116"/>
        <v>4023.63</v>
      </c>
      <c r="U275" s="13">
        <f t="shared" si="117"/>
        <v>4023.63</v>
      </c>
      <c r="V275" s="13">
        <v>0</v>
      </c>
      <c r="W275" s="13">
        <f t="shared" si="118"/>
        <v>0</v>
      </c>
      <c r="X275" s="115">
        <f t="shared" si="123"/>
        <v>0</v>
      </c>
      <c r="Y275" s="116">
        <f t="shared" si="124"/>
        <v>0</v>
      </c>
      <c r="Z275" s="116">
        <f t="shared" si="125"/>
        <v>0</v>
      </c>
      <c r="AA275" s="116">
        <f t="shared" si="120"/>
        <v>0</v>
      </c>
      <c r="AB275" s="117">
        <f>'Ratios (C)'!$C$28+'Ratios (C)'!$D$28</f>
        <v>0.44697875883235366</v>
      </c>
      <c r="AC275" s="116">
        <f t="shared" si="126"/>
        <v>0</v>
      </c>
      <c r="AD275" s="116">
        <f t="shared" si="127"/>
        <v>0</v>
      </c>
      <c r="AE275" s="118"/>
      <c r="AF275" s="119"/>
      <c r="AG275" s="120"/>
      <c r="AH275" s="118"/>
      <c r="AI275" s="119"/>
      <c r="AJ275" s="121"/>
    </row>
    <row r="276" spans="2:36" s="9" customFormat="1">
      <c r="B276" s="9">
        <v>1</v>
      </c>
      <c r="C276" s="9" t="s">
        <v>562</v>
      </c>
      <c r="G276" s="9">
        <v>2000</v>
      </c>
      <c r="H276" s="9">
        <v>8</v>
      </c>
      <c r="I276" s="9">
        <v>0</v>
      </c>
      <c r="J276" s="9" t="s">
        <v>78</v>
      </c>
      <c r="K276" s="158" t="s">
        <v>449</v>
      </c>
      <c r="L276" s="9">
        <f t="shared" si="110"/>
        <v>2010</v>
      </c>
      <c r="M276" s="127">
        <f t="shared" si="111"/>
        <v>2010.6666666666667</v>
      </c>
      <c r="N276" s="13">
        <v>4289.7</v>
      </c>
      <c r="O276" s="13">
        <f t="shared" si="112"/>
        <v>4289.7</v>
      </c>
      <c r="P276" s="13">
        <f t="shared" si="113"/>
        <v>35.747499999999995</v>
      </c>
      <c r="Q276" s="13">
        <f t="shared" si="114"/>
        <v>428.96999999999991</v>
      </c>
      <c r="R276" s="13">
        <v>0</v>
      </c>
      <c r="S276" s="13">
        <f t="shared" si="115"/>
        <v>0</v>
      </c>
      <c r="T276" s="13">
        <f t="shared" si="116"/>
        <v>4289.7</v>
      </c>
      <c r="U276" s="13">
        <f t="shared" si="117"/>
        <v>4289.7</v>
      </c>
      <c r="V276" s="13">
        <v>0</v>
      </c>
      <c r="W276" s="13">
        <f t="shared" si="118"/>
        <v>0</v>
      </c>
      <c r="X276" s="115">
        <f t="shared" si="123"/>
        <v>0</v>
      </c>
      <c r="Y276" s="116">
        <f t="shared" si="124"/>
        <v>0</v>
      </c>
      <c r="Z276" s="116">
        <f t="shared" si="125"/>
        <v>0</v>
      </c>
      <c r="AA276" s="116">
        <f t="shared" si="120"/>
        <v>0</v>
      </c>
      <c r="AB276" s="117">
        <f>'Ratios (C)'!$C$28+'Ratios (C)'!$D$28</f>
        <v>0.44697875883235366</v>
      </c>
      <c r="AC276" s="116">
        <f t="shared" si="126"/>
        <v>0</v>
      </c>
      <c r="AD276" s="116">
        <f t="shared" si="127"/>
        <v>0</v>
      </c>
      <c r="AE276" s="118"/>
      <c r="AF276" s="119"/>
      <c r="AG276" s="120"/>
      <c r="AH276" s="118"/>
      <c r="AI276" s="119"/>
      <c r="AJ276" s="121"/>
    </row>
    <row r="277" spans="2:36" s="9" customFormat="1">
      <c r="B277" s="9">
        <v>2</v>
      </c>
      <c r="C277" s="9" t="s">
        <v>560</v>
      </c>
      <c r="G277" s="9">
        <v>2000</v>
      </c>
      <c r="H277" s="9">
        <v>9</v>
      </c>
      <c r="I277" s="9">
        <v>0</v>
      </c>
      <c r="J277" s="9" t="s">
        <v>78</v>
      </c>
      <c r="K277" s="158" t="s">
        <v>449</v>
      </c>
      <c r="L277" s="9">
        <f t="shared" si="110"/>
        <v>2010</v>
      </c>
      <c r="M277" s="127">
        <f t="shared" si="111"/>
        <v>2010.75</v>
      </c>
      <c r="N277" s="13">
        <v>7113.3</v>
      </c>
      <c r="O277" s="13">
        <f t="shared" si="112"/>
        <v>7113.3</v>
      </c>
      <c r="P277" s="13">
        <f t="shared" si="113"/>
        <v>59.277500000000003</v>
      </c>
      <c r="Q277" s="13">
        <f t="shared" si="114"/>
        <v>711.33</v>
      </c>
      <c r="R277" s="13">
        <v>0</v>
      </c>
      <c r="S277" s="13">
        <f t="shared" si="115"/>
        <v>0</v>
      </c>
      <c r="T277" s="13">
        <f t="shared" si="116"/>
        <v>7113.3</v>
      </c>
      <c r="U277" s="13">
        <f t="shared" si="117"/>
        <v>7113.3</v>
      </c>
      <c r="V277" s="13">
        <v>0</v>
      </c>
      <c r="W277" s="13">
        <f t="shared" si="118"/>
        <v>0</v>
      </c>
      <c r="X277" s="115">
        <f t="shared" si="123"/>
        <v>0</v>
      </c>
      <c r="Y277" s="116">
        <f t="shared" si="124"/>
        <v>0</v>
      </c>
      <c r="Z277" s="116">
        <f t="shared" si="125"/>
        <v>0</v>
      </c>
      <c r="AA277" s="116">
        <f t="shared" si="120"/>
        <v>0</v>
      </c>
      <c r="AB277" s="117">
        <f>'Ratios (C)'!$C$28+'Ratios (C)'!$D$28</f>
        <v>0.44697875883235366</v>
      </c>
      <c r="AC277" s="116">
        <f t="shared" si="126"/>
        <v>0</v>
      </c>
      <c r="AD277" s="116">
        <f t="shared" si="127"/>
        <v>0</v>
      </c>
      <c r="AE277" s="118"/>
      <c r="AF277" s="119"/>
      <c r="AG277" s="120"/>
      <c r="AH277" s="118"/>
      <c r="AI277" s="119"/>
      <c r="AJ277" s="121"/>
    </row>
    <row r="278" spans="2:36" s="9" customFormat="1">
      <c r="B278" s="9">
        <v>1</v>
      </c>
      <c r="C278" s="9" t="s">
        <v>560</v>
      </c>
      <c r="G278" s="9">
        <v>2000</v>
      </c>
      <c r="H278" s="9">
        <v>9</v>
      </c>
      <c r="I278" s="9">
        <v>0</v>
      </c>
      <c r="J278" s="9" t="s">
        <v>78</v>
      </c>
      <c r="K278" s="158" t="s">
        <v>449</v>
      </c>
      <c r="L278" s="9">
        <f t="shared" si="110"/>
        <v>2010</v>
      </c>
      <c r="M278" s="127">
        <f t="shared" si="111"/>
        <v>2010.75</v>
      </c>
      <c r="N278" s="13">
        <v>2769.3</v>
      </c>
      <c r="O278" s="13">
        <f t="shared" si="112"/>
        <v>2769.3</v>
      </c>
      <c r="P278" s="13">
        <f t="shared" si="113"/>
        <v>23.077500000000001</v>
      </c>
      <c r="Q278" s="13">
        <f t="shared" si="114"/>
        <v>276.93</v>
      </c>
      <c r="R278" s="13">
        <v>0</v>
      </c>
      <c r="S278" s="13">
        <f t="shared" si="115"/>
        <v>0</v>
      </c>
      <c r="T278" s="13">
        <f t="shared" si="116"/>
        <v>2769.3</v>
      </c>
      <c r="U278" s="13">
        <f t="shared" si="117"/>
        <v>2769.3</v>
      </c>
      <c r="V278" s="13">
        <v>0</v>
      </c>
      <c r="W278" s="13">
        <f t="shared" si="118"/>
        <v>0</v>
      </c>
      <c r="X278" s="115">
        <f t="shared" si="123"/>
        <v>0</v>
      </c>
      <c r="Y278" s="116">
        <f t="shared" si="124"/>
        <v>0</v>
      </c>
      <c r="Z278" s="116">
        <f t="shared" si="125"/>
        <v>0</v>
      </c>
      <c r="AA278" s="116">
        <f t="shared" si="120"/>
        <v>0</v>
      </c>
      <c r="AB278" s="117">
        <f>'Ratios (C)'!$C$28+'Ratios (C)'!$D$28</f>
        <v>0.44697875883235366</v>
      </c>
      <c r="AC278" s="116">
        <f t="shared" si="126"/>
        <v>0</v>
      </c>
      <c r="AD278" s="116">
        <f t="shared" si="127"/>
        <v>0</v>
      </c>
      <c r="AE278" s="118"/>
      <c r="AF278" s="119"/>
      <c r="AG278" s="120"/>
      <c r="AH278" s="118"/>
      <c r="AI278" s="119"/>
      <c r="AJ278" s="121"/>
    </row>
    <row r="279" spans="2:36" s="9" customFormat="1">
      <c r="B279" s="9">
        <v>1</v>
      </c>
      <c r="C279" s="9" t="s">
        <v>562</v>
      </c>
      <c r="G279" s="9">
        <v>2000</v>
      </c>
      <c r="H279" s="9">
        <v>9</v>
      </c>
      <c r="I279" s="9">
        <v>0</v>
      </c>
      <c r="J279" s="9" t="s">
        <v>78</v>
      </c>
      <c r="K279" s="158" t="s">
        <v>449</v>
      </c>
      <c r="L279" s="9">
        <f t="shared" si="110"/>
        <v>2010</v>
      </c>
      <c r="M279" s="127">
        <f t="shared" si="111"/>
        <v>2010.75</v>
      </c>
      <c r="N279" s="13">
        <v>3095.1</v>
      </c>
      <c r="O279" s="13">
        <f t="shared" si="112"/>
        <v>3095.1</v>
      </c>
      <c r="P279" s="13">
        <f t="shared" si="113"/>
        <v>25.7925</v>
      </c>
      <c r="Q279" s="13">
        <f t="shared" si="114"/>
        <v>309.51</v>
      </c>
      <c r="R279" s="13">
        <v>0</v>
      </c>
      <c r="S279" s="13">
        <f t="shared" si="115"/>
        <v>0</v>
      </c>
      <c r="T279" s="13">
        <f t="shared" si="116"/>
        <v>3095.1</v>
      </c>
      <c r="U279" s="13">
        <f t="shared" si="117"/>
        <v>3095.1</v>
      </c>
      <c r="V279" s="13">
        <v>0</v>
      </c>
      <c r="W279" s="13">
        <f t="shared" si="118"/>
        <v>0</v>
      </c>
      <c r="X279" s="115">
        <f t="shared" si="123"/>
        <v>0</v>
      </c>
      <c r="Y279" s="116">
        <f t="shared" si="124"/>
        <v>0</v>
      </c>
      <c r="Z279" s="116">
        <f t="shared" si="125"/>
        <v>0</v>
      </c>
      <c r="AA279" s="116">
        <f t="shared" si="120"/>
        <v>0</v>
      </c>
      <c r="AB279" s="117">
        <f>'Ratios (C)'!$C$28+'Ratios (C)'!$D$28</f>
        <v>0.44697875883235366</v>
      </c>
      <c r="AC279" s="116">
        <f t="shared" si="126"/>
        <v>0</v>
      </c>
      <c r="AD279" s="116">
        <f t="shared" si="127"/>
        <v>0</v>
      </c>
      <c r="AE279" s="118"/>
      <c r="AF279" s="119"/>
      <c r="AG279" s="120"/>
      <c r="AH279" s="118"/>
      <c r="AI279" s="119"/>
      <c r="AJ279" s="121"/>
    </row>
    <row r="280" spans="2:36" s="9" customFormat="1">
      <c r="B280" s="9">
        <v>2</v>
      </c>
      <c r="C280" s="9" t="s">
        <v>560</v>
      </c>
      <c r="G280" s="9">
        <v>2000</v>
      </c>
      <c r="H280" s="9">
        <v>10</v>
      </c>
      <c r="I280" s="9">
        <v>0</v>
      </c>
      <c r="J280" s="9" t="s">
        <v>78</v>
      </c>
      <c r="K280" s="158" t="s">
        <v>449</v>
      </c>
      <c r="L280" s="9">
        <f t="shared" si="110"/>
        <v>2010</v>
      </c>
      <c r="M280" s="127">
        <f t="shared" si="111"/>
        <v>2010.8333333333333</v>
      </c>
      <c r="N280" s="13">
        <v>7276.2</v>
      </c>
      <c r="O280" s="13">
        <f t="shared" si="112"/>
        <v>7276.2</v>
      </c>
      <c r="P280" s="13">
        <f t="shared" si="113"/>
        <v>60.634999999999998</v>
      </c>
      <c r="Q280" s="13">
        <f t="shared" si="114"/>
        <v>727.62</v>
      </c>
      <c r="R280" s="13">
        <v>0</v>
      </c>
      <c r="S280" s="13">
        <f t="shared" si="115"/>
        <v>0</v>
      </c>
      <c r="T280" s="13">
        <f t="shared" si="116"/>
        <v>7276.2</v>
      </c>
      <c r="U280" s="13">
        <f t="shared" si="117"/>
        <v>7276.2</v>
      </c>
      <c r="V280" s="13">
        <v>0</v>
      </c>
      <c r="W280" s="13">
        <f t="shared" si="118"/>
        <v>0</v>
      </c>
      <c r="X280" s="115">
        <f t="shared" si="123"/>
        <v>0</v>
      </c>
      <c r="Y280" s="116">
        <f t="shared" si="124"/>
        <v>0</v>
      </c>
      <c r="Z280" s="116">
        <f t="shared" si="125"/>
        <v>0</v>
      </c>
      <c r="AA280" s="116">
        <f t="shared" si="120"/>
        <v>0</v>
      </c>
      <c r="AB280" s="117">
        <f>'Ratios (C)'!$C$28+'Ratios (C)'!$D$28</f>
        <v>0.44697875883235366</v>
      </c>
      <c r="AC280" s="116">
        <f t="shared" si="126"/>
        <v>0</v>
      </c>
      <c r="AD280" s="116">
        <f t="shared" si="127"/>
        <v>0</v>
      </c>
      <c r="AE280" s="118"/>
      <c r="AF280" s="119"/>
      <c r="AG280" s="120"/>
      <c r="AH280" s="118"/>
      <c r="AI280" s="119"/>
      <c r="AJ280" s="121"/>
    </row>
    <row r="281" spans="2:36" s="9" customFormat="1">
      <c r="B281" s="9">
        <v>1</v>
      </c>
      <c r="C281" s="9" t="s">
        <v>562</v>
      </c>
      <c r="G281" s="9">
        <v>2000</v>
      </c>
      <c r="H281" s="9">
        <v>10</v>
      </c>
      <c r="I281" s="9">
        <v>0</v>
      </c>
      <c r="J281" s="9" t="s">
        <v>78</v>
      </c>
      <c r="K281" s="158" t="s">
        <v>449</v>
      </c>
      <c r="L281" s="9">
        <f t="shared" si="110"/>
        <v>2010</v>
      </c>
      <c r="M281" s="127">
        <f t="shared" si="111"/>
        <v>2010.8333333333333</v>
      </c>
      <c r="N281" s="13">
        <v>4023.63</v>
      </c>
      <c r="O281" s="13">
        <f t="shared" si="112"/>
        <v>4023.63</v>
      </c>
      <c r="P281" s="13">
        <f t="shared" si="113"/>
        <v>33.530250000000002</v>
      </c>
      <c r="Q281" s="13">
        <f t="shared" si="114"/>
        <v>402.36300000000006</v>
      </c>
      <c r="R281" s="13">
        <v>0</v>
      </c>
      <c r="S281" s="13">
        <f t="shared" si="115"/>
        <v>0</v>
      </c>
      <c r="T281" s="13">
        <f t="shared" si="116"/>
        <v>4023.63</v>
      </c>
      <c r="U281" s="13">
        <f t="shared" si="117"/>
        <v>4023.63</v>
      </c>
      <c r="V281" s="13">
        <v>0</v>
      </c>
      <c r="W281" s="13">
        <f t="shared" si="118"/>
        <v>0</v>
      </c>
      <c r="X281" s="115">
        <f t="shared" si="123"/>
        <v>0</v>
      </c>
      <c r="Y281" s="116">
        <f t="shared" si="124"/>
        <v>0</v>
      </c>
      <c r="Z281" s="116">
        <f t="shared" si="125"/>
        <v>0</v>
      </c>
      <c r="AA281" s="116">
        <f t="shared" si="120"/>
        <v>0</v>
      </c>
      <c r="AB281" s="117">
        <f>'Ratios (C)'!$C$28+'Ratios (C)'!$D$28</f>
        <v>0.44697875883235366</v>
      </c>
      <c r="AC281" s="116">
        <f t="shared" si="126"/>
        <v>0</v>
      </c>
      <c r="AD281" s="116">
        <f t="shared" si="127"/>
        <v>0</v>
      </c>
      <c r="AE281" s="118"/>
      <c r="AF281" s="119"/>
      <c r="AG281" s="120"/>
      <c r="AH281" s="118"/>
      <c r="AI281" s="119"/>
      <c r="AJ281" s="121"/>
    </row>
    <row r="282" spans="2:36" s="9" customFormat="1">
      <c r="B282" s="9">
        <v>0</v>
      </c>
      <c r="C282" s="9" t="s">
        <v>562</v>
      </c>
      <c r="G282" s="9">
        <v>2001</v>
      </c>
      <c r="H282" s="9">
        <v>1</v>
      </c>
      <c r="I282" s="9">
        <v>0</v>
      </c>
      <c r="J282" s="9" t="s">
        <v>78</v>
      </c>
      <c r="K282" s="158" t="s">
        <v>449</v>
      </c>
      <c r="L282" s="9">
        <f t="shared" si="110"/>
        <v>2011</v>
      </c>
      <c r="M282" s="127">
        <f t="shared" si="111"/>
        <v>2011.0833333333333</v>
      </c>
      <c r="N282" s="13">
        <v>3625.98</v>
      </c>
      <c r="O282" s="13">
        <f t="shared" si="112"/>
        <v>3625.98</v>
      </c>
      <c r="P282" s="13">
        <f t="shared" si="113"/>
        <v>30.2165</v>
      </c>
      <c r="Q282" s="13">
        <f t="shared" si="114"/>
        <v>362.59800000000001</v>
      </c>
      <c r="R282" s="13">
        <v>0</v>
      </c>
      <c r="S282" s="13">
        <f t="shared" si="115"/>
        <v>0</v>
      </c>
      <c r="T282" s="13">
        <f t="shared" si="116"/>
        <v>3625.98</v>
      </c>
      <c r="U282" s="13">
        <f t="shared" si="117"/>
        <v>3625.98</v>
      </c>
      <c r="V282" s="13">
        <v>0</v>
      </c>
      <c r="W282" s="13">
        <f t="shared" si="118"/>
        <v>0</v>
      </c>
      <c r="X282" s="115">
        <f t="shared" si="123"/>
        <v>0</v>
      </c>
      <c r="Y282" s="116">
        <f t="shared" si="124"/>
        <v>0</v>
      </c>
      <c r="Z282" s="116">
        <f t="shared" si="125"/>
        <v>0</v>
      </c>
      <c r="AA282" s="116">
        <f t="shared" si="120"/>
        <v>0</v>
      </c>
      <c r="AB282" s="117">
        <f>'Ratios (C)'!$C$28+'Ratios (C)'!$D$28</f>
        <v>0.44697875883235366</v>
      </c>
      <c r="AC282" s="116">
        <f t="shared" si="126"/>
        <v>0</v>
      </c>
      <c r="AD282" s="116">
        <f t="shared" si="127"/>
        <v>0</v>
      </c>
      <c r="AE282" s="118"/>
      <c r="AF282" s="119"/>
      <c r="AG282" s="120"/>
      <c r="AH282" s="118"/>
      <c r="AI282" s="119"/>
      <c r="AJ282" s="121"/>
    </row>
    <row r="283" spans="2:36" s="9" customFormat="1">
      <c r="B283" s="9">
        <v>1</v>
      </c>
      <c r="C283" s="9" t="s">
        <v>560</v>
      </c>
      <c r="G283" s="9">
        <v>2001</v>
      </c>
      <c r="H283" s="9">
        <v>2</v>
      </c>
      <c r="I283" s="9">
        <v>0</v>
      </c>
      <c r="J283" s="9" t="s">
        <v>78</v>
      </c>
      <c r="K283" s="158" t="s">
        <v>449</v>
      </c>
      <c r="L283" s="9">
        <f t="shared" si="110"/>
        <v>2011</v>
      </c>
      <c r="M283" s="127">
        <f t="shared" si="111"/>
        <v>2011.1666666666667</v>
      </c>
      <c r="N283" s="13">
        <v>2764.2</v>
      </c>
      <c r="O283" s="13">
        <f t="shared" si="112"/>
        <v>2764.2</v>
      </c>
      <c r="P283" s="13">
        <f t="shared" si="113"/>
        <v>23.034999999999997</v>
      </c>
      <c r="Q283" s="13">
        <f t="shared" si="114"/>
        <v>276.41999999999996</v>
      </c>
      <c r="R283" s="13">
        <v>0</v>
      </c>
      <c r="S283" s="13">
        <f t="shared" si="115"/>
        <v>0</v>
      </c>
      <c r="T283" s="13">
        <f t="shared" si="116"/>
        <v>2764.2</v>
      </c>
      <c r="U283" s="13">
        <f t="shared" si="117"/>
        <v>2764.2</v>
      </c>
      <c r="V283" s="13">
        <v>0</v>
      </c>
      <c r="W283" s="13">
        <f t="shared" si="118"/>
        <v>0</v>
      </c>
      <c r="X283" s="115">
        <f t="shared" si="123"/>
        <v>0</v>
      </c>
      <c r="Y283" s="116">
        <f t="shared" si="124"/>
        <v>0</v>
      </c>
      <c r="Z283" s="116">
        <f t="shared" si="125"/>
        <v>0</v>
      </c>
      <c r="AA283" s="116">
        <f t="shared" si="120"/>
        <v>0</v>
      </c>
      <c r="AB283" s="117">
        <f>'Ratios (C)'!$C$28+'Ratios (C)'!$D$28</f>
        <v>0.44697875883235366</v>
      </c>
      <c r="AC283" s="116">
        <f t="shared" si="126"/>
        <v>0</v>
      </c>
      <c r="AD283" s="116">
        <f t="shared" si="127"/>
        <v>0</v>
      </c>
      <c r="AE283" s="118"/>
      <c r="AF283" s="119"/>
      <c r="AG283" s="120"/>
      <c r="AH283" s="118"/>
      <c r="AI283" s="119"/>
      <c r="AJ283" s="121"/>
    </row>
    <row r="284" spans="2:36" s="9" customFormat="1">
      <c r="B284" s="9">
        <v>4</v>
      </c>
      <c r="C284" s="9" t="s">
        <v>562</v>
      </c>
      <c r="G284" s="9">
        <v>2001</v>
      </c>
      <c r="H284" s="9">
        <v>4</v>
      </c>
      <c r="I284" s="9">
        <v>0</v>
      </c>
      <c r="J284" s="9" t="s">
        <v>78</v>
      </c>
      <c r="K284" s="158" t="s">
        <v>449</v>
      </c>
      <c r="L284" s="9">
        <f t="shared" si="110"/>
        <v>2011</v>
      </c>
      <c r="M284" s="127">
        <f t="shared" si="111"/>
        <v>2011.3333333333333</v>
      </c>
      <c r="N284" s="13">
        <v>17544</v>
      </c>
      <c r="O284" s="13">
        <f t="shared" si="112"/>
        <v>17544</v>
      </c>
      <c r="P284" s="13">
        <f t="shared" si="113"/>
        <v>146.20000000000002</v>
      </c>
      <c r="Q284" s="13">
        <f t="shared" si="114"/>
        <v>1754.4</v>
      </c>
      <c r="R284" s="13">
        <v>0</v>
      </c>
      <c r="S284" s="13">
        <f t="shared" si="115"/>
        <v>0</v>
      </c>
      <c r="T284" s="13">
        <f t="shared" si="116"/>
        <v>17544</v>
      </c>
      <c r="U284" s="13">
        <f t="shared" si="117"/>
        <v>17544</v>
      </c>
      <c r="V284" s="13">
        <v>0</v>
      </c>
      <c r="W284" s="13">
        <f t="shared" si="118"/>
        <v>0</v>
      </c>
      <c r="X284" s="115">
        <f t="shared" si="123"/>
        <v>0</v>
      </c>
      <c r="Y284" s="116">
        <f t="shared" si="124"/>
        <v>0</v>
      </c>
      <c r="Z284" s="116">
        <f t="shared" si="125"/>
        <v>0</v>
      </c>
      <c r="AA284" s="116">
        <f t="shared" si="120"/>
        <v>0</v>
      </c>
      <c r="AB284" s="117">
        <f>'Ratios (C)'!$C$28+'Ratios (C)'!$D$28</f>
        <v>0.44697875883235366</v>
      </c>
      <c r="AC284" s="116">
        <f t="shared" si="126"/>
        <v>0</v>
      </c>
      <c r="AD284" s="116">
        <f t="shared" si="127"/>
        <v>0</v>
      </c>
      <c r="AE284" s="118"/>
      <c r="AF284" s="119"/>
      <c r="AG284" s="120"/>
      <c r="AH284" s="118"/>
      <c r="AI284" s="119"/>
      <c r="AJ284" s="121"/>
    </row>
    <row r="285" spans="2:36" s="9" customFormat="1">
      <c r="B285" s="9">
        <v>20</v>
      </c>
      <c r="C285" s="9" t="s">
        <v>560</v>
      </c>
      <c r="G285" s="9">
        <v>2001</v>
      </c>
      <c r="H285" s="9">
        <v>5</v>
      </c>
      <c r="I285" s="9">
        <v>0</v>
      </c>
      <c r="J285" s="9" t="s">
        <v>78</v>
      </c>
      <c r="K285" s="158" t="s">
        <v>449</v>
      </c>
      <c r="L285" s="9">
        <f t="shared" si="110"/>
        <v>2011</v>
      </c>
      <c r="M285" s="127">
        <f t="shared" si="111"/>
        <v>2011.4166666666667</v>
      </c>
      <c r="N285" s="13">
        <v>85516.800000000003</v>
      </c>
      <c r="O285" s="13">
        <f t="shared" si="112"/>
        <v>85516.800000000003</v>
      </c>
      <c r="P285" s="13">
        <f t="shared" si="113"/>
        <v>712.64</v>
      </c>
      <c r="Q285" s="13">
        <f t="shared" si="114"/>
        <v>8551.68</v>
      </c>
      <c r="R285" s="13">
        <v>0</v>
      </c>
      <c r="S285" s="13">
        <f t="shared" si="115"/>
        <v>0</v>
      </c>
      <c r="T285" s="13">
        <f t="shared" si="116"/>
        <v>85516.800000000003</v>
      </c>
      <c r="U285" s="13">
        <f t="shared" si="117"/>
        <v>85516.800000000003</v>
      </c>
      <c r="V285" s="13">
        <v>0</v>
      </c>
      <c r="W285" s="13">
        <f t="shared" si="118"/>
        <v>0</v>
      </c>
      <c r="X285" s="115">
        <f t="shared" si="123"/>
        <v>0</v>
      </c>
      <c r="Y285" s="116">
        <f t="shared" si="124"/>
        <v>0</v>
      </c>
      <c r="Z285" s="116">
        <f t="shared" si="125"/>
        <v>0</v>
      </c>
      <c r="AA285" s="116">
        <f t="shared" si="120"/>
        <v>0</v>
      </c>
      <c r="AB285" s="117">
        <f>'Ratios (C)'!$C$28+'Ratios (C)'!$D$28</f>
        <v>0.44697875883235366</v>
      </c>
      <c r="AC285" s="116">
        <f t="shared" si="126"/>
        <v>0</v>
      </c>
      <c r="AD285" s="116">
        <f t="shared" si="127"/>
        <v>0</v>
      </c>
      <c r="AE285" s="118"/>
      <c r="AF285" s="119"/>
      <c r="AG285" s="120"/>
      <c r="AH285" s="118"/>
      <c r="AI285" s="119"/>
      <c r="AJ285" s="121"/>
    </row>
    <row r="286" spans="2:36" s="9" customFormat="1">
      <c r="B286" s="9">
        <v>4</v>
      </c>
      <c r="C286" s="9" t="s">
        <v>562</v>
      </c>
      <c r="G286" s="9">
        <v>2001</v>
      </c>
      <c r="H286" s="9">
        <v>5</v>
      </c>
      <c r="I286" s="9">
        <v>0</v>
      </c>
      <c r="J286" s="9" t="s">
        <v>78</v>
      </c>
      <c r="K286" s="158" t="s">
        <v>449</v>
      </c>
      <c r="L286" s="9">
        <f t="shared" si="110"/>
        <v>2011</v>
      </c>
      <c r="M286" s="127">
        <f t="shared" si="111"/>
        <v>2011.4166666666667</v>
      </c>
      <c r="N286" s="13">
        <v>20155.2</v>
      </c>
      <c r="O286" s="13">
        <f t="shared" si="112"/>
        <v>20155.2</v>
      </c>
      <c r="P286" s="13">
        <f t="shared" si="113"/>
        <v>167.96</v>
      </c>
      <c r="Q286" s="13">
        <f t="shared" si="114"/>
        <v>2015.52</v>
      </c>
      <c r="R286" s="13">
        <v>0</v>
      </c>
      <c r="S286" s="13">
        <f t="shared" si="115"/>
        <v>0</v>
      </c>
      <c r="T286" s="13">
        <f t="shared" si="116"/>
        <v>20155.2</v>
      </c>
      <c r="U286" s="13">
        <f t="shared" si="117"/>
        <v>20155.2</v>
      </c>
      <c r="V286" s="13">
        <v>0</v>
      </c>
      <c r="W286" s="13">
        <f t="shared" si="118"/>
        <v>0</v>
      </c>
      <c r="X286" s="115">
        <f t="shared" si="123"/>
        <v>0</v>
      </c>
      <c r="Y286" s="116">
        <f t="shared" si="124"/>
        <v>0</v>
      </c>
      <c r="Z286" s="116">
        <f t="shared" si="125"/>
        <v>0</v>
      </c>
      <c r="AA286" s="116">
        <f t="shared" si="120"/>
        <v>0</v>
      </c>
      <c r="AB286" s="117">
        <f>'Ratios (C)'!$C$28+'Ratios (C)'!$D$28</f>
        <v>0.44697875883235366</v>
      </c>
      <c r="AC286" s="116">
        <f t="shared" si="126"/>
        <v>0</v>
      </c>
      <c r="AD286" s="116">
        <f t="shared" si="127"/>
        <v>0</v>
      </c>
      <c r="AE286" s="118"/>
      <c r="AF286" s="119"/>
      <c r="AG286" s="120"/>
      <c r="AH286" s="118"/>
      <c r="AI286" s="119"/>
      <c r="AJ286" s="121"/>
    </row>
    <row r="287" spans="2:36" s="9" customFormat="1">
      <c r="B287" s="9">
        <v>1</v>
      </c>
      <c r="C287" s="9" t="s">
        <v>560</v>
      </c>
      <c r="G287" s="9">
        <v>2001</v>
      </c>
      <c r="H287" s="9">
        <v>6</v>
      </c>
      <c r="I287" s="9">
        <v>0</v>
      </c>
      <c r="J287" s="9" t="s">
        <v>78</v>
      </c>
      <c r="K287" s="158" t="s">
        <v>449</v>
      </c>
      <c r="L287" s="9">
        <f t="shared" si="110"/>
        <v>2011</v>
      </c>
      <c r="M287" s="127">
        <f t="shared" si="111"/>
        <v>2011.5</v>
      </c>
      <c r="N287" s="13">
        <v>4031.04</v>
      </c>
      <c r="O287" s="13">
        <f t="shared" si="112"/>
        <v>4031.04</v>
      </c>
      <c r="P287" s="13">
        <f t="shared" si="113"/>
        <v>33.591999999999999</v>
      </c>
      <c r="Q287" s="13">
        <f t="shared" si="114"/>
        <v>403.10399999999998</v>
      </c>
      <c r="R287" s="13">
        <v>0</v>
      </c>
      <c r="S287" s="13">
        <f t="shared" si="115"/>
        <v>0</v>
      </c>
      <c r="T287" s="13">
        <f t="shared" si="116"/>
        <v>4031.04</v>
      </c>
      <c r="U287" s="13">
        <f t="shared" si="117"/>
        <v>4031.04</v>
      </c>
      <c r="V287" s="13">
        <v>0</v>
      </c>
      <c r="W287" s="13">
        <f t="shared" si="118"/>
        <v>0</v>
      </c>
      <c r="X287" s="115">
        <f t="shared" si="123"/>
        <v>0</v>
      </c>
      <c r="Y287" s="116">
        <f t="shared" si="124"/>
        <v>0</v>
      </c>
      <c r="Z287" s="116">
        <f t="shared" si="125"/>
        <v>0</v>
      </c>
      <c r="AA287" s="116">
        <f t="shared" si="120"/>
        <v>0</v>
      </c>
      <c r="AB287" s="117">
        <f>'Ratios (C)'!$C$28+'Ratios (C)'!$D$28</f>
        <v>0.44697875883235366</v>
      </c>
      <c r="AC287" s="116">
        <f t="shared" si="126"/>
        <v>0</v>
      </c>
      <c r="AD287" s="116">
        <f t="shared" si="127"/>
        <v>0</v>
      </c>
      <c r="AE287" s="118"/>
      <c r="AF287" s="119"/>
      <c r="AG287" s="120"/>
      <c r="AH287" s="118"/>
      <c r="AI287" s="119"/>
      <c r="AJ287" s="121"/>
    </row>
    <row r="288" spans="2:36" s="9" customFormat="1">
      <c r="B288" s="9">
        <v>1</v>
      </c>
      <c r="C288" s="9" t="s">
        <v>564</v>
      </c>
      <c r="G288" s="9">
        <v>2001</v>
      </c>
      <c r="H288" s="9">
        <v>8</v>
      </c>
      <c r="I288" s="9">
        <v>0</v>
      </c>
      <c r="J288" s="9" t="s">
        <v>78</v>
      </c>
      <c r="K288" s="158" t="s">
        <v>449</v>
      </c>
      <c r="L288" s="9">
        <f t="shared" si="110"/>
        <v>2011</v>
      </c>
      <c r="M288" s="127">
        <f t="shared" si="111"/>
        <v>2011.6666666666667</v>
      </c>
      <c r="N288" s="13">
        <v>6201.6</v>
      </c>
      <c r="O288" s="13">
        <f t="shared" si="112"/>
        <v>6201.6</v>
      </c>
      <c r="P288" s="13">
        <f t="shared" si="113"/>
        <v>51.680000000000007</v>
      </c>
      <c r="Q288" s="13">
        <f t="shared" si="114"/>
        <v>620.16000000000008</v>
      </c>
      <c r="R288" s="13">
        <v>0</v>
      </c>
      <c r="S288" s="13">
        <f t="shared" si="115"/>
        <v>0</v>
      </c>
      <c r="T288" s="13">
        <f t="shared" si="116"/>
        <v>6201.6</v>
      </c>
      <c r="U288" s="13">
        <f t="shared" si="117"/>
        <v>6201.6</v>
      </c>
      <c r="V288" s="13">
        <v>0</v>
      </c>
      <c r="W288" s="13">
        <f t="shared" si="118"/>
        <v>0</v>
      </c>
      <c r="X288" s="115">
        <f t="shared" si="123"/>
        <v>0</v>
      </c>
      <c r="Y288" s="116">
        <f t="shared" si="124"/>
        <v>0</v>
      </c>
      <c r="Z288" s="116">
        <f t="shared" si="125"/>
        <v>0</v>
      </c>
      <c r="AA288" s="116">
        <f t="shared" si="120"/>
        <v>0</v>
      </c>
      <c r="AB288" s="117">
        <f>'Ratios (C)'!$C$28+'Ratios (C)'!$D$28</f>
        <v>0.44697875883235366</v>
      </c>
      <c r="AC288" s="116">
        <f t="shared" si="126"/>
        <v>0</v>
      </c>
      <c r="AD288" s="116">
        <f t="shared" si="127"/>
        <v>0</v>
      </c>
      <c r="AE288" s="118"/>
      <c r="AF288" s="119"/>
      <c r="AG288" s="120"/>
      <c r="AH288" s="118"/>
      <c r="AI288" s="119"/>
      <c r="AJ288" s="121"/>
    </row>
    <row r="289" spans="2:36" s="9" customFormat="1">
      <c r="B289" s="9">
        <v>2</v>
      </c>
      <c r="C289" s="9" t="s">
        <v>562</v>
      </c>
      <c r="G289" s="9">
        <v>2002</v>
      </c>
      <c r="H289" s="9">
        <v>3</v>
      </c>
      <c r="I289" s="9">
        <v>0</v>
      </c>
      <c r="J289" s="9" t="s">
        <v>78</v>
      </c>
      <c r="K289" s="158" t="s">
        <v>449</v>
      </c>
      <c r="L289" s="9">
        <f t="shared" si="110"/>
        <v>2012</v>
      </c>
      <c r="M289" s="127">
        <f t="shared" si="111"/>
        <v>2012.25</v>
      </c>
      <c r="N289" s="13">
        <v>8279.68</v>
      </c>
      <c r="O289" s="13">
        <f t="shared" si="112"/>
        <v>8279.68</v>
      </c>
      <c r="P289" s="13">
        <f t="shared" si="113"/>
        <v>68.997333333333344</v>
      </c>
      <c r="Q289" s="13">
        <f t="shared" si="114"/>
        <v>827.96800000000007</v>
      </c>
      <c r="R289" s="13">
        <v>0</v>
      </c>
      <c r="S289" s="13">
        <f t="shared" si="115"/>
        <v>0</v>
      </c>
      <c r="T289" s="13">
        <f t="shared" si="116"/>
        <v>8279.68</v>
      </c>
      <c r="U289" s="13">
        <f t="shared" si="117"/>
        <v>8279.68</v>
      </c>
      <c r="V289" s="13">
        <v>0</v>
      </c>
      <c r="W289" s="13">
        <f t="shared" si="118"/>
        <v>0</v>
      </c>
      <c r="X289" s="115">
        <f t="shared" si="123"/>
        <v>0</v>
      </c>
      <c r="Y289" s="116">
        <f t="shared" si="124"/>
        <v>0</v>
      </c>
      <c r="Z289" s="116">
        <f t="shared" si="125"/>
        <v>0</v>
      </c>
      <c r="AA289" s="116">
        <f t="shared" si="120"/>
        <v>0</v>
      </c>
      <c r="AB289" s="117">
        <f>'Ratios (C)'!$C$28+'Ratios (C)'!$D$28</f>
        <v>0.44697875883235366</v>
      </c>
      <c r="AC289" s="116">
        <f t="shared" si="126"/>
        <v>0</v>
      </c>
      <c r="AD289" s="116">
        <f t="shared" si="127"/>
        <v>0</v>
      </c>
      <c r="AE289" s="118"/>
      <c r="AF289" s="119"/>
      <c r="AG289" s="120"/>
      <c r="AH289" s="118"/>
      <c r="AI289" s="119"/>
      <c r="AJ289" s="121"/>
    </row>
    <row r="290" spans="2:36" s="9" customFormat="1">
      <c r="B290" s="9">
        <v>4</v>
      </c>
      <c r="C290" s="9" t="s">
        <v>560</v>
      </c>
      <c r="G290" s="9">
        <v>2003</v>
      </c>
      <c r="H290" s="9">
        <v>4</v>
      </c>
      <c r="I290" s="9">
        <v>0</v>
      </c>
      <c r="J290" s="9" t="s">
        <v>78</v>
      </c>
      <c r="K290" s="158" t="s">
        <v>449</v>
      </c>
      <c r="L290" s="9">
        <f t="shared" si="110"/>
        <v>2013</v>
      </c>
      <c r="M290" s="127">
        <f t="shared" si="111"/>
        <v>2013.3333333333333</v>
      </c>
      <c r="N290" s="13">
        <v>17342.72</v>
      </c>
      <c r="O290" s="13">
        <f t="shared" si="112"/>
        <v>17342.72</v>
      </c>
      <c r="P290" s="13">
        <f t="shared" si="113"/>
        <v>144.52266666666668</v>
      </c>
      <c r="Q290" s="13">
        <f t="shared" si="114"/>
        <v>1734.2720000000002</v>
      </c>
      <c r="R290" s="13">
        <v>0</v>
      </c>
      <c r="S290" s="13">
        <f t="shared" si="115"/>
        <v>0</v>
      </c>
      <c r="T290" s="13">
        <f t="shared" si="116"/>
        <v>17342.72</v>
      </c>
      <c r="U290" s="13">
        <f t="shared" si="117"/>
        <v>17342.72</v>
      </c>
      <c r="V290" s="13">
        <v>0</v>
      </c>
      <c r="W290" s="13">
        <f t="shared" si="118"/>
        <v>0</v>
      </c>
      <c r="X290" s="115">
        <f t="shared" si="123"/>
        <v>0</v>
      </c>
      <c r="Y290" s="116">
        <f t="shared" si="124"/>
        <v>0</v>
      </c>
      <c r="Z290" s="116">
        <f t="shared" si="125"/>
        <v>0</v>
      </c>
      <c r="AA290" s="116">
        <f t="shared" si="120"/>
        <v>0</v>
      </c>
      <c r="AB290" s="117">
        <f>'Ratios (C)'!$C$28+'Ratios (C)'!$D$28</f>
        <v>0.44697875883235366</v>
      </c>
      <c r="AC290" s="116">
        <f t="shared" si="126"/>
        <v>0</v>
      </c>
      <c r="AD290" s="116">
        <f t="shared" si="127"/>
        <v>0</v>
      </c>
      <c r="AE290" s="118"/>
      <c r="AF290" s="119"/>
      <c r="AG290" s="120"/>
      <c r="AH290" s="118"/>
      <c r="AI290" s="119"/>
      <c r="AJ290" s="121"/>
    </row>
    <row r="291" spans="2:36" s="9" customFormat="1">
      <c r="B291" s="9">
        <v>1</v>
      </c>
      <c r="C291" s="9" t="s">
        <v>565</v>
      </c>
      <c r="G291" s="9">
        <v>2003</v>
      </c>
      <c r="H291" s="9">
        <v>4</v>
      </c>
      <c r="I291" s="9">
        <v>0</v>
      </c>
      <c r="J291" s="9" t="s">
        <v>78</v>
      </c>
      <c r="K291" s="158" t="s">
        <v>449</v>
      </c>
      <c r="L291" s="9">
        <f t="shared" si="110"/>
        <v>2013</v>
      </c>
      <c r="M291" s="127">
        <f t="shared" si="111"/>
        <v>2013.3333333333333</v>
      </c>
      <c r="N291" s="13">
        <v>4836.16</v>
      </c>
      <c r="O291" s="13">
        <f t="shared" si="112"/>
        <v>4836.16</v>
      </c>
      <c r="P291" s="13">
        <f t="shared" si="113"/>
        <v>40.301333333333332</v>
      </c>
      <c r="Q291" s="13">
        <f t="shared" si="114"/>
        <v>483.61599999999999</v>
      </c>
      <c r="R291" s="13">
        <v>0</v>
      </c>
      <c r="S291" s="13">
        <f t="shared" si="115"/>
        <v>0</v>
      </c>
      <c r="T291" s="13">
        <f t="shared" si="116"/>
        <v>4836.16</v>
      </c>
      <c r="U291" s="13">
        <f t="shared" si="117"/>
        <v>4836.16</v>
      </c>
      <c r="V291" s="13">
        <v>0</v>
      </c>
      <c r="W291" s="13">
        <f t="shared" si="118"/>
        <v>0</v>
      </c>
      <c r="X291" s="115">
        <f t="shared" si="123"/>
        <v>0</v>
      </c>
      <c r="Y291" s="116">
        <f t="shared" si="124"/>
        <v>0</v>
      </c>
      <c r="Z291" s="116">
        <f t="shared" si="125"/>
        <v>0</v>
      </c>
      <c r="AA291" s="116">
        <f t="shared" si="120"/>
        <v>0</v>
      </c>
      <c r="AB291" s="117">
        <f>'Ratios (C)'!$C$28+'Ratios (C)'!$D$28</f>
        <v>0.44697875883235366</v>
      </c>
      <c r="AC291" s="116">
        <f t="shared" si="126"/>
        <v>0</v>
      </c>
      <c r="AD291" s="116">
        <f t="shared" si="127"/>
        <v>0</v>
      </c>
      <c r="AE291" s="118"/>
      <c r="AF291" s="119"/>
      <c r="AG291" s="120"/>
      <c r="AH291" s="118"/>
      <c r="AI291" s="119"/>
      <c r="AJ291" s="121"/>
    </row>
    <row r="292" spans="2:36" s="9" customFormat="1">
      <c r="B292" s="9">
        <v>15</v>
      </c>
      <c r="C292" s="9" t="s">
        <v>562</v>
      </c>
      <c r="G292" s="9">
        <v>2004</v>
      </c>
      <c r="H292" s="9">
        <v>3</v>
      </c>
      <c r="I292" s="9">
        <v>0</v>
      </c>
      <c r="J292" s="9" t="s">
        <v>78</v>
      </c>
      <c r="K292" s="158" t="s">
        <v>449</v>
      </c>
      <c r="L292" s="9">
        <f t="shared" si="110"/>
        <v>2014</v>
      </c>
      <c r="M292" s="127">
        <f t="shared" si="111"/>
        <v>2014.25</v>
      </c>
      <c r="N292" s="13">
        <v>73342.080000000002</v>
      </c>
      <c r="O292" s="13">
        <f t="shared" si="112"/>
        <v>73342.080000000002</v>
      </c>
      <c r="P292" s="13">
        <f t="shared" si="113"/>
        <v>611.18400000000008</v>
      </c>
      <c r="Q292" s="13">
        <f t="shared" si="114"/>
        <v>7334.2080000000005</v>
      </c>
      <c r="R292" s="13">
        <v>0</v>
      </c>
      <c r="S292" s="13">
        <f t="shared" si="115"/>
        <v>0</v>
      </c>
      <c r="T292" s="13">
        <f t="shared" si="116"/>
        <v>73342.080000000002</v>
      </c>
      <c r="U292" s="13">
        <f t="shared" si="117"/>
        <v>73342.080000000002</v>
      </c>
      <c r="V292" s="13">
        <v>0</v>
      </c>
      <c r="W292" s="13">
        <f t="shared" si="118"/>
        <v>0</v>
      </c>
      <c r="X292" s="115">
        <f t="shared" si="123"/>
        <v>0</v>
      </c>
      <c r="Y292" s="116">
        <f t="shared" si="124"/>
        <v>0</v>
      </c>
      <c r="Z292" s="116">
        <f t="shared" si="125"/>
        <v>0</v>
      </c>
      <c r="AA292" s="116">
        <f t="shared" si="120"/>
        <v>0</v>
      </c>
      <c r="AB292" s="117">
        <f>'Ratios (C)'!$C$28+'Ratios (C)'!$D$28</f>
        <v>0.44697875883235366</v>
      </c>
      <c r="AC292" s="116">
        <f t="shared" si="126"/>
        <v>0</v>
      </c>
      <c r="AD292" s="116">
        <f t="shared" si="127"/>
        <v>0</v>
      </c>
      <c r="AE292" s="118"/>
      <c r="AF292" s="119"/>
      <c r="AG292" s="120"/>
      <c r="AH292" s="118"/>
      <c r="AI292" s="119"/>
      <c r="AJ292" s="121"/>
    </row>
    <row r="293" spans="2:36" s="9" customFormat="1">
      <c r="B293" s="9">
        <v>1</v>
      </c>
      <c r="C293" s="9" t="s">
        <v>565</v>
      </c>
      <c r="G293" s="9">
        <v>2004</v>
      </c>
      <c r="H293" s="9">
        <v>5</v>
      </c>
      <c r="I293" s="9">
        <v>0</v>
      </c>
      <c r="J293" s="9" t="s">
        <v>78</v>
      </c>
      <c r="K293" s="158" t="s">
        <v>449</v>
      </c>
      <c r="L293" s="9">
        <f t="shared" si="110"/>
        <v>2014</v>
      </c>
      <c r="M293" s="127">
        <f t="shared" si="111"/>
        <v>2014.4166666666667</v>
      </c>
      <c r="N293" s="13">
        <v>6065.6</v>
      </c>
      <c r="O293" s="13">
        <f t="shared" si="112"/>
        <v>6065.6</v>
      </c>
      <c r="P293" s="13">
        <f t="shared" si="113"/>
        <v>50.546666666666674</v>
      </c>
      <c r="Q293" s="13">
        <f t="shared" si="114"/>
        <v>606.56000000000006</v>
      </c>
      <c r="R293" s="13">
        <v>0</v>
      </c>
      <c r="S293" s="13">
        <f t="shared" si="115"/>
        <v>0</v>
      </c>
      <c r="T293" s="13">
        <f t="shared" si="116"/>
        <v>6065.6</v>
      </c>
      <c r="U293" s="13">
        <f t="shared" si="117"/>
        <v>6065.6</v>
      </c>
      <c r="V293" s="13">
        <v>0</v>
      </c>
      <c r="W293" s="13">
        <f t="shared" si="118"/>
        <v>0</v>
      </c>
      <c r="X293" s="115">
        <f t="shared" si="123"/>
        <v>0</v>
      </c>
      <c r="Y293" s="116">
        <f t="shared" si="124"/>
        <v>0</v>
      </c>
      <c r="Z293" s="116">
        <f t="shared" si="125"/>
        <v>0</v>
      </c>
      <c r="AA293" s="116">
        <f t="shared" si="120"/>
        <v>0</v>
      </c>
      <c r="AB293" s="117">
        <f>'Ratios (C)'!$C$28+'Ratios (C)'!$D$28</f>
        <v>0.44697875883235366</v>
      </c>
      <c r="AC293" s="116">
        <f t="shared" si="126"/>
        <v>0</v>
      </c>
      <c r="AD293" s="116">
        <f t="shared" si="127"/>
        <v>0</v>
      </c>
      <c r="AE293" s="118"/>
      <c r="AF293" s="119"/>
      <c r="AG293" s="120"/>
      <c r="AH293" s="118"/>
      <c r="AI293" s="119"/>
      <c r="AJ293" s="121"/>
    </row>
    <row r="294" spans="2:36" s="9" customFormat="1">
      <c r="B294" s="9">
        <v>13</v>
      </c>
      <c r="C294" s="9" t="s">
        <v>562</v>
      </c>
      <c r="G294" s="9">
        <v>2004</v>
      </c>
      <c r="H294" s="9">
        <v>11</v>
      </c>
      <c r="I294" s="9">
        <v>0</v>
      </c>
      <c r="J294" s="9" t="s">
        <v>78</v>
      </c>
      <c r="K294" s="158" t="s">
        <v>449</v>
      </c>
      <c r="L294" s="9">
        <f t="shared" si="110"/>
        <v>2014</v>
      </c>
      <c r="M294" s="127">
        <f t="shared" si="111"/>
        <v>2014.9166666666667</v>
      </c>
      <c r="N294" s="13">
        <v>61744</v>
      </c>
      <c r="O294" s="13">
        <f t="shared" si="112"/>
        <v>61744</v>
      </c>
      <c r="P294" s="13">
        <f t="shared" si="113"/>
        <v>514.5333333333333</v>
      </c>
      <c r="Q294" s="13">
        <f t="shared" si="114"/>
        <v>6174.4</v>
      </c>
      <c r="R294" s="13">
        <v>0</v>
      </c>
      <c r="S294" s="13">
        <f t="shared" si="115"/>
        <v>0</v>
      </c>
      <c r="T294" s="13">
        <f t="shared" si="116"/>
        <v>61744</v>
      </c>
      <c r="U294" s="13">
        <f t="shared" si="117"/>
        <v>61744</v>
      </c>
      <c r="V294" s="13">
        <v>0</v>
      </c>
      <c r="W294" s="13">
        <f t="shared" si="118"/>
        <v>0</v>
      </c>
      <c r="X294" s="115">
        <f t="shared" si="123"/>
        <v>0</v>
      </c>
      <c r="Y294" s="116">
        <f t="shared" si="124"/>
        <v>0</v>
      </c>
      <c r="Z294" s="116">
        <f t="shared" si="125"/>
        <v>0</v>
      </c>
      <c r="AA294" s="116">
        <f t="shared" si="120"/>
        <v>0</v>
      </c>
      <c r="AB294" s="117">
        <f>'Ratios (C)'!$C$28+'Ratios (C)'!$D$28</f>
        <v>0.44697875883235366</v>
      </c>
      <c r="AC294" s="116">
        <f t="shared" si="126"/>
        <v>0</v>
      </c>
      <c r="AD294" s="116">
        <f t="shared" si="127"/>
        <v>0</v>
      </c>
      <c r="AE294" s="118"/>
      <c r="AF294" s="119"/>
      <c r="AG294" s="120"/>
      <c r="AH294" s="118"/>
      <c r="AI294" s="119"/>
      <c r="AJ294" s="121"/>
    </row>
    <row r="295" spans="2:36" s="9" customFormat="1">
      <c r="B295" s="9">
        <v>1</v>
      </c>
      <c r="C295" s="9" t="s">
        <v>565</v>
      </c>
      <c r="G295" s="9">
        <v>2004</v>
      </c>
      <c r="H295" s="9">
        <v>12</v>
      </c>
      <c r="I295" s="9">
        <v>0</v>
      </c>
      <c r="J295" s="9" t="s">
        <v>78</v>
      </c>
      <c r="K295" s="158" t="s">
        <v>449</v>
      </c>
      <c r="L295" s="9">
        <f t="shared" si="110"/>
        <v>2014</v>
      </c>
      <c r="M295" s="127">
        <f t="shared" si="111"/>
        <v>2015</v>
      </c>
      <c r="N295" s="13">
        <v>6457.28</v>
      </c>
      <c r="O295" s="13">
        <f t="shared" si="112"/>
        <v>6457.28</v>
      </c>
      <c r="P295" s="13">
        <f t="shared" si="113"/>
        <v>53.810666666666663</v>
      </c>
      <c r="Q295" s="13">
        <f t="shared" si="114"/>
        <v>645.72799999999995</v>
      </c>
      <c r="R295" s="13">
        <v>0</v>
      </c>
      <c r="S295" s="13">
        <f t="shared" si="115"/>
        <v>0</v>
      </c>
      <c r="T295" s="13">
        <f t="shared" si="116"/>
        <v>6457.28</v>
      </c>
      <c r="U295" s="13">
        <f t="shared" si="117"/>
        <v>6457.28</v>
      </c>
      <c r="V295" s="13">
        <v>0</v>
      </c>
      <c r="W295" s="13">
        <f t="shared" si="118"/>
        <v>0</v>
      </c>
      <c r="X295" s="115">
        <f t="shared" si="123"/>
        <v>0</v>
      </c>
      <c r="Y295" s="116">
        <f t="shared" si="124"/>
        <v>0</v>
      </c>
      <c r="Z295" s="116">
        <f t="shared" si="125"/>
        <v>0</v>
      </c>
      <c r="AA295" s="116">
        <f t="shared" si="120"/>
        <v>0</v>
      </c>
      <c r="AB295" s="117">
        <f>'Ratios (C)'!$C$28+'Ratios (C)'!$D$28</f>
        <v>0.44697875883235366</v>
      </c>
      <c r="AC295" s="116">
        <f t="shared" si="126"/>
        <v>0</v>
      </c>
      <c r="AD295" s="116">
        <f t="shared" si="127"/>
        <v>0</v>
      </c>
      <c r="AE295" s="118"/>
      <c r="AF295" s="119"/>
      <c r="AG295" s="120"/>
      <c r="AH295" s="118"/>
      <c r="AI295" s="119"/>
      <c r="AJ295" s="121"/>
    </row>
    <row r="296" spans="2:36" s="9" customFormat="1">
      <c r="B296" s="9">
        <v>4</v>
      </c>
      <c r="C296" s="9" t="s">
        <v>562</v>
      </c>
      <c r="G296" s="9">
        <v>2005</v>
      </c>
      <c r="H296" s="9">
        <v>4</v>
      </c>
      <c r="I296" s="9">
        <v>0</v>
      </c>
      <c r="J296" s="9" t="s">
        <v>78</v>
      </c>
      <c r="K296" s="158" t="s">
        <v>449</v>
      </c>
      <c r="L296" s="9">
        <f t="shared" si="110"/>
        <v>2015</v>
      </c>
      <c r="M296" s="127">
        <f t="shared" si="111"/>
        <v>2015.3333333333333</v>
      </c>
      <c r="N296" s="13">
        <v>17560.32</v>
      </c>
      <c r="O296" s="13">
        <f t="shared" si="112"/>
        <v>17560.32</v>
      </c>
      <c r="P296" s="13">
        <f t="shared" si="113"/>
        <v>146.33599999999998</v>
      </c>
      <c r="Q296" s="13">
        <f t="shared" si="114"/>
        <v>1756.0319999999997</v>
      </c>
      <c r="R296" s="13">
        <v>0</v>
      </c>
      <c r="S296" s="13">
        <f t="shared" si="115"/>
        <v>0</v>
      </c>
      <c r="T296" s="13">
        <f t="shared" si="116"/>
        <v>17560.32</v>
      </c>
      <c r="U296" s="13">
        <f t="shared" si="117"/>
        <v>17560.32</v>
      </c>
      <c r="V296" s="13">
        <v>0</v>
      </c>
      <c r="W296" s="13">
        <f t="shared" si="118"/>
        <v>0</v>
      </c>
      <c r="X296" s="115">
        <f t="shared" si="123"/>
        <v>0</v>
      </c>
      <c r="Y296" s="116">
        <f t="shared" si="124"/>
        <v>0</v>
      </c>
      <c r="Z296" s="116">
        <f t="shared" si="125"/>
        <v>0</v>
      </c>
      <c r="AA296" s="116">
        <f t="shared" si="120"/>
        <v>0</v>
      </c>
      <c r="AB296" s="117">
        <f>'Ratios (C)'!$C$28+'Ratios (C)'!$D$28</f>
        <v>0.44697875883235366</v>
      </c>
      <c r="AC296" s="116">
        <f t="shared" si="126"/>
        <v>0</v>
      </c>
      <c r="AD296" s="116">
        <f t="shared" si="127"/>
        <v>0</v>
      </c>
      <c r="AE296" s="118"/>
      <c r="AF296" s="119"/>
      <c r="AG296" s="120"/>
      <c r="AH296" s="118"/>
      <c r="AI296" s="119"/>
      <c r="AJ296" s="121"/>
    </row>
    <row r="297" spans="2:36" s="9" customFormat="1">
      <c r="B297" s="9">
        <v>2</v>
      </c>
      <c r="C297" s="9" t="s">
        <v>562</v>
      </c>
      <c r="G297" s="9">
        <v>2005</v>
      </c>
      <c r="H297" s="9">
        <v>4</v>
      </c>
      <c r="I297" s="9">
        <v>0</v>
      </c>
      <c r="J297" s="9" t="s">
        <v>78</v>
      </c>
      <c r="K297" s="158" t="s">
        <v>449</v>
      </c>
      <c r="L297" s="9">
        <f t="shared" si="110"/>
        <v>2015</v>
      </c>
      <c r="M297" s="127">
        <f t="shared" si="111"/>
        <v>2015.3333333333333</v>
      </c>
      <c r="N297" s="13">
        <v>11706.88</v>
      </c>
      <c r="O297" s="13">
        <f t="shared" si="112"/>
        <v>11706.88</v>
      </c>
      <c r="P297" s="13">
        <f t="shared" si="113"/>
        <v>97.557333333333318</v>
      </c>
      <c r="Q297" s="13">
        <f t="shared" si="114"/>
        <v>1170.6879999999999</v>
      </c>
      <c r="R297" s="13">
        <v>0</v>
      </c>
      <c r="S297" s="13">
        <f t="shared" si="115"/>
        <v>0</v>
      </c>
      <c r="T297" s="13">
        <f t="shared" si="116"/>
        <v>11706.88</v>
      </c>
      <c r="U297" s="13">
        <f t="shared" si="117"/>
        <v>11706.88</v>
      </c>
      <c r="V297" s="13">
        <v>0</v>
      </c>
      <c r="W297" s="13">
        <f t="shared" si="118"/>
        <v>0</v>
      </c>
      <c r="X297" s="115">
        <f t="shared" si="123"/>
        <v>0</v>
      </c>
      <c r="Y297" s="116">
        <f t="shared" si="124"/>
        <v>0</v>
      </c>
      <c r="Z297" s="116">
        <f t="shared" si="125"/>
        <v>0</v>
      </c>
      <c r="AA297" s="116">
        <f t="shared" si="120"/>
        <v>0</v>
      </c>
      <c r="AB297" s="117">
        <f>'Ratios (C)'!$C$28+'Ratios (C)'!$D$28</f>
        <v>0.44697875883235366</v>
      </c>
      <c r="AC297" s="116">
        <f t="shared" si="126"/>
        <v>0</v>
      </c>
      <c r="AD297" s="116">
        <f t="shared" si="127"/>
        <v>0</v>
      </c>
      <c r="AE297" s="118"/>
      <c r="AF297" s="119"/>
      <c r="AG297" s="120"/>
      <c r="AH297" s="118"/>
      <c r="AI297" s="119"/>
      <c r="AJ297" s="121"/>
    </row>
    <row r="298" spans="2:36" s="9" customFormat="1">
      <c r="B298" s="9">
        <v>1</v>
      </c>
      <c r="C298" s="9" t="s">
        <v>566</v>
      </c>
      <c r="G298" s="9">
        <v>2005</v>
      </c>
      <c r="H298" s="9">
        <v>4</v>
      </c>
      <c r="I298" s="9">
        <v>0</v>
      </c>
      <c r="J298" s="9" t="s">
        <v>78</v>
      </c>
      <c r="K298" s="158" t="s">
        <v>449</v>
      </c>
      <c r="L298" s="9">
        <f t="shared" si="110"/>
        <v>2015</v>
      </c>
      <c r="M298" s="127">
        <f t="shared" si="111"/>
        <v>2015.3333333333333</v>
      </c>
      <c r="N298" s="13">
        <v>3107.33</v>
      </c>
      <c r="O298" s="13">
        <f t="shared" si="112"/>
        <v>3107.33</v>
      </c>
      <c r="P298" s="13">
        <f t="shared" si="113"/>
        <v>25.894416666666668</v>
      </c>
      <c r="Q298" s="13">
        <f t="shared" si="114"/>
        <v>310.733</v>
      </c>
      <c r="R298" s="13">
        <v>0</v>
      </c>
      <c r="S298" s="13">
        <f t="shared" si="115"/>
        <v>0</v>
      </c>
      <c r="T298" s="13">
        <f t="shared" si="116"/>
        <v>3107.33</v>
      </c>
      <c r="U298" s="13">
        <f t="shared" si="117"/>
        <v>3107.33</v>
      </c>
      <c r="V298" s="13">
        <v>0</v>
      </c>
      <c r="W298" s="13">
        <f t="shared" si="118"/>
        <v>0</v>
      </c>
      <c r="X298" s="115">
        <f t="shared" si="123"/>
        <v>0</v>
      </c>
      <c r="Y298" s="116">
        <f t="shared" si="124"/>
        <v>0</v>
      </c>
      <c r="Z298" s="116">
        <f t="shared" si="125"/>
        <v>0</v>
      </c>
      <c r="AA298" s="116">
        <f t="shared" si="120"/>
        <v>0</v>
      </c>
      <c r="AB298" s="117">
        <f>'Ratios (C)'!$C$28+'Ratios (C)'!$D$28</f>
        <v>0.44697875883235366</v>
      </c>
      <c r="AC298" s="116">
        <f t="shared" si="126"/>
        <v>0</v>
      </c>
      <c r="AD298" s="116">
        <f t="shared" si="127"/>
        <v>0</v>
      </c>
      <c r="AE298" s="118"/>
      <c r="AF298" s="119"/>
      <c r="AG298" s="120"/>
      <c r="AH298" s="118"/>
      <c r="AI298" s="119"/>
      <c r="AJ298" s="121"/>
    </row>
    <row r="299" spans="2:36" s="9" customFormat="1">
      <c r="B299" s="9">
        <v>12</v>
      </c>
      <c r="C299" s="9" t="s">
        <v>565</v>
      </c>
      <c r="G299" s="9">
        <v>2005</v>
      </c>
      <c r="H299" s="9">
        <v>4</v>
      </c>
      <c r="I299" s="9">
        <v>0</v>
      </c>
      <c r="J299" s="9" t="s">
        <v>78</v>
      </c>
      <c r="K299" s="158" t="s">
        <v>449</v>
      </c>
      <c r="L299" s="9">
        <f t="shared" si="110"/>
        <v>2015</v>
      </c>
      <c r="M299" s="127">
        <f t="shared" si="111"/>
        <v>2015.3333333333333</v>
      </c>
      <c r="N299" s="13">
        <v>65149.440000000002</v>
      </c>
      <c r="O299" s="13">
        <f t="shared" si="112"/>
        <v>65149.440000000002</v>
      </c>
      <c r="P299" s="13">
        <f t="shared" si="113"/>
        <v>542.91200000000003</v>
      </c>
      <c r="Q299" s="13">
        <f t="shared" si="114"/>
        <v>6514.9440000000004</v>
      </c>
      <c r="R299" s="13">
        <v>0</v>
      </c>
      <c r="S299" s="13">
        <f t="shared" si="115"/>
        <v>0</v>
      </c>
      <c r="T299" s="13">
        <f t="shared" si="116"/>
        <v>65149.440000000002</v>
      </c>
      <c r="U299" s="13">
        <f t="shared" si="117"/>
        <v>65149.440000000002</v>
      </c>
      <c r="V299" s="13">
        <v>0</v>
      </c>
      <c r="W299" s="13">
        <f t="shared" si="118"/>
        <v>0</v>
      </c>
      <c r="X299" s="115">
        <f t="shared" si="123"/>
        <v>0</v>
      </c>
      <c r="Y299" s="116">
        <f t="shared" si="124"/>
        <v>0</v>
      </c>
      <c r="Z299" s="116">
        <f t="shared" si="125"/>
        <v>0</v>
      </c>
      <c r="AA299" s="116">
        <f t="shared" si="120"/>
        <v>0</v>
      </c>
      <c r="AB299" s="117">
        <f>'Ratios (C)'!$C$28+'Ratios (C)'!$D$28</f>
        <v>0.44697875883235366</v>
      </c>
      <c r="AC299" s="116">
        <f t="shared" si="126"/>
        <v>0</v>
      </c>
      <c r="AD299" s="116">
        <f t="shared" si="127"/>
        <v>0</v>
      </c>
      <c r="AE299" s="118"/>
      <c r="AF299" s="119"/>
      <c r="AG299" s="120"/>
      <c r="AH299" s="118"/>
      <c r="AI299" s="119"/>
      <c r="AJ299" s="121"/>
    </row>
    <row r="300" spans="2:36" s="9" customFormat="1">
      <c r="B300" s="9">
        <v>5</v>
      </c>
      <c r="C300" s="9" t="s">
        <v>565</v>
      </c>
      <c r="G300" s="9">
        <v>2005</v>
      </c>
      <c r="H300" s="9">
        <v>4</v>
      </c>
      <c r="I300" s="9">
        <v>0</v>
      </c>
      <c r="J300" s="9" t="s">
        <v>78</v>
      </c>
      <c r="K300" s="158" t="s">
        <v>449</v>
      </c>
      <c r="L300" s="9">
        <f t="shared" si="110"/>
        <v>2015</v>
      </c>
      <c r="M300" s="127">
        <f t="shared" si="111"/>
        <v>2015.3333333333333</v>
      </c>
      <c r="N300" s="13">
        <v>24342.91</v>
      </c>
      <c r="O300" s="13">
        <f t="shared" si="112"/>
        <v>24342.91</v>
      </c>
      <c r="P300" s="13">
        <f t="shared" si="113"/>
        <v>202.85758333333334</v>
      </c>
      <c r="Q300" s="13">
        <f t="shared" si="114"/>
        <v>2434.2910000000002</v>
      </c>
      <c r="R300" s="13">
        <v>0</v>
      </c>
      <c r="S300" s="13">
        <f t="shared" si="115"/>
        <v>0</v>
      </c>
      <c r="T300" s="13">
        <f t="shared" si="116"/>
        <v>24342.91</v>
      </c>
      <c r="U300" s="13">
        <f t="shared" si="117"/>
        <v>24342.91</v>
      </c>
      <c r="V300" s="13">
        <v>0</v>
      </c>
      <c r="W300" s="13">
        <f t="shared" si="118"/>
        <v>0</v>
      </c>
      <c r="X300" s="115">
        <f t="shared" si="123"/>
        <v>0</v>
      </c>
      <c r="Y300" s="116">
        <f t="shared" si="124"/>
        <v>0</v>
      </c>
      <c r="Z300" s="116">
        <f t="shared" si="125"/>
        <v>0</v>
      </c>
      <c r="AA300" s="116">
        <f t="shared" si="120"/>
        <v>0</v>
      </c>
      <c r="AB300" s="117">
        <f>'Ratios (C)'!$C$28+'Ratios (C)'!$D$28</f>
        <v>0.44697875883235366</v>
      </c>
      <c r="AC300" s="116">
        <f t="shared" si="126"/>
        <v>0</v>
      </c>
      <c r="AD300" s="116">
        <f t="shared" si="127"/>
        <v>0</v>
      </c>
      <c r="AE300" s="118"/>
      <c r="AF300" s="119"/>
      <c r="AG300" s="120"/>
      <c r="AH300" s="118"/>
      <c r="AI300" s="119"/>
      <c r="AJ300" s="121"/>
    </row>
    <row r="301" spans="2:36" s="9" customFormat="1">
      <c r="B301" s="9">
        <v>2</v>
      </c>
      <c r="C301" s="9" t="s">
        <v>565</v>
      </c>
      <c r="G301" s="9">
        <v>2005</v>
      </c>
      <c r="H301" s="9">
        <v>4</v>
      </c>
      <c r="I301" s="9">
        <v>0</v>
      </c>
      <c r="J301" s="9" t="s">
        <v>78</v>
      </c>
      <c r="K301" s="158" t="s">
        <v>449</v>
      </c>
      <c r="L301" s="9">
        <f t="shared" si="110"/>
        <v>2015</v>
      </c>
      <c r="M301" s="127">
        <f t="shared" si="111"/>
        <v>2015.3333333333333</v>
      </c>
      <c r="N301" s="13">
        <v>13247.49</v>
      </c>
      <c r="O301" s="13">
        <f t="shared" si="112"/>
        <v>13247.49</v>
      </c>
      <c r="P301" s="13">
        <f t="shared" si="113"/>
        <v>110.39575000000001</v>
      </c>
      <c r="Q301" s="13">
        <f t="shared" si="114"/>
        <v>1324.749</v>
      </c>
      <c r="R301" s="13">
        <v>0</v>
      </c>
      <c r="S301" s="13">
        <f t="shared" si="115"/>
        <v>0</v>
      </c>
      <c r="T301" s="13">
        <f t="shared" si="116"/>
        <v>13247.49</v>
      </c>
      <c r="U301" s="13">
        <f t="shared" si="117"/>
        <v>13247.49</v>
      </c>
      <c r="V301" s="13">
        <v>0</v>
      </c>
      <c r="W301" s="13">
        <f t="shared" si="118"/>
        <v>0</v>
      </c>
      <c r="X301" s="115">
        <f t="shared" si="123"/>
        <v>0</v>
      </c>
      <c r="Y301" s="116">
        <f t="shared" si="124"/>
        <v>0</v>
      </c>
      <c r="Z301" s="116">
        <f t="shared" si="125"/>
        <v>0</v>
      </c>
      <c r="AA301" s="116">
        <f t="shared" si="120"/>
        <v>0</v>
      </c>
      <c r="AB301" s="117">
        <f>'Ratios (C)'!$C$28+'Ratios (C)'!$D$28</f>
        <v>0.44697875883235366</v>
      </c>
      <c r="AC301" s="116">
        <f t="shared" si="126"/>
        <v>0</v>
      </c>
      <c r="AD301" s="116">
        <f t="shared" si="127"/>
        <v>0</v>
      </c>
      <c r="AE301" s="118"/>
      <c r="AF301" s="119"/>
      <c r="AG301" s="120"/>
      <c r="AH301" s="118"/>
      <c r="AI301" s="119"/>
      <c r="AJ301" s="121"/>
    </row>
    <row r="302" spans="2:36" s="9" customFormat="1">
      <c r="B302" s="9">
        <v>1</v>
      </c>
      <c r="C302" s="9" t="s">
        <v>565</v>
      </c>
      <c r="G302" s="9">
        <v>2005</v>
      </c>
      <c r="H302" s="9">
        <v>4</v>
      </c>
      <c r="I302" s="9">
        <v>0</v>
      </c>
      <c r="J302" s="9" t="s">
        <v>78</v>
      </c>
      <c r="K302" s="158" t="s">
        <v>449</v>
      </c>
      <c r="L302" s="9">
        <f t="shared" si="110"/>
        <v>2015</v>
      </c>
      <c r="M302" s="127">
        <f t="shared" si="111"/>
        <v>2015.3333333333333</v>
      </c>
      <c r="N302" s="13">
        <v>6457.28</v>
      </c>
      <c r="O302" s="13">
        <f t="shared" si="112"/>
        <v>6457.28</v>
      </c>
      <c r="P302" s="13">
        <f t="shared" si="113"/>
        <v>53.810666666666663</v>
      </c>
      <c r="Q302" s="13">
        <f t="shared" si="114"/>
        <v>645.72799999999995</v>
      </c>
      <c r="R302" s="13">
        <v>0</v>
      </c>
      <c r="S302" s="13">
        <f t="shared" si="115"/>
        <v>0</v>
      </c>
      <c r="T302" s="13">
        <f t="shared" si="116"/>
        <v>6457.28</v>
      </c>
      <c r="U302" s="13">
        <f t="shared" si="117"/>
        <v>6457.28</v>
      </c>
      <c r="V302" s="13">
        <v>0</v>
      </c>
      <c r="W302" s="13">
        <f t="shared" si="118"/>
        <v>0</v>
      </c>
      <c r="X302" s="115">
        <f t="shared" si="123"/>
        <v>0</v>
      </c>
      <c r="Y302" s="116">
        <f t="shared" si="124"/>
        <v>0</v>
      </c>
      <c r="Z302" s="116">
        <f t="shared" si="125"/>
        <v>0</v>
      </c>
      <c r="AA302" s="116">
        <f t="shared" si="120"/>
        <v>0</v>
      </c>
      <c r="AB302" s="117">
        <f>'Ratios (C)'!$C$28+'Ratios (C)'!$D$28</f>
        <v>0.44697875883235366</v>
      </c>
      <c r="AC302" s="116">
        <f t="shared" si="126"/>
        <v>0</v>
      </c>
      <c r="AD302" s="116">
        <f t="shared" si="127"/>
        <v>0</v>
      </c>
      <c r="AE302" s="118"/>
      <c r="AF302" s="119"/>
      <c r="AG302" s="120"/>
      <c r="AH302" s="118"/>
      <c r="AI302" s="119"/>
      <c r="AJ302" s="121"/>
    </row>
    <row r="303" spans="2:36" s="9" customFormat="1">
      <c r="B303" s="9">
        <v>4</v>
      </c>
      <c r="C303" s="9" t="s">
        <v>565</v>
      </c>
      <c r="G303" s="9">
        <v>2005</v>
      </c>
      <c r="H303" s="9">
        <v>6</v>
      </c>
      <c r="I303" s="9">
        <v>0</v>
      </c>
      <c r="J303" s="9" t="s">
        <v>78</v>
      </c>
      <c r="K303" s="158" t="s">
        <v>449</v>
      </c>
      <c r="L303" s="9">
        <f t="shared" si="110"/>
        <v>2015</v>
      </c>
      <c r="M303" s="127">
        <f t="shared" si="111"/>
        <v>2015.5</v>
      </c>
      <c r="N303" s="13">
        <v>19045.439999999999</v>
      </c>
      <c r="O303" s="13">
        <f t="shared" si="112"/>
        <v>19045.439999999999</v>
      </c>
      <c r="P303" s="13">
        <f t="shared" si="113"/>
        <v>158.71199999999999</v>
      </c>
      <c r="Q303" s="13">
        <f t="shared" si="114"/>
        <v>1904.5439999999999</v>
      </c>
      <c r="R303" s="13">
        <v>0</v>
      </c>
      <c r="S303" s="13">
        <f t="shared" si="115"/>
        <v>0</v>
      </c>
      <c r="T303" s="13">
        <f t="shared" si="116"/>
        <v>19045.439999999999</v>
      </c>
      <c r="U303" s="13">
        <f t="shared" si="117"/>
        <v>19045.439999999999</v>
      </c>
      <c r="V303" s="13">
        <v>0</v>
      </c>
      <c r="W303" s="13">
        <f t="shared" si="118"/>
        <v>0</v>
      </c>
      <c r="X303" s="115">
        <f t="shared" si="123"/>
        <v>0</v>
      </c>
      <c r="Y303" s="116">
        <f t="shared" si="124"/>
        <v>0</v>
      </c>
      <c r="Z303" s="116">
        <f t="shared" si="125"/>
        <v>0</v>
      </c>
      <c r="AA303" s="116">
        <f t="shared" si="120"/>
        <v>0</v>
      </c>
      <c r="AB303" s="117">
        <f>'Ratios (C)'!$C$28+'Ratios (C)'!$D$28</f>
        <v>0.44697875883235366</v>
      </c>
      <c r="AC303" s="116">
        <f t="shared" si="126"/>
        <v>0</v>
      </c>
      <c r="AD303" s="116">
        <f t="shared" si="127"/>
        <v>0</v>
      </c>
      <c r="AE303" s="118"/>
      <c r="AF303" s="119"/>
      <c r="AG303" s="120"/>
      <c r="AH303" s="118"/>
      <c r="AI303" s="119"/>
      <c r="AJ303" s="121"/>
    </row>
    <row r="304" spans="2:36" s="9" customFormat="1">
      <c r="B304" s="9">
        <v>5</v>
      </c>
      <c r="C304" s="9" t="s">
        <v>562</v>
      </c>
      <c r="G304" s="9">
        <v>2005</v>
      </c>
      <c r="H304" s="9">
        <v>7</v>
      </c>
      <c r="I304" s="9">
        <v>0</v>
      </c>
      <c r="J304" s="9" t="s">
        <v>78</v>
      </c>
      <c r="K304" s="158" t="s">
        <v>449</v>
      </c>
      <c r="L304" s="9">
        <f t="shared" si="110"/>
        <v>2015</v>
      </c>
      <c r="M304" s="127">
        <f t="shared" si="111"/>
        <v>2015.5833333333333</v>
      </c>
      <c r="N304" s="13">
        <v>23413.759999999998</v>
      </c>
      <c r="O304" s="13">
        <f t="shared" si="112"/>
        <v>23413.759999999998</v>
      </c>
      <c r="P304" s="13">
        <f t="shared" si="113"/>
        <v>195.11466666666664</v>
      </c>
      <c r="Q304" s="13">
        <f t="shared" si="114"/>
        <v>2341.3759999999997</v>
      </c>
      <c r="R304" s="13">
        <v>0</v>
      </c>
      <c r="S304" s="13">
        <f t="shared" si="115"/>
        <v>0</v>
      </c>
      <c r="T304" s="13">
        <f t="shared" si="116"/>
        <v>23413.759999999998</v>
      </c>
      <c r="U304" s="13">
        <f t="shared" si="117"/>
        <v>23413.759999999998</v>
      </c>
      <c r="V304" s="13">
        <v>0</v>
      </c>
      <c r="W304" s="13">
        <f t="shared" si="118"/>
        <v>0</v>
      </c>
      <c r="X304" s="115">
        <f t="shared" si="123"/>
        <v>0</v>
      </c>
      <c r="Y304" s="116">
        <f t="shared" si="124"/>
        <v>0</v>
      </c>
      <c r="Z304" s="116">
        <f t="shared" si="125"/>
        <v>0</v>
      </c>
      <c r="AA304" s="116">
        <f t="shared" si="120"/>
        <v>0</v>
      </c>
      <c r="AB304" s="117">
        <f>'Ratios (C)'!$C$28+'Ratios (C)'!$D$28</f>
        <v>0.44697875883235366</v>
      </c>
      <c r="AC304" s="116">
        <f t="shared" si="126"/>
        <v>0</v>
      </c>
      <c r="AD304" s="116">
        <f t="shared" si="127"/>
        <v>0</v>
      </c>
      <c r="AE304" s="118"/>
      <c r="AF304" s="119"/>
      <c r="AG304" s="120"/>
      <c r="AH304" s="118"/>
      <c r="AI304" s="119"/>
      <c r="AJ304" s="121"/>
    </row>
    <row r="305" spans="2:36" s="9" customFormat="1">
      <c r="B305" s="9">
        <v>3</v>
      </c>
      <c r="C305" s="9" t="s">
        <v>565</v>
      </c>
      <c r="G305" s="9">
        <v>2005</v>
      </c>
      <c r="H305" s="9">
        <v>8</v>
      </c>
      <c r="I305" s="9">
        <v>0</v>
      </c>
      <c r="J305" s="9" t="s">
        <v>78</v>
      </c>
      <c r="K305" s="158" t="s">
        <v>449</v>
      </c>
      <c r="L305" s="9">
        <f t="shared" si="110"/>
        <v>2015</v>
      </c>
      <c r="M305" s="127">
        <f t="shared" si="111"/>
        <v>2015.6666666666667</v>
      </c>
      <c r="N305" s="13">
        <v>15181.96</v>
      </c>
      <c r="O305" s="13">
        <f t="shared" si="112"/>
        <v>15181.96</v>
      </c>
      <c r="P305" s="13">
        <f t="shared" si="113"/>
        <v>126.51633333333332</v>
      </c>
      <c r="Q305" s="13">
        <f t="shared" si="114"/>
        <v>1518.1959999999999</v>
      </c>
      <c r="R305" s="13">
        <v>0</v>
      </c>
      <c r="S305" s="13">
        <f t="shared" si="115"/>
        <v>0</v>
      </c>
      <c r="T305" s="13">
        <f t="shared" si="116"/>
        <v>15181.96</v>
      </c>
      <c r="U305" s="13">
        <f t="shared" si="117"/>
        <v>15181.96</v>
      </c>
      <c r="V305" s="13">
        <v>0</v>
      </c>
      <c r="W305" s="13">
        <f t="shared" si="118"/>
        <v>0</v>
      </c>
      <c r="X305" s="115">
        <f t="shared" si="123"/>
        <v>0</v>
      </c>
      <c r="Y305" s="116">
        <f t="shared" si="124"/>
        <v>0</v>
      </c>
      <c r="Z305" s="116">
        <f t="shared" si="125"/>
        <v>0</v>
      </c>
      <c r="AA305" s="116">
        <f t="shared" si="120"/>
        <v>0</v>
      </c>
      <c r="AB305" s="117">
        <f>'Ratios (C)'!$C$28+'Ratios (C)'!$D$28</f>
        <v>0.44697875883235366</v>
      </c>
      <c r="AC305" s="116">
        <f t="shared" si="126"/>
        <v>0</v>
      </c>
      <c r="AD305" s="116">
        <f t="shared" si="127"/>
        <v>0</v>
      </c>
      <c r="AE305" s="118"/>
      <c r="AF305" s="119"/>
      <c r="AG305" s="120"/>
      <c r="AH305" s="118"/>
      <c r="AI305" s="119"/>
      <c r="AJ305" s="121"/>
    </row>
    <row r="306" spans="2:36" s="9" customFormat="1">
      <c r="B306" s="9">
        <v>2</v>
      </c>
      <c r="C306" s="9" t="s">
        <v>565</v>
      </c>
      <c r="G306" s="9">
        <v>2005</v>
      </c>
      <c r="H306" s="9">
        <v>8</v>
      </c>
      <c r="I306" s="9">
        <v>0</v>
      </c>
      <c r="J306" s="9" t="s">
        <v>78</v>
      </c>
      <c r="K306" s="158" t="s">
        <v>449</v>
      </c>
      <c r="L306" s="9">
        <f t="shared" si="110"/>
        <v>2015</v>
      </c>
      <c r="M306" s="127">
        <f t="shared" si="111"/>
        <v>2015.6666666666667</v>
      </c>
      <c r="N306" s="13">
        <v>10877.83</v>
      </c>
      <c r="O306" s="13">
        <f t="shared" si="112"/>
        <v>10877.83</v>
      </c>
      <c r="P306" s="13">
        <f t="shared" si="113"/>
        <v>90.64858333333332</v>
      </c>
      <c r="Q306" s="13">
        <f t="shared" si="114"/>
        <v>1087.7829999999999</v>
      </c>
      <c r="R306" s="13">
        <v>0</v>
      </c>
      <c r="S306" s="13">
        <f t="shared" si="115"/>
        <v>0</v>
      </c>
      <c r="T306" s="13">
        <f t="shared" si="116"/>
        <v>10877.83</v>
      </c>
      <c r="U306" s="13">
        <f t="shared" si="117"/>
        <v>10877.83</v>
      </c>
      <c r="V306" s="13">
        <v>0</v>
      </c>
      <c r="W306" s="13">
        <f t="shared" si="118"/>
        <v>0</v>
      </c>
      <c r="X306" s="115">
        <f t="shared" si="123"/>
        <v>0</v>
      </c>
      <c r="Y306" s="116">
        <f t="shared" si="124"/>
        <v>0</v>
      </c>
      <c r="Z306" s="116">
        <f t="shared" si="125"/>
        <v>0</v>
      </c>
      <c r="AA306" s="116">
        <f t="shared" si="120"/>
        <v>0</v>
      </c>
      <c r="AB306" s="117">
        <f>'Ratios (C)'!$C$28+'Ratios (C)'!$D$28</f>
        <v>0.44697875883235366</v>
      </c>
      <c r="AC306" s="116">
        <f t="shared" si="126"/>
        <v>0</v>
      </c>
      <c r="AD306" s="116">
        <f t="shared" si="127"/>
        <v>0</v>
      </c>
      <c r="AE306" s="118"/>
      <c r="AF306" s="119"/>
      <c r="AG306" s="120"/>
      <c r="AH306" s="118"/>
      <c r="AI306" s="119"/>
      <c r="AJ306" s="121"/>
    </row>
    <row r="307" spans="2:36" s="9" customFormat="1">
      <c r="B307" s="9">
        <v>3</v>
      </c>
      <c r="C307" s="9" t="s">
        <v>562</v>
      </c>
      <c r="G307" s="9">
        <v>2005</v>
      </c>
      <c r="H307" s="9">
        <v>9</v>
      </c>
      <c r="I307" s="9">
        <v>0</v>
      </c>
      <c r="J307" s="9" t="s">
        <v>78</v>
      </c>
      <c r="K307" s="158" t="s">
        <v>449</v>
      </c>
      <c r="L307" s="9">
        <f t="shared" si="110"/>
        <v>2015</v>
      </c>
      <c r="M307" s="127">
        <f t="shared" si="111"/>
        <v>2015.75</v>
      </c>
      <c r="N307" s="13">
        <f>13233+1164.5</f>
        <v>14397.5</v>
      </c>
      <c r="O307" s="13">
        <f t="shared" si="112"/>
        <v>14397.5</v>
      </c>
      <c r="P307" s="13">
        <f t="shared" si="113"/>
        <v>119.97916666666667</v>
      </c>
      <c r="Q307" s="13">
        <f t="shared" si="114"/>
        <v>1439.75</v>
      </c>
      <c r="R307" s="13">
        <v>0</v>
      </c>
      <c r="S307" s="13">
        <f t="shared" si="115"/>
        <v>0</v>
      </c>
      <c r="T307" s="13">
        <f t="shared" si="116"/>
        <v>14397.5</v>
      </c>
      <c r="U307" s="13">
        <f t="shared" si="117"/>
        <v>14397.5</v>
      </c>
      <c r="V307" s="13">
        <v>0</v>
      </c>
      <c r="W307" s="13">
        <f t="shared" si="118"/>
        <v>0</v>
      </c>
      <c r="X307" s="115">
        <f t="shared" si="123"/>
        <v>0</v>
      </c>
      <c r="Y307" s="116">
        <f t="shared" si="124"/>
        <v>0</v>
      </c>
      <c r="Z307" s="116">
        <f t="shared" si="125"/>
        <v>0</v>
      </c>
      <c r="AA307" s="116">
        <f t="shared" si="120"/>
        <v>0</v>
      </c>
      <c r="AB307" s="117">
        <f>'Ratios (C)'!$C$28+'Ratios (C)'!$D$28</f>
        <v>0.44697875883235366</v>
      </c>
      <c r="AC307" s="116">
        <f t="shared" si="126"/>
        <v>0</v>
      </c>
      <c r="AD307" s="116">
        <f t="shared" si="127"/>
        <v>0</v>
      </c>
      <c r="AE307" s="118"/>
      <c r="AF307" s="119"/>
      <c r="AG307" s="120"/>
      <c r="AH307" s="118"/>
      <c r="AI307" s="119"/>
      <c r="AJ307" s="121"/>
    </row>
    <row r="308" spans="2:36" s="9" customFormat="1">
      <c r="B308" s="9">
        <v>9</v>
      </c>
      <c r="C308" s="9" t="s">
        <v>567</v>
      </c>
      <c r="G308" s="9">
        <v>2005</v>
      </c>
      <c r="H308" s="9">
        <v>9</v>
      </c>
      <c r="I308" s="9">
        <v>0</v>
      </c>
      <c r="J308" s="9" t="s">
        <v>78</v>
      </c>
      <c r="K308" s="158" t="s">
        <v>449</v>
      </c>
      <c r="L308" s="9">
        <f t="shared" si="110"/>
        <v>2015</v>
      </c>
      <c r="M308" s="127">
        <f t="shared" si="111"/>
        <v>2015.75</v>
      </c>
      <c r="N308" s="13">
        <v>51179.519999999997</v>
      </c>
      <c r="O308" s="13">
        <f t="shared" si="112"/>
        <v>51179.519999999997</v>
      </c>
      <c r="P308" s="13">
        <f t="shared" si="113"/>
        <v>426.49599999999992</v>
      </c>
      <c r="Q308" s="13">
        <f t="shared" si="114"/>
        <v>5117.9519999999993</v>
      </c>
      <c r="R308" s="13">
        <v>0</v>
      </c>
      <c r="S308" s="13">
        <f t="shared" si="115"/>
        <v>0</v>
      </c>
      <c r="T308" s="13">
        <f t="shared" si="116"/>
        <v>51179.519999999997</v>
      </c>
      <c r="U308" s="13">
        <f t="shared" si="117"/>
        <v>51179.519999999997</v>
      </c>
      <c r="V308" s="13">
        <v>0</v>
      </c>
      <c r="W308" s="13">
        <f t="shared" si="118"/>
        <v>0</v>
      </c>
      <c r="X308" s="115">
        <f t="shared" si="123"/>
        <v>0</v>
      </c>
      <c r="Y308" s="116">
        <f t="shared" si="124"/>
        <v>0</v>
      </c>
      <c r="Z308" s="116">
        <f t="shared" si="125"/>
        <v>0</v>
      </c>
      <c r="AA308" s="116">
        <f t="shared" si="120"/>
        <v>0</v>
      </c>
      <c r="AB308" s="117">
        <f>'Ratios (C)'!$C$28+'Ratios (C)'!$D$28</f>
        <v>0.44697875883235366</v>
      </c>
      <c r="AC308" s="116">
        <f t="shared" si="126"/>
        <v>0</v>
      </c>
      <c r="AD308" s="116">
        <f t="shared" si="127"/>
        <v>0</v>
      </c>
      <c r="AE308" s="118"/>
      <c r="AF308" s="119"/>
      <c r="AG308" s="120"/>
      <c r="AH308" s="118"/>
      <c r="AI308" s="119"/>
      <c r="AJ308" s="121"/>
    </row>
    <row r="309" spans="2:36" s="9" customFormat="1">
      <c r="B309" s="9">
        <v>4</v>
      </c>
      <c r="C309" s="9" t="s">
        <v>568</v>
      </c>
      <c r="G309" s="9">
        <v>2005</v>
      </c>
      <c r="H309" s="9">
        <v>12</v>
      </c>
      <c r="I309" s="9">
        <v>0</v>
      </c>
      <c r="J309" s="9" t="s">
        <v>78</v>
      </c>
      <c r="K309" s="158" t="s">
        <v>449</v>
      </c>
      <c r="L309" s="9">
        <f t="shared" si="110"/>
        <v>2015</v>
      </c>
      <c r="M309" s="127">
        <f t="shared" si="111"/>
        <v>2016</v>
      </c>
      <c r="N309" s="13">
        <v>14939.33</v>
      </c>
      <c r="O309" s="13">
        <f t="shared" si="112"/>
        <v>14939.33</v>
      </c>
      <c r="P309" s="13">
        <f t="shared" si="113"/>
        <v>124.49441666666667</v>
      </c>
      <c r="Q309" s="13">
        <f t="shared" si="114"/>
        <v>1493.933</v>
      </c>
      <c r="R309" s="13">
        <v>0</v>
      </c>
      <c r="S309" s="13">
        <f t="shared" si="115"/>
        <v>0</v>
      </c>
      <c r="T309" s="13">
        <f t="shared" si="116"/>
        <v>14939.33</v>
      </c>
      <c r="U309" s="13">
        <f t="shared" si="117"/>
        <v>14939.33</v>
      </c>
      <c r="V309" s="13">
        <v>0</v>
      </c>
      <c r="W309" s="13">
        <f t="shared" si="118"/>
        <v>0</v>
      </c>
      <c r="X309" s="115">
        <f t="shared" si="123"/>
        <v>0</v>
      </c>
      <c r="Y309" s="116">
        <f t="shared" si="124"/>
        <v>0</v>
      </c>
      <c r="Z309" s="116">
        <f t="shared" si="125"/>
        <v>0</v>
      </c>
      <c r="AA309" s="116">
        <f t="shared" si="120"/>
        <v>0</v>
      </c>
      <c r="AB309" s="117">
        <f>'Ratios (C)'!$C$28+'Ratios (C)'!$D$28</f>
        <v>0.44697875883235366</v>
      </c>
      <c r="AC309" s="116">
        <f t="shared" si="126"/>
        <v>0</v>
      </c>
      <c r="AD309" s="116">
        <f t="shared" si="127"/>
        <v>0</v>
      </c>
      <c r="AE309" s="118"/>
      <c r="AF309" s="119"/>
      <c r="AG309" s="120"/>
      <c r="AH309" s="118"/>
      <c r="AI309" s="119"/>
      <c r="AJ309" s="121"/>
    </row>
    <row r="310" spans="2:36" s="9" customFormat="1">
      <c r="B310" s="9">
        <v>1</v>
      </c>
      <c r="C310" s="9" t="s">
        <v>565</v>
      </c>
      <c r="G310" s="9">
        <v>2006</v>
      </c>
      <c r="H310" s="9">
        <v>1</v>
      </c>
      <c r="I310" s="9">
        <v>0</v>
      </c>
      <c r="J310" s="9" t="s">
        <v>78</v>
      </c>
      <c r="K310" s="158" t="s">
        <v>449</v>
      </c>
      <c r="L310" s="9">
        <f t="shared" si="110"/>
        <v>2016</v>
      </c>
      <c r="M310" s="127">
        <f t="shared" si="111"/>
        <v>2016.0833333333333</v>
      </c>
      <c r="N310" s="13">
        <v>6258.2</v>
      </c>
      <c r="O310" s="13">
        <f t="shared" si="112"/>
        <v>6258.2</v>
      </c>
      <c r="P310" s="13">
        <f t="shared" si="113"/>
        <v>52.151666666666664</v>
      </c>
      <c r="Q310" s="13">
        <f t="shared" si="114"/>
        <v>625.81999999999994</v>
      </c>
      <c r="R310" s="13">
        <v>0</v>
      </c>
      <c r="S310" s="13">
        <f t="shared" si="115"/>
        <v>0</v>
      </c>
      <c r="T310" s="13">
        <f t="shared" si="116"/>
        <v>6258.2</v>
      </c>
      <c r="U310" s="13">
        <f t="shared" si="117"/>
        <v>6258.2</v>
      </c>
      <c r="V310" s="13">
        <v>0</v>
      </c>
      <c r="W310" s="13">
        <f t="shared" si="118"/>
        <v>0</v>
      </c>
      <c r="X310" s="115">
        <f t="shared" si="123"/>
        <v>0</v>
      </c>
      <c r="Y310" s="116">
        <f t="shared" si="124"/>
        <v>0</v>
      </c>
      <c r="Z310" s="116">
        <f t="shared" si="125"/>
        <v>0</v>
      </c>
      <c r="AA310" s="116">
        <f t="shared" si="120"/>
        <v>0</v>
      </c>
      <c r="AB310" s="117">
        <f>'Ratios (C)'!$C$28+'Ratios (C)'!$D$28</f>
        <v>0.44697875883235366</v>
      </c>
      <c r="AC310" s="116">
        <f t="shared" si="126"/>
        <v>0</v>
      </c>
      <c r="AD310" s="116">
        <f t="shared" si="127"/>
        <v>0</v>
      </c>
      <c r="AE310" s="118"/>
      <c r="AF310" s="119"/>
      <c r="AG310" s="120"/>
      <c r="AH310" s="118"/>
      <c r="AI310" s="119"/>
      <c r="AJ310" s="121"/>
    </row>
    <row r="311" spans="2:36" s="9" customFormat="1">
      <c r="B311" s="9">
        <v>4</v>
      </c>
      <c r="C311" s="9" t="s">
        <v>565</v>
      </c>
      <c r="G311" s="9">
        <v>2006</v>
      </c>
      <c r="H311" s="9">
        <v>4</v>
      </c>
      <c r="I311" s="9">
        <v>0</v>
      </c>
      <c r="J311" s="9" t="s">
        <v>78</v>
      </c>
      <c r="K311" s="158" t="s">
        <v>449</v>
      </c>
      <c r="L311" s="9">
        <f t="shared" si="110"/>
        <v>2016</v>
      </c>
      <c r="M311" s="127">
        <f t="shared" si="111"/>
        <v>2016.3333333333333</v>
      </c>
      <c r="N311" s="13">
        <v>19330.29</v>
      </c>
      <c r="O311" s="13">
        <f t="shared" si="112"/>
        <v>19330.29</v>
      </c>
      <c r="P311" s="13">
        <f t="shared" si="113"/>
        <v>161.08574999999999</v>
      </c>
      <c r="Q311" s="13">
        <f t="shared" si="114"/>
        <v>1933.029</v>
      </c>
      <c r="R311" s="13">
        <v>0</v>
      </c>
      <c r="S311" s="13">
        <f t="shared" si="115"/>
        <v>0</v>
      </c>
      <c r="T311" s="13">
        <f t="shared" si="116"/>
        <v>19330.29</v>
      </c>
      <c r="U311" s="13">
        <f t="shared" si="117"/>
        <v>19330.29</v>
      </c>
      <c r="V311" s="13">
        <v>0</v>
      </c>
      <c r="W311" s="13">
        <f t="shared" si="118"/>
        <v>0</v>
      </c>
      <c r="X311" s="115">
        <f t="shared" si="123"/>
        <v>0</v>
      </c>
      <c r="Y311" s="116">
        <f t="shared" si="124"/>
        <v>0</v>
      </c>
      <c r="Z311" s="116">
        <f t="shared" si="125"/>
        <v>0</v>
      </c>
      <c r="AA311" s="116">
        <f t="shared" si="120"/>
        <v>0</v>
      </c>
      <c r="AB311" s="117">
        <f>'Ratios (C)'!$C$28+'Ratios (C)'!$D$28</f>
        <v>0.44697875883235366</v>
      </c>
      <c r="AC311" s="116">
        <f t="shared" si="126"/>
        <v>0</v>
      </c>
      <c r="AD311" s="116">
        <f t="shared" si="127"/>
        <v>0</v>
      </c>
      <c r="AE311" s="118"/>
      <c r="AF311" s="119"/>
      <c r="AG311" s="120"/>
      <c r="AH311" s="118"/>
      <c r="AI311" s="119"/>
      <c r="AJ311" s="121"/>
    </row>
    <row r="312" spans="2:36" s="9" customFormat="1">
      <c r="B312" s="9">
        <v>8</v>
      </c>
      <c r="C312" s="9" t="s">
        <v>560</v>
      </c>
      <c r="G312" s="9">
        <v>2006</v>
      </c>
      <c r="H312" s="9">
        <v>4</v>
      </c>
      <c r="I312" s="9">
        <v>0</v>
      </c>
      <c r="J312" s="9" t="s">
        <v>78</v>
      </c>
      <c r="K312" s="158" t="s">
        <v>449</v>
      </c>
      <c r="L312" s="9">
        <f t="shared" si="110"/>
        <v>2016</v>
      </c>
      <c r="M312" s="127">
        <f t="shared" si="111"/>
        <v>2016.3333333333333</v>
      </c>
      <c r="N312" s="13">
        <v>34858.44</v>
      </c>
      <c r="O312" s="13">
        <f t="shared" si="112"/>
        <v>34858.44</v>
      </c>
      <c r="P312" s="13">
        <f t="shared" si="113"/>
        <v>290.48700000000002</v>
      </c>
      <c r="Q312" s="13">
        <f t="shared" si="114"/>
        <v>3485.8440000000001</v>
      </c>
      <c r="R312" s="13">
        <v>0</v>
      </c>
      <c r="S312" s="13">
        <f t="shared" si="115"/>
        <v>0</v>
      </c>
      <c r="T312" s="13">
        <f t="shared" si="116"/>
        <v>34858.44</v>
      </c>
      <c r="U312" s="13">
        <f t="shared" si="117"/>
        <v>34858.44</v>
      </c>
      <c r="V312" s="13">
        <v>0</v>
      </c>
      <c r="W312" s="13">
        <f t="shared" si="118"/>
        <v>0</v>
      </c>
      <c r="X312" s="115">
        <f t="shared" si="123"/>
        <v>0</v>
      </c>
      <c r="Y312" s="116">
        <f t="shared" si="124"/>
        <v>0</v>
      </c>
      <c r="Z312" s="116">
        <f t="shared" ref="Z312:Z375" si="128">X312-R312</f>
        <v>0</v>
      </c>
      <c r="AA312" s="116">
        <f t="shared" ref="AA312:AA375" si="129">Y312-V312</f>
        <v>0</v>
      </c>
      <c r="AB312" s="117">
        <f>'Ratios (C)'!$C$28+'Ratios (C)'!$D$28</f>
        <v>0.44697875883235366</v>
      </c>
      <c r="AC312" s="116">
        <f t="shared" si="126"/>
        <v>0</v>
      </c>
      <c r="AD312" s="116">
        <f t="shared" si="127"/>
        <v>0</v>
      </c>
      <c r="AE312" s="118"/>
      <c r="AF312" s="119"/>
      <c r="AG312" s="120"/>
      <c r="AH312" s="118"/>
      <c r="AI312" s="119"/>
      <c r="AJ312" s="121"/>
    </row>
    <row r="313" spans="2:36" s="9" customFormat="1">
      <c r="B313" s="9">
        <v>6</v>
      </c>
      <c r="C313" s="9" t="s">
        <v>560</v>
      </c>
      <c r="G313" s="9">
        <v>2006</v>
      </c>
      <c r="H313" s="9">
        <v>4</v>
      </c>
      <c r="I313" s="9">
        <v>0</v>
      </c>
      <c r="J313" s="9" t="s">
        <v>78</v>
      </c>
      <c r="K313" s="158" t="s">
        <v>449</v>
      </c>
      <c r="L313" s="9">
        <f t="shared" si="110"/>
        <v>2016</v>
      </c>
      <c r="M313" s="127">
        <f t="shared" si="111"/>
        <v>2016.3333333333333</v>
      </c>
      <c r="N313" s="13">
        <v>24898.880000000001</v>
      </c>
      <c r="O313" s="13">
        <f t="shared" si="112"/>
        <v>24898.880000000001</v>
      </c>
      <c r="P313" s="13">
        <f t="shared" si="113"/>
        <v>207.49066666666667</v>
      </c>
      <c r="Q313" s="13">
        <f t="shared" si="114"/>
        <v>2489.8879999999999</v>
      </c>
      <c r="R313" s="13">
        <v>0</v>
      </c>
      <c r="S313" s="13">
        <f t="shared" si="115"/>
        <v>0</v>
      </c>
      <c r="T313" s="13">
        <f t="shared" si="116"/>
        <v>24898.880000000001</v>
      </c>
      <c r="U313" s="13">
        <f t="shared" si="117"/>
        <v>24898.880000000001</v>
      </c>
      <c r="V313" s="13">
        <v>0</v>
      </c>
      <c r="W313" s="13">
        <f t="shared" si="118"/>
        <v>0</v>
      </c>
      <c r="X313" s="115">
        <f t="shared" si="123"/>
        <v>0</v>
      </c>
      <c r="Y313" s="116">
        <f t="shared" si="124"/>
        <v>0</v>
      </c>
      <c r="Z313" s="116">
        <f t="shared" si="128"/>
        <v>0</v>
      </c>
      <c r="AA313" s="116">
        <f t="shared" si="129"/>
        <v>0</v>
      </c>
      <c r="AB313" s="117">
        <f>'Ratios (C)'!$C$28+'Ratios (C)'!$D$28</f>
        <v>0.44697875883235366</v>
      </c>
      <c r="AC313" s="116">
        <f t="shared" si="126"/>
        <v>0</v>
      </c>
      <c r="AD313" s="116">
        <f t="shared" si="127"/>
        <v>0</v>
      </c>
      <c r="AE313" s="118"/>
      <c r="AF313" s="119"/>
      <c r="AG313" s="120"/>
      <c r="AH313" s="118"/>
      <c r="AI313" s="119"/>
      <c r="AJ313" s="121"/>
    </row>
    <row r="314" spans="2:36" s="9" customFormat="1">
      <c r="B314" s="9">
        <v>8</v>
      </c>
      <c r="C314" s="9" t="s">
        <v>565</v>
      </c>
      <c r="G314" s="9">
        <v>2006</v>
      </c>
      <c r="H314" s="9">
        <v>4</v>
      </c>
      <c r="I314" s="9">
        <v>0</v>
      </c>
      <c r="J314" s="9" t="s">
        <v>78</v>
      </c>
      <c r="K314" s="158" t="s">
        <v>449</v>
      </c>
      <c r="L314" s="9">
        <f t="shared" si="110"/>
        <v>2016</v>
      </c>
      <c r="M314" s="127">
        <f t="shared" si="111"/>
        <v>2016.3333333333333</v>
      </c>
      <c r="N314" s="13">
        <v>45604.62</v>
      </c>
      <c r="O314" s="13">
        <f t="shared" si="112"/>
        <v>45604.62</v>
      </c>
      <c r="P314" s="13">
        <f t="shared" si="113"/>
        <v>380.03850000000006</v>
      </c>
      <c r="Q314" s="13">
        <f t="shared" si="114"/>
        <v>4560.4620000000004</v>
      </c>
      <c r="R314" s="13">
        <v>0</v>
      </c>
      <c r="S314" s="13">
        <f t="shared" si="115"/>
        <v>0</v>
      </c>
      <c r="T314" s="13">
        <f t="shared" si="116"/>
        <v>45604.62</v>
      </c>
      <c r="U314" s="13">
        <f t="shared" si="117"/>
        <v>45604.62</v>
      </c>
      <c r="V314" s="13">
        <v>0</v>
      </c>
      <c r="W314" s="13">
        <f t="shared" si="118"/>
        <v>0</v>
      </c>
      <c r="X314" s="115">
        <f t="shared" si="123"/>
        <v>0</v>
      </c>
      <c r="Y314" s="116">
        <f t="shared" si="124"/>
        <v>0</v>
      </c>
      <c r="Z314" s="116">
        <f t="shared" si="128"/>
        <v>0</v>
      </c>
      <c r="AA314" s="116">
        <f t="shared" si="129"/>
        <v>0</v>
      </c>
      <c r="AB314" s="117">
        <f>'Ratios (C)'!$C$28+'Ratios (C)'!$D$28</f>
        <v>0.44697875883235366</v>
      </c>
      <c r="AC314" s="116">
        <f t="shared" si="126"/>
        <v>0</v>
      </c>
      <c r="AD314" s="116">
        <f t="shared" si="127"/>
        <v>0</v>
      </c>
      <c r="AE314" s="118"/>
      <c r="AF314" s="119"/>
      <c r="AG314" s="120"/>
      <c r="AH314" s="118"/>
      <c r="AI314" s="119"/>
      <c r="AJ314" s="121"/>
    </row>
    <row r="315" spans="2:36" s="9" customFormat="1">
      <c r="B315" s="9">
        <v>7</v>
      </c>
      <c r="C315" s="9" t="s">
        <v>559</v>
      </c>
      <c r="G315" s="9">
        <v>2006</v>
      </c>
      <c r="H315" s="9">
        <v>4</v>
      </c>
      <c r="I315" s="9">
        <v>0</v>
      </c>
      <c r="J315" s="9" t="s">
        <v>78</v>
      </c>
      <c r="K315" s="158" t="s">
        <v>449</v>
      </c>
      <c r="L315" s="9">
        <f t="shared" ref="L315:L378" si="130">G315+K315</f>
        <v>2016</v>
      </c>
      <c r="M315" s="127">
        <f t="shared" ref="M315:M378" si="131">+L315+(H315/12)</f>
        <v>2016.3333333333333</v>
      </c>
      <c r="N315" s="13">
        <v>14905.6</v>
      </c>
      <c r="O315" s="13">
        <f t="shared" ref="O315:O378" si="132">N315-N315*I315</f>
        <v>14905.6</v>
      </c>
      <c r="P315" s="13">
        <f t="shared" ref="P315:P378" si="133">O315/K315/12</f>
        <v>124.21333333333332</v>
      </c>
      <c r="Q315" s="13">
        <f t="shared" ref="Q315:Q378" si="134">P315*12</f>
        <v>1490.56</v>
      </c>
      <c r="R315" s="13">
        <v>0</v>
      </c>
      <c r="S315" s="13">
        <f t="shared" ref="S315:S378" si="135">+IF(M315&lt;=$O$5,0,IF(L315&gt;$O$4,Q315,(P315*H315)))</f>
        <v>0</v>
      </c>
      <c r="T315" s="13">
        <f t="shared" ref="T315:T378" si="136">+IF(S315=0,N315,IF($O$3-G315&lt;1,0,(($O$3-G315)*Q315)))</f>
        <v>14905.6</v>
      </c>
      <c r="U315" s="13">
        <f t="shared" ref="U315:U378" si="137">+IF(S315=0,T315,T315+S315)</f>
        <v>14905.6</v>
      </c>
      <c r="V315" s="13">
        <v>0</v>
      </c>
      <c r="W315" s="13">
        <f t="shared" ref="W315:W378" si="138">+N315-U315</f>
        <v>0</v>
      </c>
      <c r="X315" s="115">
        <f t="shared" si="123"/>
        <v>0</v>
      </c>
      <c r="Y315" s="116">
        <f t="shared" si="124"/>
        <v>0</v>
      </c>
      <c r="Z315" s="116">
        <f t="shared" si="128"/>
        <v>0</v>
      </c>
      <c r="AA315" s="116">
        <f t="shared" si="129"/>
        <v>0</v>
      </c>
      <c r="AB315" s="117">
        <f>'Ratios (C)'!$C$28+'Ratios (C)'!$D$28</f>
        <v>0.44697875883235366</v>
      </c>
      <c r="AC315" s="116">
        <f t="shared" si="126"/>
        <v>0</v>
      </c>
      <c r="AD315" s="116">
        <f t="shared" si="127"/>
        <v>0</v>
      </c>
      <c r="AE315" s="118"/>
      <c r="AF315" s="119"/>
      <c r="AG315" s="120"/>
      <c r="AH315" s="118"/>
      <c r="AI315" s="119"/>
      <c r="AJ315" s="121"/>
    </row>
    <row r="316" spans="2:36" s="9" customFormat="1">
      <c r="B316" s="9">
        <v>7</v>
      </c>
      <c r="C316" s="9" t="s">
        <v>565</v>
      </c>
      <c r="G316" s="9">
        <v>2006</v>
      </c>
      <c r="H316" s="9">
        <v>5</v>
      </c>
      <c r="I316" s="9">
        <v>0</v>
      </c>
      <c r="J316" s="9" t="s">
        <v>78</v>
      </c>
      <c r="K316" s="158" t="s">
        <v>449</v>
      </c>
      <c r="L316" s="9">
        <f t="shared" si="130"/>
        <v>2016</v>
      </c>
      <c r="M316" s="127">
        <f t="shared" si="131"/>
        <v>2016.4166666666667</v>
      </c>
      <c r="N316" s="13">
        <v>39089.68</v>
      </c>
      <c r="O316" s="13">
        <f t="shared" si="132"/>
        <v>39089.68</v>
      </c>
      <c r="P316" s="13">
        <f t="shared" si="133"/>
        <v>325.7473333333333</v>
      </c>
      <c r="Q316" s="13">
        <f t="shared" si="134"/>
        <v>3908.9679999999998</v>
      </c>
      <c r="R316" s="13">
        <v>0</v>
      </c>
      <c r="S316" s="13">
        <f t="shared" si="135"/>
        <v>0</v>
      </c>
      <c r="T316" s="13">
        <f t="shared" si="136"/>
        <v>39089.68</v>
      </c>
      <c r="U316" s="13">
        <f t="shared" si="137"/>
        <v>39089.68</v>
      </c>
      <c r="V316" s="13">
        <v>0</v>
      </c>
      <c r="W316" s="13">
        <f t="shared" si="138"/>
        <v>0</v>
      </c>
      <c r="X316" s="115">
        <f t="shared" ref="X316:X379" si="139">S316</f>
        <v>0</v>
      </c>
      <c r="Y316" s="116">
        <f t="shared" ref="Y316:Y379" si="140">W316</f>
        <v>0</v>
      </c>
      <c r="Z316" s="116">
        <f t="shared" si="128"/>
        <v>0</v>
      </c>
      <c r="AA316" s="116">
        <f t="shared" si="129"/>
        <v>0</v>
      </c>
      <c r="AB316" s="117">
        <f>'Ratios (C)'!$C$28+'Ratios (C)'!$D$28</f>
        <v>0.44697875883235366</v>
      </c>
      <c r="AC316" s="116">
        <f t="shared" ref="AC316:AC379" si="141">X316*AB316</f>
        <v>0</v>
      </c>
      <c r="AD316" s="116">
        <f t="shared" ref="AD316:AD379" si="142">Y316*AB316</f>
        <v>0</v>
      </c>
      <c r="AE316" s="118"/>
      <c r="AF316" s="119"/>
      <c r="AG316" s="120"/>
      <c r="AH316" s="118"/>
      <c r="AI316" s="119"/>
      <c r="AJ316" s="121"/>
    </row>
    <row r="317" spans="2:36" s="9" customFormat="1">
      <c r="B317" s="9">
        <v>2</v>
      </c>
      <c r="C317" s="9" t="s">
        <v>565</v>
      </c>
      <c r="G317" s="9">
        <v>2006</v>
      </c>
      <c r="H317" s="9">
        <v>5</v>
      </c>
      <c r="I317" s="9">
        <v>0</v>
      </c>
      <c r="J317" s="9" t="s">
        <v>78</v>
      </c>
      <c r="K317" s="158" t="s">
        <v>449</v>
      </c>
      <c r="L317" s="9">
        <f t="shared" si="130"/>
        <v>2016</v>
      </c>
      <c r="M317" s="127">
        <f t="shared" si="131"/>
        <v>2016.4166666666667</v>
      </c>
      <c r="N317" s="13">
        <v>12074</v>
      </c>
      <c r="O317" s="13">
        <f t="shared" si="132"/>
        <v>12074</v>
      </c>
      <c r="P317" s="13">
        <f t="shared" si="133"/>
        <v>100.61666666666667</v>
      </c>
      <c r="Q317" s="13">
        <f t="shared" si="134"/>
        <v>1207.4000000000001</v>
      </c>
      <c r="R317" s="13">
        <v>0</v>
      </c>
      <c r="S317" s="13">
        <f t="shared" si="135"/>
        <v>0</v>
      </c>
      <c r="T317" s="13">
        <f t="shared" si="136"/>
        <v>12074</v>
      </c>
      <c r="U317" s="13">
        <f t="shared" si="137"/>
        <v>12074</v>
      </c>
      <c r="V317" s="13">
        <v>0</v>
      </c>
      <c r="W317" s="13">
        <f t="shared" si="138"/>
        <v>0</v>
      </c>
      <c r="X317" s="115">
        <f t="shared" si="139"/>
        <v>0</v>
      </c>
      <c r="Y317" s="116">
        <f t="shared" si="140"/>
        <v>0</v>
      </c>
      <c r="Z317" s="116">
        <f t="shared" si="128"/>
        <v>0</v>
      </c>
      <c r="AA317" s="116">
        <f t="shared" si="129"/>
        <v>0</v>
      </c>
      <c r="AB317" s="117">
        <f>'Ratios (C)'!$C$28+'Ratios (C)'!$D$28</f>
        <v>0.44697875883235366</v>
      </c>
      <c r="AC317" s="116">
        <f t="shared" si="141"/>
        <v>0</v>
      </c>
      <c r="AD317" s="116">
        <f t="shared" si="142"/>
        <v>0</v>
      </c>
      <c r="AE317" s="118"/>
      <c r="AF317" s="119"/>
      <c r="AG317" s="120"/>
      <c r="AH317" s="118"/>
      <c r="AI317" s="119"/>
      <c r="AJ317" s="121"/>
    </row>
    <row r="318" spans="2:36" s="9" customFormat="1">
      <c r="B318" s="9">
        <v>4</v>
      </c>
      <c r="C318" s="9" t="s">
        <v>560</v>
      </c>
      <c r="G318" s="9">
        <v>2006</v>
      </c>
      <c r="H318" s="9">
        <v>5</v>
      </c>
      <c r="I318" s="9">
        <v>0</v>
      </c>
      <c r="J318" s="9" t="s">
        <v>78</v>
      </c>
      <c r="K318" s="158" t="s">
        <v>449</v>
      </c>
      <c r="L318" s="9">
        <f t="shared" si="130"/>
        <v>2016</v>
      </c>
      <c r="M318" s="127">
        <f t="shared" si="131"/>
        <v>2016.4166666666667</v>
      </c>
      <c r="N318" s="13">
        <v>16042.56</v>
      </c>
      <c r="O318" s="13">
        <f t="shared" si="132"/>
        <v>16042.56</v>
      </c>
      <c r="P318" s="13">
        <f t="shared" si="133"/>
        <v>133.68799999999999</v>
      </c>
      <c r="Q318" s="13">
        <f t="shared" si="134"/>
        <v>1604.2559999999999</v>
      </c>
      <c r="R318" s="13">
        <v>0</v>
      </c>
      <c r="S318" s="13">
        <f t="shared" si="135"/>
        <v>0</v>
      </c>
      <c r="T318" s="13">
        <f t="shared" si="136"/>
        <v>16042.56</v>
      </c>
      <c r="U318" s="13">
        <f t="shared" si="137"/>
        <v>16042.56</v>
      </c>
      <c r="V318" s="13">
        <v>0</v>
      </c>
      <c r="W318" s="13">
        <f t="shared" si="138"/>
        <v>0</v>
      </c>
      <c r="X318" s="115">
        <f t="shared" si="139"/>
        <v>0</v>
      </c>
      <c r="Y318" s="116">
        <f t="shared" si="140"/>
        <v>0</v>
      </c>
      <c r="Z318" s="116">
        <f t="shared" si="128"/>
        <v>0</v>
      </c>
      <c r="AA318" s="116">
        <f t="shared" si="129"/>
        <v>0</v>
      </c>
      <c r="AB318" s="117">
        <f>'Ratios (C)'!$C$28+'Ratios (C)'!$D$28</f>
        <v>0.44697875883235366</v>
      </c>
      <c r="AC318" s="116">
        <f t="shared" si="141"/>
        <v>0</v>
      </c>
      <c r="AD318" s="116">
        <f t="shared" si="142"/>
        <v>0</v>
      </c>
      <c r="AE318" s="118"/>
      <c r="AF318" s="119"/>
      <c r="AG318" s="120"/>
      <c r="AH318" s="118"/>
      <c r="AI318" s="119"/>
      <c r="AJ318" s="121"/>
    </row>
    <row r="319" spans="2:36" s="9" customFormat="1">
      <c r="B319" s="9">
        <v>1</v>
      </c>
      <c r="C319" s="9" t="s">
        <v>560</v>
      </c>
      <c r="G319" s="9">
        <v>2006</v>
      </c>
      <c r="H319" s="9">
        <v>5</v>
      </c>
      <c r="I319" s="9">
        <v>0</v>
      </c>
      <c r="J319" s="9" t="s">
        <v>78</v>
      </c>
      <c r="K319" s="158" t="s">
        <v>449</v>
      </c>
      <c r="L319" s="9">
        <f t="shared" si="130"/>
        <v>2016</v>
      </c>
      <c r="M319" s="127">
        <f t="shared" si="131"/>
        <v>2016.4166666666667</v>
      </c>
      <c r="N319" s="13">
        <v>5347.52</v>
      </c>
      <c r="O319" s="13">
        <f t="shared" si="132"/>
        <v>5347.52</v>
      </c>
      <c r="P319" s="13">
        <f t="shared" si="133"/>
        <v>44.562666666666672</v>
      </c>
      <c r="Q319" s="13">
        <f t="shared" si="134"/>
        <v>534.75200000000007</v>
      </c>
      <c r="R319" s="13">
        <v>0</v>
      </c>
      <c r="S319" s="13">
        <f t="shared" si="135"/>
        <v>0</v>
      </c>
      <c r="T319" s="13">
        <f t="shared" si="136"/>
        <v>5347.52</v>
      </c>
      <c r="U319" s="13">
        <f t="shared" si="137"/>
        <v>5347.52</v>
      </c>
      <c r="V319" s="13">
        <v>0</v>
      </c>
      <c r="W319" s="13">
        <f t="shared" si="138"/>
        <v>0</v>
      </c>
      <c r="X319" s="115">
        <f t="shared" si="139"/>
        <v>0</v>
      </c>
      <c r="Y319" s="116">
        <f t="shared" si="140"/>
        <v>0</v>
      </c>
      <c r="Z319" s="116">
        <f t="shared" si="128"/>
        <v>0</v>
      </c>
      <c r="AA319" s="116">
        <f t="shared" si="129"/>
        <v>0</v>
      </c>
      <c r="AB319" s="117">
        <f>'Ratios (C)'!$C$28+'Ratios (C)'!$D$28</f>
        <v>0.44697875883235366</v>
      </c>
      <c r="AC319" s="116">
        <f t="shared" si="141"/>
        <v>0</v>
      </c>
      <c r="AD319" s="116">
        <f t="shared" si="142"/>
        <v>0</v>
      </c>
      <c r="AE319" s="118"/>
      <c r="AF319" s="119"/>
      <c r="AG319" s="120"/>
      <c r="AH319" s="118"/>
      <c r="AI319" s="119"/>
      <c r="AJ319" s="121"/>
    </row>
    <row r="320" spans="2:36" s="9" customFormat="1">
      <c r="B320" s="9">
        <v>1</v>
      </c>
      <c r="C320" s="9" t="s">
        <v>562</v>
      </c>
      <c r="G320" s="9">
        <v>2006</v>
      </c>
      <c r="H320" s="9">
        <v>5</v>
      </c>
      <c r="I320" s="9">
        <v>0</v>
      </c>
      <c r="J320" s="9" t="s">
        <v>78</v>
      </c>
      <c r="K320" s="158" t="s">
        <v>449</v>
      </c>
      <c r="L320" s="9">
        <f t="shared" si="130"/>
        <v>2016</v>
      </c>
      <c r="M320" s="127">
        <f t="shared" si="131"/>
        <v>2016.4166666666667</v>
      </c>
      <c r="N320" s="13">
        <v>5605.41</v>
      </c>
      <c r="O320" s="13">
        <f t="shared" si="132"/>
        <v>5605.41</v>
      </c>
      <c r="P320" s="13">
        <f t="shared" si="133"/>
        <v>46.711749999999995</v>
      </c>
      <c r="Q320" s="13">
        <f t="shared" si="134"/>
        <v>560.54099999999994</v>
      </c>
      <c r="R320" s="13">
        <v>0</v>
      </c>
      <c r="S320" s="13">
        <f t="shared" si="135"/>
        <v>0</v>
      </c>
      <c r="T320" s="13">
        <f t="shared" si="136"/>
        <v>5605.41</v>
      </c>
      <c r="U320" s="13">
        <f t="shared" si="137"/>
        <v>5605.41</v>
      </c>
      <c r="V320" s="13">
        <v>0</v>
      </c>
      <c r="W320" s="13">
        <f t="shared" si="138"/>
        <v>0</v>
      </c>
      <c r="X320" s="115">
        <f t="shared" si="139"/>
        <v>0</v>
      </c>
      <c r="Y320" s="116">
        <f t="shared" si="140"/>
        <v>0</v>
      </c>
      <c r="Z320" s="116">
        <f t="shared" si="128"/>
        <v>0</v>
      </c>
      <c r="AA320" s="116">
        <f t="shared" si="129"/>
        <v>0</v>
      </c>
      <c r="AB320" s="117">
        <f>'Ratios (C)'!$C$28+'Ratios (C)'!$D$28</f>
        <v>0.44697875883235366</v>
      </c>
      <c r="AC320" s="116">
        <f t="shared" si="141"/>
        <v>0</v>
      </c>
      <c r="AD320" s="116">
        <f t="shared" si="142"/>
        <v>0</v>
      </c>
      <c r="AE320" s="118"/>
      <c r="AF320" s="119"/>
      <c r="AG320" s="120"/>
      <c r="AH320" s="118"/>
      <c r="AI320" s="119"/>
      <c r="AJ320" s="121"/>
    </row>
    <row r="321" spans="2:36" s="9" customFormat="1">
      <c r="B321" s="9">
        <v>3</v>
      </c>
      <c r="C321" s="9" t="s">
        <v>565</v>
      </c>
      <c r="G321" s="9">
        <v>2006</v>
      </c>
      <c r="H321" s="9">
        <v>6</v>
      </c>
      <c r="I321" s="9">
        <v>0</v>
      </c>
      <c r="J321" s="9" t="s">
        <v>78</v>
      </c>
      <c r="K321" s="158" t="s">
        <v>449</v>
      </c>
      <c r="L321" s="9">
        <f t="shared" si="130"/>
        <v>2016</v>
      </c>
      <c r="M321" s="127">
        <f t="shared" si="131"/>
        <v>2016.5</v>
      </c>
      <c r="N321" s="13">
        <v>14080.9</v>
      </c>
      <c r="O321" s="13">
        <f t="shared" si="132"/>
        <v>14080.9</v>
      </c>
      <c r="P321" s="13">
        <f t="shared" si="133"/>
        <v>117.34083333333332</v>
      </c>
      <c r="Q321" s="13">
        <f t="shared" si="134"/>
        <v>1408.09</v>
      </c>
      <c r="R321" s="13">
        <v>0</v>
      </c>
      <c r="S321" s="13">
        <f t="shared" si="135"/>
        <v>0</v>
      </c>
      <c r="T321" s="13">
        <f t="shared" si="136"/>
        <v>14080.9</v>
      </c>
      <c r="U321" s="13">
        <f t="shared" si="137"/>
        <v>14080.9</v>
      </c>
      <c r="V321" s="13">
        <v>0</v>
      </c>
      <c r="W321" s="13">
        <f t="shared" si="138"/>
        <v>0</v>
      </c>
      <c r="X321" s="115">
        <f t="shared" si="139"/>
        <v>0</v>
      </c>
      <c r="Y321" s="116">
        <f t="shared" si="140"/>
        <v>0</v>
      </c>
      <c r="Z321" s="116">
        <f t="shared" si="128"/>
        <v>0</v>
      </c>
      <c r="AA321" s="116">
        <f t="shared" si="129"/>
        <v>0</v>
      </c>
      <c r="AB321" s="117">
        <f>'Ratios (C)'!$C$28+'Ratios (C)'!$D$28</f>
        <v>0.44697875883235366</v>
      </c>
      <c r="AC321" s="116">
        <f t="shared" si="141"/>
        <v>0</v>
      </c>
      <c r="AD321" s="116">
        <f t="shared" si="142"/>
        <v>0</v>
      </c>
      <c r="AE321" s="118"/>
      <c r="AF321" s="119"/>
      <c r="AG321" s="120"/>
      <c r="AH321" s="118"/>
      <c r="AI321" s="119"/>
      <c r="AJ321" s="121"/>
    </row>
    <row r="322" spans="2:36" s="9" customFormat="1">
      <c r="B322" s="9">
        <v>7</v>
      </c>
      <c r="C322" s="9" t="s">
        <v>560</v>
      </c>
      <c r="G322" s="9">
        <v>2006</v>
      </c>
      <c r="H322" s="9">
        <v>6</v>
      </c>
      <c r="I322" s="9">
        <v>0</v>
      </c>
      <c r="J322" s="9" t="s">
        <v>78</v>
      </c>
      <c r="K322" s="158" t="s">
        <v>449</v>
      </c>
      <c r="L322" s="9">
        <f t="shared" si="130"/>
        <v>2016</v>
      </c>
      <c r="M322" s="127">
        <f t="shared" si="131"/>
        <v>2016.5</v>
      </c>
      <c r="N322" s="13">
        <v>29878.66</v>
      </c>
      <c r="O322" s="13">
        <f t="shared" si="132"/>
        <v>29878.66</v>
      </c>
      <c r="P322" s="13">
        <f t="shared" si="133"/>
        <v>248.98883333333333</v>
      </c>
      <c r="Q322" s="13">
        <f t="shared" si="134"/>
        <v>2987.866</v>
      </c>
      <c r="R322" s="13">
        <v>0</v>
      </c>
      <c r="S322" s="13">
        <f t="shared" si="135"/>
        <v>0</v>
      </c>
      <c r="T322" s="13">
        <f t="shared" si="136"/>
        <v>29878.66</v>
      </c>
      <c r="U322" s="13">
        <f t="shared" si="137"/>
        <v>29878.66</v>
      </c>
      <c r="V322" s="13">
        <v>0</v>
      </c>
      <c r="W322" s="13">
        <f t="shared" si="138"/>
        <v>0</v>
      </c>
      <c r="X322" s="115">
        <f t="shared" si="139"/>
        <v>0</v>
      </c>
      <c r="Y322" s="116">
        <f t="shared" si="140"/>
        <v>0</v>
      </c>
      <c r="Z322" s="116">
        <f t="shared" si="128"/>
        <v>0</v>
      </c>
      <c r="AA322" s="116">
        <f t="shared" si="129"/>
        <v>0</v>
      </c>
      <c r="AB322" s="117">
        <f>'Ratios (C)'!$C$28+'Ratios (C)'!$D$28</f>
        <v>0.44697875883235366</v>
      </c>
      <c r="AC322" s="116">
        <f t="shared" si="141"/>
        <v>0</v>
      </c>
      <c r="AD322" s="116">
        <f t="shared" si="142"/>
        <v>0</v>
      </c>
      <c r="AE322" s="118"/>
      <c r="AF322" s="119"/>
      <c r="AG322" s="120"/>
      <c r="AH322" s="118"/>
      <c r="AI322" s="119"/>
      <c r="AJ322" s="121"/>
    </row>
    <row r="323" spans="2:36" s="9" customFormat="1">
      <c r="B323" s="9">
        <v>5</v>
      </c>
      <c r="C323" s="9" t="s">
        <v>560</v>
      </c>
      <c r="G323" s="9">
        <v>2006</v>
      </c>
      <c r="H323" s="9">
        <v>6</v>
      </c>
      <c r="I323" s="9">
        <v>0</v>
      </c>
      <c r="J323" s="9" t="s">
        <v>78</v>
      </c>
      <c r="K323" s="158" t="s">
        <v>449</v>
      </c>
      <c r="L323" s="9">
        <f t="shared" si="130"/>
        <v>2016</v>
      </c>
      <c r="M323" s="127">
        <f t="shared" si="131"/>
        <v>2016.5</v>
      </c>
      <c r="N323" s="13">
        <v>20728.580000000002</v>
      </c>
      <c r="O323" s="13">
        <f t="shared" si="132"/>
        <v>20728.580000000002</v>
      </c>
      <c r="P323" s="13">
        <f t="shared" si="133"/>
        <v>172.73816666666667</v>
      </c>
      <c r="Q323" s="13">
        <f t="shared" si="134"/>
        <v>2072.8580000000002</v>
      </c>
      <c r="R323" s="13">
        <v>0</v>
      </c>
      <c r="S323" s="13">
        <f t="shared" si="135"/>
        <v>0</v>
      </c>
      <c r="T323" s="13">
        <f t="shared" si="136"/>
        <v>20728.580000000002</v>
      </c>
      <c r="U323" s="13">
        <f t="shared" si="137"/>
        <v>20728.580000000002</v>
      </c>
      <c r="V323" s="13">
        <v>0</v>
      </c>
      <c r="W323" s="13">
        <f t="shared" si="138"/>
        <v>0</v>
      </c>
      <c r="X323" s="115">
        <f t="shared" si="139"/>
        <v>0</v>
      </c>
      <c r="Y323" s="116">
        <f t="shared" si="140"/>
        <v>0</v>
      </c>
      <c r="Z323" s="116">
        <f t="shared" si="128"/>
        <v>0</v>
      </c>
      <c r="AA323" s="116">
        <f t="shared" si="129"/>
        <v>0</v>
      </c>
      <c r="AB323" s="117">
        <f>'Ratios (C)'!$C$28+'Ratios (C)'!$D$28</f>
        <v>0.44697875883235366</v>
      </c>
      <c r="AC323" s="116">
        <f t="shared" si="141"/>
        <v>0</v>
      </c>
      <c r="AD323" s="116">
        <f t="shared" si="142"/>
        <v>0</v>
      </c>
      <c r="AE323" s="118"/>
      <c r="AF323" s="119"/>
      <c r="AG323" s="120"/>
      <c r="AH323" s="118"/>
      <c r="AI323" s="119"/>
      <c r="AJ323" s="121"/>
    </row>
    <row r="324" spans="2:36" s="9" customFormat="1">
      <c r="B324" s="9">
        <v>5</v>
      </c>
      <c r="C324" s="9" t="s">
        <v>560</v>
      </c>
      <c r="G324" s="9">
        <v>2006</v>
      </c>
      <c r="H324" s="9">
        <v>6</v>
      </c>
      <c r="I324" s="9">
        <v>0</v>
      </c>
      <c r="J324" s="9" t="s">
        <v>78</v>
      </c>
      <c r="K324" s="158" t="s">
        <v>449</v>
      </c>
      <c r="L324" s="9">
        <f t="shared" si="130"/>
        <v>2016</v>
      </c>
      <c r="M324" s="127">
        <f t="shared" si="131"/>
        <v>2016.5</v>
      </c>
      <c r="N324" s="13">
        <v>23054.720000000001</v>
      </c>
      <c r="O324" s="13">
        <f t="shared" si="132"/>
        <v>23054.720000000001</v>
      </c>
      <c r="P324" s="13">
        <f t="shared" si="133"/>
        <v>192.12266666666667</v>
      </c>
      <c r="Q324" s="13">
        <f t="shared" si="134"/>
        <v>2305.4720000000002</v>
      </c>
      <c r="R324" s="13">
        <v>0</v>
      </c>
      <c r="S324" s="13">
        <f t="shared" si="135"/>
        <v>0</v>
      </c>
      <c r="T324" s="13">
        <f t="shared" si="136"/>
        <v>23054.720000000001</v>
      </c>
      <c r="U324" s="13">
        <f t="shared" si="137"/>
        <v>23054.720000000001</v>
      </c>
      <c r="V324" s="13">
        <v>0</v>
      </c>
      <c r="W324" s="13">
        <f t="shared" si="138"/>
        <v>0</v>
      </c>
      <c r="X324" s="115">
        <f t="shared" si="139"/>
        <v>0</v>
      </c>
      <c r="Y324" s="116">
        <f t="shared" si="140"/>
        <v>0</v>
      </c>
      <c r="Z324" s="116">
        <f t="shared" si="128"/>
        <v>0</v>
      </c>
      <c r="AA324" s="116">
        <f t="shared" si="129"/>
        <v>0</v>
      </c>
      <c r="AB324" s="117">
        <f>'Ratios (C)'!$C$28+'Ratios (C)'!$D$28</f>
        <v>0.44697875883235366</v>
      </c>
      <c r="AC324" s="116">
        <f t="shared" si="141"/>
        <v>0</v>
      </c>
      <c r="AD324" s="116">
        <f t="shared" si="142"/>
        <v>0</v>
      </c>
      <c r="AE324" s="118"/>
      <c r="AF324" s="119"/>
      <c r="AG324" s="120"/>
      <c r="AH324" s="118"/>
      <c r="AI324" s="119"/>
      <c r="AJ324" s="121"/>
    </row>
    <row r="325" spans="2:36" s="9" customFormat="1">
      <c r="B325" s="9">
        <v>9</v>
      </c>
      <c r="C325" s="9" t="s">
        <v>562</v>
      </c>
      <c r="G325" s="9">
        <v>2006</v>
      </c>
      <c r="H325" s="9">
        <v>6</v>
      </c>
      <c r="I325" s="9">
        <v>0</v>
      </c>
      <c r="J325" s="9" t="s">
        <v>78</v>
      </c>
      <c r="K325" s="158" t="s">
        <v>449</v>
      </c>
      <c r="L325" s="9">
        <f t="shared" si="130"/>
        <v>2016</v>
      </c>
      <c r="M325" s="127">
        <f t="shared" si="131"/>
        <v>2016.5</v>
      </c>
      <c r="N325" s="13">
        <v>40974.080000000002</v>
      </c>
      <c r="O325" s="13">
        <f t="shared" si="132"/>
        <v>40974.080000000002</v>
      </c>
      <c r="P325" s="13">
        <f t="shared" si="133"/>
        <v>341.45066666666668</v>
      </c>
      <c r="Q325" s="13">
        <f t="shared" si="134"/>
        <v>4097.4080000000004</v>
      </c>
      <c r="R325" s="13">
        <v>0</v>
      </c>
      <c r="S325" s="13">
        <f t="shared" si="135"/>
        <v>0</v>
      </c>
      <c r="T325" s="13">
        <f t="shared" si="136"/>
        <v>40974.080000000002</v>
      </c>
      <c r="U325" s="13">
        <f t="shared" si="137"/>
        <v>40974.080000000002</v>
      </c>
      <c r="V325" s="13">
        <v>0</v>
      </c>
      <c r="W325" s="13">
        <f t="shared" si="138"/>
        <v>0</v>
      </c>
      <c r="X325" s="115">
        <f t="shared" si="139"/>
        <v>0</v>
      </c>
      <c r="Y325" s="116">
        <f t="shared" si="140"/>
        <v>0</v>
      </c>
      <c r="Z325" s="116">
        <f t="shared" si="128"/>
        <v>0</v>
      </c>
      <c r="AA325" s="116">
        <f t="shared" si="129"/>
        <v>0</v>
      </c>
      <c r="AB325" s="117">
        <f>'Ratios (C)'!$C$28+'Ratios (C)'!$D$28</f>
        <v>0.44697875883235366</v>
      </c>
      <c r="AC325" s="116">
        <f t="shared" si="141"/>
        <v>0</v>
      </c>
      <c r="AD325" s="116">
        <f t="shared" si="142"/>
        <v>0</v>
      </c>
      <c r="AE325" s="118"/>
      <c r="AF325" s="119"/>
      <c r="AG325" s="120"/>
      <c r="AH325" s="118"/>
      <c r="AI325" s="119"/>
      <c r="AJ325" s="121"/>
    </row>
    <row r="326" spans="2:36" s="9" customFormat="1">
      <c r="B326" s="9">
        <v>7</v>
      </c>
      <c r="C326" s="9" t="s">
        <v>562</v>
      </c>
      <c r="G326" s="9">
        <v>2006</v>
      </c>
      <c r="H326" s="9">
        <v>6</v>
      </c>
      <c r="I326" s="9">
        <v>0</v>
      </c>
      <c r="J326" s="9" t="s">
        <v>78</v>
      </c>
      <c r="K326" s="158" t="s">
        <v>449</v>
      </c>
      <c r="L326" s="9">
        <f t="shared" si="130"/>
        <v>2016</v>
      </c>
      <c r="M326" s="127">
        <f t="shared" si="131"/>
        <v>2016.5</v>
      </c>
      <c r="N326" s="13">
        <v>35649.410000000003</v>
      </c>
      <c r="O326" s="13">
        <f t="shared" si="132"/>
        <v>35649.410000000003</v>
      </c>
      <c r="P326" s="13">
        <f t="shared" si="133"/>
        <v>297.07841666666667</v>
      </c>
      <c r="Q326" s="13">
        <f t="shared" si="134"/>
        <v>3564.9409999999998</v>
      </c>
      <c r="R326" s="13">
        <v>0</v>
      </c>
      <c r="S326" s="13">
        <f t="shared" si="135"/>
        <v>0</v>
      </c>
      <c r="T326" s="13">
        <f t="shared" si="136"/>
        <v>35649.410000000003</v>
      </c>
      <c r="U326" s="13">
        <f t="shared" si="137"/>
        <v>35649.410000000003</v>
      </c>
      <c r="V326" s="13">
        <v>0</v>
      </c>
      <c r="W326" s="13">
        <f t="shared" si="138"/>
        <v>0</v>
      </c>
      <c r="X326" s="115">
        <f t="shared" si="139"/>
        <v>0</v>
      </c>
      <c r="Y326" s="116">
        <f t="shared" si="140"/>
        <v>0</v>
      </c>
      <c r="Z326" s="116">
        <f t="shared" si="128"/>
        <v>0</v>
      </c>
      <c r="AA326" s="116">
        <f t="shared" si="129"/>
        <v>0</v>
      </c>
      <c r="AB326" s="117">
        <f>'Ratios (C)'!$C$28+'Ratios (C)'!$D$28</f>
        <v>0.44697875883235366</v>
      </c>
      <c r="AC326" s="116">
        <f t="shared" si="141"/>
        <v>0</v>
      </c>
      <c r="AD326" s="116">
        <f t="shared" si="142"/>
        <v>0</v>
      </c>
      <c r="AE326" s="118"/>
      <c r="AF326" s="119"/>
      <c r="AG326" s="120"/>
      <c r="AH326" s="118"/>
      <c r="AI326" s="119"/>
      <c r="AJ326" s="121"/>
    </row>
    <row r="327" spans="2:36" s="9" customFormat="1">
      <c r="B327" s="9">
        <v>3</v>
      </c>
      <c r="C327" s="9" t="s">
        <v>565</v>
      </c>
      <c r="G327" s="9">
        <v>2006</v>
      </c>
      <c r="H327" s="9">
        <v>7</v>
      </c>
      <c r="I327" s="9">
        <v>0</v>
      </c>
      <c r="J327" s="9" t="s">
        <v>78</v>
      </c>
      <c r="K327" s="158" t="s">
        <v>449</v>
      </c>
      <c r="L327" s="9">
        <f t="shared" si="130"/>
        <v>2016</v>
      </c>
      <c r="M327" s="127">
        <f t="shared" si="131"/>
        <v>2016.5833333333333</v>
      </c>
      <c r="N327" s="13">
        <v>13558.65</v>
      </c>
      <c r="O327" s="13">
        <f t="shared" si="132"/>
        <v>13558.65</v>
      </c>
      <c r="P327" s="13">
        <f t="shared" si="133"/>
        <v>112.98875</v>
      </c>
      <c r="Q327" s="13">
        <f t="shared" si="134"/>
        <v>1355.865</v>
      </c>
      <c r="R327" s="13">
        <v>0</v>
      </c>
      <c r="S327" s="13">
        <f t="shared" si="135"/>
        <v>0</v>
      </c>
      <c r="T327" s="13">
        <f t="shared" si="136"/>
        <v>13558.65</v>
      </c>
      <c r="U327" s="13">
        <f t="shared" si="137"/>
        <v>13558.65</v>
      </c>
      <c r="V327" s="13">
        <v>0</v>
      </c>
      <c r="W327" s="13">
        <f t="shared" si="138"/>
        <v>0</v>
      </c>
      <c r="X327" s="115">
        <f t="shared" si="139"/>
        <v>0</v>
      </c>
      <c r="Y327" s="116">
        <f t="shared" si="140"/>
        <v>0</v>
      </c>
      <c r="Z327" s="116">
        <f t="shared" si="128"/>
        <v>0</v>
      </c>
      <c r="AA327" s="116">
        <f t="shared" si="129"/>
        <v>0</v>
      </c>
      <c r="AB327" s="117">
        <f>'Ratios (C)'!$C$28+'Ratios (C)'!$D$28</f>
        <v>0.44697875883235366</v>
      </c>
      <c r="AC327" s="116">
        <f t="shared" si="141"/>
        <v>0</v>
      </c>
      <c r="AD327" s="116">
        <f t="shared" si="142"/>
        <v>0</v>
      </c>
      <c r="AE327" s="118"/>
      <c r="AF327" s="119"/>
      <c r="AG327" s="120"/>
      <c r="AH327" s="118"/>
      <c r="AI327" s="119"/>
      <c r="AJ327" s="121"/>
    </row>
    <row r="328" spans="2:36" s="9" customFormat="1">
      <c r="B328" s="9">
        <v>2</v>
      </c>
      <c r="C328" s="9" t="s">
        <v>565</v>
      </c>
      <c r="G328" s="9">
        <v>2006</v>
      </c>
      <c r="H328" s="9">
        <v>7</v>
      </c>
      <c r="I328" s="9">
        <v>0</v>
      </c>
      <c r="J328" s="9" t="s">
        <v>78</v>
      </c>
      <c r="K328" s="158" t="s">
        <v>449</v>
      </c>
      <c r="L328" s="9">
        <f t="shared" si="130"/>
        <v>2016</v>
      </c>
      <c r="M328" s="127">
        <f t="shared" si="131"/>
        <v>2016.5833333333333</v>
      </c>
      <c r="N328" s="13">
        <v>13232.25</v>
      </c>
      <c r="O328" s="13">
        <f t="shared" si="132"/>
        <v>13232.25</v>
      </c>
      <c r="P328" s="13">
        <f t="shared" si="133"/>
        <v>110.26875</v>
      </c>
      <c r="Q328" s="13">
        <f t="shared" si="134"/>
        <v>1323.2249999999999</v>
      </c>
      <c r="R328" s="13">
        <v>0</v>
      </c>
      <c r="S328" s="13">
        <f t="shared" si="135"/>
        <v>0</v>
      </c>
      <c r="T328" s="13">
        <f t="shared" si="136"/>
        <v>13232.25</v>
      </c>
      <c r="U328" s="13">
        <f t="shared" si="137"/>
        <v>13232.25</v>
      </c>
      <c r="V328" s="13">
        <v>0</v>
      </c>
      <c r="W328" s="13">
        <f t="shared" si="138"/>
        <v>0</v>
      </c>
      <c r="X328" s="115">
        <f t="shared" si="139"/>
        <v>0</v>
      </c>
      <c r="Y328" s="116">
        <f t="shared" si="140"/>
        <v>0</v>
      </c>
      <c r="Z328" s="116">
        <f t="shared" si="128"/>
        <v>0</v>
      </c>
      <c r="AA328" s="116">
        <f t="shared" si="129"/>
        <v>0</v>
      </c>
      <c r="AB328" s="117">
        <f>'Ratios (C)'!$C$28+'Ratios (C)'!$D$28</f>
        <v>0.44697875883235366</v>
      </c>
      <c r="AC328" s="116">
        <f t="shared" si="141"/>
        <v>0</v>
      </c>
      <c r="AD328" s="116">
        <f t="shared" si="142"/>
        <v>0</v>
      </c>
      <c r="AE328" s="118"/>
      <c r="AF328" s="119"/>
      <c r="AG328" s="120"/>
      <c r="AH328" s="118"/>
      <c r="AI328" s="119"/>
      <c r="AJ328" s="121"/>
    </row>
    <row r="329" spans="2:36" s="9" customFormat="1">
      <c r="B329" s="9">
        <v>2</v>
      </c>
      <c r="C329" s="9" t="s">
        <v>565</v>
      </c>
      <c r="G329" s="9">
        <v>2006</v>
      </c>
      <c r="H329" s="9">
        <v>7</v>
      </c>
      <c r="I329" s="9">
        <v>0</v>
      </c>
      <c r="J329" s="9" t="s">
        <v>78</v>
      </c>
      <c r="K329" s="158" t="s">
        <v>449</v>
      </c>
      <c r="L329" s="9">
        <f t="shared" si="130"/>
        <v>2016</v>
      </c>
      <c r="M329" s="127">
        <f t="shared" si="131"/>
        <v>2016.5833333333333</v>
      </c>
      <c r="N329" s="13">
        <v>13232.25</v>
      </c>
      <c r="O329" s="13">
        <f t="shared" si="132"/>
        <v>13232.25</v>
      </c>
      <c r="P329" s="13">
        <f t="shared" si="133"/>
        <v>110.26875</v>
      </c>
      <c r="Q329" s="13">
        <f t="shared" si="134"/>
        <v>1323.2249999999999</v>
      </c>
      <c r="R329" s="13">
        <v>0</v>
      </c>
      <c r="S329" s="13">
        <f t="shared" si="135"/>
        <v>0</v>
      </c>
      <c r="T329" s="13">
        <f t="shared" si="136"/>
        <v>13232.25</v>
      </c>
      <c r="U329" s="13">
        <f t="shared" si="137"/>
        <v>13232.25</v>
      </c>
      <c r="V329" s="13">
        <v>0</v>
      </c>
      <c r="W329" s="13">
        <f t="shared" si="138"/>
        <v>0</v>
      </c>
      <c r="X329" s="115">
        <f t="shared" si="139"/>
        <v>0</v>
      </c>
      <c r="Y329" s="116">
        <f t="shared" si="140"/>
        <v>0</v>
      </c>
      <c r="Z329" s="116">
        <f t="shared" si="128"/>
        <v>0</v>
      </c>
      <c r="AA329" s="116">
        <f t="shared" si="129"/>
        <v>0</v>
      </c>
      <c r="AB329" s="117">
        <f>'Ratios (C)'!$C$28+'Ratios (C)'!$D$28</f>
        <v>0.44697875883235366</v>
      </c>
      <c r="AC329" s="116">
        <f t="shared" si="141"/>
        <v>0</v>
      </c>
      <c r="AD329" s="116">
        <f t="shared" si="142"/>
        <v>0</v>
      </c>
      <c r="AE329" s="118"/>
      <c r="AF329" s="119"/>
      <c r="AG329" s="120"/>
      <c r="AH329" s="118"/>
      <c r="AI329" s="119"/>
      <c r="AJ329" s="121"/>
    </row>
    <row r="330" spans="2:36" s="9" customFormat="1">
      <c r="B330" s="9">
        <v>6</v>
      </c>
      <c r="C330" s="9" t="s">
        <v>565</v>
      </c>
      <c r="G330" s="9">
        <v>2006</v>
      </c>
      <c r="H330" s="9">
        <v>8</v>
      </c>
      <c r="I330" s="9">
        <v>0</v>
      </c>
      <c r="J330" s="9" t="s">
        <v>78</v>
      </c>
      <c r="K330" s="158" t="s">
        <v>449</v>
      </c>
      <c r="L330" s="9">
        <f t="shared" si="130"/>
        <v>2016</v>
      </c>
      <c r="M330" s="127">
        <f t="shared" si="131"/>
        <v>2016.6666666666667</v>
      </c>
      <c r="N330" s="13">
        <v>33080.639999999999</v>
      </c>
      <c r="O330" s="13">
        <f t="shared" si="132"/>
        <v>33080.639999999999</v>
      </c>
      <c r="P330" s="13">
        <f t="shared" si="133"/>
        <v>275.67199999999997</v>
      </c>
      <c r="Q330" s="13">
        <f t="shared" si="134"/>
        <v>3308.0639999999994</v>
      </c>
      <c r="R330" s="13">
        <v>0</v>
      </c>
      <c r="S330" s="13">
        <f t="shared" si="135"/>
        <v>0</v>
      </c>
      <c r="T330" s="13">
        <f t="shared" si="136"/>
        <v>33080.639999999999</v>
      </c>
      <c r="U330" s="13">
        <f t="shared" si="137"/>
        <v>33080.639999999999</v>
      </c>
      <c r="V330" s="13">
        <v>0</v>
      </c>
      <c r="W330" s="13">
        <f t="shared" si="138"/>
        <v>0</v>
      </c>
      <c r="X330" s="115">
        <f t="shared" si="139"/>
        <v>0</v>
      </c>
      <c r="Y330" s="116">
        <f t="shared" si="140"/>
        <v>0</v>
      </c>
      <c r="Z330" s="116">
        <f t="shared" si="128"/>
        <v>0</v>
      </c>
      <c r="AA330" s="116">
        <f t="shared" si="129"/>
        <v>0</v>
      </c>
      <c r="AB330" s="117">
        <f>'Ratios (C)'!$C$28+'Ratios (C)'!$D$28</f>
        <v>0.44697875883235366</v>
      </c>
      <c r="AC330" s="116">
        <f t="shared" si="141"/>
        <v>0</v>
      </c>
      <c r="AD330" s="116">
        <f t="shared" si="142"/>
        <v>0</v>
      </c>
      <c r="AE330" s="118"/>
      <c r="AF330" s="119"/>
      <c r="AG330" s="120"/>
      <c r="AH330" s="118"/>
      <c r="AI330" s="119"/>
      <c r="AJ330" s="121"/>
    </row>
    <row r="331" spans="2:36" s="9" customFormat="1">
      <c r="B331" s="9">
        <v>4</v>
      </c>
      <c r="C331" s="9" t="s">
        <v>565</v>
      </c>
      <c r="G331" s="9">
        <v>2006</v>
      </c>
      <c r="H331" s="9">
        <v>8</v>
      </c>
      <c r="I331" s="9">
        <v>0</v>
      </c>
      <c r="J331" s="9" t="s">
        <v>78</v>
      </c>
      <c r="K331" s="158" t="s">
        <v>449</v>
      </c>
      <c r="L331" s="9">
        <f t="shared" si="130"/>
        <v>2016</v>
      </c>
      <c r="M331" s="127">
        <f t="shared" si="131"/>
        <v>2016.6666666666667</v>
      </c>
      <c r="N331" s="13">
        <v>19848.39</v>
      </c>
      <c r="O331" s="13">
        <f t="shared" si="132"/>
        <v>19848.39</v>
      </c>
      <c r="P331" s="13">
        <f t="shared" si="133"/>
        <v>165.40324999999999</v>
      </c>
      <c r="Q331" s="13">
        <f t="shared" si="134"/>
        <v>1984.8389999999999</v>
      </c>
      <c r="R331" s="13">
        <v>0</v>
      </c>
      <c r="S331" s="13">
        <f t="shared" si="135"/>
        <v>0</v>
      </c>
      <c r="T331" s="13">
        <f t="shared" si="136"/>
        <v>19848.39</v>
      </c>
      <c r="U331" s="13">
        <f t="shared" si="137"/>
        <v>19848.39</v>
      </c>
      <c r="V331" s="13">
        <v>0</v>
      </c>
      <c r="W331" s="13">
        <f t="shared" si="138"/>
        <v>0</v>
      </c>
      <c r="X331" s="115">
        <f t="shared" si="139"/>
        <v>0</v>
      </c>
      <c r="Y331" s="116">
        <f t="shared" si="140"/>
        <v>0</v>
      </c>
      <c r="Z331" s="116">
        <f t="shared" si="128"/>
        <v>0</v>
      </c>
      <c r="AA331" s="116">
        <f t="shared" si="129"/>
        <v>0</v>
      </c>
      <c r="AB331" s="117">
        <f>'Ratios (C)'!$C$28+'Ratios (C)'!$D$28</f>
        <v>0.44697875883235366</v>
      </c>
      <c r="AC331" s="116">
        <f t="shared" si="141"/>
        <v>0</v>
      </c>
      <c r="AD331" s="116">
        <f t="shared" si="142"/>
        <v>0</v>
      </c>
      <c r="AE331" s="118"/>
      <c r="AF331" s="119"/>
      <c r="AG331" s="120"/>
      <c r="AH331" s="118"/>
      <c r="AI331" s="119"/>
      <c r="AJ331" s="121"/>
    </row>
    <row r="332" spans="2:36" s="9" customFormat="1">
      <c r="B332" s="9">
        <v>4</v>
      </c>
      <c r="C332" s="9" t="s">
        <v>565</v>
      </c>
      <c r="G332" s="9">
        <v>2006</v>
      </c>
      <c r="H332" s="9">
        <v>8</v>
      </c>
      <c r="I332" s="9">
        <v>0</v>
      </c>
      <c r="J332" s="9" t="s">
        <v>78</v>
      </c>
      <c r="K332" s="158" t="s">
        <v>449</v>
      </c>
      <c r="L332" s="9">
        <f t="shared" si="130"/>
        <v>2016</v>
      </c>
      <c r="M332" s="127">
        <f t="shared" si="131"/>
        <v>2016.6666666666667</v>
      </c>
      <c r="N332" s="13">
        <v>19848.39</v>
      </c>
      <c r="O332" s="13">
        <f t="shared" si="132"/>
        <v>19848.39</v>
      </c>
      <c r="P332" s="13">
        <f t="shared" si="133"/>
        <v>165.40324999999999</v>
      </c>
      <c r="Q332" s="13">
        <f t="shared" si="134"/>
        <v>1984.8389999999999</v>
      </c>
      <c r="R332" s="13">
        <v>0</v>
      </c>
      <c r="S332" s="13">
        <f t="shared" si="135"/>
        <v>0</v>
      </c>
      <c r="T332" s="13">
        <f t="shared" si="136"/>
        <v>19848.39</v>
      </c>
      <c r="U332" s="13">
        <f t="shared" si="137"/>
        <v>19848.39</v>
      </c>
      <c r="V332" s="13">
        <v>0</v>
      </c>
      <c r="W332" s="13">
        <f t="shared" si="138"/>
        <v>0</v>
      </c>
      <c r="X332" s="115">
        <f t="shared" si="139"/>
        <v>0</v>
      </c>
      <c r="Y332" s="116">
        <f t="shared" si="140"/>
        <v>0</v>
      </c>
      <c r="Z332" s="116">
        <f t="shared" si="128"/>
        <v>0</v>
      </c>
      <c r="AA332" s="116">
        <f t="shared" si="129"/>
        <v>0</v>
      </c>
      <c r="AB332" s="117">
        <f>'Ratios (C)'!$C$28+'Ratios (C)'!$D$28</f>
        <v>0.44697875883235366</v>
      </c>
      <c r="AC332" s="116">
        <f t="shared" si="141"/>
        <v>0</v>
      </c>
      <c r="AD332" s="116">
        <f t="shared" si="142"/>
        <v>0</v>
      </c>
      <c r="AE332" s="118"/>
      <c r="AF332" s="119"/>
      <c r="AG332" s="120"/>
      <c r="AH332" s="118"/>
      <c r="AI332" s="119"/>
      <c r="AJ332" s="121"/>
    </row>
    <row r="333" spans="2:36" s="9" customFormat="1">
      <c r="B333" s="9">
        <v>7</v>
      </c>
      <c r="C333" s="9" t="s">
        <v>562</v>
      </c>
      <c r="G333" s="9">
        <v>2006</v>
      </c>
      <c r="H333" s="9">
        <v>8</v>
      </c>
      <c r="I333" s="9">
        <v>0</v>
      </c>
      <c r="J333" s="9" t="s">
        <v>78</v>
      </c>
      <c r="K333" s="158" t="s">
        <v>449</v>
      </c>
      <c r="L333" s="9">
        <f t="shared" si="130"/>
        <v>2016</v>
      </c>
      <c r="M333" s="127">
        <f t="shared" si="131"/>
        <v>2016.6666666666667</v>
      </c>
      <c r="N333" s="13">
        <v>35120.639999999999</v>
      </c>
      <c r="O333" s="13">
        <f t="shared" si="132"/>
        <v>35120.639999999999</v>
      </c>
      <c r="P333" s="13">
        <f t="shared" si="133"/>
        <v>292.67199999999997</v>
      </c>
      <c r="Q333" s="13">
        <f t="shared" si="134"/>
        <v>3512.0639999999994</v>
      </c>
      <c r="R333" s="13">
        <v>0</v>
      </c>
      <c r="S333" s="13">
        <f t="shared" si="135"/>
        <v>0</v>
      </c>
      <c r="T333" s="13">
        <f t="shared" si="136"/>
        <v>35120.639999999999</v>
      </c>
      <c r="U333" s="13">
        <f t="shared" si="137"/>
        <v>35120.639999999999</v>
      </c>
      <c r="V333" s="13">
        <v>0</v>
      </c>
      <c r="W333" s="13">
        <f t="shared" si="138"/>
        <v>0</v>
      </c>
      <c r="X333" s="115">
        <f t="shared" si="139"/>
        <v>0</v>
      </c>
      <c r="Y333" s="116">
        <f t="shared" si="140"/>
        <v>0</v>
      </c>
      <c r="Z333" s="116">
        <f t="shared" si="128"/>
        <v>0</v>
      </c>
      <c r="AA333" s="116">
        <f t="shared" si="129"/>
        <v>0</v>
      </c>
      <c r="AB333" s="117">
        <f>'Ratios (C)'!$C$28+'Ratios (C)'!$D$28</f>
        <v>0.44697875883235366</v>
      </c>
      <c r="AC333" s="116">
        <f t="shared" si="141"/>
        <v>0</v>
      </c>
      <c r="AD333" s="116">
        <f t="shared" si="142"/>
        <v>0</v>
      </c>
      <c r="AE333" s="118"/>
      <c r="AF333" s="119"/>
      <c r="AG333" s="120"/>
      <c r="AH333" s="118"/>
      <c r="AI333" s="119"/>
      <c r="AJ333" s="121"/>
    </row>
    <row r="334" spans="2:36" s="9" customFormat="1">
      <c r="B334" s="9">
        <v>5</v>
      </c>
      <c r="C334" s="9" t="s">
        <v>562</v>
      </c>
      <c r="G334" s="9">
        <v>2006</v>
      </c>
      <c r="H334" s="9">
        <v>9</v>
      </c>
      <c r="I334" s="9">
        <v>0</v>
      </c>
      <c r="J334" s="9" t="s">
        <v>78</v>
      </c>
      <c r="K334" s="158" t="s">
        <v>449</v>
      </c>
      <c r="L334" s="9">
        <f t="shared" si="130"/>
        <v>2016</v>
      </c>
      <c r="M334" s="127">
        <f t="shared" si="131"/>
        <v>2016.75</v>
      </c>
      <c r="N334" s="13">
        <v>24255.87</v>
      </c>
      <c r="O334" s="13">
        <f t="shared" si="132"/>
        <v>24255.87</v>
      </c>
      <c r="P334" s="13">
        <f t="shared" si="133"/>
        <v>202.13225</v>
      </c>
      <c r="Q334" s="13">
        <f t="shared" si="134"/>
        <v>2425.587</v>
      </c>
      <c r="R334" s="13">
        <v>0</v>
      </c>
      <c r="S334" s="13">
        <f t="shared" si="135"/>
        <v>0</v>
      </c>
      <c r="T334" s="13">
        <f t="shared" si="136"/>
        <v>24255.87</v>
      </c>
      <c r="U334" s="13">
        <f t="shared" si="137"/>
        <v>24255.87</v>
      </c>
      <c r="V334" s="13">
        <v>0</v>
      </c>
      <c r="W334" s="13">
        <f t="shared" si="138"/>
        <v>0</v>
      </c>
      <c r="X334" s="115">
        <f t="shared" si="139"/>
        <v>0</v>
      </c>
      <c r="Y334" s="116">
        <f t="shared" si="140"/>
        <v>0</v>
      </c>
      <c r="Z334" s="116">
        <f t="shared" si="128"/>
        <v>0</v>
      </c>
      <c r="AA334" s="116">
        <f t="shared" si="129"/>
        <v>0</v>
      </c>
      <c r="AB334" s="117">
        <f>'Ratios (C)'!$C$28+'Ratios (C)'!$D$28</f>
        <v>0.44697875883235366</v>
      </c>
      <c r="AC334" s="116">
        <f t="shared" si="141"/>
        <v>0</v>
      </c>
      <c r="AD334" s="116">
        <f t="shared" si="142"/>
        <v>0</v>
      </c>
      <c r="AE334" s="118"/>
      <c r="AF334" s="119"/>
      <c r="AG334" s="120"/>
      <c r="AH334" s="118"/>
      <c r="AI334" s="119"/>
      <c r="AJ334" s="121"/>
    </row>
    <row r="335" spans="2:36" s="9" customFormat="1">
      <c r="B335" s="9">
        <v>5</v>
      </c>
      <c r="C335" s="9" t="s">
        <v>560</v>
      </c>
      <c r="G335" s="9">
        <v>2006</v>
      </c>
      <c r="H335" s="9">
        <v>10</v>
      </c>
      <c r="I335" s="9">
        <v>0</v>
      </c>
      <c r="J335" s="9" t="s">
        <v>78</v>
      </c>
      <c r="K335" s="158" t="s">
        <v>449</v>
      </c>
      <c r="L335" s="9">
        <f t="shared" si="130"/>
        <v>2016</v>
      </c>
      <c r="M335" s="127">
        <f t="shared" si="131"/>
        <v>2016.8333333333333</v>
      </c>
      <c r="N335" s="13">
        <v>20682.88</v>
      </c>
      <c r="O335" s="13">
        <f t="shared" si="132"/>
        <v>20682.88</v>
      </c>
      <c r="P335" s="13">
        <f t="shared" si="133"/>
        <v>172.35733333333334</v>
      </c>
      <c r="Q335" s="13">
        <f t="shared" si="134"/>
        <v>2068.288</v>
      </c>
      <c r="R335" s="13">
        <v>0</v>
      </c>
      <c r="S335" s="13">
        <f t="shared" si="135"/>
        <v>0</v>
      </c>
      <c r="T335" s="13">
        <f t="shared" si="136"/>
        <v>20682.88</v>
      </c>
      <c r="U335" s="13">
        <f t="shared" si="137"/>
        <v>20682.88</v>
      </c>
      <c r="V335" s="13">
        <v>0</v>
      </c>
      <c r="W335" s="13">
        <f t="shared" si="138"/>
        <v>0</v>
      </c>
      <c r="X335" s="115">
        <f t="shared" si="139"/>
        <v>0</v>
      </c>
      <c r="Y335" s="116">
        <f t="shared" si="140"/>
        <v>0</v>
      </c>
      <c r="Z335" s="116">
        <f t="shared" si="128"/>
        <v>0</v>
      </c>
      <c r="AA335" s="116">
        <f t="shared" si="129"/>
        <v>0</v>
      </c>
      <c r="AB335" s="117">
        <f>'Ratios (C)'!$C$28+'Ratios (C)'!$D$28</f>
        <v>0.44697875883235366</v>
      </c>
      <c r="AC335" s="116">
        <f t="shared" si="141"/>
        <v>0</v>
      </c>
      <c r="AD335" s="116">
        <f t="shared" si="142"/>
        <v>0</v>
      </c>
      <c r="AE335" s="118"/>
      <c r="AF335" s="119"/>
      <c r="AG335" s="120"/>
      <c r="AH335" s="118"/>
      <c r="AI335" s="119"/>
      <c r="AJ335" s="121"/>
    </row>
    <row r="336" spans="2:36" s="9" customFormat="1">
      <c r="B336" s="9">
        <v>2</v>
      </c>
      <c r="C336" s="9" t="s">
        <v>565</v>
      </c>
      <c r="G336" s="9">
        <v>2006</v>
      </c>
      <c r="H336" s="9">
        <v>10</v>
      </c>
      <c r="I336" s="9">
        <v>0</v>
      </c>
      <c r="J336" s="9" t="s">
        <v>78</v>
      </c>
      <c r="K336" s="158" t="s">
        <v>449</v>
      </c>
      <c r="L336" s="9">
        <f t="shared" si="130"/>
        <v>2016</v>
      </c>
      <c r="M336" s="127">
        <f t="shared" si="131"/>
        <v>2016.8333333333333</v>
      </c>
      <c r="N336" s="13">
        <v>13482.49</v>
      </c>
      <c r="O336" s="13">
        <f t="shared" si="132"/>
        <v>13482.49</v>
      </c>
      <c r="P336" s="13">
        <f t="shared" si="133"/>
        <v>112.35408333333334</v>
      </c>
      <c r="Q336" s="13">
        <f t="shared" si="134"/>
        <v>1348.249</v>
      </c>
      <c r="R336" s="13">
        <v>0</v>
      </c>
      <c r="S336" s="13">
        <f t="shared" si="135"/>
        <v>0</v>
      </c>
      <c r="T336" s="13">
        <f t="shared" si="136"/>
        <v>13482.49</v>
      </c>
      <c r="U336" s="13">
        <f t="shared" si="137"/>
        <v>13482.49</v>
      </c>
      <c r="V336" s="13">
        <v>0</v>
      </c>
      <c r="W336" s="13">
        <f t="shared" si="138"/>
        <v>0</v>
      </c>
      <c r="X336" s="115">
        <f t="shared" si="139"/>
        <v>0</v>
      </c>
      <c r="Y336" s="116">
        <f t="shared" si="140"/>
        <v>0</v>
      </c>
      <c r="Z336" s="116">
        <f t="shared" si="128"/>
        <v>0</v>
      </c>
      <c r="AA336" s="116">
        <f t="shared" si="129"/>
        <v>0</v>
      </c>
      <c r="AB336" s="117">
        <f>'Ratios (C)'!$C$28+'Ratios (C)'!$D$28</f>
        <v>0.44697875883235366</v>
      </c>
      <c r="AC336" s="116">
        <f t="shared" si="141"/>
        <v>0</v>
      </c>
      <c r="AD336" s="116">
        <f t="shared" si="142"/>
        <v>0</v>
      </c>
      <c r="AE336" s="118"/>
      <c r="AF336" s="119"/>
      <c r="AG336" s="120"/>
      <c r="AH336" s="118"/>
      <c r="AI336" s="119"/>
      <c r="AJ336" s="121"/>
    </row>
    <row r="337" spans="2:36" s="9" customFormat="1">
      <c r="B337" s="9">
        <v>10</v>
      </c>
      <c r="C337" s="9" t="s">
        <v>560</v>
      </c>
      <c r="G337" s="9">
        <v>2006</v>
      </c>
      <c r="H337" s="9">
        <v>10</v>
      </c>
      <c r="I337" s="9">
        <v>0</v>
      </c>
      <c r="J337" s="9" t="s">
        <v>78</v>
      </c>
      <c r="K337" s="158" t="s">
        <v>449</v>
      </c>
      <c r="L337" s="9">
        <f t="shared" si="130"/>
        <v>2016</v>
      </c>
      <c r="M337" s="127">
        <f t="shared" si="131"/>
        <v>2016.8333333333333</v>
      </c>
      <c r="N337" s="13">
        <v>40343.040000000001</v>
      </c>
      <c r="O337" s="13">
        <f t="shared" si="132"/>
        <v>40343.040000000001</v>
      </c>
      <c r="P337" s="13">
        <f t="shared" si="133"/>
        <v>336.19200000000001</v>
      </c>
      <c r="Q337" s="13">
        <f t="shared" si="134"/>
        <v>4034.3040000000001</v>
      </c>
      <c r="R337" s="13">
        <v>0</v>
      </c>
      <c r="S337" s="13">
        <f t="shared" si="135"/>
        <v>0</v>
      </c>
      <c r="T337" s="13">
        <f t="shared" si="136"/>
        <v>40343.040000000001</v>
      </c>
      <c r="U337" s="13">
        <f t="shared" si="137"/>
        <v>40343.040000000001</v>
      </c>
      <c r="V337" s="13">
        <v>0</v>
      </c>
      <c r="W337" s="13">
        <f t="shared" si="138"/>
        <v>0</v>
      </c>
      <c r="X337" s="115">
        <f t="shared" si="139"/>
        <v>0</v>
      </c>
      <c r="Y337" s="116">
        <f t="shared" si="140"/>
        <v>0</v>
      </c>
      <c r="Z337" s="116">
        <f t="shared" si="128"/>
        <v>0</v>
      </c>
      <c r="AA337" s="116">
        <f t="shared" si="129"/>
        <v>0</v>
      </c>
      <c r="AB337" s="117">
        <f>'Ratios (C)'!$C$28+'Ratios (C)'!$D$28</f>
        <v>0.44697875883235366</v>
      </c>
      <c r="AC337" s="116">
        <f t="shared" si="141"/>
        <v>0</v>
      </c>
      <c r="AD337" s="116">
        <f t="shared" si="142"/>
        <v>0</v>
      </c>
      <c r="AE337" s="118"/>
      <c r="AF337" s="119"/>
      <c r="AG337" s="120"/>
      <c r="AH337" s="118"/>
      <c r="AI337" s="119"/>
      <c r="AJ337" s="121"/>
    </row>
    <row r="338" spans="2:36" s="9" customFormat="1">
      <c r="B338" s="9">
        <v>1</v>
      </c>
      <c r="C338" s="9" t="s">
        <v>569</v>
      </c>
      <c r="G338" s="9">
        <v>2006</v>
      </c>
      <c r="H338" s="9">
        <v>10</v>
      </c>
      <c r="I338" s="9">
        <v>0</v>
      </c>
      <c r="J338" s="9" t="s">
        <v>78</v>
      </c>
      <c r="K338" s="158" t="s">
        <v>449</v>
      </c>
      <c r="L338" s="9">
        <f t="shared" si="130"/>
        <v>2016</v>
      </c>
      <c r="M338" s="127">
        <f t="shared" si="131"/>
        <v>2016.8333333333333</v>
      </c>
      <c r="N338" s="13">
        <v>4330.24</v>
      </c>
      <c r="O338" s="13">
        <f t="shared" si="132"/>
        <v>4330.24</v>
      </c>
      <c r="P338" s="13">
        <f t="shared" si="133"/>
        <v>36.085333333333331</v>
      </c>
      <c r="Q338" s="13">
        <f t="shared" si="134"/>
        <v>433.024</v>
      </c>
      <c r="R338" s="13">
        <v>0</v>
      </c>
      <c r="S338" s="13">
        <f t="shared" si="135"/>
        <v>0</v>
      </c>
      <c r="T338" s="13">
        <f t="shared" si="136"/>
        <v>4330.24</v>
      </c>
      <c r="U338" s="13">
        <f t="shared" si="137"/>
        <v>4330.24</v>
      </c>
      <c r="V338" s="13">
        <v>0</v>
      </c>
      <c r="W338" s="13">
        <f t="shared" si="138"/>
        <v>0</v>
      </c>
      <c r="X338" s="115">
        <f t="shared" si="139"/>
        <v>0</v>
      </c>
      <c r="Y338" s="116">
        <f t="shared" si="140"/>
        <v>0</v>
      </c>
      <c r="Z338" s="116">
        <f t="shared" si="128"/>
        <v>0</v>
      </c>
      <c r="AA338" s="116">
        <f t="shared" si="129"/>
        <v>0</v>
      </c>
      <c r="AB338" s="117">
        <f>'Ratios (C)'!$C$28+'Ratios (C)'!$D$28</f>
        <v>0.44697875883235366</v>
      </c>
      <c r="AC338" s="116">
        <f t="shared" si="141"/>
        <v>0</v>
      </c>
      <c r="AD338" s="116">
        <f t="shared" si="142"/>
        <v>0</v>
      </c>
      <c r="AE338" s="118"/>
      <c r="AF338" s="119"/>
      <c r="AG338" s="120"/>
      <c r="AH338" s="118"/>
      <c r="AI338" s="119"/>
      <c r="AJ338" s="121"/>
    </row>
    <row r="339" spans="2:36" s="9" customFormat="1">
      <c r="B339" s="9">
        <v>3</v>
      </c>
      <c r="C339" s="9" t="s">
        <v>570</v>
      </c>
      <c r="G339" s="9">
        <v>2006</v>
      </c>
      <c r="H339" s="9">
        <v>12</v>
      </c>
      <c r="I339" s="9">
        <v>0</v>
      </c>
      <c r="J339" s="9" t="s">
        <v>78</v>
      </c>
      <c r="K339" s="158" t="s">
        <v>449</v>
      </c>
      <c r="L339" s="9">
        <f t="shared" si="130"/>
        <v>2016</v>
      </c>
      <c r="M339" s="127">
        <f t="shared" si="131"/>
        <v>2017</v>
      </c>
      <c r="N339" s="13">
        <v>15176</v>
      </c>
      <c r="O339" s="13">
        <f t="shared" si="132"/>
        <v>15176</v>
      </c>
      <c r="P339" s="13">
        <f t="shared" si="133"/>
        <v>126.46666666666665</v>
      </c>
      <c r="Q339" s="13">
        <f t="shared" si="134"/>
        <v>1517.6</v>
      </c>
      <c r="R339" s="13">
        <v>0</v>
      </c>
      <c r="S339" s="13">
        <f t="shared" si="135"/>
        <v>0</v>
      </c>
      <c r="T339" s="13">
        <f t="shared" si="136"/>
        <v>15176</v>
      </c>
      <c r="U339" s="13">
        <f t="shared" si="137"/>
        <v>15176</v>
      </c>
      <c r="V339" s="13">
        <v>0</v>
      </c>
      <c r="W339" s="13">
        <f t="shared" si="138"/>
        <v>0</v>
      </c>
      <c r="X339" s="115">
        <f t="shared" si="139"/>
        <v>0</v>
      </c>
      <c r="Y339" s="116">
        <f t="shared" si="140"/>
        <v>0</v>
      </c>
      <c r="Z339" s="116">
        <f t="shared" si="128"/>
        <v>0</v>
      </c>
      <c r="AA339" s="116">
        <f t="shared" si="129"/>
        <v>0</v>
      </c>
      <c r="AB339" s="117">
        <f>'Ratios (C)'!$C$28+'Ratios (C)'!$D$28</f>
        <v>0.44697875883235366</v>
      </c>
      <c r="AC339" s="116">
        <f t="shared" si="141"/>
        <v>0</v>
      </c>
      <c r="AD339" s="116">
        <f t="shared" si="142"/>
        <v>0</v>
      </c>
      <c r="AE339" s="118"/>
      <c r="AF339" s="119"/>
      <c r="AG339" s="120"/>
      <c r="AH339" s="118"/>
      <c r="AI339" s="119"/>
      <c r="AJ339" s="121"/>
    </row>
    <row r="340" spans="2:36" s="9" customFormat="1">
      <c r="B340" s="9">
        <v>3</v>
      </c>
      <c r="C340" s="9" t="s">
        <v>571</v>
      </c>
      <c r="G340" s="9">
        <v>2007</v>
      </c>
      <c r="H340" s="9">
        <v>2</v>
      </c>
      <c r="I340" s="9">
        <v>0</v>
      </c>
      <c r="J340" s="9" t="s">
        <v>78</v>
      </c>
      <c r="K340" s="158" t="s">
        <v>449</v>
      </c>
      <c r="L340" s="9">
        <f t="shared" si="130"/>
        <v>2017</v>
      </c>
      <c r="M340" s="127">
        <f t="shared" si="131"/>
        <v>2017.1666666666667</v>
      </c>
      <c r="N340" s="13">
        <v>12207.36</v>
      </c>
      <c r="O340" s="13">
        <f t="shared" si="132"/>
        <v>12207.36</v>
      </c>
      <c r="P340" s="13">
        <f t="shared" si="133"/>
        <v>101.72800000000001</v>
      </c>
      <c r="Q340" s="13">
        <f t="shared" si="134"/>
        <v>1220.7360000000001</v>
      </c>
      <c r="R340" s="13">
        <v>0</v>
      </c>
      <c r="S340" s="13">
        <f t="shared" si="135"/>
        <v>0</v>
      </c>
      <c r="T340" s="13">
        <f t="shared" si="136"/>
        <v>12207.36</v>
      </c>
      <c r="U340" s="13">
        <f t="shared" si="137"/>
        <v>12207.36</v>
      </c>
      <c r="V340" s="13">
        <v>0</v>
      </c>
      <c r="W340" s="13">
        <f t="shared" si="138"/>
        <v>0</v>
      </c>
      <c r="X340" s="115">
        <f t="shared" si="139"/>
        <v>0</v>
      </c>
      <c r="Y340" s="116">
        <f t="shared" si="140"/>
        <v>0</v>
      </c>
      <c r="Z340" s="116">
        <f t="shared" si="128"/>
        <v>0</v>
      </c>
      <c r="AA340" s="116">
        <f t="shared" si="129"/>
        <v>0</v>
      </c>
      <c r="AB340" s="117">
        <f>'Ratios (C)'!$C$28+'Ratios (C)'!$D$28</f>
        <v>0.44697875883235366</v>
      </c>
      <c r="AC340" s="116">
        <f t="shared" si="141"/>
        <v>0</v>
      </c>
      <c r="AD340" s="116">
        <f t="shared" si="142"/>
        <v>0</v>
      </c>
      <c r="AE340" s="118"/>
      <c r="AF340" s="119"/>
      <c r="AG340" s="120"/>
      <c r="AH340" s="118"/>
      <c r="AI340" s="119"/>
      <c r="AJ340" s="121"/>
    </row>
    <row r="341" spans="2:36" s="9" customFormat="1">
      <c r="B341" s="9">
        <v>0</v>
      </c>
      <c r="C341" s="9" t="s">
        <v>572</v>
      </c>
      <c r="G341" s="9">
        <v>2007</v>
      </c>
      <c r="H341" s="9">
        <v>6</v>
      </c>
      <c r="I341" s="9">
        <v>0</v>
      </c>
      <c r="J341" s="9" t="s">
        <v>78</v>
      </c>
      <c r="K341" s="158" t="s">
        <v>449</v>
      </c>
      <c r="L341" s="9">
        <f t="shared" si="130"/>
        <v>2017</v>
      </c>
      <c r="M341" s="127">
        <f t="shared" si="131"/>
        <v>2017.5</v>
      </c>
      <c r="N341" s="13">
        <v>1662.32</v>
      </c>
      <c r="O341" s="13">
        <f t="shared" si="132"/>
        <v>1662.32</v>
      </c>
      <c r="P341" s="13">
        <f t="shared" si="133"/>
        <v>13.852666666666666</v>
      </c>
      <c r="Q341" s="13">
        <f t="shared" si="134"/>
        <v>166.232</v>
      </c>
      <c r="R341" s="13">
        <v>0</v>
      </c>
      <c r="S341" s="13">
        <f t="shared" si="135"/>
        <v>0</v>
      </c>
      <c r="T341" s="13">
        <f t="shared" si="136"/>
        <v>1662.32</v>
      </c>
      <c r="U341" s="13">
        <f t="shared" si="137"/>
        <v>1662.32</v>
      </c>
      <c r="V341" s="13">
        <v>0</v>
      </c>
      <c r="W341" s="13">
        <f t="shared" si="138"/>
        <v>0</v>
      </c>
      <c r="X341" s="115">
        <f t="shared" si="139"/>
        <v>0</v>
      </c>
      <c r="Y341" s="116">
        <f t="shared" si="140"/>
        <v>0</v>
      </c>
      <c r="Z341" s="116">
        <f t="shared" si="128"/>
        <v>0</v>
      </c>
      <c r="AA341" s="116">
        <f t="shared" si="129"/>
        <v>0</v>
      </c>
      <c r="AB341" s="117">
        <f>'Ratios (C)'!$C$28+'Ratios (C)'!$D$28</f>
        <v>0.44697875883235366</v>
      </c>
      <c r="AC341" s="116">
        <f t="shared" si="141"/>
        <v>0</v>
      </c>
      <c r="AD341" s="116">
        <f t="shared" si="142"/>
        <v>0</v>
      </c>
      <c r="AE341" s="118"/>
      <c r="AF341" s="119"/>
      <c r="AG341" s="120"/>
      <c r="AH341" s="118"/>
      <c r="AI341" s="119"/>
      <c r="AJ341" s="121"/>
    </row>
    <row r="342" spans="2:36" s="9" customFormat="1">
      <c r="B342" s="9">
        <v>0</v>
      </c>
      <c r="C342" s="9" t="s">
        <v>573</v>
      </c>
      <c r="G342" s="9">
        <v>2007</v>
      </c>
      <c r="H342" s="9">
        <v>6</v>
      </c>
      <c r="I342" s="9">
        <v>0</v>
      </c>
      <c r="J342" s="9" t="s">
        <v>78</v>
      </c>
      <c r="K342" s="158" t="s">
        <v>449</v>
      </c>
      <c r="L342" s="9">
        <f t="shared" si="130"/>
        <v>2017</v>
      </c>
      <c r="M342" s="127">
        <f t="shared" si="131"/>
        <v>2017.5</v>
      </c>
      <c r="N342" s="13">
        <f>18890+6652.8</f>
        <v>25542.799999999999</v>
      </c>
      <c r="O342" s="13">
        <f t="shared" si="132"/>
        <v>25542.799999999999</v>
      </c>
      <c r="P342" s="13">
        <f t="shared" si="133"/>
        <v>212.85666666666665</v>
      </c>
      <c r="Q342" s="13">
        <f t="shared" si="134"/>
        <v>2554.2799999999997</v>
      </c>
      <c r="R342" s="13">
        <v>0</v>
      </c>
      <c r="S342" s="13">
        <f t="shared" si="135"/>
        <v>0</v>
      </c>
      <c r="T342" s="13">
        <f t="shared" si="136"/>
        <v>25542.799999999999</v>
      </c>
      <c r="U342" s="13">
        <f t="shared" si="137"/>
        <v>25542.799999999999</v>
      </c>
      <c r="V342" s="13">
        <v>0</v>
      </c>
      <c r="W342" s="13">
        <f t="shared" si="138"/>
        <v>0</v>
      </c>
      <c r="X342" s="115">
        <f t="shared" si="139"/>
        <v>0</v>
      </c>
      <c r="Y342" s="116">
        <f t="shared" si="140"/>
        <v>0</v>
      </c>
      <c r="Z342" s="116">
        <f t="shared" si="128"/>
        <v>0</v>
      </c>
      <c r="AA342" s="116">
        <f t="shared" si="129"/>
        <v>0</v>
      </c>
      <c r="AB342" s="117">
        <f>'Ratios (C)'!$C$28+'Ratios (C)'!$D$28</f>
        <v>0.44697875883235366</v>
      </c>
      <c r="AC342" s="116">
        <f t="shared" si="141"/>
        <v>0</v>
      </c>
      <c r="AD342" s="116">
        <f t="shared" si="142"/>
        <v>0</v>
      </c>
      <c r="AE342" s="118"/>
      <c r="AF342" s="119"/>
      <c r="AG342" s="120"/>
      <c r="AH342" s="118"/>
      <c r="AI342" s="119"/>
      <c r="AJ342" s="121"/>
    </row>
    <row r="343" spans="2:36" s="9" customFormat="1">
      <c r="B343" s="9">
        <v>2</v>
      </c>
      <c r="C343" s="9" t="s">
        <v>574</v>
      </c>
      <c r="G343" s="9">
        <v>2007</v>
      </c>
      <c r="H343" s="9">
        <v>9</v>
      </c>
      <c r="I343" s="9">
        <v>0</v>
      </c>
      <c r="J343" s="9" t="s">
        <v>78</v>
      </c>
      <c r="K343" s="158" t="s">
        <v>449</v>
      </c>
      <c r="L343" s="9">
        <f t="shared" si="130"/>
        <v>2017</v>
      </c>
      <c r="M343" s="127">
        <f t="shared" si="131"/>
        <v>2017.75</v>
      </c>
      <c r="N343" s="13">
        <v>8494.2000000000007</v>
      </c>
      <c r="O343" s="13">
        <f t="shared" si="132"/>
        <v>8494.2000000000007</v>
      </c>
      <c r="P343" s="13">
        <f t="shared" si="133"/>
        <v>70.785000000000011</v>
      </c>
      <c r="Q343" s="13">
        <f t="shared" si="134"/>
        <v>849.42000000000007</v>
      </c>
      <c r="R343" s="13">
        <v>0</v>
      </c>
      <c r="S343" s="13">
        <f t="shared" si="135"/>
        <v>0</v>
      </c>
      <c r="T343" s="13">
        <f t="shared" si="136"/>
        <v>8494.2000000000007</v>
      </c>
      <c r="U343" s="13">
        <f t="shared" si="137"/>
        <v>8494.2000000000007</v>
      </c>
      <c r="V343" s="13">
        <v>0</v>
      </c>
      <c r="W343" s="13">
        <f t="shared" si="138"/>
        <v>0</v>
      </c>
      <c r="X343" s="115">
        <f t="shared" si="139"/>
        <v>0</v>
      </c>
      <c r="Y343" s="116">
        <f t="shared" si="140"/>
        <v>0</v>
      </c>
      <c r="Z343" s="116">
        <f t="shared" si="128"/>
        <v>0</v>
      </c>
      <c r="AA343" s="116">
        <f t="shared" si="129"/>
        <v>0</v>
      </c>
      <c r="AB343" s="117">
        <f>'Ratios (C)'!$C$28+'Ratios (C)'!$D$28</f>
        <v>0.44697875883235366</v>
      </c>
      <c r="AC343" s="116">
        <f t="shared" si="141"/>
        <v>0</v>
      </c>
      <c r="AD343" s="116">
        <f t="shared" si="142"/>
        <v>0</v>
      </c>
      <c r="AE343" s="118"/>
      <c r="AF343" s="119"/>
      <c r="AG343" s="120"/>
      <c r="AH343" s="118"/>
      <c r="AI343" s="119"/>
      <c r="AJ343" s="121"/>
    </row>
    <row r="344" spans="2:36" s="9" customFormat="1">
      <c r="B344" s="9">
        <v>3</v>
      </c>
      <c r="C344" s="9" t="s">
        <v>562</v>
      </c>
      <c r="G344" s="9">
        <v>2008</v>
      </c>
      <c r="H344" s="9">
        <v>1</v>
      </c>
      <c r="I344" s="9">
        <v>0</v>
      </c>
      <c r="J344" s="9" t="s">
        <v>78</v>
      </c>
      <c r="K344" s="158" t="s">
        <v>449</v>
      </c>
      <c r="L344" s="9">
        <f t="shared" si="130"/>
        <v>2018</v>
      </c>
      <c r="M344" s="127">
        <f t="shared" si="131"/>
        <v>2018.0833333333333</v>
      </c>
      <c r="N344" s="13">
        <v>14037.21</v>
      </c>
      <c r="O344" s="13">
        <f t="shared" si="132"/>
        <v>14037.21</v>
      </c>
      <c r="P344" s="13">
        <f t="shared" si="133"/>
        <v>116.97675</v>
      </c>
      <c r="Q344" s="13">
        <f t="shared" si="134"/>
        <v>1403.721</v>
      </c>
      <c r="R344" s="13">
        <v>0</v>
      </c>
      <c r="S344" s="13">
        <f t="shared" si="135"/>
        <v>0</v>
      </c>
      <c r="T344" s="13">
        <f t="shared" si="136"/>
        <v>14037.21</v>
      </c>
      <c r="U344" s="13">
        <f t="shared" si="137"/>
        <v>14037.21</v>
      </c>
      <c r="V344" s="13">
        <v>0</v>
      </c>
      <c r="W344" s="13">
        <f t="shared" si="138"/>
        <v>0</v>
      </c>
      <c r="X344" s="115">
        <f t="shared" si="139"/>
        <v>0</v>
      </c>
      <c r="Y344" s="116">
        <f t="shared" si="140"/>
        <v>0</v>
      </c>
      <c r="Z344" s="116">
        <f t="shared" si="128"/>
        <v>0</v>
      </c>
      <c r="AA344" s="116">
        <f t="shared" si="129"/>
        <v>0</v>
      </c>
      <c r="AB344" s="117">
        <f>'Ratios (C)'!$C$28+'Ratios (C)'!$D$28</f>
        <v>0.44697875883235366</v>
      </c>
      <c r="AC344" s="116">
        <f t="shared" si="141"/>
        <v>0</v>
      </c>
      <c r="AD344" s="116">
        <f t="shared" si="142"/>
        <v>0</v>
      </c>
      <c r="AE344" s="118"/>
      <c r="AF344" s="119"/>
      <c r="AG344" s="120"/>
      <c r="AH344" s="118"/>
      <c r="AI344" s="119"/>
      <c r="AJ344" s="121"/>
    </row>
    <row r="345" spans="2:36" s="9" customFormat="1">
      <c r="B345" s="9">
        <v>10</v>
      </c>
      <c r="C345" s="9" t="s">
        <v>575</v>
      </c>
      <c r="G345" s="9">
        <v>2008</v>
      </c>
      <c r="H345" s="9">
        <v>4</v>
      </c>
      <c r="I345" s="9">
        <v>0</v>
      </c>
      <c r="J345" s="9" t="s">
        <v>78</v>
      </c>
      <c r="K345" s="158" t="s">
        <v>449</v>
      </c>
      <c r="L345" s="9">
        <f t="shared" si="130"/>
        <v>2018</v>
      </c>
      <c r="M345" s="127">
        <f t="shared" si="131"/>
        <v>2018.3333333333333</v>
      </c>
      <c r="N345" s="13">
        <v>55059.56</v>
      </c>
      <c r="O345" s="13">
        <f t="shared" si="132"/>
        <v>55059.56</v>
      </c>
      <c r="P345" s="13">
        <f t="shared" si="133"/>
        <v>458.8296666666667</v>
      </c>
      <c r="Q345" s="13">
        <f t="shared" si="134"/>
        <v>5505.9560000000001</v>
      </c>
      <c r="R345" s="13">
        <v>0</v>
      </c>
      <c r="S345" s="13">
        <f t="shared" si="135"/>
        <v>0</v>
      </c>
      <c r="T345" s="13">
        <f t="shared" si="136"/>
        <v>55059.56</v>
      </c>
      <c r="U345" s="13">
        <f t="shared" si="137"/>
        <v>55059.56</v>
      </c>
      <c r="V345" s="13">
        <v>0</v>
      </c>
      <c r="W345" s="13">
        <f t="shared" si="138"/>
        <v>0</v>
      </c>
      <c r="X345" s="115">
        <f t="shared" si="139"/>
        <v>0</v>
      </c>
      <c r="Y345" s="116">
        <f t="shared" si="140"/>
        <v>0</v>
      </c>
      <c r="Z345" s="116">
        <f t="shared" si="128"/>
        <v>0</v>
      </c>
      <c r="AA345" s="116">
        <f t="shared" si="129"/>
        <v>0</v>
      </c>
      <c r="AB345" s="117">
        <f>'Ratios (C)'!$C$28+'Ratios (C)'!$D$28</f>
        <v>0.44697875883235366</v>
      </c>
      <c r="AC345" s="116">
        <f t="shared" si="141"/>
        <v>0</v>
      </c>
      <c r="AD345" s="116">
        <f t="shared" si="142"/>
        <v>0</v>
      </c>
      <c r="AE345" s="118"/>
      <c r="AF345" s="119"/>
      <c r="AG345" s="120"/>
      <c r="AH345" s="118"/>
      <c r="AI345" s="119"/>
      <c r="AJ345" s="121"/>
    </row>
    <row r="346" spans="2:36" s="9" customFormat="1">
      <c r="B346" s="9">
        <v>11</v>
      </c>
      <c r="C346" s="9" t="s">
        <v>559</v>
      </c>
      <c r="G346" s="9">
        <v>2008</v>
      </c>
      <c r="H346" s="9">
        <v>4</v>
      </c>
      <c r="I346" s="9">
        <v>0</v>
      </c>
      <c r="J346" s="9" t="s">
        <v>78</v>
      </c>
      <c r="K346" s="158" t="s">
        <v>449</v>
      </c>
      <c r="L346" s="9">
        <f t="shared" si="130"/>
        <v>2018</v>
      </c>
      <c r="M346" s="127">
        <f t="shared" si="131"/>
        <v>2018.3333333333333</v>
      </c>
      <c r="N346" s="13">
        <v>59285.1</v>
      </c>
      <c r="O346" s="13">
        <f t="shared" si="132"/>
        <v>59285.1</v>
      </c>
      <c r="P346" s="13">
        <f t="shared" si="133"/>
        <v>494.04250000000002</v>
      </c>
      <c r="Q346" s="13">
        <f t="shared" si="134"/>
        <v>5928.51</v>
      </c>
      <c r="R346" s="13">
        <v>0</v>
      </c>
      <c r="S346" s="13">
        <f t="shared" si="135"/>
        <v>0</v>
      </c>
      <c r="T346" s="13">
        <f t="shared" si="136"/>
        <v>59285.1</v>
      </c>
      <c r="U346" s="13">
        <f t="shared" si="137"/>
        <v>59285.1</v>
      </c>
      <c r="V346" s="13">
        <v>0</v>
      </c>
      <c r="W346" s="13">
        <f t="shared" si="138"/>
        <v>0</v>
      </c>
      <c r="X346" s="115">
        <f t="shared" si="139"/>
        <v>0</v>
      </c>
      <c r="Y346" s="116">
        <f t="shared" si="140"/>
        <v>0</v>
      </c>
      <c r="Z346" s="116">
        <f t="shared" si="128"/>
        <v>0</v>
      </c>
      <c r="AA346" s="116">
        <f t="shared" si="129"/>
        <v>0</v>
      </c>
      <c r="AB346" s="117">
        <f>'Ratios (C)'!$C$28+'Ratios (C)'!$D$28</f>
        <v>0.44697875883235366</v>
      </c>
      <c r="AC346" s="116">
        <f t="shared" si="141"/>
        <v>0</v>
      </c>
      <c r="AD346" s="116">
        <f t="shared" si="142"/>
        <v>0</v>
      </c>
      <c r="AE346" s="118"/>
      <c r="AF346" s="119"/>
      <c r="AG346" s="120"/>
      <c r="AH346" s="118"/>
      <c r="AI346" s="119"/>
      <c r="AJ346" s="121"/>
    </row>
    <row r="347" spans="2:36" s="9" customFormat="1">
      <c r="B347" s="9">
        <v>9</v>
      </c>
      <c r="C347" s="9" t="s">
        <v>576</v>
      </c>
      <c r="G347" s="9">
        <v>2008</v>
      </c>
      <c r="H347" s="9">
        <v>6</v>
      </c>
      <c r="I347" s="9">
        <v>0</v>
      </c>
      <c r="J347" s="9" t="s">
        <v>78</v>
      </c>
      <c r="K347" s="158" t="s">
        <v>449</v>
      </c>
      <c r="L347" s="9">
        <f t="shared" si="130"/>
        <v>2018</v>
      </c>
      <c r="M347" s="127">
        <f t="shared" si="131"/>
        <v>2018.5</v>
      </c>
      <c r="N347" s="13">
        <v>44476.36</v>
      </c>
      <c r="O347" s="13">
        <f t="shared" si="132"/>
        <v>44476.36</v>
      </c>
      <c r="P347" s="13">
        <f t="shared" si="133"/>
        <v>370.63633333333337</v>
      </c>
      <c r="Q347" s="13">
        <f t="shared" si="134"/>
        <v>4447.6360000000004</v>
      </c>
      <c r="R347" s="13">
        <v>0</v>
      </c>
      <c r="S347" s="13">
        <f t="shared" si="135"/>
        <v>0</v>
      </c>
      <c r="T347" s="13">
        <f t="shared" si="136"/>
        <v>44476.36</v>
      </c>
      <c r="U347" s="13">
        <f t="shared" si="137"/>
        <v>44476.36</v>
      </c>
      <c r="V347" s="13">
        <v>0</v>
      </c>
      <c r="W347" s="13">
        <f t="shared" si="138"/>
        <v>0</v>
      </c>
      <c r="X347" s="115">
        <f t="shared" si="139"/>
        <v>0</v>
      </c>
      <c r="Y347" s="116">
        <f t="shared" si="140"/>
        <v>0</v>
      </c>
      <c r="Z347" s="116">
        <f t="shared" si="128"/>
        <v>0</v>
      </c>
      <c r="AA347" s="116">
        <f t="shared" si="129"/>
        <v>0</v>
      </c>
      <c r="AB347" s="117">
        <f>'Ratios (C)'!$C$28+'Ratios (C)'!$D$28</f>
        <v>0.44697875883235366</v>
      </c>
      <c r="AC347" s="116">
        <f t="shared" si="141"/>
        <v>0</v>
      </c>
      <c r="AD347" s="116">
        <f t="shared" si="142"/>
        <v>0</v>
      </c>
      <c r="AE347" s="118"/>
      <c r="AF347" s="119"/>
      <c r="AG347" s="120"/>
      <c r="AH347" s="118"/>
      <c r="AI347" s="119"/>
      <c r="AJ347" s="121"/>
    </row>
    <row r="348" spans="2:36" s="9" customFormat="1">
      <c r="B348" s="9">
        <v>1</v>
      </c>
      <c r="C348" s="9" t="s">
        <v>562</v>
      </c>
      <c r="G348" s="9">
        <v>2008</v>
      </c>
      <c r="H348" s="9">
        <v>7</v>
      </c>
      <c r="I348" s="9">
        <v>0</v>
      </c>
      <c r="J348" s="9" t="s">
        <v>78</v>
      </c>
      <c r="K348" s="158" t="s">
        <v>449</v>
      </c>
      <c r="L348" s="9">
        <f t="shared" si="130"/>
        <v>2018</v>
      </c>
      <c r="M348" s="127">
        <f t="shared" si="131"/>
        <v>2018.5833333333333</v>
      </c>
      <c r="N348" s="13">
        <v>7100.2</v>
      </c>
      <c r="O348" s="13">
        <f t="shared" si="132"/>
        <v>7100.2</v>
      </c>
      <c r="P348" s="13">
        <f t="shared" si="133"/>
        <v>59.168333333333329</v>
      </c>
      <c r="Q348" s="13">
        <f t="shared" si="134"/>
        <v>710.02</v>
      </c>
      <c r="R348" s="13">
        <v>0</v>
      </c>
      <c r="S348" s="13">
        <f t="shared" si="135"/>
        <v>0</v>
      </c>
      <c r="T348" s="13">
        <f t="shared" si="136"/>
        <v>7100.2</v>
      </c>
      <c r="U348" s="13">
        <f t="shared" si="137"/>
        <v>7100.2</v>
      </c>
      <c r="V348" s="13">
        <v>0</v>
      </c>
      <c r="W348" s="13">
        <f t="shared" si="138"/>
        <v>0</v>
      </c>
      <c r="X348" s="115">
        <f t="shared" si="139"/>
        <v>0</v>
      </c>
      <c r="Y348" s="116">
        <f t="shared" si="140"/>
        <v>0</v>
      </c>
      <c r="Z348" s="116">
        <f t="shared" si="128"/>
        <v>0</v>
      </c>
      <c r="AA348" s="116">
        <f t="shared" si="129"/>
        <v>0</v>
      </c>
      <c r="AB348" s="117">
        <f>'Ratios (C)'!$C$28+'Ratios (C)'!$D$28</f>
        <v>0.44697875883235366</v>
      </c>
      <c r="AC348" s="116">
        <f t="shared" si="141"/>
        <v>0</v>
      </c>
      <c r="AD348" s="116">
        <f t="shared" si="142"/>
        <v>0</v>
      </c>
      <c r="AE348" s="118"/>
      <c r="AF348" s="119"/>
      <c r="AG348" s="120"/>
      <c r="AH348" s="118"/>
      <c r="AI348" s="119"/>
      <c r="AJ348" s="121"/>
    </row>
    <row r="349" spans="2:36" s="9" customFormat="1">
      <c r="B349" s="9">
        <v>6</v>
      </c>
      <c r="C349" s="9" t="s">
        <v>565</v>
      </c>
      <c r="G349" s="9">
        <v>2008</v>
      </c>
      <c r="H349" s="9">
        <v>7</v>
      </c>
      <c r="I349" s="9">
        <v>0</v>
      </c>
      <c r="J349" s="9" t="s">
        <v>78</v>
      </c>
      <c r="K349" s="158" t="s">
        <v>449</v>
      </c>
      <c r="L349" s="9">
        <f t="shared" si="130"/>
        <v>2018</v>
      </c>
      <c r="M349" s="127">
        <f t="shared" si="131"/>
        <v>2018.5833333333333</v>
      </c>
      <c r="N349" s="13">
        <v>33300.480000000003</v>
      </c>
      <c r="O349" s="13">
        <f t="shared" si="132"/>
        <v>33300.480000000003</v>
      </c>
      <c r="P349" s="13">
        <f t="shared" si="133"/>
        <v>277.50400000000002</v>
      </c>
      <c r="Q349" s="13">
        <f t="shared" si="134"/>
        <v>3330.0480000000002</v>
      </c>
      <c r="R349" s="13">
        <v>0</v>
      </c>
      <c r="S349" s="13">
        <f t="shared" si="135"/>
        <v>0</v>
      </c>
      <c r="T349" s="13">
        <f t="shared" si="136"/>
        <v>33300.480000000003</v>
      </c>
      <c r="U349" s="13">
        <f t="shared" si="137"/>
        <v>33300.480000000003</v>
      </c>
      <c r="V349" s="13">
        <v>0</v>
      </c>
      <c r="W349" s="13">
        <f t="shared" si="138"/>
        <v>0</v>
      </c>
      <c r="X349" s="115">
        <f t="shared" si="139"/>
        <v>0</v>
      </c>
      <c r="Y349" s="116">
        <f t="shared" si="140"/>
        <v>0</v>
      </c>
      <c r="Z349" s="116">
        <f t="shared" si="128"/>
        <v>0</v>
      </c>
      <c r="AA349" s="116">
        <f t="shared" si="129"/>
        <v>0</v>
      </c>
      <c r="AB349" s="117">
        <f>'Ratios (C)'!$C$28+'Ratios (C)'!$D$28</f>
        <v>0.44697875883235366</v>
      </c>
      <c r="AC349" s="116">
        <f t="shared" si="141"/>
        <v>0</v>
      </c>
      <c r="AD349" s="116">
        <f t="shared" si="142"/>
        <v>0</v>
      </c>
      <c r="AE349" s="118"/>
      <c r="AF349" s="119"/>
      <c r="AG349" s="120"/>
      <c r="AH349" s="118"/>
      <c r="AI349" s="119"/>
      <c r="AJ349" s="121"/>
    </row>
    <row r="350" spans="2:36" s="9" customFormat="1">
      <c r="B350" s="9">
        <v>5</v>
      </c>
      <c r="C350" s="9" t="s">
        <v>565</v>
      </c>
      <c r="G350" s="9">
        <v>2008</v>
      </c>
      <c r="H350" s="9">
        <v>7</v>
      </c>
      <c r="I350" s="9">
        <v>0</v>
      </c>
      <c r="J350" s="9" t="s">
        <v>78</v>
      </c>
      <c r="K350" s="158" t="s">
        <v>449</v>
      </c>
      <c r="L350" s="9">
        <f t="shared" si="130"/>
        <v>2018</v>
      </c>
      <c r="M350" s="127">
        <f t="shared" si="131"/>
        <v>2018.5833333333333</v>
      </c>
      <c r="N350" s="13">
        <v>24975.360000000001</v>
      </c>
      <c r="O350" s="13">
        <f t="shared" si="132"/>
        <v>24975.360000000001</v>
      </c>
      <c r="P350" s="13">
        <f t="shared" si="133"/>
        <v>208.12800000000001</v>
      </c>
      <c r="Q350" s="13">
        <f t="shared" si="134"/>
        <v>2497.5360000000001</v>
      </c>
      <c r="R350" s="13">
        <v>0</v>
      </c>
      <c r="S350" s="13">
        <f t="shared" si="135"/>
        <v>0</v>
      </c>
      <c r="T350" s="13">
        <f t="shared" si="136"/>
        <v>24975.360000000001</v>
      </c>
      <c r="U350" s="13">
        <f t="shared" si="137"/>
        <v>24975.360000000001</v>
      </c>
      <c r="V350" s="13">
        <v>0</v>
      </c>
      <c r="W350" s="13">
        <f t="shared" si="138"/>
        <v>0</v>
      </c>
      <c r="X350" s="115">
        <f t="shared" si="139"/>
        <v>0</v>
      </c>
      <c r="Y350" s="116">
        <f t="shared" si="140"/>
        <v>0</v>
      </c>
      <c r="Z350" s="116">
        <f t="shared" si="128"/>
        <v>0</v>
      </c>
      <c r="AA350" s="116">
        <f t="shared" si="129"/>
        <v>0</v>
      </c>
      <c r="AB350" s="117">
        <f>'Ratios (C)'!$C$28+'Ratios (C)'!$D$28</f>
        <v>0.44697875883235366</v>
      </c>
      <c r="AC350" s="116">
        <f t="shared" si="141"/>
        <v>0</v>
      </c>
      <c r="AD350" s="116">
        <f t="shared" si="142"/>
        <v>0</v>
      </c>
      <c r="AE350" s="118"/>
      <c r="AF350" s="119"/>
      <c r="AG350" s="120"/>
      <c r="AH350" s="118"/>
      <c r="AI350" s="119"/>
      <c r="AJ350" s="121"/>
    </row>
    <row r="351" spans="2:36" s="9" customFormat="1">
      <c r="B351" s="9">
        <v>10</v>
      </c>
      <c r="C351" s="9" t="s">
        <v>562</v>
      </c>
      <c r="G351" s="9">
        <v>2008</v>
      </c>
      <c r="H351" s="9">
        <v>7</v>
      </c>
      <c r="I351" s="9">
        <v>0</v>
      </c>
      <c r="J351" s="9" t="s">
        <v>78</v>
      </c>
      <c r="K351" s="158" t="s">
        <v>449</v>
      </c>
      <c r="L351" s="9">
        <f t="shared" si="130"/>
        <v>2018</v>
      </c>
      <c r="M351" s="127">
        <f t="shared" si="131"/>
        <v>2018.5833333333333</v>
      </c>
      <c r="N351" s="13">
        <v>49701.4</v>
      </c>
      <c r="O351" s="13">
        <f t="shared" si="132"/>
        <v>49701.4</v>
      </c>
      <c r="P351" s="13">
        <f t="shared" si="133"/>
        <v>414.17833333333334</v>
      </c>
      <c r="Q351" s="13">
        <f t="shared" si="134"/>
        <v>4970.1400000000003</v>
      </c>
      <c r="R351" s="13">
        <v>0</v>
      </c>
      <c r="S351" s="13">
        <f t="shared" si="135"/>
        <v>0</v>
      </c>
      <c r="T351" s="13">
        <f t="shared" si="136"/>
        <v>49701.4</v>
      </c>
      <c r="U351" s="13">
        <f t="shared" si="137"/>
        <v>49701.4</v>
      </c>
      <c r="V351" s="13">
        <v>0</v>
      </c>
      <c r="W351" s="13">
        <f t="shared" si="138"/>
        <v>0</v>
      </c>
      <c r="X351" s="115">
        <f t="shared" si="139"/>
        <v>0</v>
      </c>
      <c r="Y351" s="116">
        <f t="shared" si="140"/>
        <v>0</v>
      </c>
      <c r="Z351" s="116">
        <f t="shared" si="128"/>
        <v>0</v>
      </c>
      <c r="AA351" s="116">
        <f t="shared" si="129"/>
        <v>0</v>
      </c>
      <c r="AB351" s="117">
        <f>'Ratios (C)'!$C$28+'Ratios (C)'!$D$28</f>
        <v>0.44697875883235366</v>
      </c>
      <c r="AC351" s="116">
        <f t="shared" si="141"/>
        <v>0</v>
      </c>
      <c r="AD351" s="116">
        <f t="shared" si="142"/>
        <v>0</v>
      </c>
      <c r="AE351" s="118"/>
      <c r="AF351" s="119"/>
      <c r="AG351" s="120"/>
      <c r="AH351" s="118"/>
      <c r="AI351" s="119"/>
      <c r="AJ351" s="121"/>
    </row>
    <row r="352" spans="2:36" s="9" customFormat="1">
      <c r="B352" s="9">
        <v>16</v>
      </c>
      <c r="C352" s="9" t="s">
        <v>560</v>
      </c>
      <c r="G352" s="9">
        <v>2008</v>
      </c>
      <c r="H352" s="9">
        <v>8</v>
      </c>
      <c r="I352" s="9">
        <v>0</v>
      </c>
      <c r="J352" s="9" t="s">
        <v>78</v>
      </c>
      <c r="K352" s="158" t="s">
        <v>449</v>
      </c>
      <c r="L352" s="9">
        <f t="shared" si="130"/>
        <v>2018</v>
      </c>
      <c r="M352" s="127">
        <f t="shared" si="131"/>
        <v>2018.6666666666667</v>
      </c>
      <c r="N352" s="13">
        <v>68671.399999999994</v>
      </c>
      <c r="O352" s="13">
        <f t="shared" si="132"/>
        <v>68671.399999999994</v>
      </c>
      <c r="P352" s="13">
        <f t="shared" si="133"/>
        <v>572.26166666666666</v>
      </c>
      <c r="Q352" s="13">
        <f t="shared" si="134"/>
        <v>6867.1399999999994</v>
      </c>
      <c r="R352" s="13">
        <v>0</v>
      </c>
      <c r="S352" s="13">
        <f t="shared" si="135"/>
        <v>0</v>
      </c>
      <c r="T352" s="13">
        <f t="shared" si="136"/>
        <v>68671.399999999994</v>
      </c>
      <c r="U352" s="13">
        <f t="shared" si="137"/>
        <v>68671.399999999994</v>
      </c>
      <c r="V352" s="13">
        <v>0</v>
      </c>
      <c r="W352" s="13">
        <f t="shared" si="138"/>
        <v>0</v>
      </c>
      <c r="X352" s="115">
        <f t="shared" si="139"/>
        <v>0</v>
      </c>
      <c r="Y352" s="116">
        <f t="shared" si="140"/>
        <v>0</v>
      </c>
      <c r="Z352" s="116">
        <f t="shared" si="128"/>
        <v>0</v>
      </c>
      <c r="AA352" s="116">
        <f t="shared" si="129"/>
        <v>0</v>
      </c>
      <c r="AB352" s="117">
        <f>'Ratios (C)'!$C$28+'Ratios (C)'!$D$28</f>
        <v>0.44697875883235366</v>
      </c>
      <c r="AC352" s="116">
        <f t="shared" si="141"/>
        <v>0</v>
      </c>
      <c r="AD352" s="116">
        <f t="shared" si="142"/>
        <v>0</v>
      </c>
      <c r="AE352" s="118"/>
      <c r="AF352" s="119"/>
      <c r="AG352" s="120"/>
      <c r="AH352" s="118"/>
      <c r="AI352" s="119"/>
      <c r="AJ352" s="121"/>
    </row>
    <row r="353" spans="2:36" s="9" customFormat="1">
      <c r="B353" s="9">
        <v>8</v>
      </c>
      <c r="C353" s="9" t="s">
        <v>560</v>
      </c>
      <c r="G353" s="9">
        <v>2008</v>
      </c>
      <c r="H353" s="9">
        <v>8</v>
      </c>
      <c r="I353" s="9">
        <v>0</v>
      </c>
      <c r="J353" s="9" t="s">
        <v>78</v>
      </c>
      <c r="K353" s="158" t="s">
        <v>449</v>
      </c>
      <c r="L353" s="9">
        <f t="shared" si="130"/>
        <v>2018</v>
      </c>
      <c r="M353" s="127">
        <f t="shared" si="131"/>
        <v>2018.6666666666667</v>
      </c>
      <c r="N353" s="13">
        <v>33983.4</v>
      </c>
      <c r="O353" s="13">
        <f t="shared" si="132"/>
        <v>33983.4</v>
      </c>
      <c r="P353" s="13">
        <f t="shared" si="133"/>
        <v>283.19499999999999</v>
      </c>
      <c r="Q353" s="13">
        <f t="shared" si="134"/>
        <v>3398.34</v>
      </c>
      <c r="R353" s="13">
        <v>0</v>
      </c>
      <c r="S353" s="13">
        <f t="shared" si="135"/>
        <v>0</v>
      </c>
      <c r="T353" s="13">
        <f t="shared" si="136"/>
        <v>33983.4</v>
      </c>
      <c r="U353" s="13">
        <f t="shared" si="137"/>
        <v>33983.4</v>
      </c>
      <c r="V353" s="13">
        <v>0</v>
      </c>
      <c r="W353" s="13">
        <f t="shared" si="138"/>
        <v>0</v>
      </c>
      <c r="X353" s="115">
        <f t="shared" si="139"/>
        <v>0</v>
      </c>
      <c r="Y353" s="116">
        <f t="shared" si="140"/>
        <v>0</v>
      </c>
      <c r="Z353" s="116">
        <f t="shared" si="128"/>
        <v>0</v>
      </c>
      <c r="AA353" s="116">
        <f t="shared" si="129"/>
        <v>0</v>
      </c>
      <c r="AB353" s="117">
        <f>'Ratios (C)'!$C$28+'Ratios (C)'!$D$28</f>
        <v>0.44697875883235366</v>
      </c>
      <c r="AC353" s="116">
        <f t="shared" si="141"/>
        <v>0</v>
      </c>
      <c r="AD353" s="116">
        <f t="shared" si="142"/>
        <v>0</v>
      </c>
      <c r="AE353" s="118"/>
      <c r="AF353" s="119"/>
      <c r="AG353" s="120"/>
      <c r="AH353" s="118"/>
      <c r="AI353" s="119"/>
      <c r="AJ353" s="121"/>
    </row>
    <row r="354" spans="2:36" s="9" customFormat="1">
      <c r="B354" s="9">
        <v>12</v>
      </c>
      <c r="C354" s="9" t="s">
        <v>565</v>
      </c>
      <c r="G354" s="9">
        <v>2008</v>
      </c>
      <c r="H354" s="9">
        <v>8</v>
      </c>
      <c r="I354" s="9">
        <v>0</v>
      </c>
      <c r="J354" s="9" t="s">
        <v>78</v>
      </c>
      <c r="K354" s="158" t="s">
        <v>449</v>
      </c>
      <c r="L354" s="9">
        <f t="shared" si="130"/>
        <v>2018</v>
      </c>
      <c r="M354" s="127">
        <f t="shared" si="131"/>
        <v>2018.6666666666667</v>
      </c>
      <c r="N354" s="13">
        <v>66600.960000000006</v>
      </c>
      <c r="O354" s="13">
        <f t="shared" si="132"/>
        <v>66600.960000000006</v>
      </c>
      <c r="P354" s="13">
        <f t="shared" si="133"/>
        <v>555.00800000000004</v>
      </c>
      <c r="Q354" s="13">
        <f t="shared" si="134"/>
        <v>6660.0960000000005</v>
      </c>
      <c r="R354" s="13">
        <v>0</v>
      </c>
      <c r="S354" s="13">
        <f t="shared" si="135"/>
        <v>0</v>
      </c>
      <c r="T354" s="13">
        <f t="shared" si="136"/>
        <v>66600.960000000006</v>
      </c>
      <c r="U354" s="13">
        <f t="shared" si="137"/>
        <v>66600.960000000006</v>
      </c>
      <c r="V354" s="13">
        <v>0</v>
      </c>
      <c r="W354" s="13">
        <f t="shared" si="138"/>
        <v>0</v>
      </c>
      <c r="X354" s="115">
        <f t="shared" si="139"/>
        <v>0</v>
      </c>
      <c r="Y354" s="116">
        <f t="shared" si="140"/>
        <v>0</v>
      </c>
      <c r="Z354" s="116">
        <f t="shared" si="128"/>
        <v>0</v>
      </c>
      <c r="AA354" s="116">
        <f t="shared" si="129"/>
        <v>0</v>
      </c>
      <c r="AB354" s="117">
        <f>'Ratios (C)'!$C$28+'Ratios (C)'!$D$28</f>
        <v>0.44697875883235366</v>
      </c>
      <c r="AC354" s="116">
        <f t="shared" si="141"/>
        <v>0</v>
      </c>
      <c r="AD354" s="116">
        <f t="shared" si="142"/>
        <v>0</v>
      </c>
      <c r="AE354" s="118"/>
      <c r="AF354" s="119"/>
      <c r="AG354" s="120"/>
      <c r="AH354" s="118"/>
      <c r="AI354" s="119"/>
      <c r="AJ354" s="121"/>
    </row>
    <row r="355" spans="2:36" s="9" customFormat="1">
      <c r="B355" s="9">
        <v>2</v>
      </c>
      <c r="C355" s="9" t="s">
        <v>565</v>
      </c>
      <c r="G355" s="9">
        <v>2008</v>
      </c>
      <c r="H355" s="9">
        <v>8</v>
      </c>
      <c r="I355" s="9">
        <v>0</v>
      </c>
      <c r="J355" s="9" t="s">
        <v>78</v>
      </c>
      <c r="K355" s="158" t="s">
        <v>449</v>
      </c>
      <c r="L355" s="9">
        <f t="shared" si="130"/>
        <v>2018</v>
      </c>
      <c r="M355" s="127">
        <f t="shared" si="131"/>
        <v>2018.6666666666667</v>
      </c>
      <c r="N355" s="13">
        <v>10531.84</v>
      </c>
      <c r="O355" s="13">
        <f t="shared" si="132"/>
        <v>10531.84</v>
      </c>
      <c r="P355" s="13">
        <f t="shared" si="133"/>
        <v>87.765333333333331</v>
      </c>
      <c r="Q355" s="13">
        <f t="shared" si="134"/>
        <v>1053.184</v>
      </c>
      <c r="R355" s="13">
        <v>0</v>
      </c>
      <c r="S355" s="13">
        <f t="shared" si="135"/>
        <v>0</v>
      </c>
      <c r="T355" s="13">
        <f t="shared" si="136"/>
        <v>10531.84</v>
      </c>
      <c r="U355" s="13">
        <f t="shared" si="137"/>
        <v>10531.84</v>
      </c>
      <c r="V355" s="13">
        <v>0</v>
      </c>
      <c r="W355" s="13">
        <f t="shared" si="138"/>
        <v>0</v>
      </c>
      <c r="X355" s="115">
        <f t="shared" si="139"/>
        <v>0</v>
      </c>
      <c r="Y355" s="116">
        <f t="shared" si="140"/>
        <v>0</v>
      </c>
      <c r="Z355" s="116">
        <f t="shared" si="128"/>
        <v>0</v>
      </c>
      <c r="AA355" s="116">
        <f t="shared" si="129"/>
        <v>0</v>
      </c>
      <c r="AB355" s="117">
        <f>'Ratios (C)'!$C$28+'Ratios (C)'!$D$28</f>
        <v>0.44697875883235366</v>
      </c>
      <c r="AC355" s="116">
        <f t="shared" si="141"/>
        <v>0</v>
      </c>
      <c r="AD355" s="116">
        <f t="shared" si="142"/>
        <v>0</v>
      </c>
      <c r="AE355" s="118"/>
      <c r="AF355" s="119"/>
      <c r="AG355" s="120"/>
      <c r="AH355" s="118"/>
      <c r="AI355" s="119"/>
      <c r="AJ355" s="121"/>
    </row>
    <row r="356" spans="2:36" s="9" customFormat="1">
      <c r="B356" s="9">
        <v>1</v>
      </c>
      <c r="C356" s="9" t="s">
        <v>559</v>
      </c>
      <c r="E356" s="9">
        <v>182371</v>
      </c>
      <c r="G356" s="9">
        <v>2008</v>
      </c>
      <c r="H356" s="9">
        <v>11</v>
      </c>
      <c r="I356" s="9">
        <v>0</v>
      </c>
      <c r="J356" s="9" t="s">
        <v>78</v>
      </c>
      <c r="K356" s="158">
        <v>7</v>
      </c>
      <c r="L356" s="9">
        <f>G356+K356</f>
        <v>2015</v>
      </c>
      <c r="M356" s="127">
        <f t="shared" si="131"/>
        <v>2015.9166666666667</v>
      </c>
      <c r="N356" s="13">
        <v>1500</v>
      </c>
      <c r="O356" s="13">
        <f t="shared" si="132"/>
        <v>1500</v>
      </c>
      <c r="P356" s="13">
        <f t="shared" si="133"/>
        <v>17.857142857142858</v>
      </c>
      <c r="Q356" s="13">
        <f t="shared" si="134"/>
        <v>214.28571428571428</v>
      </c>
      <c r="R356" s="13">
        <v>0</v>
      </c>
      <c r="S356" s="13">
        <f t="shared" si="135"/>
        <v>0</v>
      </c>
      <c r="T356" s="13">
        <f t="shared" si="136"/>
        <v>1500</v>
      </c>
      <c r="U356" s="13">
        <f t="shared" si="137"/>
        <v>1500</v>
      </c>
      <c r="V356" s="13">
        <v>0</v>
      </c>
      <c r="W356" s="13">
        <f t="shared" si="138"/>
        <v>0</v>
      </c>
      <c r="X356" s="115">
        <f t="shared" si="139"/>
        <v>0</v>
      </c>
      <c r="Y356" s="116">
        <f t="shared" si="140"/>
        <v>0</v>
      </c>
      <c r="Z356" s="116">
        <f t="shared" si="128"/>
        <v>0</v>
      </c>
      <c r="AA356" s="116">
        <f t="shared" si="129"/>
        <v>0</v>
      </c>
      <c r="AB356" s="117">
        <f>'Ratios (C)'!$C$28+'Ratios (C)'!$D$28</f>
        <v>0.44697875883235366</v>
      </c>
      <c r="AC356" s="116">
        <f t="shared" si="141"/>
        <v>0</v>
      </c>
      <c r="AD356" s="116">
        <f t="shared" si="142"/>
        <v>0</v>
      </c>
      <c r="AE356" s="118"/>
      <c r="AF356" s="119"/>
      <c r="AG356" s="120"/>
      <c r="AH356" s="118"/>
      <c r="AI356" s="119"/>
      <c r="AJ356" s="121"/>
    </row>
    <row r="357" spans="2:36" s="9" customFormat="1">
      <c r="B357" s="9">
        <v>46</v>
      </c>
      <c r="C357" s="9" t="s">
        <v>577</v>
      </c>
      <c r="E357" s="9">
        <v>182370</v>
      </c>
      <c r="G357" s="9">
        <v>2008</v>
      </c>
      <c r="H357" s="9">
        <v>11</v>
      </c>
      <c r="I357" s="9">
        <v>0</v>
      </c>
      <c r="J357" s="9" t="s">
        <v>78</v>
      </c>
      <c r="K357" s="158">
        <v>7</v>
      </c>
      <c r="L357" s="9">
        <f>G357+K357</f>
        <v>2015</v>
      </c>
      <c r="M357" s="127">
        <f t="shared" si="131"/>
        <v>2015.9166666666667</v>
      </c>
      <c r="N357" s="13">
        <v>80500</v>
      </c>
      <c r="O357" s="13">
        <f t="shared" si="132"/>
        <v>80500</v>
      </c>
      <c r="P357" s="13">
        <f t="shared" si="133"/>
        <v>958.33333333333337</v>
      </c>
      <c r="Q357" s="13">
        <f t="shared" si="134"/>
        <v>11500</v>
      </c>
      <c r="R357" s="13">
        <v>0</v>
      </c>
      <c r="S357" s="13">
        <f t="shared" si="135"/>
        <v>0</v>
      </c>
      <c r="T357" s="13">
        <f t="shared" si="136"/>
        <v>80500</v>
      </c>
      <c r="U357" s="13">
        <f t="shared" si="137"/>
        <v>80500</v>
      </c>
      <c r="V357" s="13">
        <v>0</v>
      </c>
      <c r="W357" s="13">
        <f t="shared" si="138"/>
        <v>0</v>
      </c>
      <c r="X357" s="115">
        <f t="shared" si="139"/>
        <v>0</v>
      </c>
      <c r="Y357" s="116">
        <f t="shared" si="140"/>
        <v>0</v>
      </c>
      <c r="Z357" s="116">
        <f t="shared" si="128"/>
        <v>0</v>
      </c>
      <c r="AA357" s="116">
        <f t="shared" si="129"/>
        <v>0</v>
      </c>
      <c r="AB357" s="117">
        <f>'Ratios (C)'!$C$28+'Ratios (C)'!$D$28</f>
        <v>0.44697875883235366</v>
      </c>
      <c r="AC357" s="116">
        <f t="shared" si="141"/>
        <v>0</v>
      </c>
      <c r="AD357" s="116">
        <f t="shared" si="142"/>
        <v>0</v>
      </c>
      <c r="AE357" s="118"/>
      <c r="AF357" s="119"/>
      <c r="AG357" s="120"/>
      <c r="AH357" s="118"/>
      <c r="AI357" s="119"/>
      <c r="AJ357" s="121"/>
    </row>
    <row r="358" spans="2:36" s="9" customFormat="1">
      <c r="B358" s="9">
        <f>3*5+1</f>
        <v>16</v>
      </c>
      <c r="C358" s="9" t="s">
        <v>562</v>
      </c>
      <c r="E358" s="9" t="s">
        <v>578</v>
      </c>
      <c r="G358" s="9">
        <v>2012</v>
      </c>
      <c r="H358" s="9">
        <v>10</v>
      </c>
      <c r="I358" s="9">
        <v>0</v>
      </c>
      <c r="J358" s="9" t="s">
        <v>78</v>
      </c>
      <c r="K358" s="158">
        <v>10</v>
      </c>
      <c r="L358" s="9">
        <f t="shared" si="130"/>
        <v>2022</v>
      </c>
      <c r="M358" s="127">
        <f t="shared" si="131"/>
        <v>2022.8333333333333</v>
      </c>
      <c r="N358" s="13">
        <f>17805*5+5935</f>
        <v>94960</v>
      </c>
      <c r="O358" s="13">
        <f t="shared" si="132"/>
        <v>94960</v>
      </c>
      <c r="P358" s="13">
        <f t="shared" si="133"/>
        <v>791.33333333333337</v>
      </c>
      <c r="Q358" s="13">
        <f t="shared" si="134"/>
        <v>9496</v>
      </c>
      <c r="R358" s="13">
        <v>9496</v>
      </c>
      <c r="S358" s="13">
        <f t="shared" si="135"/>
        <v>7913.3333333333339</v>
      </c>
      <c r="T358" s="13">
        <f t="shared" si="136"/>
        <v>85464</v>
      </c>
      <c r="U358" s="13">
        <f t="shared" si="137"/>
        <v>93377.333333333328</v>
      </c>
      <c r="V358" s="13">
        <v>28488</v>
      </c>
      <c r="W358" s="13">
        <f t="shared" si="138"/>
        <v>1582.6666666666715</v>
      </c>
      <c r="X358" s="115">
        <f t="shared" si="139"/>
        <v>7913.3333333333339</v>
      </c>
      <c r="Y358" s="116">
        <f t="shared" si="140"/>
        <v>1582.6666666666715</v>
      </c>
      <c r="Z358" s="116">
        <f t="shared" si="128"/>
        <v>-1582.6666666666661</v>
      </c>
      <c r="AA358" s="116">
        <f t="shared" si="129"/>
        <v>-26905.333333333328</v>
      </c>
      <c r="AB358" s="117">
        <f>'Ratios (C)'!$C$28+'Ratios (C)'!$D$28</f>
        <v>0.44697875883235366</v>
      </c>
      <c r="AC358" s="116">
        <f t="shared" si="141"/>
        <v>3537.0919115600254</v>
      </c>
      <c r="AD358" s="116">
        <f t="shared" si="142"/>
        <v>707.41838231200722</v>
      </c>
      <c r="AE358" s="118"/>
      <c r="AF358" s="119"/>
      <c r="AG358" s="120"/>
      <c r="AH358" s="118"/>
      <c r="AI358" s="119"/>
      <c r="AJ358" s="121"/>
    </row>
    <row r="359" spans="2:36" s="9" customFormat="1">
      <c r="B359" s="9">
        <f>3*3+2</f>
        <v>11</v>
      </c>
      <c r="C359" s="9" t="s">
        <v>565</v>
      </c>
      <c r="E359" s="9" t="s">
        <v>579</v>
      </c>
      <c r="G359" s="9">
        <v>2012</v>
      </c>
      <c r="H359" s="9">
        <v>11</v>
      </c>
      <c r="I359" s="9">
        <v>0</v>
      </c>
      <c r="J359" s="9" t="s">
        <v>78</v>
      </c>
      <c r="K359" s="158">
        <v>10</v>
      </c>
      <c r="L359" s="9">
        <f t="shared" si="130"/>
        <v>2022</v>
      </c>
      <c r="M359" s="127">
        <f t="shared" si="131"/>
        <v>2022.9166666666667</v>
      </c>
      <c r="N359" s="13">
        <f>19372*3+12915</f>
        <v>71031</v>
      </c>
      <c r="O359" s="13">
        <f t="shared" si="132"/>
        <v>71031</v>
      </c>
      <c r="P359" s="13">
        <f t="shared" si="133"/>
        <v>591.92500000000007</v>
      </c>
      <c r="Q359" s="13">
        <f t="shared" si="134"/>
        <v>7103.1</v>
      </c>
      <c r="R359" s="13">
        <v>7103.1</v>
      </c>
      <c r="S359" s="13">
        <f t="shared" si="135"/>
        <v>6511.1750000000011</v>
      </c>
      <c r="T359" s="13">
        <f t="shared" si="136"/>
        <v>63927.9</v>
      </c>
      <c r="U359" s="13">
        <f t="shared" si="137"/>
        <v>70439.074999999997</v>
      </c>
      <c r="V359" s="13">
        <v>21309.299999999996</v>
      </c>
      <c r="W359" s="13">
        <f t="shared" si="138"/>
        <v>591.92500000000291</v>
      </c>
      <c r="X359" s="115">
        <f t="shared" si="139"/>
        <v>6511.1750000000011</v>
      </c>
      <c r="Y359" s="116">
        <f t="shared" si="140"/>
        <v>591.92500000000291</v>
      </c>
      <c r="Z359" s="116">
        <f t="shared" si="128"/>
        <v>-591.92499999999927</v>
      </c>
      <c r="AA359" s="116">
        <f t="shared" si="129"/>
        <v>-20717.374999999993</v>
      </c>
      <c r="AB359" s="117">
        <f>'Ratios (C)'!$C$28+'Ratios (C)'!$D$28</f>
        <v>0.44697875883235366</v>
      </c>
      <c r="AC359" s="116">
        <f t="shared" si="141"/>
        <v>2910.3569200402508</v>
      </c>
      <c r="AD359" s="116">
        <f t="shared" si="142"/>
        <v>264.57790182184226</v>
      </c>
      <c r="AE359" s="118"/>
      <c r="AF359" s="119"/>
      <c r="AG359" s="120"/>
      <c r="AH359" s="118"/>
      <c r="AI359" s="119"/>
      <c r="AJ359" s="121"/>
    </row>
    <row r="360" spans="2:36" s="9" customFormat="1">
      <c r="B360" s="9">
        <v>3</v>
      </c>
      <c r="C360" s="9" t="s">
        <v>580</v>
      </c>
      <c r="E360" s="9">
        <v>182373</v>
      </c>
      <c r="G360" s="9">
        <v>2012</v>
      </c>
      <c r="H360" s="9">
        <v>10</v>
      </c>
      <c r="I360" s="9">
        <v>0</v>
      </c>
      <c r="J360" s="9" t="s">
        <v>78</v>
      </c>
      <c r="K360" s="158">
        <v>12</v>
      </c>
      <c r="L360" s="9">
        <f t="shared" si="130"/>
        <v>2024</v>
      </c>
      <c r="M360" s="127">
        <f t="shared" si="131"/>
        <v>2024.8333333333333</v>
      </c>
      <c r="N360" s="13">
        <v>17804.849999999999</v>
      </c>
      <c r="O360" s="13">
        <f t="shared" si="132"/>
        <v>17804.849999999999</v>
      </c>
      <c r="P360" s="13">
        <f t="shared" si="133"/>
        <v>123.64479166666666</v>
      </c>
      <c r="Q360" s="13">
        <f t="shared" si="134"/>
        <v>1483.7375</v>
      </c>
      <c r="R360" s="13">
        <v>1483.7375</v>
      </c>
      <c r="S360" s="13">
        <f t="shared" si="135"/>
        <v>1483.7375</v>
      </c>
      <c r="T360" s="13">
        <f t="shared" si="136"/>
        <v>13353.637499999999</v>
      </c>
      <c r="U360" s="13">
        <f t="shared" si="137"/>
        <v>14837.374999999998</v>
      </c>
      <c r="V360" s="13">
        <v>7418.6875</v>
      </c>
      <c r="W360" s="13">
        <f t="shared" si="138"/>
        <v>2967.4750000000004</v>
      </c>
      <c r="X360" s="115">
        <f t="shared" si="139"/>
        <v>1483.7375</v>
      </c>
      <c r="Y360" s="116">
        <f t="shared" si="140"/>
        <v>2967.4750000000004</v>
      </c>
      <c r="Z360" s="116">
        <f t="shared" si="128"/>
        <v>0</v>
      </c>
      <c r="AA360" s="116">
        <f t="shared" si="129"/>
        <v>-4451.2124999999996</v>
      </c>
      <c r="AB360" s="117">
        <f>'Ratios (C)'!$C$28+'Ratios (C)'!$D$28</f>
        <v>0.44697875883235366</v>
      </c>
      <c r="AC360" s="116">
        <f t="shared" si="141"/>
        <v>663.19914618301937</v>
      </c>
      <c r="AD360" s="116">
        <f t="shared" si="142"/>
        <v>1326.398292366039</v>
      </c>
      <c r="AE360" s="118"/>
      <c r="AF360" s="119"/>
      <c r="AG360" s="120"/>
      <c r="AH360" s="118"/>
      <c r="AI360" s="119"/>
      <c r="AJ360" s="121"/>
    </row>
    <row r="361" spans="2:36" s="9" customFormat="1">
      <c r="B361" s="9">
        <v>3</v>
      </c>
      <c r="C361" s="9" t="s">
        <v>581</v>
      </c>
      <c r="E361" s="9">
        <v>182372</v>
      </c>
      <c r="G361" s="9">
        <v>2012</v>
      </c>
      <c r="H361" s="9">
        <v>10</v>
      </c>
      <c r="I361" s="9">
        <v>0</v>
      </c>
      <c r="J361" s="9" t="s">
        <v>78</v>
      </c>
      <c r="K361" s="158">
        <v>12</v>
      </c>
      <c r="L361" s="9">
        <f t="shared" si="130"/>
        <v>2024</v>
      </c>
      <c r="M361" s="127">
        <f t="shared" si="131"/>
        <v>2024.8333333333333</v>
      </c>
      <c r="N361" s="13">
        <v>17804.849999999999</v>
      </c>
      <c r="O361" s="13">
        <f t="shared" si="132"/>
        <v>17804.849999999999</v>
      </c>
      <c r="P361" s="13">
        <f t="shared" si="133"/>
        <v>123.64479166666666</v>
      </c>
      <c r="Q361" s="13">
        <f t="shared" si="134"/>
        <v>1483.7375</v>
      </c>
      <c r="R361" s="13">
        <v>1483.7375</v>
      </c>
      <c r="S361" s="13">
        <f t="shared" si="135"/>
        <v>1483.7375</v>
      </c>
      <c r="T361" s="13">
        <f t="shared" si="136"/>
        <v>13353.637499999999</v>
      </c>
      <c r="U361" s="13">
        <f t="shared" si="137"/>
        <v>14837.374999999998</v>
      </c>
      <c r="V361" s="13">
        <v>7418.6875</v>
      </c>
      <c r="W361" s="13">
        <f t="shared" si="138"/>
        <v>2967.4750000000004</v>
      </c>
      <c r="X361" s="115">
        <f t="shared" si="139"/>
        <v>1483.7375</v>
      </c>
      <c r="Y361" s="116">
        <f t="shared" si="140"/>
        <v>2967.4750000000004</v>
      </c>
      <c r="Z361" s="116">
        <f t="shared" si="128"/>
        <v>0</v>
      </c>
      <c r="AA361" s="116">
        <f t="shared" si="129"/>
        <v>-4451.2124999999996</v>
      </c>
      <c r="AB361" s="117">
        <f>'Ratios (C)'!$C$28+'Ratios (C)'!$D$28</f>
        <v>0.44697875883235366</v>
      </c>
      <c r="AC361" s="116">
        <f t="shared" si="141"/>
        <v>663.19914618301937</v>
      </c>
      <c r="AD361" s="116">
        <f t="shared" si="142"/>
        <v>1326.398292366039</v>
      </c>
      <c r="AE361" s="118"/>
      <c r="AF361" s="119"/>
      <c r="AG361" s="120"/>
      <c r="AH361" s="118"/>
      <c r="AI361" s="119"/>
      <c r="AJ361" s="121"/>
    </row>
    <row r="362" spans="2:36" s="9" customFormat="1">
      <c r="B362" s="9">
        <v>2</v>
      </c>
      <c r="C362" s="9" t="s">
        <v>565</v>
      </c>
      <c r="E362" s="9">
        <v>182374</v>
      </c>
      <c r="G362" s="9">
        <v>2012</v>
      </c>
      <c r="H362" s="9">
        <v>11</v>
      </c>
      <c r="I362" s="9">
        <v>0</v>
      </c>
      <c r="J362" s="9" t="s">
        <v>78</v>
      </c>
      <c r="K362" s="158">
        <v>12</v>
      </c>
      <c r="L362" s="9">
        <f t="shared" si="130"/>
        <v>2024</v>
      </c>
      <c r="M362" s="127">
        <f t="shared" si="131"/>
        <v>2024.9166666666667</v>
      </c>
      <c r="N362" s="13">
        <v>12985.78</v>
      </c>
      <c r="O362" s="13">
        <f t="shared" si="132"/>
        <v>12985.78</v>
      </c>
      <c r="P362" s="13">
        <f t="shared" si="133"/>
        <v>90.179027777777776</v>
      </c>
      <c r="Q362" s="13">
        <f t="shared" si="134"/>
        <v>1082.1483333333333</v>
      </c>
      <c r="R362" s="13">
        <v>1082.1483333333333</v>
      </c>
      <c r="S362" s="13">
        <f t="shared" si="135"/>
        <v>1082.1483333333333</v>
      </c>
      <c r="T362" s="13">
        <f t="shared" si="136"/>
        <v>9739.3349999999991</v>
      </c>
      <c r="U362" s="13">
        <f t="shared" si="137"/>
        <v>10821.483333333332</v>
      </c>
      <c r="V362" s="13">
        <v>5410.7416666666677</v>
      </c>
      <c r="W362" s="13">
        <f t="shared" si="138"/>
        <v>2164.2966666666689</v>
      </c>
      <c r="X362" s="115">
        <f t="shared" si="139"/>
        <v>1082.1483333333333</v>
      </c>
      <c r="Y362" s="116">
        <f t="shared" si="140"/>
        <v>2164.2966666666689</v>
      </c>
      <c r="Z362" s="116">
        <f t="shared" si="128"/>
        <v>0</v>
      </c>
      <c r="AA362" s="116">
        <f t="shared" si="129"/>
        <v>-3246.4449999999988</v>
      </c>
      <c r="AB362" s="117">
        <f>'Ratios (C)'!$C$28+'Ratios (C)'!$D$28</f>
        <v>0.44697875883235366</v>
      </c>
      <c r="AC362" s="116">
        <f t="shared" si="141"/>
        <v>483.69731890583347</v>
      </c>
      <c r="AD362" s="116">
        <f t="shared" si="142"/>
        <v>967.39463781166796</v>
      </c>
      <c r="AE362" s="118"/>
      <c r="AF362" s="119"/>
      <c r="AG362" s="120"/>
      <c r="AH362" s="118"/>
      <c r="AI362" s="119"/>
      <c r="AJ362" s="121"/>
    </row>
    <row r="363" spans="2:36" s="9" customFormat="1">
      <c r="B363" s="9">
        <v>3</v>
      </c>
      <c r="C363" s="9" t="s">
        <v>565</v>
      </c>
      <c r="E363" s="9">
        <v>182375</v>
      </c>
      <c r="G363" s="9">
        <v>2012</v>
      </c>
      <c r="H363" s="9">
        <v>11</v>
      </c>
      <c r="I363" s="9">
        <v>0</v>
      </c>
      <c r="J363" s="9" t="s">
        <v>78</v>
      </c>
      <c r="K363" s="158">
        <v>12</v>
      </c>
      <c r="L363" s="9">
        <f t="shared" si="130"/>
        <v>2024</v>
      </c>
      <c r="M363" s="127">
        <f t="shared" si="131"/>
        <v>2024.9166666666667</v>
      </c>
      <c r="N363" s="13">
        <v>19478.669999999998</v>
      </c>
      <c r="O363" s="13">
        <f t="shared" si="132"/>
        <v>19478.669999999998</v>
      </c>
      <c r="P363" s="13">
        <f t="shared" si="133"/>
        <v>135.26854166666666</v>
      </c>
      <c r="Q363" s="13">
        <f t="shared" si="134"/>
        <v>1623.2224999999999</v>
      </c>
      <c r="R363" s="13">
        <v>1623.2224999999999</v>
      </c>
      <c r="S363" s="13">
        <f t="shared" si="135"/>
        <v>1623.2224999999999</v>
      </c>
      <c r="T363" s="13">
        <f t="shared" si="136"/>
        <v>14609.002499999999</v>
      </c>
      <c r="U363" s="13">
        <f t="shared" si="137"/>
        <v>16232.224999999999</v>
      </c>
      <c r="V363" s="13">
        <v>8116.1124999999993</v>
      </c>
      <c r="W363" s="13">
        <f t="shared" si="138"/>
        <v>3246.4449999999997</v>
      </c>
      <c r="X363" s="115">
        <f t="shared" si="139"/>
        <v>1623.2224999999999</v>
      </c>
      <c r="Y363" s="116">
        <f t="shared" si="140"/>
        <v>3246.4449999999997</v>
      </c>
      <c r="Z363" s="116">
        <f t="shared" si="128"/>
        <v>0</v>
      </c>
      <c r="AA363" s="116">
        <f t="shared" si="129"/>
        <v>-4869.6674999999996</v>
      </c>
      <c r="AB363" s="117">
        <f>'Ratios (C)'!$C$28+'Ratios (C)'!$D$28</f>
        <v>0.44697875883235366</v>
      </c>
      <c r="AC363" s="116">
        <f t="shared" si="141"/>
        <v>725.54597835875018</v>
      </c>
      <c r="AD363" s="116">
        <f t="shared" si="142"/>
        <v>1451.0919567175004</v>
      </c>
      <c r="AE363" s="118"/>
      <c r="AF363" s="119"/>
      <c r="AG363" s="120"/>
      <c r="AH363" s="118"/>
      <c r="AI363" s="119"/>
      <c r="AJ363" s="121"/>
    </row>
    <row r="364" spans="2:36" s="9" customFormat="1">
      <c r="B364" s="9">
        <v>3</v>
      </c>
      <c r="C364" s="9" t="s">
        <v>565</v>
      </c>
      <c r="E364" s="9">
        <v>182376</v>
      </c>
      <c r="G364" s="9">
        <v>2012</v>
      </c>
      <c r="H364" s="9">
        <v>11</v>
      </c>
      <c r="I364" s="9">
        <v>0</v>
      </c>
      <c r="J364" s="9" t="s">
        <v>78</v>
      </c>
      <c r="K364" s="158">
        <v>12</v>
      </c>
      <c r="L364" s="9">
        <f t="shared" si="130"/>
        <v>2024</v>
      </c>
      <c r="M364" s="127">
        <f t="shared" si="131"/>
        <v>2024.9166666666667</v>
      </c>
      <c r="N364" s="13">
        <v>19478.669999999998</v>
      </c>
      <c r="O364" s="13">
        <f t="shared" si="132"/>
        <v>19478.669999999998</v>
      </c>
      <c r="P364" s="13">
        <f t="shared" si="133"/>
        <v>135.26854166666666</v>
      </c>
      <c r="Q364" s="13">
        <f t="shared" si="134"/>
        <v>1623.2224999999999</v>
      </c>
      <c r="R364" s="13">
        <v>1623.2224999999999</v>
      </c>
      <c r="S364" s="13">
        <f t="shared" si="135"/>
        <v>1623.2224999999999</v>
      </c>
      <c r="T364" s="13">
        <f t="shared" si="136"/>
        <v>14609.002499999999</v>
      </c>
      <c r="U364" s="13">
        <f t="shared" si="137"/>
        <v>16232.224999999999</v>
      </c>
      <c r="V364" s="13">
        <v>8116.1124999999993</v>
      </c>
      <c r="W364" s="13">
        <f t="shared" si="138"/>
        <v>3246.4449999999997</v>
      </c>
      <c r="X364" s="115">
        <f t="shared" si="139"/>
        <v>1623.2224999999999</v>
      </c>
      <c r="Y364" s="116">
        <f t="shared" si="140"/>
        <v>3246.4449999999997</v>
      </c>
      <c r="Z364" s="116">
        <f t="shared" si="128"/>
        <v>0</v>
      </c>
      <c r="AA364" s="116">
        <f t="shared" si="129"/>
        <v>-4869.6674999999996</v>
      </c>
      <c r="AB364" s="117">
        <f>'Ratios (C)'!$C$28+'Ratios (C)'!$D$28</f>
        <v>0.44697875883235366</v>
      </c>
      <c r="AC364" s="116">
        <f t="shared" si="141"/>
        <v>725.54597835875018</v>
      </c>
      <c r="AD364" s="116">
        <f t="shared" si="142"/>
        <v>1451.0919567175004</v>
      </c>
      <c r="AE364" s="118"/>
      <c r="AF364" s="119"/>
      <c r="AG364" s="120"/>
      <c r="AH364" s="118"/>
      <c r="AI364" s="119"/>
      <c r="AJ364" s="121"/>
    </row>
    <row r="365" spans="2:36" s="9" customFormat="1">
      <c r="B365" s="9">
        <v>1</v>
      </c>
      <c r="C365" s="9" t="s">
        <v>565</v>
      </c>
      <c r="E365" s="9">
        <v>182377</v>
      </c>
      <c r="G365" s="9">
        <v>2012</v>
      </c>
      <c r="H365" s="9">
        <v>11</v>
      </c>
      <c r="I365" s="9">
        <v>0</v>
      </c>
      <c r="J365" s="9" t="s">
        <v>78</v>
      </c>
      <c r="K365" s="158">
        <v>12</v>
      </c>
      <c r="L365" s="9">
        <f t="shared" si="130"/>
        <v>2024</v>
      </c>
      <c r="M365" s="127">
        <f t="shared" si="131"/>
        <v>2024.9166666666667</v>
      </c>
      <c r="N365" s="13">
        <v>6492.89</v>
      </c>
      <c r="O365" s="13">
        <f t="shared" si="132"/>
        <v>6492.89</v>
      </c>
      <c r="P365" s="13">
        <f t="shared" si="133"/>
        <v>45.089513888888888</v>
      </c>
      <c r="Q365" s="13">
        <f t="shared" si="134"/>
        <v>541.07416666666666</v>
      </c>
      <c r="R365" s="13">
        <v>541.07416666666666</v>
      </c>
      <c r="S365" s="13">
        <f t="shared" si="135"/>
        <v>541.07416666666666</v>
      </c>
      <c r="T365" s="13">
        <f t="shared" si="136"/>
        <v>4869.6674999999996</v>
      </c>
      <c r="U365" s="13">
        <f t="shared" si="137"/>
        <v>5410.7416666666659</v>
      </c>
      <c r="V365" s="13">
        <v>2705.3708333333338</v>
      </c>
      <c r="W365" s="13">
        <f t="shared" si="138"/>
        <v>1082.1483333333344</v>
      </c>
      <c r="X365" s="115">
        <f t="shared" si="139"/>
        <v>541.07416666666666</v>
      </c>
      <c r="Y365" s="116">
        <f t="shared" si="140"/>
        <v>1082.1483333333344</v>
      </c>
      <c r="Z365" s="116">
        <f t="shared" si="128"/>
        <v>0</v>
      </c>
      <c r="AA365" s="116">
        <f t="shared" si="129"/>
        <v>-1623.2224999999994</v>
      </c>
      <c r="AB365" s="117">
        <f>'Ratios (C)'!$C$28+'Ratios (C)'!$D$28</f>
        <v>0.44697875883235366</v>
      </c>
      <c r="AC365" s="116">
        <f t="shared" si="141"/>
        <v>241.84865945291673</v>
      </c>
      <c r="AD365" s="116">
        <f t="shared" si="142"/>
        <v>483.69731890583398</v>
      </c>
      <c r="AE365" s="118"/>
      <c r="AF365" s="119"/>
      <c r="AG365" s="120"/>
      <c r="AH365" s="118"/>
      <c r="AI365" s="119"/>
      <c r="AJ365" s="121"/>
    </row>
    <row r="366" spans="2:36" s="9" customFormat="1">
      <c r="B366" s="9">
        <v>3</v>
      </c>
      <c r="C366" s="9" t="s">
        <v>565</v>
      </c>
      <c r="E366" s="9">
        <v>99010</v>
      </c>
      <c r="G366" s="9">
        <v>2012</v>
      </c>
      <c r="H366" s="9">
        <v>12</v>
      </c>
      <c r="I366" s="9">
        <v>0</v>
      </c>
      <c r="J366" s="9" t="s">
        <v>78</v>
      </c>
      <c r="K366" s="158">
        <v>10</v>
      </c>
      <c r="L366" s="9">
        <f t="shared" si="130"/>
        <v>2022</v>
      </c>
      <c r="M366" s="127">
        <f t="shared" si="131"/>
        <v>2023</v>
      </c>
      <c r="N366" s="13">
        <v>19372</v>
      </c>
      <c r="O366" s="13">
        <f t="shared" si="132"/>
        <v>19372</v>
      </c>
      <c r="P366" s="13">
        <f t="shared" si="133"/>
        <v>161.43333333333334</v>
      </c>
      <c r="Q366" s="13">
        <f t="shared" si="134"/>
        <v>1937.2</v>
      </c>
      <c r="R366" s="13">
        <v>1937.2</v>
      </c>
      <c r="S366" s="13">
        <f t="shared" si="135"/>
        <v>1937.2</v>
      </c>
      <c r="T366" s="13">
        <f t="shared" si="136"/>
        <v>17434.8</v>
      </c>
      <c r="U366" s="13">
        <f t="shared" si="137"/>
        <v>19372</v>
      </c>
      <c r="V366" s="13">
        <v>5811.5999999999985</v>
      </c>
      <c r="W366" s="13">
        <f t="shared" si="138"/>
        <v>0</v>
      </c>
      <c r="X366" s="115">
        <f t="shared" si="139"/>
        <v>1937.2</v>
      </c>
      <c r="Y366" s="116">
        <f t="shared" si="140"/>
        <v>0</v>
      </c>
      <c r="Z366" s="116">
        <f t="shared" si="128"/>
        <v>0</v>
      </c>
      <c r="AA366" s="116">
        <f t="shared" si="129"/>
        <v>-5811.5999999999985</v>
      </c>
      <c r="AB366" s="117">
        <f>'Ratios (C)'!$C$28+'Ratios (C)'!$D$28</f>
        <v>0.44697875883235366</v>
      </c>
      <c r="AC366" s="116">
        <f t="shared" si="141"/>
        <v>865.88725161003549</v>
      </c>
      <c r="AD366" s="116">
        <f t="shared" si="142"/>
        <v>0</v>
      </c>
      <c r="AE366" s="118"/>
      <c r="AF366" s="119"/>
      <c r="AG366" s="120"/>
      <c r="AH366" s="118"/>
      <c r="AI366" s="119"/>
      <c r="AJ366" s="121"/>
    </row>
    <row r="367" spans="2:36" s="9" customFormat="1">
      <c r="B367" s="9">
        <v>7</v>
      </c>
      <c r="C367" s="9" t="s">
        <v>565</v>
      </c>
      <c r="E367" s="9">
        <v>182378</v>
      </c>
      <c r="G367" s="9">
        <v>2015</v>
      </c>
      <c r="H367" s="9">
        <v>7</v>
      </c>
      <c r="I367" s="9">
        <v>0</v>
      </c>
      <c r="J367" s="9" t="s">
        <v>78</v>
      </c>
      <c r="K367" s="158">
        <v>12</v>
      </c>
      <c r="L367" s="9">
        <f t="shared" si="130"/>
        <v>2027</v>
      </c>
      <c r="M367" s="127">
        <f t="shared" si="131"/>
        <v>2027.5833333333333</v>
      </c>
      <c r="N367" s="13">
        <v>43330</v>
      </c>
      <c r="O367" s="13">
        <f t="shared" si="132"/>
        <v>43330</v>
      </c>
      <c r="P367" s="13">
        <f t="shared" si="133"/>
        <v>300.90277777777777</v>
      </c>
      <c r="Q367" s="13">
        <f t="shared" si="134"/>
        <v>3610.833333333333</v>
      </c>
      <c r="R367" s="13">
        <v>3610.833333333333</v>
      </c>
      <c r="S367" s="13">
        <f t="shared" si="135"/>
        <v>3610.833333333333</v>
      </c>
      <c r="T367" s="13">
        <f t="shared" si="136"/>
        <v>21665</v>
      </c>
      <c r="U367" s="13">
        <f t="shared" si="137"/>
        <v>25275.833333333332</v>
      </c>
      <c r="V367" s="13">
        <v>28886.666666666668</v>
      </c>
      <c r="W367" s="13">
        <f t="shared" si="138"/>
        <v>18054.166666666668</v>
      </c>
      <c r="X367" s="115">
        <f t="shared" si="139"/>
        <v>3610.833333333333</v>
      </c>
      <c r="Y367" s="116">
        <f t="shared" si="140"/>
        <v>18054.166666666668</v>
      </c>
      <c r="Z367" s="116">
        <f t="shared" si="128"/>
        <v>0</v>
      </c>
      <c r="AA367" s="116">
        <f t="shared" si="129"/>
        <v>-10832.5</v>
      </c>
      <c r="AB367" s="117">
        <f>'Ratios (C)'!$C$28+'Ratios (C)'!$D$28</f>
        <v>0.44697875883235366</v>
      </c>
      <c r="AC367" s="116">
        <f t="shared" si="141"/>
        <v>1613.9658016838237</v>
      </c>
      <c r="AD367" s="116">
        <f t="shared" si="142"/>
        <v>8069.8290084191185</v>
      </c>
      <c r="AE367" s="118"/>
      <c r="AF367" s="119"/>
      <c r="AG367" s="120"/>
      <c r="AH367" s="118"/>
      <c r="AI367" s="119"/>
      <c r="AJ367" s="121"/>
    </row>
    <row r="368" spans="2:36" s="9" customFormat="1">
      <c r="B368" s="9">
        <v>10</v>
      </c>
      <c r="C368" s="9" t="s">
        <v>565</v>
      </c>
      <c r="E368" s="9">
        <v>126211</v>
      </c>
      <c r="G368" s="9">
        <v>2015</v>
      </c>
      <c r="H368" s="9">
        <v>9</v>
      </c>
      <c r="I368" s="9">
        <v>0</v>
      </c>
      <c r="J368" s="9" t="s">
        <v>78</v>
      </c>
      <c r="K368" s="158">
        <v>10</v>
      </c>
      <c r="L368" s="9">
        <f t="shared" si="130"/>
        <v>2025</v>
      </c>
      <c r="M368" s="127">
        <f t="shared" si="131"/>
        <v>2025.75</v>
      </c>
      <c r="N368" s="13">
        <v>61900</v>
      </c>
      <c r="O368" s="13">
        <f t="shared" si="132"/>
        <v>61900</v>
      </c>
      <c r="P368" s="13">
        <f t="shared" si="133"/>
        <v>515.83333333333337</v>
      </c>
      <c r="Q368" s="13">
        <f t="shared" si="134"/>
        <v>6190</v>
      </c>
      <c r="R368" s="13">
        <v>6190</v>
      </c>
      <c r="S368" s="13">
        <f t="shared" si="135"/>
        <v>6190</v>
      </c>
      <c r="T368" s="13">
        <f t="shared" si="136"/>
        <v>37140</v>
      </c>
      <c r="U368" s="13">
        <f t="shared" si="137"/>
        <v>43330</v>
      </c>
      <c r="V368" s="13">
        <v>37140</v>
      </c>
      <c r="W368" s="13">
        <f t="shared" si="138"/>
        <v>18570</v>
      </c>
      <c r="X368" s="115">
        <f t="shared" si="139"/>
        <v>6190</v>
      </c>
      <c r="Y368" s="116">
        <f t="shared" si="140"/>
        <v>18570</v>
      </c>
      <c r="Z368" s="116">
        <f t="shared" si="128"/>
        <v>0</v>
      </c>
      <c r="AA368" s="116">
        <f t="shared" si="129"/>
        <v>-18570</v>
      </c>
      <c r="AB368" s="117">
        <f>'Ratios (C)'!$C$28+'Ratios (C)'!$D$28</f>
        <v>0.44697875883235366</v>
      </c>
      <c r="AC368" s="116">
        <f t="shared" si="141"/>
        <v>2766.7985171722694</v>
      </c>
      <c r="AD368" s="116">
        <f t="shared" si="142"/>
        <v>8300.3955515168072</v>
      </c>
      <c r="AE368" s="118"/>
      <c r="AF368" s="119"/>
      <c r="AG368" s="120"/>
      <c r="AH368" s="118"/>
      <c r="AI368" s="119"/>
      <c r="AJ368" s="121"/>
    </row>
    <row r="369" spans="2:36" s="9" customFormat="1">
      <c r="B369" s="9">
        <v>10</v>
      </c>
      <c r="C369" s="9" t="s">
        <v>562</v>
      </c>
      <c r="E369" s="9">
        <v>125537</v>
      </c>
      <c r="G369" s="9">
        <v>2015</v>
      </c>
      <c r="H369" s="9">
        <v>9</v>
      </c>
      <c r="I369" s="9">
        <v>0</v>
      </c>
      <c r="J369" s="9" t="s">
        <v>78</v>
      </c>
      <c r="K369" s="158">
        <v>10</v>
      </c>
      <c r="L369" s="9">
        <f t="shared" si="130"/>
        <v>2025</v>
      </c>
      <c r="M369" s="127">
        <f t="shared" si="131"/>
        <v>2025.75</v>
      </c>
      <c r="N369" s="13">
        <v>55700</v>
      </c>
      <c r="O369" s="13">
        <f t="shared" si="132"/>
        <v>55700</v>
      </c>
      <c r="P369" s="13">
        <f t="shared" si="133"/>
        <v>464.16666666666669</v>
      </c>
      <c r="Q369" s="13">
        <f t="shared" si="134"/>
        <v>5570</v>
      </c>
      <c r="R369" s="13">
        <v>5570</v>
      </c>
      <c r="S369" s="13">
        <f t="shared" si="135"/>
        <v>5570</v>
      </c>
      <c r="T369" s="13">
        <f t="shared" si="136"/>
        <v>33420</v>
      </c>
      <c r="U369" s="13">
        <f t="shared" si="137"/>
        <v>38990</v>
      </c>
      <c r="V369" s="13">
        <v>33420</v>
      </c>
      <c r="W369" s="13">
        <f t="shared" si="138"/>
        <v>16710</v>
      </c>
      <c r="X369" s="115">
        <f t="shared" si="139"/>
        <v>5570</v>
      </c>
      <c r="Y369" s="116">
        <f t="shared" si="140"/>
        <v>16710</v>
      </c>
      <c r="Z369" s="116">
        <f t="shared" si="128"/>
        <v>0</v>
      </c>
      <c r="AA369" s="116">
        <f t="shared" si="129"/>
        <v>-16710</v>
      </c>
      <c r="AB369" s="117">
        <f>'Ratios (C)'!$C$28+'Ratios (C)'!$D$28</f>
        <v>0.44697875883235366</v>
      </c>
      <c r="AC369" s="116">
        <f t="shared" si="141"/>
        <v>2489.6716866962097</v>
      </c>
      <c r="AD369" s="116">
        <f t="shared" si="142"/>
        <v>7469.01506008863</v>
      </c>
      <c r="AE369" s="118"/>
      <c r="AF369" s="119"/>
      <c r="AG369" s="120"/>
      <c r="AH369" s="118"/>
      <c r="AI369" s="119"/>
      <c r="AJ369" s="121"/>
    </row>
    <row r="370" spans="2:36" s="9" customFormat="1">
      <c r="B370" s="9">
        <v>6</v>
      </c>
      <c r="C370" s="9" t="s">
        <v>582</v>
      </c>
      <c r="E370" s="9">
        <v>171561</v>
      </c>
      <c r="G370" s="9">
        <v>2016</v>
      </c>
      <c r="H370" s="9">
        <v>12</v>
      </c>
      <c r="I370" s="9">
        <v>0</v>
      </c>
      <c r="J370" s="9" t="s">
        <v>78</v>
      </c>
      <c r="K370" s="158">
        <v>12</v>
      </c>
      <c r="L370" s="9">
        <f t="shared" si="130"/>
        <v>2028</v>
      </c>
      <c r="M370" s="127">
        <f t="shared" si="131"/>
        <v>2029</v>
      </c>
      <c r="N370" s="13">
        <v>41088</v>
      </c>
      <c r="O370" s="13">
        <f t="shared" si="132"/>
        <v>41088</v>
      </c>
      <c r="P370" s="13">
        <f t="shared" si="133"/>
        <v>285.33333333333331</v>
      </c>
      <c r="Q370" s="13">
        <f t="shared" si="134"/>
        <v>3424</v>
      </c>
      <c r="R370" s="13">
        <v>3424</v>
      </c>
      <c r="S370" s="13">
        <f t="shared" si="135"/>
        <v>3424</v>
      </c>
      <c r="T370" s="13">
        <f t="shared" si="136"/>
        <v>17120</v>
      </c>
      <c r="U370" s="13">
        <f t="shared" si="137"/>
        <v>20544</v>
      </c>
      <c r="V370" s="13">
        <v>30816</v>
      </c>
      <c r="W370" s="13">
        <f t="shared" si="138"/>
        <v>20544</v>
      </c>
      <c r="X370" s="115">
        <f t="shared" si="139"/>
        <v>3424</v>
      </c>
      <c r="Y370" s="116">
        <f t="shared" si="140"/>
        <v>20544</v>
      </c>
      <c r="Z370" s="116">
        <f t="shared" si="128"/>
        <v>0</v>
      </c>
      <c r="AA370" s="116">
        <f t="shared" si="129"/>
        <v>-10272</v>
      </c>
      <c r="AB370" s="117">
        <f>'Ratios (C)'!$C$28+'Ratios (C)'!$D$28</f>
        <v>0.44697875883235366</v>
      </c>
      <c r="AC370" s="116">
        <f t="shared" si="141"/>
        <v>1530.455270241979</v>
      </c>
      <c r="AD370" s="116">
        <f t="shared" si="142"/>
        <v>9182.7316214518742</v>
      </c>
      <c r="AE370" s="118"/>
      <c r="AF370" s="119"/>
      <c r="AG370" s="120"/>
      <c r="AH370" s="118"/>
      <c r="AI370" s="119"/>
      <c r="AJ370" s="121"/>
    </row>
    <row r="371" spans="2:36" s="9" customFormat="1">
      <c r="B371" s="9">
        <v>9</v>
      </c>
      <c r="C371" s="9" t="s">
        <v>582</v>
      </c>
      <c r="E371" s="9">
        <v>171585</v>
      </c>
      <c r="G371" s="9">
        <v>2016</v>
      </c>
      <c r="H371" s="9">
        <v>12</v>
      </c>
      <c r="I371" s="9">
        <v>0</v>
      </c>
      <c r="J371" s="9" t="s">
        <v>78</v>
      </c>
      <c r="K371" s="158">
        <v>12</v>
      </c>
      <c r="L371" s="9">
        <f t="shared" si="130"/>
        <v>2028</v>
      </c>
      <c r="M371" s="127">
        <f t="shared" si="131"/>
        <v>2029</v>
      </c>
      <c r="N371" s="13">
        <v>61632</v>
      </c>
      <c r="O371" s="13">
        <f t="shared" si="132"/>
        <v>61632</v>
      </c>
      <c r="P371" s="13">
        <f t="shared" si="133"/>
        <v>428</v>
      </c>
      <c r="Q371" s="13">
        <f t="shared" si="134"/>
        <v>5136</v>
      </c>
      <c r="R371" s="13">
        <v>5136</v>
      </c>
      <c r="S371" s="13">
        <f t="shared" si="135"/>
        <v>5136</v>
      </c>
      <c r="T371" s="13">
        <f t="shared" si="136"/>
        <v>25680</v>
      </c>
      <c r="U371" s="13">
        <f t="shared" si="137"/>
        <v>30816</v>
      </c>
      <c r="V371" s="13">
        <v>46224</v>
      </c>
      <c r="W371" s="13">
        <f t="shared" si="138"/>
        <v>30816</v>
      </c>
      <c r="X371" s="115">
        <f t="shared" si="139"/>
        <v>5136</v>
      </c>
      <c r="Y371" s="116">
        <f t="shared" si="140"/>
        <v>30816</v>
      </c>
      <c r="Z371" s="116">
        <f t="shared" si="128"/>
        <v>0</v>
      </c>
      <c r="AA371" s="116">
        <f t="shared" si="129"/>
        <v>-15408</v>
      </c>
      <c r="AB371" s="117">
        <f>'Ratios (C)'!$C$28+'Ratios (C)'!$D$28</f>
        <v>0.44697875883235366</v>
      </c>
      <c r="AC371" s="116">
        <f t="shared" si="141"/>
        <v>2295.6829053629685</v>
      </c>
      <c r="AD371" s="116">
        <f t="shared" si="142"/>
        <v>13774.09743217781</v>
      </c>
      <c r="AE371" s="118"/>
      <c r="AF371" s="119"/>
      <c r="AG371" s="120"/>
      <c r="AH371" s="118"/>
      <c r="AI371" s="119"/>
      <c r="AJ371" s="121"/>
    </row>
    <row r="372" spans="2:36" s="9" customFormat="1">
      <c r="B372" s="9">
        <v>10</v>
      </c>
      <c r="C372" s="9" t="s">
        <v>562</v>
      </c>
      <c r="E372" s="9">
        <v>171584</v>
      </c>
      <c r="G372" s="9">
        <v>2016</v>
      </c>
      <c r="H372" s="9">
        <v>12</v>
      </c>
      <c r="I372" s="9">
        <v>0</v>
      </c>
      <c r="J372" s="9" t="s">
        <v>78</v>
      </c>
      <c r="K372" s="158">
        <v>12</v>
      </c>
      <c r="L372" s="9">
        <f t="shared" si="130"/>
        <v>2028</v>
      </c>
      <c r="M372" s="127">
        <f t="shared" si="131"/>
        <v>2029</v>
      </c>
      <c r="N372" s="13">
        <v>59850</v>
      </c>
      <c r="O372" s="13">
        <f t="shared" si="132"/>
        <v>59850</v>
      </c>
      <c r="P372" s="13">
        <f t="shared" si="133"/>
        <v>415.625</v>
      </c>
      <c r="Q372" s="13">
        <f t="shared" si="134"/>
        <v>4987.5</v>
      </c>
      <c r="R372" s="13">
        <v>4987.5</v>
      </c>
      <c r="S372" s="13">
        <f t="shared" si="135"/>
        <v>4987.5</v>
      </c>
      <c r="T372" s="13">
        <f t="shared" si="136"/>
        <v>24937.5</v>
      </c>
      <c r="U372" s="13">
        <f t="shared" si="137"/>
        <v>29925</v>
      </c>
      <c r="V372" s="13">
        <v>44887.5</v>
      </c>
      <c r="W372" s="13">
        <f t="shared" si="138"/>
        <v>29925</v>
      </c>
      <c r="X372" s="115">
        <f t="shared" si="139"/>
        <v>4987.5</v>
      </c>
      <c r="Y372" s="116">
        <f t="shared" si="140"/>
        <v>29925</v>
      </c>
      <c r="Z372" s="116">
        <f t="shared" si="128"/>
        <v>0</v>
      </c>
      <c r="AA372" s="116">
        <f t="shared" si="129"/>
        <v>-14962.5</v>
      </c>
      <c r="AB372" s="117">
        <f>'Ratios (C)'!$C$28+'Ratios (C)'!$D$28</f>
        <v>0.44697875883235366</v>
      </c>
      <c r="AC372" s="116">
        <f t="shared" si="141"/>
        <v>2229.306559676364</v>
      </c>
      <c r="AD372" s="116">
        <f t="shared" si="142"/>
        <v>13375.839358058183</v>
      </c>
      <c r="AE372" s="118"/>
      <c r="AF372" s="119"/>
      <c r="AG372" s="120"/>
      <c r="AH372" s="118"/>
      <c r="AI372" s="119"/>
      <c r="AJ372" s="121"/>
    </row>
    <row r="373" spans="2:36" s="9" customFormat="1">
      <c r="B373" s="9">
        <v>6</v>
      </c>
      <c r="C373" s="9" t="s">
        <v>583</v>
      </c>
      <c r="E373" s="9">
        <v>183458</v>
      </c>
      <c r="G373" s="9">
        <v>2017</v>
      </c>
      <c r="H373" s="9">
        <v>6</v>
      </c>
      <c r="I373" s="9">
        <v>0</v>
      </c>
      <c r="J373" s="9" t="s">
        <v>78</v>
      </c>
      <c r="K373" s="158">
        <v>12</v>
      </c>
      <c r="L373" s="9">
        <f t="shared" si="130"/>
        <v>2029</v>
      </c>
      <c r="M373" s="127">
        <f t="shared" si="131"/>
        <v>2029.5</v>
      </c>
      <c r="N373" s="13">
        <v>37050</v>
      </c>
      <c r="O373" s="13">
        <f t="shared" si="132"/>
        <v>37050</v>
      </c>
      <c r="P373" s="13">
        <f t="shared" si="133"/>
        <v>257.29166666666669</v>
      </c>
      <c r="Q373" s="13">
        <f t="shared" si="134"/>
        <v>3087.5</v>
      </c>
      <c r="R373" s="13">
        <v>3087.5</v>
      </c>
      <c r="S373" s="13">
        <f t="shared" si="135"/>
        <v>3087.5</v>
      </c>
      <c r="T373" s="13">
        <f t="shared" si="136"/>
        <v>12350</v>
      </c>
      <c r="U373" s="13">
        <f t="shared" si="137"/>
        <v>15437.5</v>
      </c>
      <c r="V373" s="13">
        <v>30875</v>
      </c>
      <c r="W373" s="13">
        <f t="shared" si="138"/>
        <v>21612.5</v>
      </c>
      <c r="X373" s="115">
        <f t="shared" si="139"/>
        <v>3087.5</v>
      </c>
      <c r="Y373" s="116">
        <f t="shared" si="140"/>
        <v>21612.5</v>
      </c>
      <c r="Z373" s="116">
        <f t="shared" si="128"/>
        <v>0</v>
      </c>
      <c r="AA373" s="116">
        <f t="shared" si="129"/>
        <v>-9262.5</v>
      </c>
      <c r="AB373" s="117">
        <f>'Ratios (C)'!$C$28+'Ratios (C)'!$D$28</f>
        <v>0.44697875883235366</v>
      </c>
      <c r="AC373" s="116">
        <f t="shared" si="141"/>
        <v>1380.046917894892</v>
      </c>
      <c r="AD373" s="116">
        <f t="shared" si="142"/>
        <v>9660.3284252642443</v>
      </c>
      <c r="AE373" s="118"/>
      <c r="AF373" s="119"/>
      <c r="AG373" s="120"/>
      <c r="AH373" s="118"/>
      <c r="AI373" s="119"/>
      <c r="AJ373" s="121"/>
    </row>
    <row r="374" spans="2:36" s="9" customFormat="1">
      <c r="B374" s="9">
        <v>6</v>
      </c>
      <c r="C374" s="9" t="s">
        <v>582</v>
      </c>
      <c r="E374" s="9">
        <v>183457</v>
      </c>
      <c r="G374" s="9">
        <v>2017</v>
      </c>
      <c r="H374" s="9">
        <v>6</v>
      </c>
      <c r="I374" s="9">
        <v>0</v>
      </c>
      <c r="J374" s="9" t="s">
        <v>78</v>
      </c>
      <c r="K374" s="158">
        <v>12</v>
      </c>
      <c r="L374" s="9">
        <f t="shared" si="130"/>
        <v>2029</v>
      </c>
      <c r="M374" s="127">
        <f t="shared" si="131"/>
        <v>2029.5</v>
      </c>
      <c r="N374" s="13">
        <v>42870</v>
      </c>
      <c r="O374" s="13">
        <f t="shared" si="132"/>
        <v>42870</v>
      </c>
      <c r="P374" s="13">
        <f t="shared" si="133"/>
        <v>297.70833333333331</v>
      </c>
      <c r="Q374" s="13">
        <f t="shared" si="134"/>
        <v>3572.5</v>
      </c>
      <c r="R374" s="13">
        <v>3572.5</v>
      </c>
      <c r="S374" s="13">
        <f t="shared" si="135"/>
        <v>3572.5</v>
      </c>
      <c r="T374" s="13">
        <f t="shared" si="136"/>
        <v>14290</v>
      </c>
      <c r="U374" s="13">
        <f t="shared" si="137"/>
        <v>17862.5</v>
      </c>
      <c r="V374" s="13">
        <v>35725</v>
      </c>
      <c r="W374" s="13">
        <f t="shared" si="138"/>
        <v>25007.5</v>
      </c>
      <c r="X374" s="115">
        <f t="shared" si="139"/>
        <v>3572.5</v>
      </c>
      <c r="Y374" s="116">
        <f t="shared" si="140"/>
        <v>25007.5</v>
      </c>
      <c r="Z374" s="116">
        <f t="shared" si="128"/>
        <v>0</v>
      </c>
      <c r="AA374" s="116">
        <f t="shared" si="129"/>
        <v>-10717.5</v>
      </c>
      <c r="AB374" s="117">
        <f>'Ratios (C)'!$C$28+'Ratios (C)'!$D$28</f>
        <v>0.44697875883235366</v>
      </c>
      <c r="AC374" s="116">
        <f t="shared" si="141"/>
        <v>1596.8316159285835</v>
      </c>
      <c r="AD374" s="116">
        <f t="shared" si="142"/>
        <v>11177.821311500084</v>
      </c>
      <c r="AE374" s="118"/>
      <c r="AF374" s="119"/>
      <c r="AG374" s="120"/>
      <c r="AH374" s="118"/>
      <c r="AI374" s="119"/>
      <c r="AJ374" s="121"/>
    </row>
    <row r="375" spans="2:36" s="9" customFormat="1">
      <c r="B375" s="9">
        <v>5</v>
      </c>
      <c r="C375" s="9" t="s">
        <v>584</v>
      </c>
      <c r="E375" s="9">
        <v>183887</v>
      </c>
      <c r="G375" s="9">
        <v>2017</v>
      </c>
      <c r="H375" s="9">
        <v>6</v>
      </c>
      <c r="I375" s="9">
        <v>0</v>
      </c>
      <c r="J375" s="9" t="s">
        <v>78</v>
      </c>
      <c r="K375" s="158">
        <v>12</v>
      </c>
      <c r="L375" s="9">
        <f t="shared" si="130"/>
        <v>2029</v>
      </c>
      <c r="M375" s="127">
        <f t="shared" si="131"/>
        <v>2029.5</v>
      </c>
      <c r="N375" s="13">
        <v>28000</v>
      </c>
      <c r="O375" s="13">
        <f t="shared" si="132"/>
        <v>28000</v>
      </c>
      <c r="P375" s="13">
        <f t="shared" si="133"/>
        <v>194.44444444444446</v>
      </c>
      <c r="Q375" s="13">
        <f t="shared" si="134"/>
        <v>2333.3333333333335</v>
      </c>
      <c r="R375" s="13">
        <v>2333.3333333333335</v>
      </c>
      <c r="S375" s="13">
        <f t="shared" si="135"/>
        <v>2333.3333333333335</v>
      </c>
      <c r="T375" s="13">
        <f t="shared" si="136"/>
        <v>9333.3333333333339</v>
      </c>
      <c r="U375" s="13">
        <f t="shared" si="137"/>
        <v>11666.666666666668</v>
      </c>
      <c r="V375" s="13">
        <v>23333.333333333332</v>
      </c>
      <c r="W375" s="13">
        <f t="shared" si="138"/>
        <v>16333.333333333332</v>
      </c>
      <c r="X375" s="115">
        <f t="shared" si="139"/>
        <v>2333.3333333333335</v>
      </c>
      <c r="Y375" s="116">
        <f t="shared" si="140"/>
        <v>16333.333333333332</v>
      </c>
      <c r="Z375" s="116">
        <f t="shared" si="128"/>
        <v>0</v>
      </c>
      <c r="AA375" s="116">
        <f t="shared" si="129"/>
        <v>-7000</v>
      </c>
      <c r="AB375" s="117">
        <f>'Ratios (C)'!$C$28+'Ratios (C)'!$D$28</f>
        <v>0.44697875883235366</v>
      </c>
      <c r="AC375" s="116">
        <f t="shared" si="141"/>
        <v>1042.950437275492</v>
      </c>
      <c r="AD375" s="116">
        <f t="shared" si="142"/>
        <v>7300.6530609284428</v>
      </c>
      <c r="AE375" s="118"/>
      <c r="AF375" s="119"/>
      <c r="AG375" s="120"/>
      <c r="AH375" s="118"/>
      <c r="AI375" s="119"/>
      <c r="AJ375" s="121"/>
    </row>
    <row r="376" spans="2:36" s="9" customFormat="1">
      <c r="B376" s="9">
        <v>2</v>
      </c>
      <c r="C376" s="9" t="s">
        <v>585</v>
      </c>
      <c r="E376" s="9">
        <v>190433</v>
      </c>
      <c r="G376" s="9">
        <v>2017</v>
      </c>
      <c r="H376" s="9">
        <v>11</v>
      </c>
      <c r="I376" s="9">
        <v>0</v>
      </c>
      <c r="J376" s="9" t="s">
        <v>78</v>
      </c>
      <c r="K376" s="158">
        <v>12</v>
      </c>
      <c r="L376" s="9">
        <f t="shared" si="130"/>
        <v>2029</v>
      </c>
      <c r="M376" s="127">
        <f t="shared" si="131"/>
        <v>2029.9166666666667</v>
      </c>
      <c r="N376" s="13">
        <v>12848.34</v>
      </c>
      <c r="O376" s="13">
        <f t="shared" si="132"/>
        <v>12848.34</v>
      </c>
      <c r="P376" s="13">
        <f t="shared" si="133"/>
        <v>89.224583333333328</v>
      </c>
      <c r="Q376" s="13">
        <f t="shared" si="134"/>
        <v>1070.6949999999999</v>
      </c>
      <c r="R376" s="13">
        <v>1070.6949999999999</v>
      </c>
      <c r="S376" s="13">
        <f t="shared" si="135"/>
        <v>1070.6949999999999</v>
      </c>
      <c r="T376" s="13">
        <f t="shared" si="136"/>
        <v>4282.78</v>
      </c>
      <c r="U376" s="13">
        <f t="shared" si="137"/>
        <v>5353.4749999999995</v>
      </c>
      <c r="V376" s="13">
        <v>10706.95</v>
      </c>
      <c r="W376" s="13">
        <f t="shared" si="138"/>
        <v>7494.8650000000007</v>
      </c>
      <c r="X376" s="115">
        <f t="shared" si="139"/>
        <v>1070.6949999999999</v>
      </c>
      <c r="Y376" s="116">
        <f t="shared" si="140"/>
        <v>7494.8650000000007</v>
      </c>
      <c r="Z376" s="116">
        <f t="shared" ref="Z376:Z420" si="143">X376-R376</f>
        <v>0</v>
      </c>
      <c r="AA376" s="116">
        <f t="shared" ref="AA376:AA420" si="144">Y376-V376</f>
        <v>-3212.085</v>
      </c>
      <c r="AB376" s="117">
        <f>'Ratios (C)'!$C$28+'Ratios (C)'!$D$28</f>
        <v>0.44697875883235366</v>
      </c>
      <c r="AC376" s="116">
        <f t="shared" si="141"/>
        <v>478.57792218800688</v>
      </c>
      <c r="AD376" s="116">
        <f t="shared" si="142"/>
        <v>3350.0454553160484</v>
      </c>
      <c r="AE376" s="118"/>
      <c r="AF376" s="119"/>
      <c r="AG376" s="120"/>
      <c r="AH376" s="118"/>
      <c r="AI376" s="119"/>
      <c r="AJ376" s="121"/>
    </row>
    <row r="377" spans="2:36" s="9" customFormat="1">
      <c r="B377" s="9">
        <v>2</v>
      </c>
      <c r="C377" s="9" t="s">
        <v>586</v>
      </c>
      <c r="E377" s="9">
        <v>190432</v>
      </c>
      <c r="G377" s="9">
        <v>2017</v>
      </c>
      <c r="H377" s="9">
        <v>11</v>
      </c>
      <c r="I377" s="9">
        <v>0</v>
      </c>
      <c r="J377" s="9" t="s">
        <v>78</v>
      </c>
      <c r="K377" s="158">
        <v>12</v>
      </c>
      <c r="L377" s="9">
        <f t="shared" si="130"/>
        <v>2029</v>
      </c>
      <c r="M377" s="127">
        <f t="shared" si="131"/>
        <v>2029.9166666666667</v>
      </c>
      <c r="N377" s="13">
        <v>13642.18</v>
      </c>
      <c r="O377" s="13">
        <f t="shared" si="132"/>
        <v>13642.18</v>
      </c>
      <c r="P377" s="13">
        <f t="shared" si="133"/>
        <v>94.737361111111113</v>
      </c>
      <c r="Q377" s="13">
        <f t="shared" si="134"/>
        <v>1136.8483333333334</v>
      </c>
      <c r="R377" s="13">
        <v>1136.8483333333334</v>
      </c>
      <c r="S377" s="13">
        <f t="shared" si="135"/>
        <v>1136.8483333333334</v>
      </c>
      <c r="T377" s="13">
        <f t="shared" si="136"/>
        <v>4547.3933333333334</v>
      </c>
      <c r="U377" s="13">
        <f t="shared" si="137"/>
        <v>5684.2416666666668</v>
      </c>
      <c r="V377" s="13">
        <v>11368.483333333334</v>
      </c>
      <c r="W377" s="13">
        <f t="shared" si="138"/>
        <v>7957.9383333333335</v>
      </c>
      <c r="X377" s="115">
        <f t="shared" si="139"/>
        <v>1136.8483333333334</v>
      </c>
      <c r="Y377" s="116">
        <f t="shared" si="140"/>
        <v>7957.9383333333335</v>
      </c>
      <c r="Z377" s="116">
        <f t="shared" si="143"/>
        <v>0</v>
      </c>
      <c r="AA377" s="116">
        <f t="shared" si="144"/>
        <v>-3410.5450000000001</v>
      </c>
      <c r="AB377" s="117">
        <f>'Ratios (C)'!$C$28+'Ratios (C)'!$D$28</f>
        <v>0.44697875883235366</v>
      </c>
      <c r="AC377" s="116">
        <f t="shared" si="141"/>
        <v>508.14705701396321</v>
      </c>
      <c r="AD377" s="116">
        <f t="shared" si="142"/>
        <v>3557.0293990977425</v>
      </c>
      <c r="AE377" s="118"/>
      <c r="AF377" s="119"/>
      <c r="AG377" s="120"/>
      <c r="AH377" s="118"/>
      <c r="AI377" s="119"/>
      <c r="AJ377" s="121"/>
    </row>
    <row r="378" spans="2:36" s="9" customFormat="1">
      <c r="B378" s="9">
        <v>5</v>
      </c>
      <c r="C378" s="9" t="s">
        <v>586</v>
      </c>
      <c r="E378" s="9">
        <v>188833</v>
      </c>
      <c r="G378" s="9">
        <v>2017</v>
      </c>
      <c r="H378" s="9">
        <v>10</v>
      </c>
      <c r="I378" s="9">
        <v>0</v>
      </c>
      <c r="J378" s="9" t="s">
        <v>78</v>
      </c>
      <c r="K378" s="158">
        <v>12</v>
      </c>
      <c r="L378" s="9">
        <f t="shared" si="130"/>
        <v>2029</v>
      </c>
      <c r="M378" s="127">
        <f t="shared" si="131"/>
        <v>2029.8333333333333</v>
      </c>
      <c r="N378" s="13">
        <v>35596.15</v>
      </c>
      <c r="O378" s="13">
        <f t="shared" si="132"/>
        <v>35596.15</v>
      </c>
      <c r="P378" s="13">
        <f t="shared" si="133"/>
        <v>247.19548611111111</v>
      </c>
      <c r="Q378" s="13">
        <f t="shared" si="134"/>
        <v>2966.3458333333333</v>
      </c>
      <c r="R378" s="13">
        <v>2966.3458333333333</v>
      </c>
      <c r="S378" s="13">
        <f t="shared" si="135"/>
        <v>2966.3458333333333</v>
      </c>
      <c r="T378" s="13">
        <f t="shared" si="136"/>
        <v>11865.383333333333</v>
      </c>
      <c r="U378" s="13">
        <f t="shared" si="137"/>
        <v>14831.729166666666</v>
      </c>
      <c r="V378" s="13">
        <v>29663.458333333336</v>
      </c>
      <c r="W378" s="13">
        <f t="shared" si="138"/>
        <v>20764.420833333337</v>
      </c>
      <c r="X378" s="115">
        <f t="shared" si="139"/>
        <v>2966.3458333333333</v>
      </c>
      <c r="Y378" s="116">
        <f t="shared" si="140"/>
        <v>20764.420833333337</v>
      </c>
      <c r="Z378" s="116">
        <f t="shared" si="143"/>
        <v>0</v>
      </c>
      <c r="AA378" s="116">
        <f t="shared" si="144"/>
        <v>-8899.0374999999985</v>
      </c>
      <c r="AB378" s="117">
        <f>'Ratios (C)'!$C$28+'Ratios (C)'!$D$28</f>
        <v>0.44697875883235366</v>
      </c>
      <c r="AC378" s="116">
        <f t="shared" si="141"/>
        <v>1325.8935788508572</v>
      </c>
      <c r="AD378" s="116">
        <f t="shared" si="142"/>
        <v>9281.2550519560009</v>
      </c>
      <c r="AE378" s="118"/>
      <c r="AF378" s="119"/>
      <c r="AG378" s="120"/>
      <c r="AH378" s="118"/>
      <c r="AI378" s="119"/>
      <c r="AJ378" s="121"/>
    </row>
    <row r="379" spans="2:36" s="9" customFormat="1">
      <c r="B379" s="9">
        <v>3</v>
      </c>
      <c r="C379" s="9" t="s">
        <v>585</v>
      </c>
      <c r="E379" s="9">
        <v>188832</v>
      </c>
      <c r="G379" s="9">
        <v>2017</v>
      </c>
      <c r="H379" s="9">
        <v>10</v>
      </c>
      <c r="I379" s="9">
        <v>0</v>
      </c>
      <c r="J379" s="9" t="s">
        <v>78</v>
      </c>
      <c r="K379" s="158">
        <v>12</v>
      </c>
      <c r="L379" s="9">
        <f t="shared" ref="L379:L407" si="145">G379+K379</f>
        <v>2029</v>
      </c>
      <c r="M379" s="127">
        <f t="shared" ref="M379:M407" si="146">+L379+(H379/12)</f>
        <v>2029.8333333333333</v>
      </c>
      <c r="N379" s="13">
        <v>20104.259999999998</v>
      </c>
      <c r="O379" s="13">
        <f t="shared" ref="O379:O409" si="147">N379-N379*I379</f>
        <v>20104.259999999998</v>
      </c>
      <c r="P379" s="13">
        <f t="shared" ref="P379:P409" si="148">O379/K379/12</f>
        <v>139.61291666666665</v>
      </c>
      <c r="Q379" s="13">
        <f t="shared" ref="Q379:Q409" si="149">P379*12</f>
        <v>1675.3549999999998</v>
      </c>
      <c r="R379" s="13">
        <v>1675.3549999999998</v>
      </c>
      <c r="S379" s="13">
        <f t="shared" ref="S379:S409" si="150">+IF(M379&lt;=$O$5,0,IF(L379&gt;$O$4,Q379,(P379*H379)))</f>
        <v>1675.3549999999998</v>
      </c>
      <c r="T379" s="13">
        <f t="shared" ref="T379:T409" si="151">+IF(S379=0,N379,IF($O$3-G379&lt;1,0,(($O$3-G379)*Q379)))</f>
        <v>6701.4199999999992</v>
      </c>
      <c r="U379" s="13">
        <f t="shared" ref="U379:U409" si="152">+IF(S379=0,T379,T379+S379)</f>
        <v>8376.7749999999996</v>
      </c>
      <c r="V379" s="13">
        <v>16753.55</v>
      </c>
      <c r="W379" s="13">
        <f t="shared" ref="W379:W409" si="153">+N379-U379</f>
        <v>11727.484999999999</v>
      </c>
      <c r="X379" s="115">
        <f t="shared" si="139"/>
        <v>1675.3549999999998</v>
      </c>
      <c r="Y379" s="116">
        <f t="shared" si="140"/>
        <v>11727.484999999999</v>
      </c>
      <c r="Z379" s="116">
        <f t="shared" si="143"/>
        <v>0</v>
      </c>
      <c r="AA379" s="116">
        <f t="shared" si="144"/>
        <v>-5026.0650000000005</v>
      </c>
      <c r="AB379" s="117">
        <f>'Ratios (C)'!$C$28+'Ratios (C)'!$D$28</f>
        <v>0.44697875883235366</v>
      </c>
      <c r="AC379" s="116">
        <f t="shared" si="141"/>
        <v>748.84809850357783</v>
      </c>
      <c r="AD379" s="116">
        <f t="shared" si="142"/>
        <v>5241.9366895250441</v>
      </c>
      <c r="AE379" s="118"/>
      <c r="AF379" s="119"/>
      <c r="AG379" s="120"/>
      <c r="AH379" s="118"/>
      <c r="AI379" s="119"/>
      <c r="AJ379" s="121"/>
    </row>
    <row r="380" spans="2:36" s="9" customFormat="1">
      <c r="B380" s="9">
        <v>2</v>
      </c>
      <c r="C380" s="9" t="s">
        <v>587</v>
      </c>
      <c r="E380" s="9">
        <v>191666</v>
      </c>
      <c r="G380" s="9">
        <v>2018</v>
      </c>
      <c r="H380" s="9">
        <v>1</v>
      </c>
      <c r="I380" s="9">
        <v>0</v>
      </c>
      <c r="J380" s="9" t="s">
        <v>78</v>
      </c>
      <c r="K380" s="158">
        <v>11.1</v>
      </c>
      <c r="L380" s="9">
        <f t="shared" si="145"/>
        <v>2029.1</v>
      </c>
      <c r="M380" s="127">
        <f t="shared" si="146"/>
        <v>2029.1833333333332</v>
      </c>
      <c r="N380" s="13">
        <v>13402.84</v>
      </c>
      <c r="O380" s="13">
        <f t="shared" si="147"/>
        <v>13402.84</v>
      </c>
      <c r="P380" s="13">
        <f t="shared" si="148"/>
        <v>100.62192192192192</v>
      </c>
      <c r="Q380" s="13">
        <f t="shared" si="149"/>
        <v>1207.4630630630631</v>
      </c>
      <c r="R380" s="13">
        <v>1207.4630630630631</v>
      </c>
      <c r="S380" s="13">
        <f t="shared" si="150"/>
        <v>1207.4630630630631</v>
      </c>
      <c r="T380" s="13">
        <f t="shared" si="151"/>
        <v>3622.3891891891894</v>
      </c>
      <c r="U380" s="13">
        <f t="shared" si="152"/>
        <v>4829.8522522522526</v>
      </c>
      <c r="V380" s="13">
        <v>12195.376936936937</v>
      </c>
      <c r="W380" s="13">
        <f t="shared" si="153"/>
        <v>8572.9877477477476</v>
      </c>
      <c r="X380" s="115">
        <f t="shared" ref="X380:X409" si="154">S380</f>
        <v>1207.4630630630631</v>
      </c>
      <c r="Y380" s="116">
        <f t="shared" ref="Y380:Y409" si="155">W380</f>
        <v>8572.9877477477476</v>
      </c>
      <c r="Z380" s="116">
        <f t="shared" si="143"/>
        <v>0</v>
      </c>
      <c r="AA380" s="116">
        <f t="shared" si="144"/>
        <v>-3622.389189189189</v>
      </c>
      <c r="AB380" s="117">
        <f>'Ratios (C)'!$C$28+'Ratios (C)'!$D$28</f>
        <v>0.44697875883235366</v>
      </c>
      <c r="AC380" s="116">
        <f t="shared" ref="AC380:AC409" si="156">X380*AB380</f>
        <v>539.71034126383995</v>
      </c>
      <c r="AD380" s="116">
        <f t="shared" ref="AD380:AD409" si="157">Y380*AB380</f>
        <v>3831.9434229732633</v>
      </c>
      <c r="AE380" s="118"/>
      <c r="AF380" s="119"/>
      <c r="AG380" s="120"/>
      <c r="AH380" s="118"/>
      <c r="AI380" s="119"/>
      <c r="AJ380" s="121"/>
    </row>
    <row r="381" spans="2:36" s="9" customFormat="1">
      <c r="B381" s="9">
        <v>2</v>
      </c>
      <c r="C381" s="9" t="s">
        <v>588</v>
      </c>
      <c r="E381" s="9">
        <v>202732</v>
      </c>
      <c r="G381" s="9">
        <v>2018</v>
      </c>
      <c r="H381" s="9">
        <v>8</v>
      </c>
      <c r="I381" s="9">
        <v>0</v>
      </c>
      <c r="J381" s="9" t="s">
        <v>78</v>
      </c>
      <c r="K381" s="158">
        <v>12</v>
      </c>
      <c r="L381" s="9">
        <f t="shared" si="145"/>
        <v>2030</v>
      </c>
      <c r="M381" s="127">
        <f t="shared" si="146"/>
        <v>2030.6666666666667</v>
      </c>
      <c r="N381" s="13">
        <v>12630</v>
      </c>
      <c r="O381" s="13">
        <f t="shared" si="147"/>
        <v>12630</v>
      </c>
      <c r="P381" s="13">
        <f t="shared" si="148"/>
        <v>87.708333333333329</v>
      </c>
      <c r="Q381" s="13">
        <f t="shared" si="149"/>
        <v>1052.5</v>
      </c>
      <c r="R381" s="13">
        <v>1052.5</v>
      </c>
      <c r="S381" s="13">
        <f t="shared" si="150"/>
        <v>1052.5</v>
      </c>
      <c r="T381" s="13">
        <f t="shared" si="151"/>
        <v>3157.5</v>
      </c>
      <c r="U381" s="13">
        <f t="shared" si="152"/>
        <v>4210</v>
      </c>
      <c r="V381" s="13">
        <v>11577.5</v>
      </c>
      <c r="W381" s="13">
        <f t="shared" si="153"/>
        <v>8420</v>
      </c>
      <c r="X381" s="115">
        <f t="shared" si="154"/>
        <v>1052.5</v>
      </c>
      <c r="Y381" s="116">
        <f t="shared" si="155"/>
        <v>8420</v>
      </c>
      <c r="Z381" s="116">
        <f t="shared" si="143"/>
        <v>0</v>
      </c>
      <c r="AA381" s="116">
        <f t="shared" si="144"/>
        <v>-3157.5</v>
      </c>
      <c r="AB381" s="117">
        <f>'Ratios (C)'!$C$28+'Ratios (C)'!$D$28</f>
        <v>0.44697875883235366</v>
      </c>
      <c r="AC381" s="116">
        <f t="shared" si="156"/>
        <v>470.44514367105222</v>
      </c>
      <c r="AD381" s="116">
        <f t="shared" si="157"/>
        <v>3763.5611493684178</v>
      </c>
      <c r="AE381" s="118"/>
      <c r="AF381" s="119"/>
      <c r="AG381" s="120"/>
      <c r="AH381" s="118"/>
      <c r="AI381" s="119"/>
      <c r="AJ381" s="121"/>
    </row>
    <row r="382" spans="2:36" s="9" customFormat="1">
      <c r="B382" s="9">
        <v>4</v>
      </c>
      <c r="C382" s="9" t="s">
        <v>588</v>
      </c>
      <c r="E382" s="9">
        <v>202943</v>
      </c>
      <c r="G382" s="9">
        <v>2018</v>
      </c>
      <c r="H382" s="9">
        <v>8</v>
      </c>
      <c r="I382" s="9">
        <v>0</v>
      </c>
      <c r="J382" s="9" t="s">
        <v>78</v>
      </c>
      <c r="K382" s="158">
        <v>12</v>
      </c>
      <c r="L382" s="9">
        <f t="shared" si="145"/>
        <v>2030</v>
      </c>
      <c r="M382" s="127">
        <f t="shared" si="146"/>
        <v>2030.6666666666667</v>
      </c>
      <c r="N382" s="13">
        <v>26596</v>
      </c>
      <c r="O382" s="13">
        <f t="shared" si="147"/>
        <v>26596</v>
      </c>
      <c r="P382" s="13">
        <f t="shared" si="148"/>
        <v>184.69444444444446</v>
      </c>
      <c r="Q382" s="13">
        <f t="shared" si="149"/>
        <v>2216.3333333333335</v>
      </c>
      <c r="R382" s="13">
        <v>2216.3333333333335</v>
      </c>
      <c r="S382" s="13">
        <f t="shared" si="150"/>
        <v>2216.3333333333335</v>
      </c>
      <c r="T382" s="13">
        <f t="shared" si="151"/>
        <v>6649</v>
      </c>
      <c r="U382" s="13">
        <f t="shared" si="152"/>
        <v>8865.3333333333339</v>
      </c>
      <c r="V382" s="13">
        <v>24379.666666666668</v>
      </c>
      <c r="W382" s="13">
        <f t="shared" si="153"/>
        <v>17730.666666666664</v>
      </c>
      <c r="X382" s="115">
        <f t="shared" si="154"/>
        <v>2216.3333333333335</v>
      </c>
      <c r="Y382" s="116">
        <f t="shared" si="155"/>
        <v>17730.666666666664</v>
      </c>
      <c r="Z382" s="116">
        <f t="shared" si="143"/>
        <v>0</v>
      </c>
      <c r="AA382" s="116">
        <f t="shared" si="144"/>
        <v>-6649.0000000000036</v>
      </c>
      <c r="AB382" s="117">
        <f>'Ratios (C)'!$C$28+'Ratios (C)'!$D$28</f>
        <v>0.44697875883235366</v>
      </c>
      <c r="AC382" s="116">
        <f t="shared" si="156"/>
        <v>990.65392249210652</v>
      </c>
      <c r="AD382" s="116">
        <f t="shared" si="157"/>
        <v>7925.2313799368512</v>
      </c>
      <c r="AE382" s="118"/>
      <c r="AF382" s="119"/>
      <c r="AG382" s="120"/>
      <c r="AH382" s="118"/>
      <c r="AI382" s="119"/>
      <c r="AJ382" s="121"/>
    </row>
    <row r="383" spans="2:36" s="9" customFormat="1">
      <c r="B383" s="9">
        <v>2</v>
      </c>
      <c r="C383" s="9" t="s">
        <v>589</v>
      </c>
      <c r="E383" s="9">
        <v>203706</v>
      </c>
      <c r="G383" s="9">
        <v>2018</v>
      </c>
      <c r="H383" s="9">
        <v>8</v>
      </c>
      <c r="I383" s="9">
        <v>0</v>
      </c>
      <c r="J383" s="9" t="s">
        <v>78</v>
      </c>
      <c r="K383" s="158">
        <v>12</v>
      </c>
      <c r="L383" s="9">
        <f t="shared" si="145"/>
        <v>2030</v>
      </c>
      <c r="M383" s="127">
        <f t="shared" si="146"/>
        <v>2030.6666666666667</v>
      </c>
      <c r="N383" s="13">
        <v>12630</v>
      </c>
      <c r="O383" s="13">
        <f t="shared" si="147"/>
        <v>12630</v>
      </c>
      <c r="P383" s="13">
        <f t="shared" si="148"/>
        <v>87.708333333333329</v>
      </c>
      <c r="Q383" s="13">
        <f t="shared" si="149"/>
        <v>1052.5</v>
      </c>
      <c r="R383" s="13">
        <v>1052.5</v>
      </c>
      <c r="S383" s="13">
        <f t="shared" si="150"/>
        <v>1052.5</v>
      </c>
      <c r="T383" s="13">
        <f t="shared" si="151"/>
        <v>3157.5</v>
      </c>
      <c r="U383" s="13">
        <f t="shared" si="152"/>
        <v>4210</v>
      </c>
      <c r="V383" s="13">
        <v>11577.5</v>
      </c>
      <c r="W383" s="13">
        <f t="shared" si="153"/>
        <v>8420</v>
      </c>
      <c r="X383" s="115">
        <f t="shared" si="154"/>
        <v>1052.5</v>
      </c>
      <c r="Y383" s="116">
        <f t="shared" si="155"/>
        <v>8420</v>
      </c>
      <c r="Z383" s="116">
        <f t="shared" si="143"/>
        <v>0</v>
      </c>
      <c r="AA383" s="116">
        <f t="shared" si="144"/>
        <v>-3157.5</v>
      </c>
      <c r="AB383" s="117">
        <f>'Ratios (C)'!$C$28+'Ratios (C)'!$D$28</f>
        <v>0.44697875883235366</v>
      </c>
      <c r="AC383" s="116">
        <f t="shared" si="156"/>
        <v>470.44514367105222</v>
      </c>
      <c r="AD383" s="116">
        <f t="shared" si="157"/>
        <v>3763.5611493684178</v>
      </c>
      <c r="AE383" s="118"/>
      <c r="AF383" s="119"/>
      <c r="AG383" s="120"/>
      <c r="AH383" s="118"/>
      <c r="AI383" s="119"/>
      <c r="AJ383" s="121"/>
    </row>
    <row r="384" spans="2:36" s="9" customFormat="1">
      <c r="B384" s="9">
        <v>2</v>
      </c>
      <c r="C384" s="9" t="s">
        <v>590</v>
      </c>
      <c r="E384" s="9">
        <v>202808</v>
      </c>
      <c r="G384" s="9">
        <v>2018</v>
      </c>
      <c r="H384" s="9">
        <v>8</v>
      </c>
      <c r="I384" s="9">
        <v>0</v>
      </c>
      <c r="J384" s="9" t="s">
        <v>78</v>
      </c>
      <c r="K384" s="158">
        <v>12</v>
      </c>
      <c r="L384" s="9">
        <f t="shared" si="145"/>
        <v>2030</v>
      </c>
      <c r="M384" s="127">
        <f t="shared" si="146"/>
        <v>2030.6666666666667</v>
      </c>
      <c r="N384" s="13">
        <v>13966</v>
      </c>
      <c r="O384" s="13">
        <f t="shared" si="147"/>
        <v>13966</v>
      </c>
      <c r="P384" s="13">
        <f t="shared" si="148"/>
        <v>96.9861111111111</v>
      </c>
      <c r="Q384" s="13">
        <f t="shared" si="149"/>
        <v>1163.8333333333333</v>
      </c>
      <c r="R384" s="13">
        <v>1163.8333333333333</v>
      </c>
      <c r="S384" s="13">
        <f t="shared" si="150"/>
        <v>1163.8333333333333</v>
      </c>
      <c r="T384" s="13">
        <f t="shared" si="151"/>
        <v>3491.5</v>
      </c>
      <c r="U384" s="13">
        <f t="shared" si="152"/>
        <v>4655.333333333333</v>
      </c>
      <c r="V384" s="13">
        <v>12802.166666666666</v>
      </c>
      <c r="W384" s="13">
        <f t="shared" si="153"/>
        <v>9310.6666666666679</v>
      </c>
      <c r="X384" s="115">
        <f t="shared" si="154"/>
        <v>1163.8333333333333</v>
      </c>
      <c r="Y384" s="116">
        <f t="shared" si="155"/>
        <v>9310.6666666666679</v>
      </c>
      <c r="Z384" s="116">
        <f t="shared" si="143"/>
        <v>0</v>
      </c>
      <c r="AA384" s="116">
        <f t="shared" si="144"/>
        <v>-3491.4999999999982</v>
      </c>
      <c r="AB384" s="117">
        <f>'Ratios (C)'!$C$28+'Ratios (C)'!$D$28</f>
        <v>0.44697875883235366</v>
      </c>
      <c r="AC384" s="116">
        <f t="shared" si="156"/>
        <v>520.20877882105424</v>
      </c>
      <c r="AD384" s="116">
        <f t="shared" si="157"/>
        <v>4161.6702305684348</v>
      </c>
      <c r="AE384" s="118"/>
      <c r="AF384" s="119"/>
      <c r="AG384" s="120"/>
      <c r="AH384" s="118"/>
      <c r="AI384" s="119"/>
      <c r="AJ384" s="121"/>
    </row>
    <row r="385" spans="2:36" s="9" customFormat="1">
      <c r="B385" s="9">
        <v>4</v>
      </c>
      <c r="C385" s="9" t="s">
        <v>591</v>
      </c>
      <c r="E385" s="9">
        <v>203787</v>
      </c>
      <c r="G385" s="9">
        <v>2018</v>
      </c>
      <c r="H385" s="9">
        <v>9</v>
      </c>
      <c r="I385" s="9">
        <v>0</v>
      </c>
      <c r="J385" s="9" t="s">
        <v>78</v>
      </c>
      <c r="K385" s="158">
        <v>12</v>
      </c>
      <c r="L385" s="9">
        <f t="shared" si="145"/>
        <v>2030</v>
      </c>
      <c r="M385" s="127">
        <f t="shared" si="146"/>
        <v>2030.75</v>
      </c>
      <c r="N385" s="13">
        <v>25260</v>
      </c>
      <c r="O385" s="13">
        <f t="shared" si="147"/>
        <v>25260</v>
      </c>
      <c r="P385" s="13">
        <f t="shared" si="148"/>
        <v>175.41666666666666</v>
      </c>
      <c r="Q385" s="13">
        <f t="shared" si="149"/>
        <v>2105</v>
      </c>
      <c r="R385" s="13">
        <v>2105</v>
      </c>
      <c r="S385" s="13">
        <f t="shared" si="150"/>
        <v>2105</v>
      </c>
      <c r="T385" s="13">
        <f t="shared" si="151"/>
        <v>6315</v>
      </c>
      <c r="U385" s="13">
        <f t="shared" si="152"/>
        <v>8420</v>
      </c>
      <c r="V385" s="13">
        <v>23155</v>
      </c>
      <c r="W385" s="13">
        <f t="shared" si="153"/>
        <v>16840</v>
      </c>
      <c r="X385" s="115">
        <f t="shared" si="154"/>
        <v>2105</v>
      </c>
      <c r="Y385" s="116">
        <f t="shared" si="155"/>
        <v>16840</v>
      </c>
      <c r="Z385" s="116">
        <f t="shared" si="143"/>
        <v>0</v>
      </c>
      <c r="AA385" s="116">
        <f t="shared" si="144"/>
        <v>-6315</v>
      </c>
      <c r="AB385" s="117">
        <f>'Ratios (C)'!$C$28+'Ratios (C)'!$D$28</f>
        <v>0.44697875883235366</v>
      </c>
      <c r="AC385" s="116">
        <f t="shared" si="156"/>
        <v>940.89028734210444</v>
      </c>
      <c r="AD385" s="116">
        <f t="shared" si="157"/>
        <v>7527.1222987368355</v>
      </c>
      <c r="AE385" s="118"/>
      <c r="AF385" s="119"/>
      <c r="AG385" s="120"/>
      <c r="AH385" s="118"/>
      <c r="AI385" s="119"/>
      <c r="AJ385" s="121"/>
    </row>
    <row r="386" spans="2:36" s="9" customFormat="1">
      <c r="B386" s="9">
        <v>4</v>
      </c>
      <c r="C386" s="9" t="s">
        <v>592</v>
      </c>
      <c r="E386" s="9">
        <v>204172</v>
      </c>
      <c r="G386" s="9">
        <v>2018</v>
      </c>
      <c r="H386" s="9">
        <v>9</v>
      </c>
      <c r="I386" s="9">
        <v>0</v>
      </c>
      <c r="J386" s="9" t="s">
        <v>78</v>
      </c>
      <c r="K386" s="158">
        <v>12</v>
      </c>
      <c r="L386" s="9">
        <f t="shared" si="145"/>
        <v>2030</v>
      </c>
      <c r="M386" s="127">
        <f t="shared" si="146"/>
        <v>2030.75</v>
      </c>
      <c r="N386" s="13">
        <v>27932</v>
      </c>
      <c r="O386" s="13">
        <f t="shared" si="147"/>
        <v>27932</v>
      </c>
      <c r="P386" s="13">
        <f t="shared" si="148"/>
        <v>193.9722222222222</v>
      </c>
      <c r="Q386" s="13">
        <f t="shared" si="149"/>
        <v>2327.6666666666665</v>
      </c>
      <c r="R386" s="13">
        <v>2327.6666666666665</v>
      </c>
      <c r="S386" s="13">
        <f t="shared" si="150"/>
        <v>2327.6666666666665</v>
      </c>
      <c r="T386" s="13">
        <f t="shared" si="151"/>
        <v>6983</v>
      </c>
      <c r="U386" s="13">
        <f t="shared" si="152"/>
        <v>9310.6666666666661</v>
      </c>
      <c r="V386" s="13">
        <v>25604.333333333332</v>
      </c>
      <c r="W386" s="13">
        <f t="shared" si="153"/>
        <v>18621.333333333336</v>
      </c>
      <c r="X386" s="115">
        <f t="shared" si="154"/>
        <v>2327.6666666666665</v>
      </c>
      <c r="Y386" s="116">
        <f t="shared" si="155"/>
        <v>18621.333333333336</v>
      </c>
      <c r="Z386" s="116">
        <f t="shared" si="143"/>
        <v>0</v>
      </c>
      <c r="AA386" s="116">
        <f t="shared" si="144"/>
        <v>-6982.9999999999964</v>
      </c>
      <c r="AB386" s="117">
        <f>'Ratios (C)'!$C$28+'Ratios (C)'!$D$28</f>
        <v>0.44697875883235366</v>
      </c>
      <c r="AC386" s="116">
        <f t="shared" si="156"/>
        <v>1040.4175576421085</v>
      </c>
      <c r="AD386" s="116">
        <f t="shared" si="157"/>
        <v>8323.3404611368696</v>
      </c>
      <c r="AE386" s="118"/>
      <c r="AF386" s="119"/>
      <c r="AG386" s="120"/>
      <c r="AH386" s="118"/>
      <c r="AI386" s="119"/>
      <c r="AJ386" s="121"/>
    </row>
    <row r="387" spans="2:36" s="9" customFormat="1">
      <c r="B387" s="9">
        <v>4</v>
      </c>
      <c r="C387" s="9" t="s">
        <v>593</v>
      </c>
      <c r="E387" s="9">
        <v>204174</v>
      </c>
      <c r="G387" s="9">
        <v>2018</v>
      </c>
      <c r="H387" s="9">
        <v>9</v>
      </c>
      <c r="I387" s="9">
        <v>0</v>
      </c>
      <c r="J387" s="9" t="s">
        <v>78</v>
      </c>
      <c r="K387" s="158">
        <v>12</v>
      </c>
      <c r="L387" s="9">
        <f t="shared" si="145"/>
        <v>2030</v>
      </c>
      <c r="M387" s="127">
        <f t="shared" si="146"/>
        <v>2030.75</v>
      </c>
      <c r="N387" s="13">
        <v>25640</v>
      </c>
      <c r="O387" s="13">
        <f t="shared" si="147"/>
        <v>25640</v>
      </c>
      <c r="P387" s="13">
        <f t="shared" si="148"/>
        <v>178.05555555555554</v>
      </c>
      <c r="Q387" s="13">
        <f t="shared" si="149"/>
        <v>2136.6666666666665</v>
      </c>
      <c r="R387" s="13">
        <v>2136.6666666666665</v>
      </c>
      <c r="S387" s="13">
        <f t="shared" si="150"/>
        <v>2136.6666666666665</v>
      </c>
      <c r="T387" s="13">
        <f t="shared" si="151"/>
        <v>6410</v>
      </c>
      <c r="U387" s="13">
        <f t="shared" si="152"/>
        <v>8546.6666666666661</v>
      </c>
      <c r="V387" s="13">
        <v>23503.333333333332</v>
      </c>
      <c r="W387" s="13">
        <f t="shared" si="153"/>
        <v>17093.333333333336</v>
      </c>
      <c r="X387" s="115">
        <f t="shared" si="154"/>
        <v>2136.6666666666665</v>
      </c>
      <c r="Y387" s="116">
        <f t="shared" si="155"/>
        <v>17093.333333333336</v>
      </c>
      <c r="Z387" s="116">
        <f t="shared" si="143"/>
        <v>0</v>
      </c>
      <c r="AA387" s="116">
        <f t="shared" si="144"/>
        <v>-6409.9999999999964</v>
      </c>
      <c r="AB387" s="117">
        <f>'Ratios (C)'!$C$28+'Ratios (C)'!$D$28</f>
        <v>0.44697875883235366</v>
      </c>
      <c r="AC387" s="116">
        <f t="shared" si="156"/>
        <v>955.04461470512888</v>
      </c>
      <c r="AD387" s="116">
        <f t="shared" si="157"/>
        <v>7640.3569176410329</v>
      </c>
      <c r="AE387" s="118"/>
      <c r="AF387" s="119"/>
      <c r="AG387" s="120"/>
      <c r="AH387" s="118"/>
      <c r="AI387" s="119"/>
      <c r="AJ387" s="121"/>
    </row>
    <row r="388" spans="2:36" s="9" customFormat="1">
      <c r="B388" s="9">
        <v>2</v>
      </c>
      <c r="C388" s="9" t="s">
        <v>594</v>
      </c>
      <c r="E388" s="9">
        <v>204175</v>
      </c>
      <c r="G388" s="9">
        <v>2018</v>
      </c>
      <c r="H388" s="9">
        <v>9</v>
      </c>
      <c r="I388" s="9">
        <v>0</v>
      </c>
      <c r="J388" s="9" t="s">
        <v>78</v>
      </c>
      <c r="K388" s="158">
        <v>12</v>
      </c>
      <c r="L388" s="9">
        <f t="shared" si="145"/>
        <v>2030</v>
      </c>
      <c r="M388" s="127">
        <f t="shared" si="146"/>
        <v>2030.75</v>
      </c>
      <c r="N388" s="13">
        <v>14176</v>
      </c>
      <c r="O388" s="13">
        <f t="shared" si="147"/>
        <v>14176</v>
      </c>
      <c r="P388" s="13">
        <f t="shared" si="148"/>
        <v>98.444444444444443</v>
      </c>
      <c r="Q388" s="13">
        <f t="shared" si="149"/>
        <v>1181.3333333333333</v>
      </c>
      <c r="R388" s="13">
        <v>1181.3333333333333</v>
      </c>
      <c r="S388" s="13">
        <f t="shared" si="150"/>
        <v>1181.3333333333333</v>
      </c>
      <c r="T388" s="13">
        <f t="shared" si="151"/>
        <v>3544</v>
      </c>
      <c r="U388" s="13">
        <f t="shared" si="152"/>
        <v>4725.333333333333</v>
      </c>
      <c r="V388" s="13">
        <v>12994.666666666666</v>
      </c>
      <c r="W388" s="13">
        <f t="shared" si="153"/>
        <v>9450.6666666666679</v>
      </c>
      <c r="X388" s="115">
        <f t="shared" si="154"/>
        <v>1181.3333333333333</v>
      </c>
      <c r="Y388" s="116">
        <f t="shared" si="155"/>
        <v>9450.6666666666679</v>
      </c>
      <c r="Z388" s="116">
        <f t="shared" si="143"/>
        <v>0</v>
      </c>
      <c r="AA388" s="116">
        <f t="shared" si="144"/>
        <v>-3543.9999999999982</v>
      </c>
      <c r="AB388" s="117">
        <f>'Ratios (C)'!$C$28+'Ratios (C)'!$D$28</f>
        <v>0.44697875883235366</v>
      </c>
      <c r="AC388" s="116">
        <f t="shared" si="156"/>
        <v>528.03090710062042</v>
      </c>
      <c r="AD388" s="116">
        <f t="shared" si="157"/>
        <v>4224.2472568049643</v>
      </c>
      <c r="AE388" s="118"/>
      <c r="AF388" s="119"/>
      <c r="AG388" s="120"/>
      <c r="AH388" s="118"/>
      <c r="AI388" s="119"/>
      <c r="AJ388" s="121"/>
    </row>
    <row r="389" spans="2:36" s="9" customFormat="1">
      <c r="B389" s="9">
        <v>1</v>
      </c>
      <c r="C389" s="9" t="s">
        <v>595</v>
      </c>
      <c r="E389" s="9">
        <v>204288</v>
      </c>
      <c r="G389" s="9">
        <v>2018</v>
      </c>
      <c r="H389" s="9">
        <v>10</v>
      </c>
      <c r="I389" s="9">
        <v>0</v>
      </c>
      <c r="J389" s="9" t="s">
        <v>78</v>
      </c>
      <c r="K389" s="158">
        <v>12</v>
      </c>
      <c r="L389" s="9">
        <f t="shared" si="145"/>
        <v>2030</v>
      </c>
      <c r="M389" s="127">
        <f t="shared" si="146"/>
        <v>2030.8333333333333</v>
      </c>
      <c r="N389" s="13">
        <v>6410</v>
      </c>
      <c r="O389" s="13">
        <f t="shared" si="147"/>
        <v>6410</v>
      </c>
      <c r="P389" s="13">
        <f t="shared" si="148"/>
        <v>44.513888888888886</v>
      </c>
      <c r="Q389" s="13">
        <f t="shared" si="149"/>
        <v>534.16666666666663</v>
      </c>
      <c r="R389" s="13">
        <v>534.16666666666663</v>
      </c>
      <c r="S389" s="13">
        <f t="shared" si="150"/>
        <v>534.16666666666663</v>
      </c>
      <c r="T389" s="13">
        <f t="shared" si="151"/>
        <v>1602.5</v>
      </c>
      <c r="U389" s="13">
        <f t="shared" si="152"/>
        <v>2136.6666666666665</v>
      </c>
      <c r="V389" s="13">
        <v>5875.833333333333</v>
      </c>
      <c r="W389" s="13">
        <f t="shared" si="153"/>
        <v>4273.3333333333339</v>
      </c>
      <c r="X389" s="115">
        <f t="shared" si="154"/>
        <v>534.16666666666663</v>
      </c>
      <c r="Y389" s="116">
        <f t="shared" si="155"/>
        <v>4273.3333333333339</v>
      </c>
      <c r="Z389" s="116">
        <f t="shared" si="143"/>
        <v>0</v>
      </c>
      <c r="AA389" s="116">
        <f t="shared" si="144"/>
        <v>-1602.4999999999991</v>
      </c>
      <c r="AB389" s="117">
        <f>'Ratios (C)'!$C$28+'Ratios (C)'!$D$28</f>
        <v>0.44697875883235366</v>
      </c>
      <c r="AC389" s="116">
        <f t="shared" si="156"/>
        <v>238.76115367628222</v>
      </c>
      <c r="AD389" s="116">
        <f t="shared" si="157"/>
        <v>1910.0892294102582</v>
      </c>
      <c r="AE389" s="118"/>
      <c r="AF389" s="119"/>
      <c r="AG389" s="120"/>
      <c r="AH389" s="118"/>
      <c r="AI389" s="119"/>
      <c r="AJ389" s="121"/>
    </row>
    <row r="390" spans="2:36" s="9" customFormat="1">
      <c r="B390" s="9">
        <v>1</v>
      </c>
      <c r="C390" s="9" t="s">
        <v>596</v>
      </c>
      <c r="E390" s="9">
        <v>204289</v>
      </c>
      <c r="G390" s="9">
        <v>2018</v>
      </c>
      <c r="H390" s="9">
        <v>10</v>
      </c>
      <c r="I390" s="9">
        <v>0</v>
      </c>
      <c r="J390" s="9" t="s">
        <v>78</v>
      </c>
      <c r="K390" s="158">
        <v>12</v>
      </c>
      <c r="L390" s="9">
        <f t="shared" si="145"/>
        <v>2030</v>
      </c>
      <c r="M390" s="127">
        <f t="shared" si="146"/>
        <v>2030.8333333333333</v>
      </c>
      <c r="N390" s="13">
        <v>7088</v>
      </c>
      <c r="O390" s="13">
        <f t="shared" si="147"/>
        <v>7088</v>
      </c>
      <c r="P390" s="13">
        <f t="shared" si="148"/>
        <v>49.222222222222221</v>
      </c>
      <c r="Q390" s="13">
        <f t="shared" si="149"/>
        <v>590.66666666666663</v>
      </c>
      <c r="R390" s="13">
        <v>590.66666666666663</v>
      </c>
      <c r="S390" s="13">
        <f t="shared" si="150"/>
        <v>590.66666666666663</v>
      </c>
      <c r="T390" s="13">
        <f t="shared" si="151"/>
        <v>1772</v>
      </c>
      <c r="U390" s="13">
        <f t="shared" si="152"/>
        <v>2362.6666666666665</v>
      </c>
      <c r="V390" s="13">
        <v>6497.333333333333</v>
      </c>
      <c r="W390" s="13">
        <f t="shared" si="153"/>
        <v>4725.3333333333339</v>
      </c>
      <c r="X390" s="115">
        <f t="shared" si="154"/>
        <v>590.66666666666663</v>
      </c>
      <c r="Y390" s="116">
        <f t="shared" si="155"/>
        <v>4725.3333333333339</v>
      </c>
      <c r="Z390" s="116">
        <f t="shared" si="143"/>
        <v>0</v>
      </c>
      <c r="AA390" s="116">
        <f t="shared" si="144"/>
        <v>-1771.9999999999991</v>
      </c>
      <c r="AB390" s="117">
        <f>'Ratios (C)'!$C$28+'Ratios (C)'!$D$28</f>
        <v>0.44697875883235366</v>
      </c>
      <c r="AC390" s="116">
        <f t="shared" si="156"/>
        <v>264.01545355031021</v>
      </c>
      <c r="AD390" s="116">
        <f t="shared" si="157"/>
        <v>2112.1236284024822</v>
      </c>
      <c r="AE390" s="118"/>
      <c r="AF390" s="119"/>
      <c r="AG390" s="120"/>
      <c r="AH390" s="118"/>
      <c r="AI390" s="119"/>
      <c r="AJ390" s="121"/>
    </row>
    <row r="391" spans="2:36" s="9" customFormat="1">
      <c r="B391" s="9">
        <v>2</v>
      </c>
      <c r="C391" s="9" t="s">
        <v>590</v>
      </c>
      <c r="E391" s="9">
        <v>204576</v>
      </c>
      <c r="G391" s="9">
        <v>2018</v>
      </c>
      <c r="H391" s="9">
        <v>10</v>
      </c>
      <c r="I391" s="9">
        <v>0</v>
      </c>
      <c r="J391" s="9" t="s">
        <v>78</v>
      </c>
      <c r="K391" s="158">
        <v>12</v>
      </c>
      <c r="L391" s="9">
        <f t="shared" si="145"/>
        <v>2030</v>
      </c>
      <c r="M391" s="127">
        <f t="shared" si="146"/>
        <v>2030.8333333333333</v>
      </c>
      <c r="N391" s="13">
        <v>13966</v>
      </c>
      <c r="O391" s="13">
        <f t="shared" si="147"/>
        <v>13966</v>
      </c>
      <c r="P391" s="13">
        <f t="shared" si="148"/>
        <v>96.9861111111111</v>
      </c>
      <c r="Q391" s="13">
        <f t="shared" si="149"/>
        <v>1163.8333333333333</v>
      </c>
      <c r="R391" s="13">
        <v>1163.8333333333333</v>
      </c>
      <c r="S391" s="13">
        <f t="shared" si="150"/>
        <v>1163.8333333333333</v>
      </c>
      <c r="T391" s="13">
        <f t="shared" si="151"/>
        <v>3491.5</v>
      </c>
      <c r="U391" s="13">
        <f t="shared" si="152"/>
        <v>4655.333333333333</v>
      </c>
      <c r="V391" s="13">
        <v>12802.166666666666</v>
      </c>
      <c r="W391" s="13">
        <f t="shared" si="153"/>
        <v>9310.6666666666679</v>
      </c>
      <c r="X391" s="115">
        <f t="shared" si="154"/>
        <v>1163.8333333333333</v>
      </c>
      <c r="Y391" s="116">
        <f t="shared" si="155"/>
        <v>9310.6666666666679</v>
      </c>
      <c r="Z391" s="116">
        <f t="shared" si="143"/>
        <v>0</v>
      </c>
      <c r="AA391" s="116">
        <f t="shared" si="144"/>
        <v>-3491.4999999999982</v>
      </c>
      <c r="AB391" s="117">
        <f>'Ratios (C)'!$C$28+'Ratios (C)'!$D$28</f>
        <v>0.44697875883235366</v>
      </c>
      <c r="AC391" s="116">
        <f t="shared" si="156"/>
        <v>520.20877882105424</v>
      </c>
      <c r="AD391" s="116">
        <f t="shared" si="157"/>
        <v>4161.6702305684348</v>
      </c>
      <c r="AE391" s="118"/>
      <c r="AF391" s="119"/>
      <c r="AG391" s="120"/>
      <c r="AH391" s="118"/>
      <c r="AI391" s="119"/>
      <c r="AJ391" s="121"/>
    </row>
    <row r="392" spans="2:36" s="9" customFormat="1">
      <c r="B392" s="9">
        <v>2</v>
      </c>
      <c r="C392" s="9" t="s">
        <v>597</v>
      </c>
      <c r="E392" s="9">
        <v>204244</v>
      </c>
      <c r="G392" s="9">
        <v>2018</v>
      </c>
      <c r="H392" s="9">
        <v>10</v>
      </c>
      <c r="I392" s="9">
        <v>0</v>
      </c>
      <c r="J392" s="9" t="s">
        <v>78</v>
      </c>
      <c r="K392" s="158">
        <v>12</v>
      </c>
      <c r="L392" s="9">
        <f t="shared" si="145"/>
        <v>2030</v>
      </c>
      <c r="M392" s="127">
        <f t="shared" si="146"/>
        <v>2030.8333333333333</v>
      </c>
      <c r="N392" s="13">
        <v>15609</v>
      </c>
      <c r="O392" s="13">
        <f t="shared" si="147"/>
        <v>15609</v>
      </c>
      <c r="P392" s="13">
        <f t="shared" si="148"/>
        <v>108.39583333333333</v>
      </c>
      <c r="Q392" s="13">
        <f t="shared" si="149"/>
        <v>1300.75</v>
      </c>
      <c r="R392" s="13">
        <v>1300.75</v>
      </c>
      <c r="S392" s="13">
        <f t="shared" si="150"/>
        <v>1300.75</v>
      </c>
      <c r="T392" s="13">
        <f t="shared" si="151"/>
        <v>3902.25</v>
      </c>
      <c r="U392" s="13">
        <f t="shared" si="152"/>
        <v>5203</v>
      </c>
      <c r="V392" s="13">
        <v>14308.25</v>
      </c>
      <c r="W392" s="13">
        <f t="shared" si="153"/>
        <v>10406</v>
      </c>
      <c r="X392" s="115">
        <f t="shared" si="154"/>
        <v>1300.75</v>
      </c>
      <c r="Y392" s="116">
        <f t="shared" si="155"/>
        <v>10406</v>
      </c>
      <c r="Z392" s="116">
        <f t="shared" si="143"/>
        <v>0</v>
      </c>
      <c r="AA392" s="116">
        <f t="shared" si="144"/>
        <v>-3902.25</v>
      </c>
      <c r="AB392" s="117">
        <f>'Ratios (C)'!$C$28+'Ratios (C)'!$D$28</f>
        <v>0.44697875883235366</v>
      </c>
      <c r="AC392" s="116">
        <f t="shared" si="156"/>
        <v>581.40762055118398</v>
      </c>
      <c r="AD392" s="116">
        <f t="shared" si="157"/>
        <v>4651.2609644094719</v>
      </c>
      <c r="AE392" s="118"/>
      <c r="AF392" s="119"/>
      <c r="AG392" s="120"/>
      <c r="AH392" s="118"/>
      <c r="AI392" s="119"/>
      <c r="AJ392" s="121"/>
    </row>
    <row r="393" spans="2:36" s="9" customFormat="1">
      <c r="B393" s="9">
        <v>2</v>
      </c>
      <c r="C393" s="9" t="s">
        <v>594</v>
      </c>
      <c r="E393" s="9">
        <v>204579</v>
      </c>
      <c r="G393" s="9">
        <v>2018</v>
      </c>
      <c r="H393" s="9">
        <v>10</v>
      </c>
      <c r="I393" s="9">
        <v>0</v>
      </c>
      <c r="J393" s="9" t="s">
        <v>78</v>
      </c>
      <c r="K393" s="158">
        <v>12</v>
      </c>
      <c r="L393" s="9">
        <f t="shared" si="145"/>
        <v>2030</v>
      </c>
      <c r="M393" s="127">
        <f t="shared" si="146"/>
        <v>2030.8333333333333</v>
      </c>
      <c r="N393" s="13">
        <v>14176</v>
      </c>
      <c r="O393" s="13">
        <f t="shared" si="147"/>
        <v>14176</v>
      </c>
      <c r="P393" s="13">
        <f t="shared" si="148"/>
        <v>98.444444444444443</v>
      </c>
      <c r="Q393" s="13">
        <f t="shared" si="149"/>
        <v>1181.3333333333333</v>
      </c>
      <c r="R393" s="13">
        <v>1181.3333333333333</v>
      </c>
      <c r="S393" s="13">
        <f t="shared" si="150"/>
        <v>1181.3333333333333</v>
      </c>
      <c r="T393" s="13">
        <f t="shared" si="151"/>
        <v>3544</v>
      </c>
      <c r="U393" s="13">
        <f t="shared" si="152"/>
        <v>4725.333333333333</v>
      </c>
      <c r="V393" s="13">
        <v>12994.666666666666</v>
      </c>
      <c r="W393" s="13">
        <f t="shared" si="153"/>
        <v>9450.6666666666679</v>
      </c>
      <c r="X393" s="115">
        <f t="shared" si="154"/>
        <v>1181.3333333333333</v>
      </c>
      <c r="Y393" s="116">
        <f t="shared" si="155"/>
        <v>9450.6666666666679</v>
      </c>
      <c r="Z393" s="116">
        <f t="shared" si="143"/>
        <v>0</v>
      </c>
      <c r="AA393" s="116">
        <f t="shared" si="144"/>
        <v>-3543.9999999999982</v>
      </c>
      <c r="AB393" s="117">
        <f>'Ratios (C)'!$C$28+'Ratios (C)'!$D$28</f>
        <v>0.44697875883235366</v>
      </c>
      <c r="AC393" s="116">
        <f t="shared" si="156"/>
        <v>528.03090710062042</v>
      </c>
      <c r="AD393" s="116">
        <f t="shared" si="157"/>
        <v>4224.2472568049643</v>
      </c>
      <c r="AE393" s="118"/>
      <c r="AF393" s="119"/>
      <c r="AG393" s="120"/>
      <c r="AH393" s="118"/>
      <c r="AI393" s="119"/>
      <c r="AJ393" s="121"/>
    </row>
    <row r="394" spans="2:36" s="9" customFormat="1">
      <c r="B394" s="9">
        <v>4</v>
      </c>
      <c r="C394" s="9" t="s">
        <v>598</v>
      </c>
      <c r="E394" s="9">
        <v>204577</v>
      </c>
      <c r="G394" s="9">
        <v>2018</v>
      </c>
      <c r="H394" s="9">
        <v>10</v>
      </c>
      <c r="I394" s="9">
        <v>0</v>
      </c>
      <c r="J394" s="9" t="s">
        <v>78</v>
      </c>
      <c r="K394" s="158">
        <v>12</v>
      </c>
      <c r="L394" s="9">
        <f t="shared" si="145"/>
        <v>2030</v>
      </c>
      <c r="M394" s="127">
        <f t="shared" si="146"/>
        <v>2030.8333333333333</v>
      </c>
      <c r="N394" s="13">
        <v>30408</v>
      </c>
      <c r="O394" s="13">
        <f t="shared" si="147"/>
        <v>30408</v>
      </c>
      <c r="P394" s="13">
        <f t="shared" si="148"/>
        <v>211.16666666666666</v>
      </c>
      <c r="Q394" s="13">
        <f t="shared" si="149"/>
        <v>2534</v>
      </c>
      <c r="R394" s="13">
        <v>2534</v>
      </c>
      <c r="S394" s="13">
        <f t="shared" si="150"/>
        <v>2534</v>
      </c>
      <c r="T394" s="13">
        <f t="shared" si="151"/>
        <v>7602</v>
      </c>
      <c r="U394" s="13">
        <f t="shared" si="152"/>
        <v>10136</v>
      </c>
      <c r="V394" s="13">
        <v>27874</v>
      </c>
      <c r="W394" s="13">
        <f t="shared" si="153"/>
        <v>20272</v>
      </c>
      <c r="X394" s="115">
        <f t="shared" si="154"/>
        <v>2534</v>
      </c>
      <c r="Y394" s="116">
        <f t="shared" si="155"/>
        <v>20272</v>
      </c>
      <c r="Z394" s="116">
        <f t="shared" si="143"/>
        <v>0</v>
      </c>
      <c r="AA394" s="116">
        <f t="shared" si="144"/>
        <v>-7602</v>
      </c>
      <c r="AB394" s="117">
        <f>'Ratios (C)'!$C$28+'Ratios (C)'!$D$28</f>
        <v>0.44697875883235366</v>
      </c>
      <c r="AC394" s="116">
        <f t="shared" si="156"/>
        <v>1132.6441748811842</v>
      </c>
      <c r="AD394" s="116">
        <f t="shared" si="157"/>
        <v>9061.1533990494736</v>
      </c>
      <c r="AE394" s="118"/>
      <c r="AF394" s="119"/>
      <c r="AG394" s="120"/>
      <c r="AH394" s="118"/>
      <c r="AI394" s="119"/>
      <c r="AJ394" s="121"/>
    </row>
    <row r="395" spans="2:36" s="9" customFormat="1">
      <c r="B395" s="9">
        <v>2</v>
      </c>
      <c r="C395" s="9" t="s">
        <v>588</v>
      </c>
      <c r="E395" s="9">
        <v>204578</v>
      </c>
      <c r="G395" s="9">
        <v>2018</v>
      </c>
      <c r="H395" s="9">
        <v>10</v>
      </c>
      <c r="I395" s="9">
        <v>0</v>
      </c>
      <c r="J395" s="9" t="s">
        <v>78</v>
      </c>
      <c r="K395" s="158">
        <v>12</v>
      </c>
      <c r="L395" s="9">
        <f t="shared" si="145"/>
        <v>2030</v>
      </c>
      <c r="M395" s="127">
        <f t="shared" si="146"/>
        <v>2030.8333333333333</v>
      </c>
      <c r="N395" s="13">
        <v>13169</v>
      </c>
      <c r="O395" s="13">
        <f t="shared" si="147"/>
        <v>13169</v>
      </c>
      <c r="P395" s="13">
        <f t="shared" si="148"/>
        <v>91.4513888888889</v>
      </c>
      <c r="Q395" s="13">
        <f t="shared" si="149"/>
        <v>1097.4166666666667</v>
      </c>
      <c r="R395" s="13">
        <v>1097.4166666666667</v>
      </c>
      <c r="S395" s="13">
        <f t="shared" si="150"/>
        <v>1097.4166666666667</v>
      </c>
      <c r="T395" s="13">
        <f t="shared" si="151"/>
        <v>3292.25</v>
      </c>
      <c r="U395" s="13">
        <f t="shared" si="152"/>
        <v>4389.666666666667</v>
      </c>
      <c r="V395" s="13">
        <v>12071.583333333334</v>
      </c>
      <c r="W395" s="13">
        <f t="shared" si="153"/>
        <v>8779.3333333333321</v>
      </c>
      <c r="X395" s="115">
        <f t="shared" si="154"/>
        <v>1097.4166666666667</v>
      </c>
      <c r="Y395" s="116">
        <f t="shared" si="155"/>
        <v>8779.3333333333321</v>
      </c>
      <c r="Z395" s="116">
        <f t="shared" si="143"/>
        <v>0</v>
      </c>
      <c r="AA395" s="116">
        <f t="shared" si="144"/>
        <v>-3292.2500000000018</v>
      </c>
      <c r="AB395" s="117">
        <f>'Ratios (C)'!$C$28+'Ratios (C)'!$D$28</f>
        <v>0.44697875883235366</v>
      </c>
      <c r="AC395" s="116">
        <f t="shared" si="156"/>
        <v>490.52193958860551</v>
      </c>
      <c r="AD395" s="116">
        <f t="shared" si="157"/>
        <v>3924.1755167088431</v>
      </c>
      <c r="AE395" s="118"/>
      <c r="AF395" s="119"/>
      <c r="AG395" s="120"/>
      <c r="AH395" s="118"/>
      <c r="AI395" s="119"/>
      <c r="AJ395" s="121"/>
    </row>
    <row r="396" spans="2:36" s="9" customFormat="1">
      <c r="B396" s="9">
        <v>6</v>
      </c>
      <c r="C396" s="9" t="s">
        <v>599</v>
      </c>
      <c r="E396" s="9">
        <v>206411</v>
      </c>
      <c r="G396" s="9">
        <v>2018</v>
      </c>
      <c r="H396" s="9">
        <v>10</v>
      </c>
      <c r="I396" s="9">
        <v>0</v>
      </c>
      <c r="J396" s="9" t="s">
        <v>78</v>
      </c>
      <c r="K396" s="158">
        <v>12</v>
      </c>
      <c r="L396" s="9">
        <f t="shared" si="145"/>
        <v>2030</v>
      </c>
      <c r="M396" s="127">
        <f t="shared" si="146"/>
        <v>2030.8333333333333</v>
      </c>
      <c r="N396" s="13">
        <v>45612</v>
      </c>
      <c r="O396" s="13">
        <f t="shared" si="147"/>
        <v>45612</v>
      </c>
      <c r="P396" s="13">
        <f t="shared" si="148"/>
        <v>316.75</v>
      </c>
      <c r="Q396" s="13">
        <f t="shared" si="149"/>
        <v>3801</v>
      </c>
      <c r="R396" s="13">
        <v>3801</v>
      </c>
      <c r="S396" s="13">
        <f t="shared" si="150"/>
        <v>3801</v>
      </c>
      <c r="T396" s="13">
        <f t="shared" si="151"/>
        <v>11403</v>
      </c>
      <c r="U396" s="13">
        <f t="shared" si="152"/>
        <v>15204</v>
      </c>
      <c r="V396" s="13">
        <v>41811</v>
      </c>
      <c r="W396" s="13">
        <f t="shared" si="153"/>
        <v>30408</v>
      </c>
      <c r="X396" s="115">
        <f t="shared" si="154"/>
        <v>3801</v>
      </c>
      <c r="Y396" s="116">
        <f t="shared" si="155"/>
        <v>30408</v>
      </c>
      <c r="Z396" s="116">
        <f t="shared" si="143"/>
        <v>0</v>
      </c>
      <c r="AA396" s="116">
        <f t="shared" si="144"/>
        <v>-11403</v>
      </c>
      <c r="AB396" s="117">
        <f>'Ratios (C)'!$C$28+'Ratios (C)'!$D$28</f>
        <v>0.44697875883235366</v>
      </c>
      <c r="AC396" s="116">
        <f t="shared" si="156"/>
        <v>1698.9662623217762</v>
      </c>
      <c r="AD396" s="116">
        <f t="shared" si="157"/>
        <v>13591.730098574209</v>
      </c>
      <c r="AE396" s="118"/>
      <c r="AF396" s="119"/>
      <c r="AG396" s="120"/>
      <c r="AH396" s="118"/>
      <c r="AI396" s="119"/>
      <c r="AJ396" s="121"/>
    </row>
    <row r="397" spans="2:36" s="9" customFormat="1">
      <c r="B397" s="9">
        <v>3</v>
      </c>
      <c r="C397" s="9" t="s">
        <v>600</v>
      </c>
      <c r="E397" s="9">
        <v>206413</v>
      </c>
      <c r="G397" s="9">
        <v>2018</v>
      </c>
      <c r="H397" s="9">
        <v>10</v>
      </c>
      <c r="I397" s="9">
        <v>0</v>
      </c>
      <c r="J397" s="9" t="s">
        <v>78</v>
      </c>
      <c r="K397" s="158">
        <v>12</v>
      </c>
      <c r="L397" s="9">
        <f t="shared" si="145"/>
        <v>2030</v>
      </c>
      <c r="M397" s="127">
        <f t="shared" si="146"/>
        <v>2030.8333333333333</v>
      </c>
      <c r="N397" s="13">
        <v>18099</v>
      </c>
      <c r="O397" s="13">
        <f t="shared" si="147"/>
        <v>18099</v>
      </c>
      <c r="P397" s="13">
        <f t="shared" si="148"/>
        <v>125.6875</v>
      </c>
      <c r="Q397" s="13">
        <f t="shared" si="149"/>
        <v>1508.25</v>
      </c>
      <c r="R397" s="13">
        <v>1508.25</v>
      </c>
      <c r="S397" s="13">
        <f t="shared" si="150"/>
        <v>1508.25</v>
      </c>
      <c r="T397" s="13">
        <f t="shared" si="151"/>
        <v>4524.75</v>
      </c>
      <c r="U397" s="13">
        <f t="shared" si="152"/>
        <v>6033</v>
      </c>
      <c r="V397" s="13">
        <v>16590.75</v>
      </c>
      <c r="W397" s="13">
        <f t="shared" si="153"/>
        <v>12066</v>
      </c>
      <c r="X397" s="115">
        <f t="shared" si="154"/>
        <v>1508.25</v>
      </c>
      <c r="Y397" s="116">
        <f t="shared" si="155"/>
        <v>12066</v>
      </c>
      <c r="Z397" s="116">
        <f t="shared" si="143"/>
        <v>0</v>
      </c>
      <c r="AA397" s="116">
        <f t="shared" si="144"/>
        <v>-4524.75</v>
      </c>
      <c r="AB397" s="117">
        <f>'Ratios (C)'!$C$28+'Ratios (C)'!$D$28</f>
        <v>0.44697875883235366</v>
      </c>
      <c r="AC397" s="116">
        <f t="shared" si="156"/>
        <v>674.15571300889746</v>
      </c>
      <c r="AD397" s="116">
        <f t="shared" si="157"/>
        <v>5393.2457040711797</v>
      </c>
      <c r="AE397" s="118"/>
      <c r="AF397" s="119"/>
      <c r="AG397" s="120"/>
      <c r="AH397" s="118"/>
      <c r="AI397" s="119"/>
      <c r="AJ397" s="121"/>
    </row>
    <row r="398" spans="2:36" s="9" customFormat="1">
      <c r="B398" s="9">
        <v>2</v>
      </c>
      <c r="C398" s="9" t="s">
        <v>601</v>
      </c>
      <c r="E398" s="9">
        <v>206412</v>
      </c>
      <c r="G398" s="9">
        <v>2018</v>
      </c>
      <c r="H398" s="9">
        <v>10</v>
      </c>
      <c r="I398" s="9">
        <v>0</v>
      </c>
      <c r="J398" s="9" t="s">
        <v>78</v>
      </c>
      <c r="K398" s="158">
        <v>12</v>
      </c>
      <c r="L398" s="9">
        <f t="shared" si="145"/>
        <v>2030</v>
      </c>
      <c r="M398" s="127">
        <f t="shared" si="146"/>
        <v>2030.8333333333333</v>
      </c>
      <c r="N398" s="13">
        <v>13169</v>
      </c>
      <c r="O398" s="13">
        <f t="shared" si="147"/>
        <v>13169</v>
      </c>
      <c r="P398" s="13">
        <f t="shared" si="148"/>
        <v>91.4513888888889</v>
      </c>
      <c r="Q398" s="13">
        <f t="shared" si="149"/>
        <v>1097.4166666666667</v>
      </c>
      <c r="R398" s="13">
        <v>1097.4166666666667</v>
      </c>
      <c r="S398" s="13">
        <f t="shared" si="150"/>
        <v>1097.4166666666667</v>
      </c>
      <c r="T398" s="13">
        <f t="shared" si="151"/>
        <v>3292.25</v>
      </c>
      <c r="U398" s="13">
        <f t="shared" si="152"/>
        <v>4389.666666666667</v>
      </c>
      <c r="V398" s="13">
        <v>12071.583333333334</v>
      </c>
      <c r="W398" s="13">
        <f t="shared" si="153"/>
        <v>8779.3333333333321</v>
      </c>
      <c r="X398" s="115">
        <f t="shared" si="154"/>
        <v>1097.4166666666667</v>
      </c>
      <c r="Y398" s="116">
        <f t="shared" si="155"/>
        <v>8779.3333333333321</v>
      </c>
      <c r="Z398" s="116">
        <f t="shared" si="143"/>
        <v>0</v>
      </c>
      <c r="AA398" s="116">
        <f t="shared" si="144"/>
        <v>-3292.2500000000018</v>
      </c>
      <c r="AB398" s="117">
        <f>'Ratios (C)'!$C$28+'Ratios (C)'!$D$28</f>
        <v>0.44697875883235366</v>
      </c>
      <c r="AC398" s="116">
        <f t="shared" si="156"/>
        <v>490.52193958860551</v>
      </c>
      <c r="AD398" s="116">
        <f t="shared" si="157"/>
        <v>3924.1755167088431</v>
      </c>
      <c r="AE398" s="118"/>
      <c r="AF398" s="119"/>
      <c r="AG398" s="120"/>
      <c r="AH398" s="118"/>
      <c r="AI398" s="119"/>
      <c r="AJ398" s="121"/>
    </row>
    <row r="399" spans="2:36" s="9" customFormat="1">
      <c r="B399" s="9">
        <v>1</v>
      </c>
      <c r="C399" s="9" t="s">
        <v>601</v>
      </c>
      <c r="E399" s="9">
        <v>206687</v>
      </c>
      <c r="G399" s="9">
        <v>2018</v>
      </c>
      <c r="H399" s="9">
        <v>11</v>
      </c>
      <c r="I399" s="9">
        <v>0</v>
      </c>
      <c r="J399" s="9" t="s">
        <v>78</v>
      </c>
      <c r="K399" s="158">
        <v>12</v>
      </c>
      <c r="L399" s="9">
        <f t="shared" si="145"/>
        <v>2030</v>
      </c>
      <c r="M399" s="127">
        <f t="shared" si="146"/>
        <v>2030.9166666666667</v>
      </c>
      <c r="N399" s="13">
        <v>6584.5</v>
      </c>
      <c r="O399" s="13">
        <f t="shared" si="147"/>
        <v>6584.5</v>
      </c>
      <c r="P399" s="13">
        <f t="shared" si="148"/>
        <v>45.72569444444445</v>
      </c>
      <c r="Q399" s="13">
        <f t="shared" si="149"/>
        <v>548.70833333333337</v>
      </c>
      <c r="R399" s="13">
        <v>548.70833333333337</v>
      </c>
      <c r="S399" s="13">
        <f t="shared" si="150"/>
        <v>548.70833333333337</v>
      </c>
      <c r="T399" s="13">
        <f t="shared" si="151"/>
        <v>1646.125</v>
      </c>
      <c r="U399" s="13">
        <f t="shared" si="152"/>
        <v>2194.8333333333335</v>
      </c>
      <c r="V399" s="13">
        <v>6035.791666666667</v>
      </c>
      <c r="W399" s="13">
        <f t="shared" si="153"/>
        <v>4389.6666666666661</v>
      </c>
      <c r="X399" s="115">
        <f t="shared" si="154"/>
        <v>548.70833333333337</v>
      </c>
      <c r="Y399" s="116">
        <f t="shared" si="155"/>
        <v>4389.6666666666661</v>
      </c>
      <c r="Z399" s="116">
        <f t="shared" si="143"/>
        <v>0</v>
      </c>
      <c r="AA399" s="116">
        <f t="shared" si="144"/>
        <v>-1646.1250000000009</v>
      </c>
      <c r="AB399" s="117">
        <f>'Ratios (C)'!$C$28+'Ratios (C)'!$D$28</f>
        <v>0.44697875883235366</v>
      </c>
      <c r="AC399" s="116">
        <f t="shared" si="156"/>
        <v>245.26096979430275</v>
      </c>
      <c r="AD399" s="116">
        <f t="shared" si="157"/>
        <v>1962.0877583544216</v>
      </c>
      <c r="AE399" s="118"/>
      <c r="AF399" s="119"/>
      <c r="AG399" s="120"/>
      <c r="AH399" s="118"/>
      <c r="AI399" s="119"/>
      <c r="AJ399" s="121"/>
    </row>
    <row r="400" spans="2:36" s="9" customFormat="1">
      <c r="B400" s="9">
        <v>1</v>
      </c>
      <c r="C400" s="9" t="s">
        <v>602</v>
      </c>
      <c r="E400" s="9">
        <v>206688</v>
      </c>
      <c r="G400" s="9">
        <v>2018</v>
      </c>
      <c r="H400" s="9">
        <v>11</v>
      </c>
      <c r="I400" s="9">
        <v>0</v>
      </c>
      <c r="J400" s="9" t="s">
        <v>78</v>
      </c>
      <c r="K400" s="158">
        <v>12</v>
      </c>
      <c r="L400" s="9">
        <f t="shared" si="145"/>
        <v>2030</v>
      </c>
      <c r="M400" s="127">
        <f t="shared" si="146"/>
        <v>2030.9166666666667</v>
      </c>
      <c r="N400" s="13">
        <v>7262.5</v>
      </c>
      <c r="O400" s="13">
        <f t="shared" si="147"/>
        <v>7262.5</v>
      </c>
      <c r="P400" s="13">
        <f t="shared" si="148"/>
        <v>50.434027777777779</v>
      </c>
      <c r="Q400" s="13">
        <f t="shared" si="149"/>
        <v>605.20833333333337</v>
      </c>
      <c r="R400" s="13">
        <v>605.20833333333337</v>
      </c>
      <c r="S400" s="13">
        <f t="shared" si="150"/>
        <v>605.20833333333337</v>
      </c>
      <c r="T400" s="13">
        <f t="shared" si="151"/>
        <v>1815.625</v>
      </c>
      <c r="U400" s="13">
        <f t="shared" si="152"/>
        <v>2420.8333333333335</v>
      </c>
      <c r="V400" s="13">
        <v>6657.291666666667</v>
      </c>
      <c r="W400" s="13">
        <f t="shared" si="153"/>
        <v>4841.6666666666661</v>
      </c>
      <c r="X400" s="115">
        <f t="shared" si="154"/>
        <v>605.20833333333337</v>
      </c>
      <c r="Y400" s="116">
        <f t="shared" si="155"/>
        <v>4841.6666666666661</v>
      </c>
      <c r="Z400" s="116">
        <f t="shared" si="143"/>
        <v>0</v>
      </c>
      <c r="AA400" s="116">
        <f t="shared" si="144"/>
        <v>-1815.6250000000009</v>
      </c>
      <c r="AB400" s="117">
        <f>'Ratios (C)'!$C$28+'Ratios (C)'!$D$28</f>
        <v>0.44697875883235366</v>
      </c>
      <c r="AC400" s="116">
        <f t="shared" si="156"/>
        <v>270.51526966833075</v>
      </c>
      <c r="AD400" s="116">
        <f t="shared" si="157"/>
        <v>2164.1221573466455</v>
      </c>
      <c r="AE400" s="118"/>
      <c r="AF400" s="119"/>
      <c r="AG400" s="120"/>
      <c r="AH400" s="118"/>
      <c r="AI400" s="119"/>
      <c r="AJ400" s="121"/>
    </row>
    <row r="401" spans="1:36" s="9" customFormat="1">
      <c r="B401" s="9">
        <v>2</v>
      </c>
      <c r="C401" s="9" t="s">
        <v>603</v>
      </c>
      <c r="E401" s="9">
        <v>206689</v>
      </c>
      <c r="G401" s="9">
        <v>2018</v>
      </c>
      <c r="H401" s="9">
        <v>11</v>
      </c>
      <c r="I401" s="9">
        <v>0</v>
      </c>
      <c r="J401" s="9" t="s">
        <v>78</v>
      </c>
      <c r="K401" s="158">
        <v>12</v>
      </c>
      <c r="L401" s="9">
        <f t="shared" si="145"/>
        <v>2030</v>
      </c>
      <c r="M401" s="127">
        <f t="shared" si="146"/>
        <v>2030.9166666666667</v>
      </c>
      <c r="N401" s="13">
        <v>15488</v>
      </c>
      <c r="O401" s="13">
        <f t="shared" si="147"/>
        <v>15488</v>
      </c>
      <c r="P401" s="13">
        <f t="shared" si="148"/>
        <v>107.55555555555556</v>
      </c>
      <c r="Q401" s="13">
        <f t="shared" si="149"/>
        <v>1290.6666666666667</v>
      </c>
      <c r="R401" s="13">
        <v>1290.6666666666667</v>
      </c>
      <c r="S401" s="13">
        <f t="shared" si="150"/>
        <v>1290.6666666666667</v>
      </c>
      <c r="T401" s="13">
        <f t="shared" si="151"/>
        <v>3872</v>
      </c>
      <c r="U401" s="13">
        <f t="shared" si="152"/>
        <v>5162.666666666667</v>
      </c>
      <c r="V401" s="13">
        <v>14197.333333333334</v>
      </c>
      <c r="W401" s="13">
        <f t="shared" si="153"/>
        <v>10325.333333333332</v>
      </c>
      <c r="X401" s="115">
        <f t="shared" si="154"/>
        <v>1290.6666666666667</v>
      </c>
      <c r="Y401" s="116">
        <f t="shared" si="155"/>
        <v>10325.333333333332</v>
      </c>
      <c r="Z401" s="116">
        <f t="shared" si="143"/>
        <v>0</v>
      </c>
      <c r="AA401" s="116">
        <f t="shared" si="144"/>
        <v>-3872.0000000000018</v>
      </c>
      <c r="AB401" s="117">
        <f>'Ratios (C)'!$C$28+'Ratios (C)'!$D$28</f>
        <v>0.44697875883235366</v>
      </c>
      <c r="AC401" s="116">
        <f t="shared" si="156"/>
        <v>576.90058473295778</v>
      </c>
      <c r="AD401" s="116">
        <f t="shared" si="157"/>
        <v>4615.2046778636623</v>
      </c>
      <c r="AE401" s="118"/>
      <c r="AF401" s="119"/>
      <c r="AG401" s="120"/>
      <c r="AH401" s="118"/>
      <c r="AI401" s="119"/>
      <c r="AJ401" s="121"/>
    </row>
    <row r="402" spans="1:36" s="9" customFormat="1">
      <c r="B402" s="9">
        <v>2</v>
      </c>
      <c r="C402" s="9" t="s">
        <v>603</v>
      </c>
      <c r="E402" s="9">
        <v>206690</v>
      </c>
      <c r="G402" s="9">
        <v>2018</v>
      </c>
      <c r="H402" s="9">
        <v>11</v>
      </c>
      <c r="I402" s="9">
        <v>0</v>
      </c>
      <c r="J402" s="9" t="s">
        <v>78</v>
      </c>
      <c r="K402" s="158">
        <v>12</v>
      </c>
      <c r="L402" s="9">
        <f t="shared" si="145"/>
        <v>2030</v>
      </c>
      <c r="M402" s="127">
        <f t="shared" si="146"/>
        <v>2030.9166666666667</v>
      </c>
      <c r="N402" s="13">
        <v>13562</v>
      </c>
      <c r="O402" s="13">
        <f t="shared" si="147"/>
        <v>13562</v>
      </c>
      <c r="P402" s="13">
        <f t="shared" si="148"/>
        <v>94.180555555555557</v>
      </c>
      <c r="Q402" s="13">
        <f t="shared" si="149"/>
        <v>1130.1666666666667</v>
      </c>
      <c r="R402" s="13">
        <v>1130.1666666666667</v>
      </c>
      <c r="S402" s="13">
        <f t="shared" si="150"/>
        <v>1130.1666666666667</v>
      </c>
      <c r="T402" s="13">
        <f t="shared" si="151"/>
        <v>3390.5</v>
      </c>
      <c r="U402" s="13">
        <f t="shared" si="152"/>
        <v>4520.666666666667</v>
      </c>
      <c r="V402" s="13">
        <v>12431.833333333334</v>
      </c>
      <c r="W402" s="13">
        <f t="shared" si="153"/>
        <v>9041.3333333333321</v>
      </c>
      <c r="X402" s="115">
        <f t="shared" si="154"/>
        <v>1130.1666666666667</v>
      </c>
      <c r="Y402" s="116">
        <f t="shared" si="155"/>
        <v>9041.3333333333321</v>
      </c>
      <c r="Z402" s="116">
        <f t="shared" si="143"/>
        <v>0</v>
      </c>
      <c r="AA402" s="116">
        <f t="shared" si="144"/>
        <v>-3390.5000000000018</v>
      </c>
      <c r="AB402" s="117">
        <f>'Ratios (C)'!$C$28+'Ratios (C)'!$D$28</f>
        <v>0.44697875883235366</v>
      </c>
      <c r="AC402" s="116">
        <f t="shared" si="156"/>
        <v>505.16049394036509</v>
      </c>
      <c r="AD402" s="116">
        <f t="shared" si="157"/>
        <v>4041.2839515229198</v>
      </c>
      <c r="AE402" s="118"/>
      <c r="AF402" s="119"/>
      <c r="AG402" s="120"/>
      <c r="AH402" s="118"/>
      <c r="AI402" s="119"/>
      <c r="AJ402" s="121"/>
    </row>
    <row r="403" spans="1:36" s="9" customFormat="1">
      <c r="B403" s="9">
        <v>2</v>
      </c>
      <c r="C403" s="9" t="s">
        <v>599</v>
      </c>
      <c r="E403" s="9">
        <v>206684</v>
      </c>
      <c r="G403" s="9">
        <v>2018</v>
      </c>
      <c r="H403" s="9">
        <v>11</v>
      </c>
      <c r="I403" s="9">
        <v>0</v>
      </c>
      <c r="J403" s="9" t="s">
        <v>78</v>
      </c>
      <c r="K403" s="158">
        <v>12</v>
      </c>
      <c r="L403" s="9">
        <f t="shared" si="145"/>
        <v>2030</v>
      </c>
      <c r="M403" s="127">
        <f t="shared" si="146"/>
        <v>2030.9166666666667</v>
      </c>
      <c r="N403" s="13">
        <v>15795</v>
      </c>
      <c r="O403" s="13">
        <f t="shared" si="147"/>
        <v>15795</v>
      </c>
      <c r="P403" s="13">
        <f t="shared" si="148"/>
        <v>109.6875</v>
      </c>
      <c r="Q403" s="13">
        <f t="shared" si="149"/>
        <v>1316.25</v>
      </c>
      <c r="R403" s="13">
        <v>1316.25</v>
      </c>
      <c r="S403" s="13">
        <f t="shared" si="150"/>
        <v>1316.25</v>
      </c>
      <c r="T403" s="13">
        <f t="shared" si="151"/>
        <v>3948.75</v>
      </c>
      <c r="U403" s="13">
        <f t="shared" si="152"/>
        <v>5265</v>
      </c>
      <c r="V403" s="13">
        <v>14478.75</v>
      </c>
      <c r="W403" s="13">
        <f t="shared" si="153"/>
        <v>10530</v>
      </c>
      <c r="X403" s="115">
        <f t="shared" si="154"/>
        <v>1316.25</v>
      </c>
      <c r="Y403" s="116">
        <f t="shared" si="155"/>
        <v>10530</v>
      </c>
      <c r="Z403" s="116">
        <f t="shared" si="143"/>
        <v>0</v>
      </c>
      <c r="AA403" s="116">
        <f t="shared" si="144"/>
        <v>-3948.75</v>
      </c>
      <c r="AB403" s="117">
        <f>'Ratios (C)'!$C$28+'Ratios (C)'!$D$28</f>
        <v>0.44697875883235366</v>
      </c>
      <c r="AC403" s="116">
        <f t="shared" si="156"/>
        <v>588.33579131308545</v>
      </c>
      <c r="AD403" s="116">
        <f t="shared" si="157"/>
        <v>4706.6863305046836</v>
      </c>
      <c r="AE403" s="118"/>
      <c r="AF403" s="119"/>
      <c r="AG403" s="120"/>
      <c r="AH403" s="118"/>
      <c r="AI403" s="119"/>
      <c r="AJ403" s="121"/>
    </row>
    <row r="404" spans="1:36" s="9" customFormat="1">
      <c r="B404" s="9">
        <v>2</v>
      </c>
      <c r="C404" s="9" t="s">
        <v>604</v>
      </c>
      <c r="E404" s="9">
        <v>208946</v>
      </c>
      <c r="G404" s="9">
        <v>2019</v>
      </c>
      <c r="H404" s="9">
        <v>1</v>
      </c>
      <c r="I404" s="9">
        <v>0</v>
      </c>
      <c r="J404" s="9" t="s">
        <v>78</v>
      </c>
      <c r="K404" s="158">
        <v>11.11</v>
      </c>
      <c r="L404" s="9">
        <f t="shared" si="145"/>
        <v>2030.11</v>
      </c>
      <c r="M404" s="127">
        <f t="shared" si="146"/>
        <v>2030.1933333333332</v>
      </c>
      <c r="N404" s="13">
        <v>15795</v>
      </c>
      <c r="O404" s="13">
        <f t="shared" si="147"/>
        <v>15795</v>
      </c>
      <c r="P404" s="13">
        <f t="shared" si="148"/>
        <v>118.47434743474348</v>
      </c>
      <c r="Q404" s="13">
        <f t="shared" si="149"/>
        <v>1421.6921692169217</v>
      </c>
      <c r="R404" s="13">
        <v>1421.6921692169217</v>
      </c>
      <c r="S404" s="13">
        <f t="shared" si="150"/>
        <v>1421.6921692169217</v>
      </c>
      <c r="T404" s="13">
        <f t="shared" si="151"/>
        <v>2843.3843384338434</v>
      </c>
      <c r="U404" s="13">
        <f t="shared" si="152"/>
        <v>4265.0765076507651</v>
      </c>
      <c r="V404" s="13">
        <v>14373.307830783078</v>
      </c>
      <c r="W404" s="13">
        <f t="shared" si="153"/>
        <v>11529.923492349235</v>
      </c>
      <c r="X404" s="115">
        <f t="shared" si="154"/>
        <v>1421.6921692169217</v>
      </c>
      <c r="Y404" s="116">
        <f t="shared" si="155"/>
        <v>11529.923492349235</v>
      </c>
      <c r="Z404" s="116">
        <f t="shared" si="143"/>
        <v>0</v>
      </c>
      <c r="AA404" s="116">
        <f t="shared" si="144"/>
        <v>-2843.3843384338434</v>
      </c>
      <c r="AB404" s="117">
        <f>'Ratios (C)'!$C$28+'Ratios (C)'!$D$28</f>
        <v>0.44697875883235366</v>
      </c>
      <c r="AC404" s="116">
        <f t="shared" si="156"/>
        <v>635.46620123825619</v>
      </c>
      <c r="AD404" s="116">
        <f t="shared" si="157"/>
        <v>5153.630892042258</v>
      </c>
      <c r="AE404" s="118"/>
      <c r="AF404" s="119"/>
      <c r="AG404" s="120"/>
      <c r="AH404" s="118"/>
      <c r="AI404" s="119"/>
      <c r="AJ404" s="121"/>
    </row>
    <row r="405" spans="1:36" s="9" customFormat="1">
      <c r="B405" s="9">
        <v>3</v>
      </c>
      <c r="C405" s="9" t="s">
        <v>605</v>
      </c>
      <c r="E405" s="9">
        <v>217049</v>
      </c>
      <c r="G405" s="9">
        <v>2019</v>
      </c>
      <c r="H405" s="9">
        <v>6</v>
      </c>
      <c r="I405" s="9">
        <v>0</v>
      </c>
      <c r="J405" s="9" t="s">
        <v>78</v>
      </c>
      <c r="K405" s="158">
        <v>12</v>
      </c>
      <c r="L405" s="9">
        <f t="shared" si="145"/>
        <v>2031</v>
      </c>
      <c r="M405" s="127">
        <f t="shared" si="146"/>
        <v>2031.5</v>
      </c>
      <c r="N405" s="13">
        <v>18900</v>
      </c>
      <c r="O405" s="13">
        <f t="shared" si="147"/>
        <v>18900</v>
      </c>
      <c r="P405" s="13">
        <f t="shared" si="148"/>
        <v>131.25</v>
      </c>
      <c r="Q405" s="13">
        <f t="shared" si="149"/>
        <v>1575</v>
      </c>
      <c r="R405" s="13">
        <v>1575</v>
      </c>
      <c r="S405" s="13">
        <f t="shared" si="150"/>
        <v>1575</v>
      </c>
      <c r="T405" s="13">
        <f t="shared" si="151"/>
        <v>3150</v>
      </c>
      <c r="U405" s="13">
        <f t="shared" si="152"/>
        <v>4725</v>
      </c>
      <c r="V405" s="13">
        <v>17325</v>
      </c>
      <c r="W405" s="13">
        <f t="shared" si="153"/>
        <v>14175</v>
      </c>
      <c r="X405" s="115">
        <f t="shared" si="154"/>
        <v>1575</v>
      </c>
      <c r="Y405" s="116">
        <f t="shared" si="155"/>
        <v>14175</v>
      </c>
      <c r="Z405" s="116">
        <f t="shared" si="143"/>
        <v>0</v>
      </c>
      <c r="AA405" s="116">
        <f t="shared" si="144"/>
        <v>-3150</v>
      </c>
      <c r="AB405" s="117">
        <f>'Ratios (C)'!$C$28+'Ratios (C)'!$D$28</f>
        <v>0.44697875883235366</v>
      </c>
      <c r="AC405" s="116">
        <f t="shared" si="156"/>
        <v>703.991545160957</v>
      </c>
      <c r="AD405" s="116">
        <f t="shared" si="157"/>
        <v>6335.9239064486128</v>
      </c>
      <c r="AE405" s="118"/>
      <c r="AF405" s="119"/>
      <c r="AG405" s="120"/>
      <c r="AH405" s="118"/>
      <c r="AI405" s="119"/>
      <c r="AJ405" s="121"/>
    </row>
    <row r="406" spans="1:36" s="9" customFormat="1">
      <c r="B406" s="9">
        <v>5</v>
      </c>
      <c r="C406" s="9" t="s">
        <v>606</v>
      </c>
      <c r="E406" s="9">
        <v>217050</v>
      </c>
      <c r="G406" s="9">
        <v>2019</v>
      </c>
      <c r="H406" s="9">
        <v>6</v>
      </c>
      <c r="I406" s="9">
        <v>0</v>
      </c>
      <c r="J406" s="9" t="s">
        <v>78</v>
      </c>
      <c r="K406" s="158">
        <v>12</v>
      </c>
      <c r="L406" s="9">
        <f t="shared" si="145"/>
        <v>2031</v>
      </c>
      <c r="M406" s="127">
        <f t="shared" si="146"/>
        <v>2031.5</v>
      </c>
      <c r="N406" s="13">
        <v>34425</v>
      </c>
      <c r="O406" s="13">
        <f t="shared" si="147"/>
        <v>34425</v>
      </c>
      <c r="P406" s="13">
        <f t="shared" si="148"/>
        <v>239.0625</v>
      </c>
      <c r="Q406" s="13">
        <f t="shared" si="149"/>
        <v>2868.75</v>
      </c>
      <c r="R406" s="13">
        <v>2868.75</v>
      </c>
      <c r="S406" s="13">
        <f t="shared" si="150"/>
        <v>2868.75</v>
      </c>
      <c r="T406" s="13">
        <f t="shared" si="151"/>
        <v>5737.5</v>
      </c>
      <c r="U406" s="13">
        <f t="shared" si="152"/>
        <v>8606.25</v>
      </c>
      <c r="V406" s="13">
        <v>31556.25</v>
      </c>
      <c r="W406" s="13">
        <f t="shared" si="153"/>
        <v>25818.75</v>
      </c>
      <c r="X406" s="115">
        <f t="shared" si="154"/>
        <v>2868.75</v>
      </c>
      <c r="Y406" s="116">
        <f t="shared" si="155"/>
        <v>25818.75</v>
      </c>
      <c r="Z406" s="116">
        <f t="shared" si="143"/>
        <v>0</v>
      </c>
      <c r="AA406" s="116">
        <f t="shared" si="144"/>
        <v>-5737.5</v>
      </c>
      <c r="AB406" s="117">
        <f>'Ratios (C)'!$C$28+'Ratios (C)'!$D$28</f>
        <v>0.44697875883235366</v>
      </c>
      <c r="AC406" s="116">
        <f t="shared" si="156"/>
        <v>1282.2703144003146</v>
      </c>
      <c r="AD406" s="116">
        <f t="shared" si="157"/>
        <v>11540.432829602831</v>
      </c>
      <c r="AE406" s="118"/>
      <c r="AF406" s="119"/>
      <c r="AG406" s="120"/>
      <c r="AH406" s="118"/>
      <c r="AI406" s="119"/>
      <c r="AJ406" s="121"/>
    </row>
    <row r="407" spans="1:36" s="9" customFormat="1">
      <c r="B407" s="9">
        <v>5</v>
      </c>
      <c r="C407" s="9" t="s">
        <v>607</v>
      </c>
      <c r="E407" s="9">
        <v>218089</v>
      </c>
      <c r="G407" s="9">
        <v>2019</v>
      </c>
      <c r="H407" s="9">
        <v>7</v>
      </c>
      <c r="I407" s="9">
        <v>0</v>
      </c>
      <c r="J407" s="9" t="s">
        <v>78</v>
      </c>
      <c r="K407" s="158">
        <v>12</v>
      </c>
      <c r="L407" s="9">
        <f t="shared" si="145"/>
        <v>2031</v>
      </c>
      <c r="M407" s="127">
        <f t="shared" si="146"/>
        <v>2031.5833333333333</v>
      </c>
      <c r="N407" s="13">
        <v>39950</v>
      </c>
      <c r="O407" s="13">
        <f t="shared" si="147"/>
        <v>39950</v>
      </c>
      <c r="P407" s="13">
        <f t="shared" si="148"/>
        <v>277.43055555555554</v>
      </c>
      <c r="Q407" s="13">
        <f t="shared" si="149"/>
        <v>3329.1666666666665</v>
      </c>
      <c r="R407" s="13">
        <v>3329.1666666666665</v>
      </c>
      <c r="S407" s="13">
        <f t="shared" si="150"/>
        <v>3329.1666666666665</v>
      </c>
      <c r="T407" s="13">
        <f t="shared" si="151"/>
        <v>6658.333333333333</v>
      </c>
      <c r="U407" s="13">
        <f t="shared" si="152"/>
        <v>9987.5</v>
      </c>
      <c r="V407" s="13">
        <v>36620.833333333336</v>
      </c>
      <c r="W407" s="13">
        <f t="shared" si="153"/>
        <v>29962.5</v>
      </c>
      <c r="X407" s="115">
        <f t="shared" si="154"/>
        <v>3329.1666666666665</v>
      </c>
      <c r="Y407" s="116">
        <f t="shared" si="155"/>
        <v>29962.5</v>
      </c>
      <c r="Z407" s="116">
        <f t="shared" si="143"/>
        <v>0</v>
      </c>
      <c r="AA407" s="116">
        <f t="shared" si="144"/>
        <v>-6658.3333333333358</v>
      </c>
      <c r="AB407" s="117">
        <f>'Ratios (C)'!$C$28+'Ratios (C)'!$D$28</f>
        <v>0.44697875883235366</v>
      </c>
      <c r="AC407" s="116">
        <f t="shared" si="156"/>
        <v>1488.0667846127108</v>
      </c>
      <c r="AD407" s="116">
        <f t="shared" si="157"/>
        <v>13392.601061514397</v>
      </c>
      <c r="AE407" s="118"/>
      <c r="AF407" s="119"/>
      <c r="AG407" s="120"/>
      <c r="AH407" s="118"/>
      <c r="AI407" s="119"/>
      <c r="AJ407" s="121"/>
    </row>
    <row r="408" spans="1:36" s="9" customFormat="1">
      <c r="B408" s="9">
        <v>5</v>
      </c>
      <c r="C408" s="9" t="s">
        <v>599</v>
      </c>
      <c r="E408" s="9">
        <v>225386</v>
      </c>
      <c r="G408" s="9">
        <v>2019</v>
      </c>
      <c r="H408" s="9">
        <v>12</v>
      </c>
      <c r="I408" s="9">
        <v>0</v>
      </c>
      <c r="J408" s="9" t="s">
        <v>78</v>
      </c>
      <c r="K408" s="158">
        <v>12</v>
      </c>
      <c r="L408" s="9">
        <f>G408+K408</f>
        <v>2031</v>
      </c>
      <c r="M408" s="127">
        <f>+L408+(H408/12)</f>
        <v>2032</v>
      </c>
      <c r="N408" s="13">
        <v>39000</v>
      </c>
      <c r="O408" s="13">
        <f t="shared" si="147"/>
        <v>39000</v>
      </c>
      <c r="P408" s="13">
        <f t="shared" si="148"/>
        <v>270.83333333333331</v>
      </c>
      <c r="Q408" s="13">
        <f t="shared" si="149"/>
        <v>3250</v>
      </c>
      <c r="R408" s="13">
        <v>3250</v>
      </c>
      <c r="S408" s="13">
        <f t="shared" si="150"/>
        <v>3250</v>
      </c>
      <c r="T408" s="13">
        <f t="shared" si="151"/>
        <v>6500</v>
      </c>
      <c r="U408" s="13">
        <f t="shared" si="152"/>
        <v>9750</v>
      </c>
      <c r="V408" s="13">
        <v>35750</v>
      </c>
      <c r="W408" s="13">
        <f t="shared" si="153"/>
        <v>29250</v>
      </c>
      <c r="X408" s="115">
        <f t="shared" si="154"/>
        <v>3250</v>
      </c>
      <c r="Y408" s="116">
        <f t="shared" si="155"/>
        <v>29250</v>
      </c>
      <c r="Z408" s="116">
        <f t="shared" si="143"/>
        <v>0</v>
      </c>
      <c r="AA408" s="116">
        <f t="shared" si="144"/>
        <v>-6500</v>
      </c>
      <c r="AB408" s="117">
        <f>'Ratios (C)'!$C$28+'Ratios (C)'!$D$28</f>
        <v>0.44697875883235366</v>
      </c>
      <c r="AC408" s="116">
        <f t="shared" si="156"/>
        <v>1452.6809662051494</v>
      </c>
      <c r="AD408" s="116">
        <f t="shared" si="157"/>
        <v>13074.128695846344</v>
      </c>
      <c r="AE408" s="118"/>
      <c r="AF408" s="119"/>
      <c r="AG408" s="120"/>
      <c r="AH408" s="118"/>
      <c r="AI408" s="119"/>
      <c r="AJ408" s="121"/>
    </row>
    <row r="409" spans="1:36" s="9" customFormat="1">
      <c r="B409" s="9">
        <v>8</v>
      </c>
      <c r="C409" s="9" t="s">
        <v>601</v>
      </c>
      <c r="E409" s="9">
        <v>225385</v>
      </c>
      <c r="G409" s="9">
        <v>2019</v>
      </c>
      <c r="H409" s="9">
        <v>12</v>
      </c>
      <c r="I409" s="9">
        <v>0</v>
      </c>
      <c r="J409" s="9" t="s">
        <v>78</v>
      </c>
      <c r="K409" s="158">
        <v>12</v>
      </c>
      <c r="L409" s="9">
        <f>G409+K409</f>
        <v>2031</v>
      </c>
      <c r="M409" s="127">
        <f>+L409+(H409/12)</f>
        <v>2032</v>
      </c>
      <c r="N409" s="13">
        <v>48800</v>
      </c>
      <c r="O409" s="13">
        <f t="shared" si="147"/>
        <v>48800</v>
      </c>
      <c r="P409" s="13">
        <f t="shared" si="148"/>
        <v>338.88888888888886</v>
      </c>
      <c r="Q409" s="13">
        <f t="shared" si="149"/>
        <v>4066.6666666666661</v>
      </c>
      <c r="R409" s="13">
        <v>4066.6666666666661</v>
      </c>
      <c r="S409" s="13">
        <f t="shared" si="150"/>
        <v>4066.6666666666661</v>
      </c>
      <c r="T409" s="13">
        <f t="shared" si="151"/>
        <v>8133.3333333333321</v>
      </c>
      <c r="U409" s="13">
        <f t="shared" si="152"/>
        <v>12199.999999999998</v>
      </c>
      <c r="V409" s="13">
        <v>44733.333333333336</v>
      </c>
      <c r="W409" s="13">
        <f t="shared" si="153"/>
        <v>36600</v>
      </c>
      <c r="X409" s="115">
        <f t="shared" si="154"/>
        <v>4066.6666666666661</v>
      </c>
      <c r="Y409" s="116">
        <f t="shared" si="155"/>
        <v>36600</v>
      </c>
      <c r="Z409" s="116">
        <f t="shared" si="143"/>
        <v>0</v>
      </c>
      <c r="AA409" s="116">
        <f t="shared" si="144"/>
        <v>-8133.3333333333358</v>
      </c>
      <c r="AB409" s="117">
        <f>'Ratios (C)'!$C$28+'Ratios (C)'!$D$28</f>
        <v>0.44697875883235366</v>
      </c>
      <c r="AC409" s="116">
        <f t="shared" si="156"/>
        <v>1817.7136192515713</v>
      </c>
      <c r="AD409" s="116">
        <f t="shared" si="157"/>
        <v>16359.422573264144</v>
      </c>
      <c r="AE409" s="118"/>
      <c r="AF409" s="119"/>
      <c r="AG409" s="120"/>
      <c r="AH409" s="118"/>
      <c r="AI409" s="119"/>
      <c r="AJ409" s="121"/>
    </row>
    <row r="410" spans="1:36" s="181" customFormat="1">
      <c r="A410" s="9"/>
      <c r="B410" s="9">
        <v>2</v>
      </c>
      <c r="C410" s="9" t="s">
        <v>1364</v>
      </c>
      <c r="D410" s="9"/>
      <c r="E410" s="9">
        <v>259382</v>
      </c>
      <c r="F410" s="9"/>
      <c r="G410" s="9">
        <v>2021</v>
      </c>
      <c r="H410" s="9">
        <v>5</v>
      </c>
      <c r="I410" s="9">
        <v>0</v>
      </c>
      <c r="J410" s="9" t="s">
        <v>78</v>
      </c>
      <c r="K410" s="158">
        <v>12</v>
      </c>
      <c r="L410" s="9">
        <f t="shared" ref="L410:L415" si="158">G410+K410</f>
        <v>2033</v>
      </c>
      <c r="M410" s="127">
        <f t="shared" ref="M410:M415" si="159">+L410+(H410/12)</f>
        <v>2033.4166666666667</v>
      </c>
      <c r="N410" s="13">
        <v>7578.72</v>
      </c>
      <c r="O410" s="13">
        <f t="shared" ref="O410" si="160">N410-N410*I410</f>
        <v>7578.72</v>
      </c>
      <c r="P410" s="13">
        <f t="shared" ref="P410" si="161">O410/K410/12</f>
        <v>52.63</v>
      </c>
      <c r="Q410" s="13">
        <f t="shared" ref="Q410" si="162">P410*12</f>
        <v>631.56000000000006</v>
      </c>
      <c r="R410" s="13">
        <v>4067.6666666666702</v>
      </c>
      <c r="S410" s="13">
        <f t="shared" ref="S410" si="163">+IF(M410&lt;=$O$5,0,IF(L410&gt;$O$4,Q410,(P410*H410)))</f>
        <v>631.56000000000006</v>
      </c>
      <c r="T410" s="13">
        <f t="shared" ref="T410" si="164">+IF(S410=0,N410,IF($O$3-G410&lt;1,0,(($O$3-G410)*Q410)))</f>
        <v>0</v>
      </c>
      <c r="U410" s="13">
        <f t="shared" ref="U410" si="165">+IF(S410=0,T410,T410+S410)</f>
        <v>631.56000000000006</v>
      </c>
      <c r="V410" s="13">
        <v>44734.333333333299</v>
      </c>
      <c r="W410" s="13">
        <f t="shared" ref="W410" si="166">+N410-U410</f>
        <v>6947.16</v>
      </c>
      <c r="X410" s="182">
        <f t="shared" ref="X410" si="167">S410</f>
        <v>631.56000000000006</v>
      </c>
      <c r="Y410" s="183">
        <f t="shared" ref="Y410" si="168">W410</f>
        <v>6947.16</v>
      </c>
      <c r="Z410" s="183">
        <f t="shared" ref="Z410" si="169">X410-R410</f>
        <v>-3436.1066666666702</v>
      </c>
      <c r="AA410" s="183">
        <f t="shared" ref="AA410" si="170">Y410-V410</f>
        <v>-37787.173333333296</v>
      </c>
      <c r="AB410" s="184">
        <f>'Ratios (C)'!$C$28+'Ratios (C)'!$D$28</f>
        <v>0.44697875883235366</v>
      </c>
      <c r="AC410" s="183">
        <f t="shared" ref="AC410" si="171">X410*AB410</f>
        <v>282.29390492816128</v>
      </c>
      <c r="AD410" s="183">
        <f t="shared" ref="AD410" si="172">Y410*AB410</f>
        <v>3105.2329542097741</v>
      </c>
      <c r="AE410" s="187"/>
      <c r="AF410" s="187"/>
      <c r="AG410" s="187"/>
      <c r="AH410" s="187"/>
      <c r="AI410" s="187"/>
      <c r="AJ410" s="187"/>
    </row>
    <row r="411" spans="1:36" s="181" customFormat="1">
      <c r="A411" s="9"/>
      <c r="B411" s="9">
        <v>4</v>
      </c>
      <c r="C411" s="9" t="s">
        <v>1365</v>
      </c>
      <c r="D411" s="9"/>
      <c r="E411" s="9">
        <v>259374</v>
      </c>
      <c r="F411" s="9"/>
      <c r="G411" s="9">
        <v>2021</v>
      </c>
      <c r="H411" s="9">
        <v>5</v>
      </c>
      <c r="I411" s="9">
        <v>0</v>
      </c>
      <c r="J411" s="9" t="s">
        <v>78</v>
      </c>
      <c r="K411" s="158">
        <v>12</v>
      </c>
      <c r="L411" s="9">
        <f t="shared" si="158"/>
        <v>2033</v>
      </c>
      <c r="M411" s="127">
        <f t="shared" si="159"/>
        <v>2033.4166666666667</v>
      </c>
      <c r="N411" s="13">
        <v>15157.46</v>
      </c>
      <c r="O411" s="13">
        <f t="shared" ref="O411:O415" si="173">N411-N411*I411</f>
        <v>15157.46</v>
      </c>
      <c r="P411" s="13">
        <f t="shared" ref="P411:P415" si="174">O411/K411/12</f>
        <v>105.26013888888889</v>
      </c>
      <c r="Q411" s="13">
        <f t="shared" ref="Q411:Q415" si="175">P411*12</f>
        <v>1263.1216666666667</v>
      </c>
      <c r="R411" s="13">
        <v>4068.6666666666702</v>
      </c>
      <c r="S411" s="13">
        <f t="shared" ref="S411:S415" si="176">+IF(M411&lt;=$O$5,0,IF(L411&gt;$O$4,Q411,(P411*H411)))</f>
        <v>1263.1216666666667</v>
      </c>
      <c r="T411" s="13">
        <f t="shared" ref="T411:T415" si="177">+IF(S411=0,N411,IF($O$3-G411&lt;1,0,(($O$3-G411)*Q411)))</f>
        <v>0</v>
      </c>
      <c r="U411" s="13">
        <f t="shared" ref="U411:U415" si="178">+IF(S411=0,T411,T411+S411)</f>
        <v>1263.1216666666667</v>
      </c>
      <c r="V411" s="13">
        <v>44735.333333333299</v>
      </c>
      <c r="W411" s="13">
        <f t="shared" ref="W411:W415" si="179">+N411-U411</f>
        <v>13894.338333333333</v>
      </c>
      <c r="X411" s="182">
        <f t="shared" ref="X411:X415" si="180">S411</f>
        <v>1263.1216666666667</v>
      </c>
      <c r="Y411" s="183">
        <f t="shared" ref="Y411:Y415" si="181">W411</f>
        <v>13894.338333333333</v>
      </c>
      <c r="Z411" s="183">
        <f t="shared" ref="Z411:Z415" si="182">X411-R411</f>
        <v>-2805.5450000000037</v>
      </c>
      <c r="AA411" s="183">
        <f t="shared" ref="AA411:AA415" si="183">Y411-V411</f>
        <v>-30840.994999999966</v>
      </c>
      <c r="AB411" s="184">
        <f>'Ratios (C)'!$C$28+'Ratios (C)'!$D$28</f>
        <v>0.44697875883235366</v>
      </c>
      <c r="AC411" s="183">
        <f t="shared" ref="AC411:AC415" si="184">X411*AB411</f>
        <v>564.58855482092065</v>
      </c>
      <c r="AD411" s="183">
        <f t="shared" ref="AD411:AD415" si="185">Y411*AB411</f>
        <v>6210.4741030301266</v>
      </c>
      <c r="AE411" s="187"/>
      <c r="AF411" s="187"/>
      <c r="AG411" s="187"/>
      <c r="AH411" s="187"/>
      <c r="AI411" s="187"/>
      <c r="AJ411" s="187"/>
    </row>
    <row r="412" spans="1:36" s="181" customFormat="1">
      <c r="A412" s="9"/>
      <c r="B412" s="9">
        <v>9</v>
      </c>
      <c r="C412" s="9" t="s">
        <v>1366</v>
      </c>
      <c r="D412" s="9"/>
      <c r="E412" s="9">
        <v>259368</v>
      </c>
      <c r="F412" s="9"/>
      <c r="G412" s="9">
        <v>2021</v>
      </c>
      <c r="H412" s="9">
        <v>5</v>
      </c>
      <c r="I412" s="9">
        <v>0</v>
      </c>
      <c r="J412" s="9" t="s">
        <v>78</v>
      </c>
      <c r="K412" s="158">
        <v>12</v>
      </c>
      <c r="L412" s="9">
        <f t="shared" si="158"/>
        <v>2033</v>
      </c>
      <c r="M412" s="127">
        <f t="shared" si="159"/>
        <v>2033.4166666666667</v>
      </c>
      <c r="N412" s="13">
        <v>34104.28</v>
      </c>
      <c r="O412" s="13">
        <f t="shared" si="173"/>
        <v>34104.28</v>
      </c>
      <c r="P412" s="13">
        <f t="shared" si="174"/>
        <v>236.83527777777775</v>
      </c>
      <c r="Q412" s="13">
        <f t="shared" si="175"/>
        <v>2842.0233333333331</v>
      </c>
      <c r="R412" s="13">
        <v>4069.6666666666702</v>
      </c>
      <c r="S412" s="13">
        <f t="shared" si="176"/>
        <v>2842.0233333333331</v>
      </c>
      <c r="T412" s="13">
        <f t="shared" si="177"/>
        <v>0</v>
      </c>
      <c r="U412" s="13">
        <f t="shared" si="178"/>
        <v>2842.0233333333331</v>
      </c>
      <c r="V412" s="13">
        <v>44736.333333333299</v>
      </c>
      <c r="W412" s="13">
        <f t="shared" si="179"/>
        <v>31262.256666666664</v>
      </c>
      <c r="X412" s="182">
        <f t="shared" si="180"/>
        <v>2842.0233333333331</v>
      </c>
      <c r="Y412" s="183">
        <f t="shared" si="181"/>
        <v>31262.256666666664</v>
      </c>
      <c r="Z412" s="183">
        <f t="shared" si="182"/>
        <v>-1227.6433333333371</v>
      </c>
      <c r="AA412" s="183">
        <f t="shared" si="183"/>
        <v>-13474.076666666635</v>
      </c>
      <c r="AB412" s="184">
        <f>'Ratios (C)'!$C$28+'Ratios (C)'!$D$28</f>
        <v>0.44697875883235366</v>
      </c>
      <c r="AC412" s="183">
        <f t="shared" si="184"/>
        <v>1270.3240621059217</v>
      </c>
      <c r="AD412" s="183">
        <f t="shared" si="185"/>
        <v>13973.564683165139</v>
      </c>
      <c r="AE412" s="187"/>
      <c r="AF412" s="187"/>
      <c r="AG412" s="187"/>
      <c r="AH412" s="187"/>
      <c r="AI412" s="187"/>
      <c r="AJ412" s="187"/>
    </row>
    <row r="413" spans="1:36" s="181" customFormat="1">
      <c r="A413" s="9"/>
      <c r="B413" s="9">
        <v>2</v>
      </c>
      <c r="C413" s="9" t="s">
        <v>1367</v>
      </c>
      <c r="D413" s="9"/>
      <c r="E413" s="9">
        <v>259125</v>
      </c>
      <c r="F413" s="9"/>
      <c r="G413" s="9">
        <v>2021</v>
      </c>
      <c r="H413" s="9">
        <v>8</v>
      </c>
      <c r="I413" s="9">
        <v>0</v>
      </c>
      <c r="J413" s="9" t="s">
        <v>78</v>
      </c>
      <c r="K413" s="158">
        <v>12</v>
      </c>
      <c r="L413" s="9">
        <f t="shared" si="158"/>
        <v>2033</v>
      </c>
      <c r="M413" s="127">
        <f t="shared" si="159"/>
        <v>2033.6666666666667</v>
      </c>
      <c r="N413" s="13">
        <v>15900</v>
      </c>
      <c r="O413" s="13">
        <f t="shared" si="173"/>
        <v>15900</v>
      </c>
      <c r="P413" s="13">
        <f t="shared" si="174"/>
        <v>110.41666666666667</v>
      </c>
      <c r="Q413" s="13">
        <f t="shared" si="175"/>
        <v>1325</v>
      </c>
      <c r="R413" s="13">
        <v>4070.6666666666702</v>
      </c>
      <c r="S413" s="13">
        <f t="shared" si="176"/>
        <v>1325</v>
      </c>
      <c r="T413" s="13">
        <f t="shared" si="177"/>
        <v>0</v>
      </c>
      <c r="U413" s="13">
        <f t="shared" si="178"/>
        <v>1325</v>
      </c>
      <c r="V413" s="13">
        <v>44737.333333333299</v>
      </c>
      <c r="W413" s="13">
        <f t="shared" si="179"/>
        <v>14575</v>
      </c>
      <c r="X413" s="182">
        <f t="shared" si="180"/>
        <v>1325</v>
      </c>
      <c r="Y413" s="183">
        <f t="shared" si="181"/>
        <v>14575</v>
      </c>
      <c r="Z413" s="183">
        <f t="shared" si="182"/>
        <v>-2745.6666666666702</v>
      </c>
      <c r="AA413" s="183">
        <f t="shared" si="183"/>
        <v>-30162.333333333299</v>
      </c>
      <c r="AB413" s="184">
        <f>'Ratios (C)'!$C$28+'Ratios (C)'!$D$28</f>
        <v>0.44697875883235366</v>
      </c>
      <c r="AC413" s="183">
        <f t="shared" si="184"/>
        <v>592.24685545286866</v>
      </c>
      <c r="AD413" s="183">
        <f t="shared" si="185"/>
        <v>6514.7154099815543</v>
      </c>
      <c r="AE413" s="187"/>
      <c r="AF413" s="187"/>
      <c r="AG413" s="187"/>
      <c r="AH413" s="187"/>
      <c r="AI413" s="187"/>
      <c r="AJ413" s="187"/>
    </row>
    <row r="414" spans="1:36" s="181" customFormat="1">
      <c r="A414" s="9"/>
      <c r="B414" s="9">
        <v>10</v>
      </c>
      <c r="C414" s="9" t="s">
        <v>1368</v>
      </c>
      <c r="D414" s="9"/>
      <c r="E414" s="9">
        <v>258991</v>
      </c>
      <c r="F414" s="9"/>
      <c r="G414" s="9">
        <v>2021</v>
      </c>
      <c r="H414" s="9">
        <v>8</v>
      </c>
      <c r="I414" s="9">
        <v>0</v>
      </c>
      <c r="J414" s="9" t="s">
        <v>78</v>
      </c>
      <c r="K414" s="158">
        <v>12</v>
      </c>
      <c r="L414" s="9">
        <f t="shared" si="158"/>
        <v>2033</v>
      </c>
      <c r="M414" s="127">
        <f t="shared" si="159"/>
        <v>2033.6666666666667</v>
      </c>
      <c r="N414" s="13">
        <v>63900</v>
      </c>
      <c r="O414" s="13">
        <f t="shared" si="173"/>
        <v>63900</v>
      </c>
      <c r="P414" s="13">
        <f t="shared" si="174"/>
        <v>443.75</v>
      </c>
      <c r="Q414" s="13">
        <f t="shared" si="175"/>
        <v>5325</v>
      </c>
      <c r="R414" s="13">
        <v>4071.6666666666702</v>
      </c>
      <c r="S414" s="13">
        <f t="shared" si="176"/>
        <v>5325</v>
      </c>
      <c r="T414" s="13">
        <f t="shared" si="177"/>
        <v>0</v>
      </c>
      <c r="U414" s="13">
        <f t="shared" si="178"/>
        <v>5325</v>
      </c>
      <c r="V414" s="13">
        <v>44738.333333333299</v>
      </c>
      <c r="W414" s="13">
        <f t="shared" si="179"/>
        <v>58575</v>
      </c>
      <c r="X414" s="182">
        <f t="shared" si="180"/>
        <v>5325</v>
      </c>
      <c r="Y414" s="183">
        <f t="shared" si="181"/>
        <v>58575</v>
      </c>
      <c r="Z414" s="183">
        <f t="shared" si="182"/>
        <v>1253.3333333333298</v>
      </c>
      <c r="AA414" s="183">
        <f t="shared" si="183"/>
        <v>13836.666666666701</v>
      </c>
      <c r="AB414" s="184">
        <f>'Ratios (C)'!$C$28+'Ratios (C)'!$D$28</f>
        <v>0.44697875883235366</v>
      </c>
      <c r="AC414" s="183">
        <f t="shared" si="184"/>
        <v>2380.1618907822831</v>
      </c>
      <c r="AD414" s="183">
        <f t="shared" si="185"/>
        <v>26181.780798605116</v>
      </c>
      <c r="AE414" s="187"/>
      <c r="AF414" s="187"/>
      <c r="AG414" s="187"/>
      <c r="AH414" s="187"/>
      <c r="AI414" s="187"/>
      <c r="AJ414" s="187"/>
    </row>
    <row r="415" spans="1:36" s="181" customFormat="1">
      <c r="A415" s="9"/>
      <c r="B415" s="9">
        <v>1</v>
      </c>
      <c r="C415" s="9" t="s">
        <v>1369</v>
      </c>
      <c r="D415" s="9"/>
      <c r="E415" s="9">
        <v>254454</v>
      </c>
      <c r="F415" s="9"/>
      <c r="G415" s="9">
        <v>2021</v>
      </c>
      <c r="H415" s="9">
        <v>5</v>
      </c>
      <c r="I415" s="9">
        <v>0</v>
      </c>
      <c r="J415" s="9" t="s">
        <v>78</v>
      </c>
      <c r="K415" s="158">
        <v>12</v>
      </c>
      <c r="L415" s="9">
        <f t="shared" si="158"/>
        <v>2033</v>
      </c>
      <c r="M415" s="127">
        <f t="shared" si="159"/>
        <v>2033.4166666666667</v>
      </c>
      <c r="N415" s="13">
        <v>4004.92</v>
      </c>
      <c r="O415" s="13">
        <f t="shared" si="173"/>
        <v>4004.92</v>
      </c>
      <c r="P415" s="13">
        <f t="shared" si="174"/>
        <v>27.811944444444446</v>
      </c>
      <c r="Q415" s="13">
        <f t="shared" si="175"/>
        <v>333.74333333333334</v>
      </c>
      <c r="R415" s="13">
        <v>4072.6666666666702</v>
      </c>
      <c r="S415" s="13">
        <f t="shared" si="176"/>
        <v>333.74333333333334</v>
      </c>
      <c r="T415" s="13">
        <f t="shared" si="177"/>
        <v>0</v>
      </c>
      <c r="U415" s="13">
        <f t="shared" si="178"/>
        <v>333.74333333333334</v>
      </c>
      <c r="V415" s="13">
        <v>44739.333333333299</v>
      </c>
      <c r="W415" s="13">
        <f t="shared" si="179"/>
        <v>3671.1766666666667</v>
      </c>
      <c r="X415" s="182">
        <f t="shared" si="180"/>
        <v>333.74333333333334</v>
      </c>
      <c r="Y415" s="183">
        <f t="shared" si="181"/>
        <v>3671.1766666666667</v>
      </c>
      <c r="Z415" s="183">
        <f t="shared" si="182"/>
        <v>-3738.9233333333368</v>
      </c>
      <c r="AA415" s="183">
        <f t="shared" si="183"/>
        <v>-41068.156666666633</v>
      </c>
      <c r="AB415" s="184">
        <f>'Ratios (C)'!$C$28+'Ratios (C)'!$D$28</f>
        <v>0.44697875883235366</v>
      </c>
      <c r="AC415" s="183">
        <f t="shared" si="184"/>
        <v>149.17618090190581</v>
      </c>
      <c r="AD415" s="183">
        <f t="shared" si="185"/>
        <v>1640.9379899209641</v>
      </c>
      <c r="AE415" s="187"/>
      <c r="AF415" s="187"/>
      <c r="AG415" s="187"/>
      <c r="AH415" s="187"/>
      <c r="AI415" s="187"/>
      <c r="AJ415" s="187"/>
    </row>
    <row r="416" spans="1:36" s="9" customFormat="1">
      <c r="K416" s="158"/>
      <c r="M416" s="127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Z416" s="116"/>
      <c r="AA416" s="116"/>
    </row>
    <row r="417" spans="1:36" s="9" customFormat="1">
      <c r="K417" s="158"/>
      <c r="L417" s="159" t="s">
        <v>608</v>
      </c>
      <c r="M417" s="160"/>
      <c r="N417" s="150">
        <f t="shared" ref="N417:AI417" si="186">SUM(N251:N416)</f>
        <v>3789748.1399999987</v>
      </c>
      <c r="O417" s="150">
        <f t="shared" si="186"/>
        <v>3789748.1399999987</v>
      </c>
      <c r="P417" s="150">
        <f t="shared" si="186"/>
        <v>30173.476717769361</v>
      </c>
      <c r="Q417" s="150">
        <f t="shared" si="186"/>
        <v>362081.72061323241</v>
      </c>
      <c r="R417" s="150">
        <v>121788.75856561333</v>
      </c>
      <c r="S417" s="150">
        <f t="shared" si="186"/>
        <v>131334.61523228002</v>
      </c>
      <c r="T417" s="150">
        <f t="shared" si="186"/>
        <v>2846728.0126942894</v>
      </c>
      <c r="U417" s="150">
        <f t="shared" si="186"/>
        <v>2978062.6279265694</v>
      </c>
      <c r="V417" s="150">
        <v>1029440.9889343868</v>
      </c>
      <c r="W417" s="150">
        <f t="shared" si="186"/>
        <v>811685.51207343035</v>
      </c>
      <c r="X417" s="150">
        <f t="shared" si="186"/>
        <v>131334.61523228002</v>
      </c>
      <c r="Y417" s="150">
        <f t="shared" si="186"/>
        <v>811685.51207343035</v>
      </c>
      <c r="Z417" s="150">
        <f t="shared" si="186"/>
        <v>-14875.143333333352</v>
      </c>
      <c r="AA417" s="150">
        <f t="shared" si="186"/>
        <v>-486176.47686095617</v>
      </c>
      <c r="AB417" s="150">
        <f t="shared" si="186"/>
        <v>73.751495207338323</v>
      </c>
      <c r="AC417" s="150">
        <f t="shared" si="186"/>
        <v>58703.783308249243</v>
      </c>
      <c r="AD417" s="150">
        <f t="shared" si="186"/>
        <v>362806.1827487853</v>
      </c>
      <c r="AE417" s="150">
        <f>AC417</f>
        <v>58703.783308249243</v>
      </c>
      <c r="AF417" s="150">
        <f t="shared" si="186"/>
        <v>0</v>
      </c>
      <c r="AG417" s="150">
        <f t="shared" si="186"/>
        <v>0</v>
      </c>
      <c r="AH417" s="150">
        <f>AD417</f>
        <v>362806.1827487853</v>
      </c>
      <c r="AI417" s="150">
        <f t="shared" si="186"/>
        <v>0</v>
      </c>
      <c r="AJ417" s="150"/>
    </row>
    <row r="418" spans="1:36" s="9" customFormat="1">
      <c r="K418" s="158"/>
      <c r="M418" s="127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Z418" s="116"/>
      <c r="AA418" s="116"/>
    </row>
    <row r="419" spans="1:36" s="9" customFormat="1">
      <c r="A419" s="142" t="s">
        <v>609</v>
      </c>
      <c r="K419" s="158"/>
      <c r="M419" s="127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Z419" s="116"/>
      <c r="AA419" s="116"/>
    </row>
    <row r="420" spans="1:36" s="9" customFormat="1">
      <c r="B420" s="9">
        <v>534</v>
      </c>
      <c r="C420" s="9" t="s">
        <v>610</v>
      </c>
      <c r="G420" s="9">
        <v>2000</v>
      </c>
      <c r="H420" s="9">
        <v>3</v>
      </c>
      <c r="I420" s="9">
        <v>0</v>
      </c>
      <c r="J420" s="9" t="s">
        <v>78</v>
      </c>
      <c r="K420" s="158">
        <v>7</v>
      </c>
      <c r="L420" s="9">
        <f t="shared" ref="L420:L483" si="187">G420+K420</f>
        <v>2007</v>
      </c>
      <c r="M420" s="127">
        <f t="shared" ref="M420:M483" si="188">+L420+(H420/12)</f>
        <v>2007.25</v>
      </c>
      <c r="N420" s="13">
        <v>24663.17</v>
      </c>
      <c r="O420" s="13">
        <f t="shared" ref="O420:O483" si="189">N420-N420*I420</f>
        <v>24663.17</v>
      </c>
      <c r="P420" s="13">
        <f t="shared" ref="P420:P483" si="190">O420/K420/12</f>
        <v>293.60916666666668</v>
      </c>
      <c r="Q420" s="13">
        <f t="shared" ref="Q420:Q483" si="191">P420*12</f>
        <v>3523.3100000000004</v>
      </c>
      <c r="R420" s="13">
        <v>0</v>
      </c>
      <c r="S420" s="13">
        <f t="shared" ref="S420:S483" si="192">+IF(M420&lt;=$O$5,0,IF(L420&gt;$O$4,Q420,(P420*H420)))</f>
        <v>0</v>
      </c>
      <c r="T420" s="13">
        <f t="shared" ref="T420:T483" si="193">+IF(S420=0,N420,IF($O$3-G420&lt;1,0,(($O$3-G420)*Q420)))</f>
        <v>24663.17</v>
      </c>
      <c r="U420" s="13">
        <f t="shared" ref="U420:U483" si="194">+IF(S420=0,T420,T420+S420)</f>
        <v>24663.17</v>
      </c>
      <c r="V420" s="13">
        <v>0</v>
      </c>
      <c r="W420" s="13">
        <f t="shared" ref="W420:W483" si="195">+N420-U420</f>
        <v>0</v>
      </c>
      <c r="X420" s="115">
        <f t="shared" ref="X420" si="196">S420</f>
        <v>0</v>
      </c>
      <c r="Y420" s="116">
        <f t="shared" ref="Y420" si="197">W420</f>
        <v>0</v>
      </c>
      <c r="Z420" s="116">
        <f t="shared" si="143"/>
        <v>0</v>
      </c>
      <c r="AA420" s="116">
        <f t="shared" si="144"/>
        <v>0</v>
      </c>
      <c r="AB420" s="117">
        <f>'Ratios (C)'!$C$26+'Ratios (C)'!$D$26</f>
        <v>0.75270178133090293</v>
      </c>
      <c r="AC420" s="116">
        <f t="shared" ref="AC420" si="198">X420*AB420</f>
        <v>0</v>
      </c>
      <c r="AD420" s="116">
        <f t="shared" ref="AD420" si="199">Y420*AB420</f>
        <v>0</v>
      </c>
      <c r="AE420" s="118"/>
      <c r="AF420" s="119"/>
      <c r="AG420" s="120"/>
      <c r="AH420" s="118"/>
      <c r="AI420" s="119"/>
      <c r="AJ420" s="121"/>
    </row>
    <row r="421" spans="1:36" s="9" customFormat="1">
      <c r="B421" s="9">
        <v>534</v>
      </c>
      <c r="C421" s="9" t="s">
        <v>611</v>
      </c>
      <c r="G421" s="9">
        <v>1999</v>
      </c>
      <c r="H421" s="9">
        <v>8</v>
      </c>
      <c r="I421" s="9">
        <v>0</v>
      </c>
      <c r="J421" s="9" t="s">
        <v>78</v>
      </c>
      <c r="K421" s="158">
        <v>7</v>
      </c>
      <c r="L421" s="9">
        <f t="shared" si="187"/>
        <v>2006</v>
      </c>
      <c r="M421" s="127">
        <f t="shared" si="188"/>
        <v>2006.6666666666667</v>
      </c>
      <c r="N421" s="13">
        <v>24663.17</v>
      </c>
      <c r="O421" s="13">
        <f t="shared" si="189"/>
        <v>24663.17</v>
      </c>
      <c r="P421" s="13">
        <f t="shared" si="190"/>
        <v>293.60916666666668</v>
      </c>
      <c r="Q421" s="13">
        <f t="shared" si="191"/>
        <v>3523.3100000000004</v>
      </c>
      <c r="R421" s="13">
        <v>0</v>
      </c>
      <c r="S421" s="13">
        <f t="shared" si="192"/>
        <v>0</v>
      </c>
      <c r="T421" s="13">
        <f t="shared" si="193"/>
        <v>24663.17</v>
      </c>
      <c r="U421" s="13">
        <f t="shared" si="194"/>
        <v>24663.17</v>
      </c>
      <c r="V421" s="13">
        <v>0</v>
      </c>
      <c r="W421" s="13">
        <f t="shared" si="195"/>
        <v>0</v>
      </c>
      <c r="X421" s="115">
        <f t="shared" ref="X421:X484" si="200">S421</f>
        <v>0</v>
      </c>
      <c r="Y421" s="116">
        <f t="shared" ref="Y421:Y484" si="201">W421</f>
        <v>0</v>
      </c>
      <c r="Z421" s="116">
        <f t="shared" ref="Z421:Z484" si="202">X421-R421</f>
        <v>0</v>
      </c>
      <c r="AA421" s="116">
        <f t="shared" ref="AA421:AA484" si="203">Y421-V421</f>
        <v>0</v>
      </c>
      <c r="AB421" s="117">
        <f>'Ratios (C)'!$C$26+'Ratios (C)'!$D$26</f>
        <v>0.75270178133090293</v>
      </c>
      <c r="AC421" s="116">
        <f t="shared" ref="AC421:AC484" si="204">X421*AB421</f>
        <v>0</v>
      </c>
      <c r="AD421" s="116">
        <f t="shared" ref="AD421:AD484" si="205">Y421*AB421</f>
        <v>0</v>
      </c>
      <c r="AE421" s="118"/>
      <c r="AF421" s="119"/>
      <c r="AG421" s="120"/>
      <c r="AH421" s="118"/>
      <c r="AI421" s="119"/>
      <c r="AJ421" s="121"/>
    </row>
    <row r="422" spans="1:36" s="9" customFormat="1">
      <c r="B422" s="9">
        <v>534</v>
      </c>
      <c r="C422" s="9" t="s">
        <v>611</v>
      </c>
      <c r="G422" s="9">
        <v>1999</v>
      </c>
      <c r="H422" s="9">
        <v>9</v>
      </c>
      <c r="I422" s="9">
        <v>0</v>
      </c>
      <c r="J422" s="9" t="s">
        <v>78</v>
      </c>
      <c r="K422" s="158">
        <v>7</v>
      </c>
      <c r="L422" s="9">
        <f t="shared" si="187"/>
        <v>2006</v>
      </c>
      <c r="M422" s="127">
        <f t="shared" si="188"/>
        <v>2006.75</v>
      </c>
      <c r="N422" s="13">
        <v>24663.17</v>
      </c>
      <c r="O422" s="13">
        <f t="shared" si="189"/>
        <v>24663.17</v>
      </c>
      <c r="P422" s="13">
        <f t="shared" si="190"/>
        <v>293.60916666666668</v>
      </c>
      <c r="Q422" s="13">
        <f t="shared" si="191"/>
        <v>3523.3100000000004</v>
      </c>
      <c r="R422" s="13">
        <v>0</v>
      </c>
      <c r="S422" s="13">
        <f t="shared" si="192"/>
        <v>0</v>
      </c>
      <c r="T422" s="13">
        <f t="shared" si="193"/>
        <v>24663.17</v>
      </c>
      <c r="U422" s="13">
        <f t="shared" si="194"/>
        <v>24663.17</v>
      </c>
      <c r="V422" s="13">
        <v>0</v>
      </c>
      <c r="W422" s="13">
        <f t="shared" si="195"/>
        <v>0</v>
      </c>
      <c r="X422" s="115">
        <f t="shared" si="200"/>
        <v>0</v>
      </c>
      <c r="Y422" s="116">
        <f t="shared" si="201"/>
        <v>0</v>
      </c>
      <c r="Z422" s="116">
        <f t="shared" si="202"/>
        <v>0</v>
      </c>
      <c r="AA422" s="116">
        <f t="shared" si="203"/>
        <v>0</v>
      </c>
      <c r="AB422" s="117">
        <f>'Ratios (C)'!$C$26+'Ratios (C)'!$D$26</f>
        <v>0.75270178133090293</v>
      </c>
      <c r="AC422" s="116">
        <f t="shared" si="204"/>
        <v>0</v>
      </c>
      <c r="AD422" s="116">
        <f t="shared" si="205"/>
        <v>0</v>
      </c>
      <c r="AE422" s="118"/>
      <c r="AF422" s="119"/>
      <c r="AG422" s="120"/>
      <c r="AH422" s="118"/>
      <c r="AI422" s="119"/>
      <c r="AJ422" s="121"/>
    </row>
    <row r="423" spans="1:36" s="9" customFormat="1">
      <c r="B423" s="9">
        <v>534</v>
      </c>
      <c r="C423" s="9" t="s">
        <v>611</v>
      </c>
      <c r="G423" s="9">
        <v>1999</v>
      </c>
      <c r="H423" s="9">
        <v>9</v>
      </c>
      <c r="I423" s="9">
        <v>0</v>
      </c>
      <c r="J423" s="9" t="s">
        <v>78</v>
      </c>
      <c r="K423" s="158">
        <v>7</v>
      </c>
      <c r="L423" s="9">
        <f t="shared" si="187"/>
        <v>2006</v>
      </c>
      <c r="M423" s="127">
        <f t="shared" si="188"/>
        <v>2006.75</v>
      </c>
      <c r="N423" s="13">
        <v>24663.17</v>
      </c>
      <c r="O423" s="13">
        <f t="shared" si="189"/>
        <v>24663.17</v>
      </c>
      <c r="P423" s="13">
        <f t="shared" si="190"/>
        <v>293.60916666666668</v>
      </c>
      <c r="Q423" s="13">
        <f t="shared" si="191"/>
        <v>3523.3100000000004</v>
      </c>
      <c r="R423" s="13">
        <v>0</v>
      </c>
      <c r="S423" s="13">
        <f t="shared" si="192"/>
        <v>0</v>
      </c>
      <c r="T423" s="13">
        <f t="shared" si="193"/>
        <v>24663.17</v>
      </c>
      <c r="U423" s="13">
        <f t="shared" si="194"/>
        <v>24663.17</v>
      </c>
      <c r="V423" s="13">
        <v>0</v>
      </c>
      <c r="W423" s="13">
        <f t="shared" si="195"/>
        <v>0</v>
      </c>
      <c r="X423" s="115">
        <f t="shared" si="200"/>
        <v>0</v>
      </c>
      <c r="Y423" s="116">
        <f t="shared" si="201"/>
        <v>0</v>
      </c>
      <c r="Z423" s="116">
        <f t="shared" si="202"/>
        <v>0</v>
      </c>
      <c r="AA423" s="116">
        <f t="shared" si="203"/>
        <v>0</v>
      </c>
      <c r="AB423" s="117">
        <f>'Ratios (C)'!$C$26+'Ratios (C)'!$D$26</f>
        <v>0.75270178133090293</v>
      </c>
      <c r="AC423" s="116">
        <f t="shared" si="204"/>
        <v>0</v>
      </c>
      <c r="AD423" s="116">
        <f t="shared" si="205"/>
        <v>0</v>
      </c>
      <c r="AE423" s="118"/>
      <c r="AF423" s="119"/>
      <c r="AG423" s="120"/>
      <c r="AH423" s="118"/>
      <c r="AI423" s="119"/>
      <c r="AJ423" s="121"/>
    </row>
    <row r="424" spans="1:36" s="9" customFormat="1">
      <c r="B424" s="9">
        <v>525</v>
      </c>
      <c r="C424" s="9" t="s">
        <v>612</v>
      </c>
      <c r="G424" s="9">
        <v>1999</v>
      </c>
      <c r="H424" s="9">
        <v>9</v>
      </c>
      <c r="I424" s="9">
        <v>0</v>
      </c>
      <c r="J424" s="9" t="s">
        <v>78</v>
      </c>
      <c r="K424" s="158">
        <v>7</v>
      </c>
      <c r="L424" s="9">
        <f t="shared" si="187"/>
        <v>2006</v>
      </c>
      <c r="M424" s="127">
        <f t="shared" si="188"/>
        <v>2006.75</v>
      </c>
      <c r="N424" s="13">
        <v>24663.17</v>
      </c>
      <c r="O424" s="13">
        <f t="shared" si="189"/>
        <v>24663.17</v>
      </c>
      <c r="P424" s="13">
        <f t="shared" si="190"/>
        <v>293.60916666666668</v>
      </c>
      <c r="Q424" s="13">
        <f t="shared" si="191"/>
        <v>3523.3100000000004</v>
      </c>
      <c r="R424" s="13">
        <v>0</v>
      </c>
      <c r="S424" s="13">
        <f t="shared" si="192"/>
        <v>0</v>
      </c>
      <c r="T424" s="13">
        <f t="shared" si="193"/>
        <v>24663.17</v>
      </c>
      <c r="U424" s="13">
        <f t="shared" si="194"/>
        <v>24663.17</v>
      </c>
      <c r="V424" s="13">
        <v>0</v>
      </c>
      <c r="W424" s="13">
        <f t="shared" si="195"/>
        <v>0</v>
      </c>
      <c r="X424" s="115">
        <f t="shared" si="200"/>
        <v>0</v>
      </c>
      <c r="Y424" s="116">
        <f t="shared" si="201"/>
        <v>0</v>
      </c>
      <c r="Z424" s="116">
        <f t="shared" si="202"/>
        <v>0</v>
      </c>
      <c r="AA424" s="116">
        <f t="shared" si="203"/>
        <v>0</v>
      </c>
      <c r="AB424" s="117">
        <f>'Ratios (C)'!$C$26+'Ratios (C)'!$D$26</f>
        <v>0.75270178133090293</v>
      </c>
      <c r="AC424" s="116">
        <f t="shared" si="204"/>
        <v>0</v>
      </c>
      <c r="AD424" s="116">
        <f t="shared" si="205"/>
        <v>0</v>
      </c>
      <c r="AE424" s="118"/>
      <c r="AF424" s="119"/>
      <c r="AG424" s="120"/>
      <c r="AH424" s="118"/>
      <c r="AI424" s="119"/>
      <c r="AJ424" s="121"/>
    </row>
    <row r="425" spans="1:36" s="9" customFormat="1">
      <c r="B425" s="9">
        <v>534</v>
      </c>
      <c r="C425" s="9" t="s">
        <v>611</v>
      </c>
      <c r="G425" s="9">
        <v>1999</v>
      </c>
      <c r="H425" s="9">
        <v>10</v>
      </c>
      <c r="I425" s="9">
        <v>0</v>
      </c>
      <c r="J425" s="9" t="s">
        <v>78</v>
      </c>
      <c r="K425" s="158">
        <v>7</v>
      </c>
      <c r="L425" s="9">
        <f t="shared" si="187"/>
        <v>2006</v>
      </c>
      <c r="M425" s="127">
        <f t="shared" si="188"/>
        <v>2006.8333333333333</v>
      </c>
      <c r="N425" s="13">
        <v>24663.17</v>
      </c>
      <c r="O425" s="13">
        <f t="shared" si="189"/>
        <v>24663.17</v>
      </c>
      <c r="P425" s="13">
        <f t="shared" si="190"/>
        <v>293.60916666666668</v>
      </c>
      <c r="Q425" s="13">
        <f t="shared" si="191"/>
        <v>3523.3100000000004</v>
      </c>
      <c r="R425" s="13">
        <v>0</v>
      </c>
      <c r="S425" s="13">
        <f t="shared" si="192"/>
        <v>0</v>
      </c>
      <c r="T425" s="13">
        <f t="shared" si="193"/>
        <v>24663.17</v>
      </c>
      <c r="U425" s="13">
        <f t="shared" si="194"/>
        <v>24663.17</v>
      </c>
      <c r="V425" s="13">
        <v>0</v>
      </c>
      <c r="W425" s="13">
        <f t="shared" si="195"/>
        <v>0</v>
      </c>
      <c r="X425" s="115">
        <f t="shared" si="200"/>
        <v>0</v>
      </c>
      <c r="Y425" s="116">
        <f t="shared" si="201"/>
        <v>0</v>
      </c>
      <c r="Z425" s="116">
        <f t="shared" si="202"/>
        <v>0</v>
      </c>
      <c r="AA425" s="116">
        <f t="shared" si="203"/>
        <v>0</v>
      </c>
      <c r="AB425" s="117">
        <f>'Ratios (C)'!$C$26+'Ratios (C)'!$D$26</f>
        <v>0.75270178133090293</v>
      </c>
      <c r="AC425" s="116">
        <f t="shared" si="204"/>
        <v>0</v>
      </c>
      <c r="AD425" s="116">
        <f t="shared" si="205"/>
        <v>0</v>
      </c>
      <c r="AE425" s="118"/>
      <c r="AF425" s="119"/>
      <c r="AG425" s="120"/>
      <c r="AH425" s="118"/>
      <c r="AI425" s="119"/>
      <c r="AJ425" s="121"/>
    </row>
    <row r="426" spans="1:36" s="9" customFormat="1">
      <c r="B426" s="9">
        <v>576</v>
      </c>
      <c r="C426" s="9" t="s">
        <v>610</v>
      </c>
      <c r="G426" s="9">
        <v>1999</v>
      </c>
      <c r="H426" s="9">
        <v>11</v>
      </c>
      <c r="I426" s="9">
        <v>0</v>
      </c>
      <c r="J426" s="9" t="s">
        <v>78</v>
      </c>
      <c r="K426" s="158">
        <v>7</v>
      </c>
      <c r="L426" s="9">
        <f t="shared" si="187"/>
        <v>2006</v>
      </c>
      <c r="M426" s="127">
        <f t="shared" si="188"/>
        <v>2006.9166666666667</v>
      </c>
      <c r="N426" s="13">
        <v>24663.17</v>
      </c>
      <c r="O426" s="13">
        <f t="shared" si="189"/>
        <v>24663.17</v>
      </c>
      <c r="P426" s="13">
        <f t="shared" si="190"/>
        <v>293.60916666666668</v>
      </c>
      <c r="Q426" s="13">
        <f t="shared" si="191"/>
        <v>3523.3100000000004</v>
      </c>
      <c r="R426" s="13">
        <v>0</v>
      </c>
      <c r="S426" s="13">
        <f t="shared" si="192"/>
        <v>0</v>
      </c>
      <c r="T426" s="13">
        <f t="shared" si="193"/>
        <v>24663.17</v>
      </c>
      <c r="U426" s="13">
        <f t="shared" si="194"/>
        <v>24663.17</v>
      </c>
      <c r="V426" s="13">
        <v>0</v>
      </c>
      <c r="W426" s="13">
        <f t="shared" si="195"/>
        <v>0</v>
      </c>
      <c r="X426" s="115">
        <f t="shared" si="200"/>
        <v>0</v>
      </c>
      <c r="Y426" s="116">
        <f t="shared" si="201"/>
        <v>0</v>
      </c>
      <c r="Z426" s="116">
        <f t="shared" si="202"/>
        <v>0</v>
      </c>
      <c r="AA426" s="116">
        <f t="shared" si="203"/>
        <v>0</v>
      </c>
      <c r="AB426" s="117">
        <f>'Ratios (C)'!$C$26+'Ratios (C)'!$D$26</f>
        <v>0.75270178133090293</v>
      </c>
      <c r="AC426" s="116">
        <f t="shared" si="204"/>
        <v>0</v>
      </c>
      <c r="AD426" s="116">
        <f t="shared" si="205"/>
        <v>0</v>
      </c>
      <c r="AE426" s="118"/>
      <c r="AF426" s="119"/>
      <c r="AG426" s="120"/>
      <c r="AH426" s="118"/>
      <c r="AI426" s="119"/>
      <c r="AJ426" s="121"/>
    </row>
    <row r="427" spans="1:36" s="9" customFormat="1">
      <c r="B427" s="9">
        <v>576</v>
      </c>
      <c r="C427" s="9" t="s">
        <v>610</v>
      </c>
      <c r="G427" s="9">
        <v>1999</v>
      </c>
      <c r="H427" s="9">
        <v>11</v>
      </c>
      <c r="I427" s="9">
        <v>0</v>
      </c>
      <c r="J427" s="9" t="s">
        <v>78</v>
      </c>
      <c r="K427" s="158">
        <v>7</v>
      </c>
      <c r="L427" s="9">
        <f t="shared" si="187"/>
        <v>2006</v>
      </c>
      <c r="M427" s="127">
        <f t="shared" si="188"/>
        <v>2006.9166666666667</v>
      </c>
      <c r="N427" s="13">
        <v>24663.17</v>
      </c>
      <c r="O427" s="13">
        <f t="shared" si="189"/>
        <v>24663.17</v>
      </c>
      <c r="P427" s="13">
        <f t="shared" si="190"/>
        <v>293.60916666666668</v>
      </c>
      <c r="Q427" s="13">
        <f t="shared" si="191"/>
        <v>3523.3100000000004</v>
      </c>
      <c r="R427" s="13">
        <v>0</v>
      </c>
      <c r="S427" s="13">
        <f t="shared" si="192"/>
        <v>0</v>
      </c>
      <c r="T427" s="13">
        <f t="shared" si="193"/>
        <v>24663.17</v>
      </c>
      <c r="U427" s="13">
        <f t="shared" si="194"/>
        <v>24663.17</v>
      </c>
      <c r="V427" s="13">
        <v>0</v>
      </c>
      <c r="W427" s="13">
        <f t="shared" si="195"/>
        <v>0</v>
      </c>
      <c r="X427" s="115">
        <f t="shared" si="200"/>
        <v>0</v>
      </c>
      <c r="Y427" s="116">
        <f t="shared" si="201"/>
        <v>0</v>
      </c>
      <c r="Z427" s="116">
        <f t="shared" si="202"/>
        <v>0</v>
      </c>
      <c r="AA427" s="116">
        <f t="shared" si="203"/>
        <v>0</v>
      </c>
      <c r="AB427" s="117">
        <f>'Ratios (C)'!$C$26+'Ratios (C)'!$D$26</f>
        <v>0.75270178133090293</v>
      </c>
      <c r="AC427" s="116">
        <f t="shared" si="204"/>
        <v>0</v>
      </c>
      <c r="AD427" s="116">
        <f t="shared" si="205"/>
        <v>0</v>
      </c>
      <c r="AE427" s="118"/>
      <c r="AF427" s="119"/>
      <c r="AG427" s="120"/>
      <c r="AH427" s="118"/>
      <c r="AI427" s="119"/>
      <c r="AJ427" s="121"/>
    </row>
    <row r="428" spans="1:36" s="9" customFormat="1">
      <c r="B428" s="9">
        <v>466</v>
      </c>
      <c r="C428" s="9" t="s">
        <v>610</v>
      </c>
      <c r="G428" s="9">
        <v>1999</v>
      </c>
      <c r="H428" s="9">
        <v>12</v>
      </c>
      <c r="I428" s="9">
        <v>0</v>
      </c>
      <c r="J428" s="9" t="s">
        <v>78</v>
      </c>
      <c r="K428" s="158">
        <v>7</v>
      </c>
      <c r="L428" s="9">
        <f t="shared" si="187"/>
        <v>2006</v>
      </c>
      <c r="M428" s="127">
        <f t="shared" si="188"/>
        <v>2007</v>
      </c>
      <c r="N428" s="13">
        <v>21922.82</v>
      </c>
      <c r="O428" s="13">
        <f t="shared" si="189"/>
        <v>21922.82</v>
      </c>
      <c r="P428" s="13">
        <f t="shared" si="190"/>
        <v>260.98595238095237</v>
      </c>
      <c r="Q428" s="13">
        <f t="shared" si="191"/>
        <v>3131.8314285714287</v>
      </c>
      <c r="R428" s="13">
        <v>0</v>
      </c>
      <c r="S428" s="13">
        <f t="shared" si="192"/>
        <v>0</v>
      </c>
      <c r="T428" s="13">
        <f t="shared" si="193"/>
        <v>21922.82</v>
      </c>
      <c r="U428" s="13">
        <f t="shared" si="194"/>
        <v>21922.82</v>
      </c>
      <c r="V428" s="13">
        <v>0</v>
      </c>
      <c r="W428" s="13">
        <f t="shared" si="195"/>
        <v>0</v>
      </c>
      <c r="X428" s="115">
        <f t="shared" si="200"/>
        <v>0</v>
      </c>
      <c r="Y428" s="116">
        <f t="shared" si="201"/>
        <v>0</v>
      </c>
      <c r="Z428" s="116">
        <f t="shared" si="202"/>
        <v>0</v>
      </c>
      <c r="AA428" s="116">
        <f t="shared" si="203"/>
        <v>0</v>
      </c>
      <c r="AB428" s="117">
        <f>'Ratios (C)'!$C$26+'Ratios (C)'!$D$26</f>
        <v>0.75270178133090293</v>
      </c>
      <c r="AC428" s="116">
        <f t="shared" si="204"/>
        <v>0</v>
      </c>
      <c r="AD428" s="116">
        <f t="shared" si="205"/>
        <v>0</v>
      </c>
      <c r="AE428" s="118"/>
      <c r="AF428" s="119"/>
      <c r="AG428" s="120"/>
      <c r="AH428" s="118"/>
      <c r="AI428" s="119"/>
      <c r="AJ428" s="121"/>
    </row>
    <row r="429" spans="1:36" s="9" customFormat="1">
      <c r="B429" s="9">
        <v>58</v>
      </c>
      <c r="C429" s="9" t="s">
        <v>610</v>
      </c>
      <c r="G429" s="9">
        <v>1999</v>
      </c>
      <c r="H429" s="9">
        <v>12</v>
      </c>
      <c r="I429" s="9">
        <v>0</v>
      </c>
      <c r="J429" s="9" t="s">
        <v>78</v>
      </c>
      <c r="K429" s="158">
        <v>7</v>
      </c>
      <c r="L429" s="9">
        <f t="shared" si="187"/>
        <v>2006</v>
      </c>
      <c r="M429" s="127">
        <f t="shared" si="188"/>
        <v>2007</v>
      </c>
      <c r="N429" s="13">
        <v>2740.35</v>
      </c>
      <c r="O429" s="13">
        <f t="shared" si="189"/>
        <v>2740.35</v>
      </c>
      <c r="P429" s="13">
        <f t="shared" si="190"/>
        <v>32.623214285714283</v>
      </c>
      <c r="Q429" s="13">
        <f t="shared" si="191"/>
        <v>391.4785714285714</v>
      </c>
      <c r="R429" s="13">
        <v>0</v>
      </c>
      <c r="S429" s="13">
        <f t="shared" si="192"/>
        <v>0</v>
      </c>
      <c r="T429" s="13">
        <f t="shared" si="193"/>
        <v>2740.35</v>
      </c>
      <c r="U429" s="13">
        <f t="shared" si="194"/>
        <v>2740.35</v>
      </c>
      <c r="V429" s="13">
        <v>0</v>
      </c>
      <c r="W429" s="13">
        <f t="shared" si="195"/>
        <v>0</v>
      </c>
      <c r="X429" s="115">
        <f t="shared" si="200"/>
        <v>0</v>
      </c>
      <c r="Y429" s="116">
        <f t="shared" si="201"/>
        <v>0</v>
      </c>
      <c r="Z429" s="116">
        <f t="shared" si="202"/>
        <v>0</v>
      </c>
      <c r="AA429" s="116">
        <f t="shared" si="203"/>
        <v>0</v>
      </c>
      <c r="AB429" s="117">
        <f>'Ratios (C)'!$C$26+'Ratios (C)'!$D$26</f>
        <v>0.75270178133090293</v>
      </c>
      <c r="AC429" s="116">
        <f t="shared" si="204"/>
        <v>0</v>
      </c>
      <c r="AD429" s="116">
        <f t="shared" si="205"/>
        <v>0</v>
      </c>
      <c r="AE429" s="118"/>
      <c r="AF429" s="119"/>
      <c r="AG429" s="120"/>
      <c r="AH429" s="118"/>
      <c r="AI429" s="119"/>
      <c r="AJ429" s="121"/>
    </row>
    <row r="430" spans="1:36" s="9" customFormat="1">
      <c r="B430" s="9">
        <v>534</v>
      </c>
      <c r="C430" s="9" t="s">
        <v>610</v>
      </c>
      <c r="G430" s="9">
        <v>2000</v>
      </c>
      <c r="H430" s="9">
        <v>1</v>
      </c>
      <c r="I430" s="9">
        <v>0</v>
      </c>
      <c r="J430" s="9" t="s">
        <v>78</v>
      </c>
      <c r="K430" s="158">
        <v>7</v>
      </c>
      <c r="L430" s="9">
        <f t="shared" si="187"/>
        <v>2007</v>
      </c>
      <c r="M430" s="127">
        <f t="shared" si="188"/>
        <v>2007.0833333333333</v>
      </c>
      <c r="N430" s="13">
        <v>23414.400000000001</v>
      </c>
      <c r="O430" s="13">
        <f t="shared" si="189"/>
        <v>23414.400000000001</v>
      </c>
      <c r="P430" s="13">
        <f t="shared" si="190"/>
        <v>278.74285714285719</v>
      </c>
      <c r="Q430" s="13">
        <f t="shared" si="191"/>
        <v>3344.9142857142861</v>
      </c>
      <c r="R430" s="13">
        <v>0</v>
      </c>
      <c r="S430" s="13">
        <f t="shared" si="192"/>
        <v>0</v>
      </c>
      <c r="T430" s="13">
        <f t="shared" si="193"/>
        <v>23414.400000000001</v>
      </c>
      <c r="U430" s="13">
        <f t="shared" si="194"/>
        <v>23414.400000000001</v>
      </c>
      <c r="V430" s="13">
        <v>0</v>
      </c>
      <c r="W430" s="13">
        <f t="shared" si="195"/>
        <v>0</v>
      </c>
      <c r="X430" s="115">
        <f t="shared" si="200"/>
        <v>0</v>
      </c>
      <c r="Y430" s="116">
        <f t="shared" si="201"/>
        <v>0</v>
      </c>
      <c r="Z430" s="116">
        <f t="shared" si="202"/>
        <v>0</v>
      </c>
      <c r="AA430" s="116">
        <f t="shared" si="203"/>
        <v>0</v>
      </c>
      <c r="AB430" s="117">
        <f>'Ratios (C)'!$C$26+'Ratios (C)'!$D$26</f>
        <v>0.75270178133090293</v>
      </c>
      <c r="AC430" s="116">
        <f t="shared" si="204"/>
        <v>0</v>
      </c>
      <c r="AD430" s="116">
        <f t="shared" si="205"/>
        <v>0</v>
      </c>
      <c r="AE430" s="118"/>
      <c r="AF430" s="119"/>
      <c r="AG430" s="120"/>
      <c r="AH430" s="118"/>
      <c r="AI430" s="119"/>
      <c r="AJ430" s="121"/>
    </row>
    <row r="431" spans="1:36" s="9" customFormat="1">
      <c r="B431" s="9">
        <v>534</v>
      </c>
      <c r="C431" s="9" t="s">
        <v>610</v>
      </c>
      <c r="G431" s="9">
        <v>2000</v>
      </c>
      <c r="H431" s="9">
        <v>1</v>
      </c>
      <c r="I431" s="9">
        <v>0</v>
      </c>
      <c r="J431" s="9" t="s">
        <v>78</v>
      </c>
      <c r="K431" s="158">
        <v>7</v>
      </c>
      <c r="L431" s="9">
        <f t="shared" si="187"/>
        <v>2007</v>
      </c>
      <c r="M431" s="127">
        <f t="shared" si="188"/>
        <v>2007.0833333333333</v>
      </c>
      <c r="N431" s="13">
        <v>24663.17</v>
      </c>
      <c r="O431" s="13">
        <f t="shared" si="189"/>
        <v>24663.17</v>
      </c>
      <c r="P431" s="13">
        <f t="shared" si="190"/>
        <v>293.60916666666668</v>
      </c>
      <c r="Q431" s="13">
        <f t="shared" si="191"/>
        <v>3523.3100000000004</v>
      </c>
      <c r="R431" s="13">
        <v>0</v>
      </c>
      <c r="S431" s="13">
        <f t="shared" si="192"/>
        <v>0</v>
      </c>
      <c r="T431" s="13">
        <f t="shared" si="193"/>
        <v>24663.17</v>
      </c>
      <c r="U431" s="13">
        <f t="shared" si="194"/>
        <v>24663.17</v>
      </c>
      <c r="V431" s="13">
        <v>0</v>
      </c>
      <c r="W431" s="13">
        <f t="shared" si="195"/>
        <v>0</v>
      </c>
      <c r="X431" s="115">
        <f t="shared" si="200"/>
        <v>0</v>
      </c>
      <c r="Y431" s="116">
        <f t="shared" si="201"/>
        <v>0</v>
      </c>
      <c r="Z431" s="116">
        <f t="shared" si="202"/>
        <v>0</v>
      </c>
      <c r="AA431" s="116">
        <f t="shared" si="203"/>
        <v>0</v>
      </c>
      <c r="AB431" s="117">
        <f>'Ratios (C)'!$C$26+'Ratios (C)'!$D$26</f>
        <v>0.75270178133090293</v>
      </c>
      <c r="AC431" s="116">
        <f t="shared" si="204"/>
        <v>0</v>
      </c>
      <c r="AD431" s="116">
        <f t="shared" si="205"/>
        <v>0</v>
      </c>
      <c r="AE431" s="118"/>
      <c r="AF431" s="119"/>
      <c r="AG431" s="120"/>
      <c r="AH431" s="118"/>
      <c r="AI431" s="119"/>
      <c r="AJ431" s="121"/>
    </row>
    <row r="432" spans="1:36" s="9" customFormat="1">
      <c r="B432" s="9">
        <v>534</v>
      </c>
      <c r="C432" s="9" t="s">
        <v>610</v>
      </c>
      <c r="G432" s="9">
        <v>2000</v>
      </c>
      <c r="H432" s="9">
        <v>1</v>
      </c>
      <c r="I432" s="9">
        <v>0</v>
      </c>
      <c r="J432" s="9" t="s">
        <v>78</v>
      </c>
      <c r="K432" s="158">
        <v>7</v>
      </c>
      <c r="L432" s="9">
        <f t="shared" si="187"/>
        <v>2007</v>
      </c>
      <c r="M432" s="127">
        <f t="shared" si="188"/>
        <v>2007.0833333333333</v>
      </c>
      <c r="N432" s="13">
        <v>24663.17</v>
      </c>
      <c r="O432" s="13">
        <f t="shared" si="189"/>
        <v>24663.17</v>
      </c>
      <c r="P432" s="13">
        <f t="shared" si="190"/>
        <v>293.60916666666668</v>
      </c>
      <c r="Q432" s="13">
        <f t="shared" si="191"/>
        <v>3523.3100000000004</v>
      </c>
      <c r="R432" s="13">
        <v>0</v>
      </c>
      <c r="S432" s="13">
        <f t="shared" si="192"/>
        <v>0</v>
      </c>
      <c r="T432" s="13">
        <f t="shared" si="193"/>
        <v>24663.17</v>
      </c>
      <c r="U432" s="13">
        <f t="shared" si="194"/>
        <v>24663.17</v>
      </c>
      <c r="V432" s="13">
        <v>0</v>
      </c>
      <c r="W432" s="13">
        <f t="shared" si="195"/>
        <v>0</v>
      </c>
      <c r="X432" s="115">
        <f t="shared" si="200"/>
        <v>0</v>
      </c>
      <c r="Y432" s="116">
        <f t="shared" si="201"/>
        <v>0</v>
      </c>
      <c r="Z432" s="116">
        <f t="shared" si="202"/>
        <v>0</v>
      </c>
      <c r="AA432" s="116">
        <f t="shared" si="203"/>
        <v>0</v>
      </c>
      <c r="AB432" s="117">
        <f>'Ratios (C)'!$C$26+'Ratios (C)'!$D$26</f>
        <v>0.75270178133090293</v>
      </c>
      <c r="AC432" s="116">
        <f t="shared" si="204"/>
        <v>0</v>
      </c>
      <c r="AD432" s="116">
        <f t="shared" si="205"/>
        <v>0</v>
      </c>
      <c r="AE432" s="118"/>
      <c r="AF432" s="119"/>
      <c r="AG432" s="120"/>
      <c r="AH432" s="118"/>
      <c r="AI432" s="119"/>
      <c r="AJ432" s="121"/>
    </row>
    <row r="433" spans="2:36" s="9" customFormat="1">
      <c r="B433" s="9">
        <v>534</v>
      </c>
      <c r="C433" s="9" t="s">
        <v>610</v>
      </c>
      <c r="G433" s="9">
        <v>2000</v>
      </c>
      <c r="H433" s="9">
        <v>2</v>
      </c>
      <c r="I433" s="9">
        <v>0</v>
      </c>
      <c r="J433" s="9" t="s">
        <v>78</v>
      </c>
      <c r="K433" s="158">
        <v>7</v>
      </c>
      <c r="L433" s="9">
        <f t="shared" si="187"/>
        <v>2007</v>
      </c>
      <c r="M433" s="127">
        <f t="shared" si="188"/>
        <v>2007.1666666666667</v>
      </c>
      <c r="N433" s="13">
        <v>24449.08</v>
      </c>
      <c r="O433" s="13">
        <f t="shared" si="189"/>
        <v>24449.08</v>
      </c>
      <c r="P433" s="13">
        <f t="shared" si="190"/>
        <v>291.06047619047621</v>
      </c>
      <c r="Q433" s="13">
        <f t="shared" si="191"/>
        <v>3492.7257142857143</v>
      </c>
      <c r="R433" s="13">
        <v>0</v>
      </c>
      <c r="S433" s="13">
        <f t="shared" si="192"/>
        <v>0</v>
      </c>
      <c r="T433" s="13">
        <f t="shared" si="193"/>
        <v>24449.08</v>
      </c>
      <c r="U433" s="13">
        <f t="shared" si="194"/>
        <v>24449.08</v>
      </c>
      <c r="V433" s="13">
        <v>0</v>
      </c>
      <c r="W433" s="13">
        <f t="shared" si="195"/>
        <v>0</v>
      </c>
      <c r="X433" s="115">
        <f t="shared" si="200"/>
        <v>0</v>
      </c>
      <c r="Y433" s="116">
        <f t="shared" si="201"/>
        <v>0</v>
      </c>
      <c r="Z433" s="116">
        <f t="shared" si="202"/>
        <v>0</v>
      </c>
      <c r="AA433" s="116">
        <f t="shared" si="203"/>
        <v>0</v>
      </c>
      <c r="AB433" s="117">
        <f>'Ratios (C)'!$C$26+'Ratios (C)'!$D$26</f>
        <v>0.75270178133090293</v>
      </c>
      <c r="AC433" s="116">
        <f t="shared" si="204"/>
        <v>0</v>
      </c>
      <c r="AD433" s="116">
        <f t="shared" si="205"/>
        <v>0</v>
      </c>
      <c r="AE433" s="118"/>
      <c r="AF433" s="119"/>
      <c r="AG433" s="120"/>
      <c r="AH433" s="118"/>
      <c r="AI433" s="119"/>
      <c r="AJ433" s="121"/>
    </row>
    <row r="434" spans="2:36" s="9" customFormat="1">
      <c r="B434" s="9">
        <v>534</v>
      </c>
      <c r="C434" s="9" t="s">
        <v>610</v>
      </c>
      <c r="G434" s="9">
        <v>2000</v>
      </c>
      <c r="H434" s="9">
        <v>3</v>
      </c>
      <c r="I434" s="9">
        <v>0</v>
      </c>
      <c r="J434" s="9" t="s">
        <v>78</v>
      </c>
      <c r="K434" s="158">
        <v>7</v>
      </c>
      <c r="L434" s="9">
        <f t="shared" si="187"/>
        <v>2007</v>
      </c>
      <c r="M434" s="127">
        <f t="shared" si="188"/>
        <v>2007.25</v>
      </c>
      <c r="N434" s="13">
        <v>24663.17</v>
      </c>
      <c r="O434" s="13">
        <f t="shared" si="189"/>
        <v>24663.17</v>
      </c>
      <c r="P434" s="13">
        <f t="shared" si="190"/>
        <v>293.60916666666668</v>
      </c>
      <c r="Q434" s="13">
        <f t="shared" si="191"/>
        <v>3523.3100000000004</v>
      </c>
      <c r="R434" s="13">
        <v>0</v>
      </c>
      <c r="S434" s="13">
        <f t="shared" si="192"/>
        <v>0</v>
      </c>
      <c r="T434" s="13">
        <f t="shared" si="193"/>
        <v>24663.17</v>
      </c>
      <c r="U434" s="13">
        <f t="shared" si="194"/>
        <v>24663.17</v>
      </c>
      <c r="V434" s="13">
        <v>0</v>
      </c>
      <c r="W434" s="13">
        <f t="shared" si="195"/>
        <v>0</v>
      </c>
      <c r="X434" s="115">
        <f t="shared" si="200"/>
        <v>0</v>
      </c>
      <c r="Y434" s="116">
        <f t="shared" si="201"/>
        <v>0</v>
      </c>
      <c r="Z434" s="116">
        <f t="shared" si="202"/>
        <v>0</v>
      </c>
      <c r="AA434" s="116">
        <f t="shared" si="203"/>
        <v>0</v>
      </c>
      <c r="AB434" s="117">
        <f>'Ratios (C)'!$C$26+'Ratios (C)'!$D$26</f>
        <v>0.75270178133090293</v>
      </c>
      <c r="AC434" s="116">
        <f t="shared" si="204"/>
        <v>0</v>
      </c>
      <c r="AD434" s="116">
        <f t="shared" si="205"/>
        <v>0</v>
      </c>
      <c r="AE434" s="118"/>
      <c r="AF434" s="119"/>
      <c r="AG434" s="120"/>
      <c r="AH434" s="118"/>
      <c r="AI434" s="119"/>
      <c r="AJ434" s="121"/>
    </row>
    <row r="435" spans="2:36" s="9" customFormat="1">
      <c r="B435" s="9">
        <v>534</v>
      </c>
      <c r="C435" s="9" t="s">
        <v>610</v>
      </c>
      <c r="G435" s="9">
        <v>2000</v>
      </c>
      <c r="H435" s="9">
        <v>3</v>
      </c>
      <c r="I435" s="9">
        <v>0</v>
      </c>
      <c r="J435" s="9" t="s">
        <v>78</v>
      </c>
      <c r="K435" s="158">
        <v>7</v>
      </c>
      <c r="L435" s="9">
        <f t="shared" si="187"/>
        <v>2007</v>
      </c>
      <c r="M435" s="127">
        <f t="shared" si="188"/>
        <v>2007.25</v>
      </c>
      <c r="N435" s="13">
        <v>24663.17</v>
      </c>
      <c r="O435" s="13">
        <f t="shared" si="189"/>
        <v>24663.17</v>
      </c>
      <c r="P435" s="13">
        <f t="shared" si="190"/>
        <v>293.60916666666668</v>
      </c>
      <c r="Q435" s="13">
        <f t="shared" si="191"/>
        <v>3523.3100000000004</v>
      </c>
      <c r="R435" s="13">
        <v>0</v>
      </c>
      <c r="S435" s="13">
        <f t="shared" si="192"/>
        <v>0</v>
      </c>
      <c r="T435" s="13">
        <f t="shared" si="193"/>
        <v>24663.17</v>
      </c>
      <c r="U435" s="13">
        <f t="shared" si="194"/>
        <v>24663.17</v>
      </c>
      <c r="V435" s="13">
        <v>0</v>
      </c>
      <c r="W435" s="13">
        <f t="shared" si="195"/>
        <v>0</v>
      </c>
      <c r="X435" s="115">
        <f t="shared" si="200"/>
        <v>0</v>
      </c>
      <c r="Y435" s="116">
        <f t="shared" si="201"/>
        <v>0</v>
      </c>
      <c r="Z435" s="116">
        <f t="shared" si="202"/>
        <v>0</v>
      </c>
      <c r="AA435" s="116">
        <f t="shared" si="203"/>
        <v>0</v>
      </c>
      <c r="AB435" s="117">
        <f>'Ratios (C)'!$C$26+'Ratios (C)'!$D$26</f>
        <v>0.75270178133090293</v>
      </c>
      <c r="AC435" s="116">
        <f t="shared" si="204"/>
        <v>0</v>
      </c>
      <c r="AD435" s="116">
        <f t="shared" si="205"/>
        <v>0</v>
      </c>
      <c r="AE435" s="118"/>
      <c r="AF435" s="119"/>
      <c r="AG435" s="120"/>
      <c r="AH435" s="118"/>
      <c r="AI435" s="119"/>
      <c r="AJ435" s="121"/>
    </row>
    <row r="436" spans="2:36" s="9" customFormat="1">
      <c r="B436" s="9">
        <v>531</v>
      </c>
      <c r="C436" s="9" t="s">
        <v>613</v>
      </c>
      <c r="G436" s="9">
        <v>2000</v>
      </c>
      <c r="H436" s="9">
        <v>6</v>
      </c>
      <c r="I436" s="9">
        <v>0</v>
      </c>
      <c r="J436" s="9" t="s">
        <v>78</v>
      </c>
      <c r="K436" s="158">
        <v>7</v>
      </c>
      <c r="L436" s="9">
        <f t="shared" si="187"/>
        <v>2007</v>
      </c>
      <c r="M436" s="127">
        <f t="shared" si="188"/>
        <v>2007.5</v>
      </c>
      <c r="N436" s="13">
        <v>24965.69</v>
      </c>
      <c r="O436" s="13">
        <f t="shared" si="189"/>
        <v>24965.69</v>
      </c>
      <c r="P436" s="13">
        <f t="shared" si="190"/>
        <v>297.21059523809521</v>
      </c>
      <c r="Q436" s="13">
        <f t="shared" si="191"/>
        <v>3566.5271428571423</v>
      </c>
      <c r="R436" s="13">
        <v>0</v>
      </c>
      <c r="S436" s="13">
        <f t="shared" si="192"/>
        <v>0</v>
      </c>
      <c r="T436" s="13">
        <f t="shared" si="193"/>
        <v>24965.69</v>
      </c>
      <c r="U436" s="13">
        <f t="shared" si="194"/>
        <v>24965.69</v>
      </c>
      <c r="V436" s="13">
        <v>0</v>
      </c>
      <c r="W436" s="13">
        <f t="shared" si="195"/>
        <v>0</v>
      </c>
      <c r="X436" s="115">
        <f t="shared" si="200"/>
        <v>0</v>
      </c>
      <c r="Y436" s="116">
        <f t="shared" si="201"/>
        <v>0</v>
      </c>
      <c r="Z436" s="116">
        <f t="shared" si="202"/>
        <v>0</v>
      </c>
      <c r="AA436" s="116">
        <f t="shared" si="203"/>
        <v>0</v>
      </c>
      <c r="AB436" s="117">
        <f>'Ratios (C)'!$C$26+'Ratios (C)'!$D$26</f>
        <v>0.75270178133090293</v>
      </c>
      <c r="AC436" s="116">
        <f t="shared" si="204"/>
        <v>0</v>
      </c>
      <c r="AD436" s="116">
        <f t="shared" si="205"/>
        <v>0</v>
      </c>
      <c r="AE436" s="118"/>
      <c r="AF436" s="119"/>
      <c r="AG436" s="120"/>
      <c r="AH436" s="118"/>
      <c r="AI436" s="119"/>
      <c r="AJ436" s="121"/>
    </row>
    <row r="437" spans="2:36" s="9" customFormat="1">
      <c r="B437" s="9">
        <v>531</v>
      </c>
      <c r="C437" s="9" t="s">
        <v>613</v>
      </c>
      <c r="G437" s="9">
        <v>2000</v>
      </c>
      <c r="H437" s="9">
        <v>6</v>
      </c>
      <c r="I437" s="9">
        <v>0</v>
      </c>
      <c r="J437" s="9" t="s">
        <v>78</v>
      </c>
      <c r="K437" s="158">
        <v>7</v>
      </c>
      <c r="L437" s="9">
        <f t="shared" si="187"/>
        <v>2007</v>
      </c>
      <c r="M437" s="127">
        <f t="shared" si="188"/>
        <v>2007.5</v>
      </c>
      <c r="N437" s="13">
        <v>24965.69</v>
      </c>
      <c r="O437" s="13">
        <f t="shared" si="189"/>
        <v>24965.69</v>
      </c>
      <c r="P437" s="13">
        <f t="shared" si="190"/>
        <v>297.21059523809521</v>
      </c>
      <c r="Q437" s="13">
        <f t="shared" si="191"/>
        <v>3566.5271428571423</v>
      </c>
      <c r="R437" s="13">
        <v>0</v>
      </c>
      <c r="S437" s="13">
        <f t="shared" si="192"/>
        <v>0</v>
      </c>
      <c r="T437" s="13">
        <f t="shared" si="193"/>
        <v>24965.69</v>
      </c>
      <c r="U437" s="13">
        <f t="shared" si="194"/>
        <v>24965.69</v>
      </c>
      <c r="V437" s="13">
        <v>0</v>
      </c>
      <c r="W437" s="13">
        <f t="shared" si="195"/>
        <v>0</v>
      </c>
      <c r="X437" s="115">
        <f t="shared" si="200"/>
        <v>0</v>
      </c>
      <c r="Y437" s="116">
        <f t="shared" si="201"/>
        <v>0</v>
      </c>
      <c r="Z437" s="116">
        <f t="shared" si="202"/>
        <v>0</v>
      </c>
      <c r="AA437" s="116">
        <f t="shared" si="203"/>
        <v>0</v>
      </c>
      <c r="AB437" s="117">
        <f>'Ratios (C)'!$C$26+'Ratios (C)'!$D$26</f>
        <v>0.75270178133090293</v>
      </c>
      <c r="AC437" s="116">
        <f t="shared" si="204"/>
        <v>0</v>
      </c>
      <c r="AD437" s="116">
        <f t="shared" si="205"/>
        <v>0</v>
      </c>
      <c r="AE437" s="118"/>
      <c r="AF437" s="119"/>
      <c r="AG437" s="120"/>
      <c r="AH437" s="118"/>
      <c r="AI437" s="119"/>
      <c r="AJ437" s="121"/>
    </row>
    <row r="438" spans="2:36" s="9" customFormat="1">
      <c r="B438" s="9">
        <v>525</v>
      </c>
      <c r="C438" s="9" t="s">
        <v>610</v>
      </c>
      <c r="G438" s="9">
        <v>2000</v>
      </c>
      <c r="H438" s="9">
        <v>9</v>
      </c>
      <c r="I438" s="9">
        <v>0</v>
      </c>
      <c r="J438" s="9" t="s">
        <v>78</v>
      </c>
      <c r="K438" s="158">
        <v>7</v>
      </c>
      <c r="L438" s="9">
        <f t="shared" si="187"/>
        <v>2007</v>
      </c>
      <c r="M438" s="127">
        <f t="shared" si="188"/>
        <v>2007.75</v>
      </c>
      <c r="N438" s="13">
        <v>24663.17</v>
      </c>
      <c r="O438" s="13">
        <f t="shared" si="189"/>
        <v>24663.17</v>
      </c>
      <c r="P438" s="13">
        <f t="shared" si="190"/>
        <v>293.60916666666668</v>
      </c>
      <c r="Q438" s="13">
        <f t="shared" si="191"/>
        <v>3523.3100000000004</v>
      </c>
      <c r="R438" s="13">
        <v>0</v>
      </c>
      <c r="S438" s="13">
        <f t="shared" si="192"/>
        <v>0</v>
      </c>
      <c r="T438" s="13">
        <f t="shared" si="193"/>
        <v>24663.17</v>
      </c>
      <c r="U438" s="13">
        <f t="shared" si="194"/>
        <v>24663.17</v>
      </c>
      <c r="V438" s="13">
        <v>0</v>
      </c>
      <c r="W438" s="13">
        <f t="shared" si="195"/>
        <v>0</v>
      </c>
      <c r="X438" s="115">
        <f t="shared" si="200"/>
        <v>0</v>
      </c>
      <c r="Y438" s="116">
        <f t="shared" si="201"/>
        <v>0</v>
      </c>
      <c r="Z438" s="116">
        <f t="shared" si="202"/>
        <v>0</v>
      </c>
      <c r="AA438" s="116">
        <f t="shared" si="203"/>
        <v>0</v>
      </c>
      <c r="AB438" s="117">
        <f>'Ratios (C)'!$C$26+'Ratios (C)'!$D$26</f>
        <v>0.75270178133090293</v>
      </c>
      <c r="AC438" s="116">
        <f t="shared" si="204"/>
        <v>0</v>
      </c>
      <c r="AD438" s="116">
        <f t="shared" si="205"/>
        <v>0</v>
      </c>
      <c r="AE438" s="118"/>
      <c r="AF438" s="119"/>
      <c r="AG438" s="120"/>
      <c r="AH438" s="118"/>
      <c r="AI438" s="119"/>
      <c r="AJ438" s="121"/>
    </row>
    <row r="439" spans="2:36" s="9" customFormat="1">
      <c r="B439" s="9">
        <v>479</v>
      </c>
      <c r="C439" s="9" t="s">
        <v>613</v>
      </c>
      <c r="G439" s="9">
        <v>2000</v>
      </c>
      <c r="H439" s="9">
        <v>11</v>
      </c>
      <c r="I439" s="9">
        <v>0</v>
      </c>
      <c r="J439" s="9" t="s">
        <v>78</v>
      </c>
      <c r="K439" s="158">
        <v>7</v>
      </c>
      <c r="L439" s="9">
        <f t="shared" si="187"/>
        <v>2007</v>
      </c>
      <c r="M439" s="127">
        <f t="shared" si="188"/>
        <v>2007.9166666666667</v>
      </c>
      <c r="N439" s="13">
        <v>22523.05</v>
      </c>
      <c r="O439" s="13">
        <f t="shared" si="189"/>
        <v>22523.05</v>
      </c>
      <c r="P439" s="13">
        <f t="shared" si="190"/>
        <v>268.13154761904758</v>
      </c>
      <c r="Q439" s="13">
        <f t="shared" si="191"/>
        <v>3217.5785714285712</v>
      </c>
      <c r="R439" s="13">
        <v>0</v>
      </c>
      <c r="S439" s="13">
        <f t="shared" si="192"/>
        <v>0</v>
      </c>
      <c r="T439" s="13">
        <f t="shared" si="193"/>
        <v>22523.05</v>
      </c>
      <c r="U439" s="13">
        <f t="shared" si="194"/>
        <v>22523.05</v>
      </c>
      <c r="V439" s="13">
        <v>0</v>
      </c>
      <c r="W439" s="13">
        <f t="shared" si="195"/>
        <v>0</v>
      </c>
      <c r="X439" s="115">
        <f t="shared" si="200"/>
        <v>0</v>
      </c>
      <c r="Y439" s="116">
        <f t="shared" si="201"/>
        <v>0</v>
      </c>
      <c r="Z439" s="116">
        <f t="shared" si="202"/>
        <v>0</v>
      </c>
      <c r="AA439" s="116">
        <f t="shared" si="203"/>
        <v>0</v>
      </c>
      <c r="AB439" s="117">
        <f>'Ratios (C)'!$C$26+'Ratios (C)'!$D$26</f>
        <v>0.75270178133090293</v>
      </c>
      <c r="AC439" s="116">
        <f t="shared" si="204"/>
        <v>0</v>
      </c>
      <c r="AD439" s="116">
        <f t="shared" si="205"/>
        <v>0</v>
      </c>
      <c r="AE439" s="118"/>
      <c r="AF439" s="119"/>
      <c r="AG439" s="120"/>
      <c r="AH439" s="118"/>
      <c r="AI439" s="119"/>
      <c r="AJ439" s="121"/>
    </row>
    <row r="440" spans="2:36" s="9" customFormat="1">
      <c r="B440" s="9">
        <v>525</v>
      </c>
      <c r="C440" s="9" t="s">
        <v>610</v>
      </c>
      <c r="G440" s="9">
        <v>2000</v>
      </c>
      <c r="H440" s="9">
        <v>11</v>
      </c>
      <c r="I440" s="9">
        <v>0</v>
      </c>
      <c r="J440" s="9" t="s">
        <v>78</v>
      </c>
      <c r="K440" s="158">
        <v>7</v>
      </c>
      <c r="L440" s="9">
        <f t="shared" si="187"/>
        <v>2007</v>
      </c>
      <c r="M440" s="127">
        <f t="shared" si="188"/>
        <v>2007.9166666666667</v>
      </c>
      <c r="N440" s="13">
        <v>24663.17</v>
      </c>
      <c r="O440" s="13">
        <f t="shared" si="189"/>
        <v>24663.17</v>
      </c>
      <c r="P440" s="13">
        <f t="shared" si="190"/>
        <v>293.60916666666668</v>
      </c>
      <c r="Q440" s="13">
        <f t="shared" si="191"/>
        <v>3523.3100000000004</v>
      </c>
      <c r="R440" s="13">
        <v>0</v>
      </c>
      <c r="S440" s="13">
        <f t="shared" si="192"/>
        <v>0</v>
      </c>
      <c r="T440" s="13">
        <f t="shared" si="193"/>
        <v>24663.17</v>
      </c>
      <c r="U440" s="13">
        <f t="shared" si="194"/>
        <v>24663.17</v>
      </c>
      <c r="V440" s="13">
        <v>0</v>
      </c>
      <c r="W440" s="13">
        <f t="shared" si="195"/>
        <v>0</v>
      </c>
      <c r="X440" s="115">
        <f t="shared" si="200"/>
        <v>0</v>
      </c>
      <c r="Y440" s="116">
        <f t="shared" si="201"/>
        <v>0</v>
      </c>
      <c r="Z440" s="116">
        <f t="shared" si="202"/>
        <v>0</v>
      </c>
      <c r="AA440" s="116">
        <f t="shared" si="203"/>
        <v>0</v>
      </c>
      <c r="AB440" s="117">
        <f>'Ratios (C)'!$C$26+'Ratios (C)'!$D$26</f>
        <v>0.75270178133090293</v>
      </c>
      <c r="AC440" s="116">
        <f t="shared" si="204"/>
        <v>0</v>
      </c>
      <c r="AD440" s="116">
        <f t="shared" si="205"/>
        <v>0</v>
      </c>
      <c r="AE440" s="118"/>
      <c r="AF440" s="119"/>
      <c r="AG440" s="120"/>
      <c r="AH440" s="118"/>
      <c r="AI440" s="119"/>
      <c r="AJ440" s="121"/>
    </row>
    <row r="441" spans="2:36" s="9" customFormat="1">
      <c r="B441" s="9">
        <v>525</v>
      </c>
      <c r="C441" s="9" t="s">
        <v>610</v>
      </c>
      <c r="G441" s="9">
        <v>2000</v>
      </c>
      <c r="H441" s="9">
        <v>11</v>
      </c>
      <c r="I441" s="9">
        <v>0</v>
      </c>
      <c r="J441" s="9" t="s">
        <v>78</v>
      </c>
      <c r="K441" s="158">
        <v>7</v>
      </c>
      <c r="L441" s="9">
        <f t="shared" si="187"/>
        <v>2007</v>
      </c>
      <c r="M441" s="127">
        <f t="shared" si="188"/>
        <v>2007.9166666666667</v>
      </c>
      <c r="N441" s="13">
        <v>24663.17</v>
      </c>
      <c r="O441" s="13">
        <f t="shared" si="189"/>
        <v>24663.17</v>
      </c>
      <c r="P441" s="13">
        <f t="shared" si="190"/>
        <v>293.60916666666668</v>
      </c>
      <c r="Q441" s="13">
        <f t="shared" si="191"/>
        <v>3523.3100000000004</v>
      </c>
      <c r="R441" s="13">
        <v>0</v>
      </c>
      <c r="S441" s="13">
        <f t="shared" si="192"/>
        <v>0</v>
      </c>
      <c r="T441" s="13">
        <f t="shared" si="193"/>
        <v>24663.17</v>
      </c>
      <c r="U441" s="13">
        <f t="shared" si="194"/>
        <v>24663.17</v>
      </c>
      <c r="V441" s="13">
        <v>0</v>
      </c>
      <c r="W441" s="13">
        <f t="shared" si="195"/>
        <v>0</v>
      </c>
      <c r="X441" s="115">
        <f t="shared" si="200"/>
        <v>0</v>
      </c>
      <c r="Y441" s="116">
        <f t="shared" si="201"/>
        <v>0</v>
      </c>
      <c r="Z441" s="116">
        <f t="shared" si="202"/>
        <v>0</v>
      </c>
      <c r="AA441" s="116">
        <f t="shared" si="203"/>
        <v>0</v>
      </c>
      <c r="AB441" s="117">
        <f>'Ratios (C)'!$C$26+'Ratios (C)'!$D$26</f>
        <v>0.75270178133090293</v>
      </c>
      <c r="AC441" s="116">
        <f t="shared" si="204"/>
        <v>0</v>
      </c>
      <c r="AD441" s="116">
        <f t="shared" si="205"/>
        <v>0</v>
      </c>
      <c r="AE441" s="118"/>
      <c r="AF441" s="119"/>
      <c r="AG441" s="120"/>
      <c r="AH441" s="118"/>
      <c r="AI441" s="119"/>
      <c r="AJ441" s="121"/>
    </row>
    <row r="442" spans="2:36" s="9" customFormat="1">
      <c r="B442" s="9">
        <v>528</v>
      </c>
      <c r="C442" s="9" t="s">
        <v>613</v>
      </c>
      <c r="G442" s="9">
        <v>2000</v>
      </c>
      <c r="H442" s="9">
        <v>12</v>
      </c>
      <c r="I442" s="9">
        <v>0</v>
      </c>
      <c r="J442" s="9" t="s">
        <v>78</v>
      </c>
      <c r="K442" s="158">
        <v>7</v>
      </c>
      <c r="L442" s="9">
        <f t="shared" si="187"/>
        <v>2007</v>
      </c>
      <c r="M442" s="127">
        <f t="shared" si="188"/>
        <v>2008</v>
      </c>
      <c r="N442" s="13">
        <v>24803.29</v>
      </c>
      <c r="O442" s="13">
        <f t="shared" si="189"/>
        <v>24803.29</v>
      </c>
      <c r="P442" s="13">
        <f t="shared" si="190"/>
        <v>295.27726190476193</v>
      </c>
      <c r="Q442" s="13">
        <f t="shared" si="191"/>
        <v>3543.3271428571434</v>
      </c>
      <c r="R442" s="13">
        <v>0</v>
      </c>
      <c r="S442" s="13">
        <f t="shared" si="192"/>
        <v>0</v>
      </c>
      <c r="T442" s="13">
        <f t="shared" si="193"/>
        <v>24803.29</v>
      </c>
      <c r="U442" s="13">
        <f t="shared" si="194"/>
        <v>24803.29</v>
      </c>
      <c r="V442" s="13">
        <v>0</v>
      </c>
      <c r="W442" s="13">
        <f t="shared" si="195"/>
        <v>0</v>
      </c>
      <c r="X442" s="115">
        <f t="shared" si="200"/>
        <v>0</v>
      </c>
      <c r="Y442" s="116">
        <f t="shared" si="201"/>
        <v>0</v>
      </c>
      <c r="Z442" s="116">
        <f t="shared" si="202"/>
        <v>0</v>
      </c>
      <c r="AA442" s="116">
        <f t="shared" si="203"/>
        <v>0</v>
      </c>
      <c r="AB442" s="117">
        <f>'Ratios (C)'!$C$26+'Ratios (C)'!$D$26</f>
        <v>0.75270178133090293</v>
      </c>
      <c r="AC442" s="116">
        <f t="shared" si="204"/>
        <v>0</v>
      </c>
      <c r="AD442" s="116">
        <f t="shared" si="205"/>
        <v>0</v>
      </c>
      <c r="AE442" s="118"/>
      <c r="AF442" s="119"/>
      <c r="AG442" s="120"/>
      <c r="AH442" s="118"/>
      <c r="AI442" s="119"/>
      <c r="AJ442" s="121"/>
    </row>
    <row r="443" spans="2:36" s="9" customFormat="1">
      <c r="B443" s="9">
        <v>525</v>
      </c>
      <c r="C443" s="9" t="s">
        <v>613</v>
      </c>
      <c r="G443" s="9">
        <v>2000</v>
      </c>
      <c r="H443" s="9">
        <v>12</v>
      </c>
      <c r="I443" s="9">
        <v>0</v>
      </c>
      <c r="J443" s="9" t="s">
        <v>78</v>
      </c>
      <c r="K443" s="158">
        <v>7</v>
      </c>
      <c r="L443" s="9">
        <f t="shared" si="187"/>
        <v>2007</v>
      </c>
      <c r="M443" s="127">
        <f t="shared" si="188"/>
        <v>2008</v>
      </c>
      <c r="N443" s="13">
        <v>24698.05</v>
      </c>
      <c r="O443" s="13">
        <f t="shared" si="189"/>
        <v>24698.05</v>
      </c>
      <c r="P443" s="13">
        <f t="shared" si="190"/>
        <v>294.02440476190475</v>
      </c>
      <c r="Q443" s="13">
        <f t="shared" si="191"/>
        <v>3528.292857142857</v>
      </c>
      <c r="R443" s="13">
        <v>0</v>
      </c>
      <c r="S443" s="13">
        <f t="shared" si="192"/>
        <v>0</v>
      </c>
      <c r="T443" s="13">
        <f t="shared" si="193"/>
        <v>24698.05</v>
      </c>
      <c r="U443" s="13">
        <f t="shared" si="194"/>
        <v>24698.05</v>
      </c>
      <c r="V443" s="13">
        <v>0</v>
      </c>
      <c r="W443" s="13">
        <f t="shared" si="195"/>
        <v>0</v>
      </c>
      <c r="X443" s="115">
        <f t="shared" si="200"/>
        <v>0</v>
      </c>
      <c r="Y443" s="116">
        <f t="shared" si="201"/>
        <v>0</v>
      </c>
      <c r="Z443" s="116">
        <f t="shared" si="202"/>
        <v>0</v>
      </c>
      <c r="AA443" s="116">
        <f t="shared" si="203"/>
        <v>0</v>
      </c>
      <c r="AB443" s="117">
        <f>'Ratios (C)'!$C$26+'Ratios (C)'!$D$26</f>
        <v>0.75270178133090293</v>
      </c>
      <c r="AC443" s="116">
        <f t="shared" si="204"/>
        <v>0</v>
      </c>
      <c r="AD443" s="116">
        <f t="shared" si="205"/>
        <v>0</v>
      </c>
      <c r="AE443" s="118"/>
      <c r="AF443" s="119"/>
      <c r="AG443" s="120"/>
      <c r="AH443" s="118"/>
      <c r="AI443" s="119"/>
      <c r="AJ443" s="121"/>
    </row>
    <row r="444" spans="2:36" s="9" customFormat="1">
      <c r="B444" s="9">
        <v>479</v>
      </c>
      <c r="C444" s="9" t="s">
        <v>613</v>
      </c>
      <c r="G444" s="9">
        <v>2000</v>
      </c>
      <c r="H444" s="9">
        <v>12</v>
      </c>
      <c r="I444" s="9">
        <v>0</v>
      </c>
      <c r="J444" s="9" t="s">
        <v>78</v>
      </c>
      <c r="K444" s="158">
        <v>7</v>
      </c>
      <c r="L444" s="9">
        <f t="shared" si="187"/>
        <v>2007</v>
      </c>
      <c r="M444" s="127">
        <f t="shared" si="188"/>
        <v>2008</v>
      </c>
      <c r="N444" s="13">
        <v>22523.05</v>
      </c>
      <c r="O444" s="13">
        <f t="shared" si="189"/>
        <v>22523.05</v>
      </c>
      <c r="P444" s="13">
        <f t="shared" si="190"/>
        <v>268.13154761904758</v>
      </c>
      <c r="Q444" s="13">
        <f t="shared" si="191"/>
        <v>3217.5785714285712</v>
      </c>
      <c r="R444" s="13">
        <v>0</v>
      </c>
      <c r="S444" s="13">
        <f t="shared" si="192"/>
        <v>0</v>
      </c>
      <c r="T444" s="13">
        <f t="shared" si="193"/>
        <v>22523.05</v>
      </c>
      <c r="U444" s="13">
        <f t="shared" si="194"/>
        <v>22523.05</v>
      </c>
      <c r="V444" s="13">
        <v>0</v>
      </c>
      <c r="W444" s="13">
        <f t="shared" si="195"/>
        <v>0</v>
      </c>
      <c r="X444" s="115">
        <f t="shared" si="200"/>
        <v>0</v>
      </c>
      <c r="Y444" s="116">
        <f t="shared" si="201"/>
        <v>0</v>
      </c>
      <c r="Z444" s="116">
        <f t="shared" si="202"/>
        <v>0</v>
      </c>
      <c r="AA444" s="116">
        <f t="shared" si="203"/>
        <v>0</v>
      </c>
      <c r="AB444" s="117">
        <f>'Ratios (C)'!$C$26+'Ratios (C)'!$D$26</f>
        <v>0.75270178133090293</v>
      </c>
      <c r="AC444" s="116">
        <f t="shared" si="204"/>
        <v>0</v>
      </c>
      <c r="AD444" s="116">
        <f t="shared" si="205"/>
        <v>0</v>
      </c>
      <c r="AE444" s="118"/>
      <c r="AF444" s="119"/>
      <c r="AG444" s="120"/>
      <c r="AH444" s="118"/>
      <c r="AI444" s="119"/>
      <c r="AJ444" s="121"/>
    </row>
    <row r="445" spans="2:36" s="9" customFormat="1">
      <c r="B445" s="9">
        <v>484</v>
      </c>
      <c r="C445" s="9" t="s">
        <v>610</v>
      </c>
      <c r="G445" s="9">
        <v>2001</v>
      </c>
      <c r="H445" s="9">
        <v>2</v>
      </c>
      <c r="I445" s="9">
        <v>0</v>
      </c>
      <c r="J445" s="9" t="s">
        <v>78</v>
      </c>
      <c r="K445" s="158">
        <v>7</v>
      </c>
      <c r="L445" s="9">
        <f t="shared" si="187"/>
        <v>2008</v>
      </c>
      <c r="M445" s="127">
        <f t="shared" si="188"/>
        <v>2008.1666666666667</v>
      </c>
      <c r="N445" s="13">
        <v>22752</v>
      </c>
      <c r="O445" s="13">
        <f t="shared" si="189"/>
        <v>22752</v>
      </c>
      <c r="P445" s="13">
        <f t="shared" si="190"/>
        <v>270.85714285714283</v>
      </c>
      <c r="Q445" s="13">
        <f t="shared" si="191"/>
        <v>3250.2857142857138</v>
      </c>
      <c r="R445" s="13">
        <v>0</v>
      </c>
      <c r="S445" s="13">
        <f t="shared" si="192"/>
        <v>0</v>
      </c>
      <c r="T445" s="13">
        <f t="shared" si="193"/>
        <v>22752</v>
      </c>
      <c r="U445" s="13">
        <f t="shared" si="194"/>
        <v>22752</v>
      </c>
      <c r="V445" s="13">
        <v>0</v>
      </c>
      <c r="W445" s="13">
        <f t="shared" si="195"/>
        <v>0</v>
      </c>
      <c r="X445" s="115">
        <f t="shared" si="200"/>
        <v>0</v>
      </c>
      <c r="Y445" s="116">
        <f t="shared" si="201"/>
        <v>0</v>
      </c>
      <c r="Z445" s="116">
        <f t="shared" si="202"/>
        <v>0</v>
      </c>
      <c r="AA445" s="116">
        <f t="shared" si="203"/>
        <v>0</v>
      </c>
      <c r="AB445" s="117">
        <f>'Ratios (C)'!$C$26+'Ratios (C)'!$D$26</f>
        <v>0.75270178133090293</v>
      </c>
      <c r="AC445" s="116">
        <f t="shared" si="204"/>
        <v>0</v>
      </c>
      <c r="AD445" s="116">
        <f t="shared" si="205"/>
        <v>0</v>
      </c>
      <c r="AE445" s="118"/>
      <c r="AF445" s="119"/>
      <c r="AG445" s="120"/>
      <c r="AH445" s="118"/>
      <c r="AI445" s="119"/>
      <c r="AJ445" s="121"/>
    </row>
    <row r="446" spans="2:36" s="9" customFormat="1">
      <c r="B446" s="9">
        <v>201</v>
      </c>
      <c r="C446" s="9" t="s">
        <v>614</v>
      </c>
      <c r="G446" s="9">
        <v>2001</v>
      </c>
      <c r="H446" s="9">
        <v>4</v>
      </c>
      <c r="I446" s="9">
        <v>0</v>
      </c>
      <c r="J446" s="9" t="s">
        <v>78</v>
      </c>
      <c r="K446" s="158">
        <v>7</v>
      </c>
      <c r="L446" s="9">
        <f t="shared" si="187"/>
        <v>2008</v>
      </c>
      <c r="M446" s="127">
        <f t="shared" si="188"/>
        <v>2008.3333333333333</v>
      </c>
      <c r="N446" s="13">
        <v>9442.98</v>
      </c>
      <c r="O446" s="13">
        <f t="shared" si="189"/>
        <v>9442.98</v>
      </c>
      <c r="P446" s="13">
        <f t="shared" si="190"/>
        <v>112.41642857142857</v>
      </c>
      <c r="Q446" s="13">
        <f t="shared" si="191"/>
        <v>1348.9971428571428</v>
      </c>
      <c r="R446" s="13">
        <v>0</v>
      </c>
      <c r="S446" s="13">
        <f t="shared" si="192"/>
        <v>0</v>
      </c>
      <c r="T446" s="13">
        <f t="shared" si="193"/>
        <v>9442.98</v>
      </c>
      <c r="U446" s="13">
        <f t="shared" si="194"/>
        <v>9442.98</v>
      </c>
      <c r="V446" s="13">
        <v>0</v>
      </c>
      <c r="W446" s="13">
        <f t="shared" si="195"/>
        <v>0</v>
      </c>
      <c r="X446" s="115">
        <f t="shared" si="200"/>
        <v>0</v>
      </c>
      <c r="Y446" s="116">
        <f t="shared" si="201"/>
        <v>0</v>
      </c>
      <c r="Z446" s="116">
        <f t="shared" si="202"/>
        <v>0</v>
      </c>
      <c r="AA446" s="116">
        <f t="shared" si="203"/>
        <v>0</v>
      </c>
      <c r="AB446" s="117">
        <f>'Ratios (C)'!$C$26+'Ratios (C)'!$D$26</f>
        <v>0.75270178133090293</v>
      </c>
      <c r="AC446" s="116">
        <f t="shared" si="204"/>
        <v>0</v>
      </c>
      <c r="AD446" s="116">
        <f t="shared" si="205"/>
        <v>0</v>
      </c>
      <c r="AE446" s="118"/>
      <c r="AF446" s="119"/>
      <c r="AG446" s="120"/>
      <c r="AH446" s="118"/>
      <c r="AI446" s="119"/>
      <c r="AJ446" s="121"/>
    </row>
    <row r="447" spans="2:36" s="9" customFormat="1">
      <c r="B447" s="9">
        <v>523</v>
      </c>
      <c r="C447" s="9" t="s">
        <v>615</v>
      </c>
      <c r="G447" s="9">
        <v>2001</v>
      </c>
      <c r="H447" s="9">
        <v>6</v>
      </c>
      <c r="I447" s="9">
        <v>0</v>
      </c>
      <c r="J447" s="9" t="s">
        <v>78</v>
      </c>
      <c r="K447" s="158">
        <v>7</v>
      </c>
      <c r="L447" s="9">
        <f t="shared" si="187"/>
        <v>2008</v>
      </c>
      <c r="M447" s="127">
        <f t="shared" si="188"/>
        <v>2008.5</v>
      </c>
      <c r="N447" s="13">
        <v>24595.79</v>
      </c>
      <c r="O447" s="13">
        <f t="shared" si="189"/>
        <v>24595.79</v>
      </c>
      <c r="P447" s="13">
        <f t="shared" si="190"/>
        <v>292.80702380952386</v>
      </c>
      <c r="Q447" s="13">
        <f t="shared" si="191"/>
        <v>3513.6842857142865</v>
      </c>
      <c r="R447" s="13">
        <v>0</v>
      </c>
      <c r="S447" s="13">
        <f t="shared" si="192"/>
        <v>0</v>
      </c>
      <c r="T447" s="13">
        <f t="shared" si="193"/>
        <v>24595.79</v>
      </c>
      <c r="U447" s="13">
        <f t="shared" si="194"/>
        <v>24595.79</v>
      </c>
      <c r="V447" s="13">
        <v>0</v>
      </c>
      <c r="W447" s="13">
        <f t="shared" si="195"/>
        <v>0</v>
      </c>
      <c r="X447" s="115">
        <f t="shared" si="200"/>
        <v>0</v>
      </c>
      <c r="Y447" s="116">
        <f t="shared" si="201"/>
        <v>0</v>
      </c>
      <c r="Z447" s="116">
        <f t="shared" si="202"/>
        <v>0</v>
      </c>
      <c r="AA447" s="116">
        <f t="shared" si="203"/>
        <v>0</v>
      </c>
      <c r="AB447" s="117">
        <f>'Ratios (C)'!$C$26+'Ratios (C)'!$D$26</f>
        <v>0.75270178133090293</v>
      </c>
      <c r="AC447" s="116">
        <f t="shared" si="204"/>
        <v>0</v>
      </c>
      <c r="AD447" s="116">
        <f t="shared" si="205"/>
        <v>0</v>
      </c>
      <c r="AE447" s="118"/>
      <c r="AF447" s="119"/>
      <c r="AG447" s="120"/>
      <c r="AH447" s="118"/>
      <c r="AI447" s="119"/>
      <c r="AJ447" s="121"/>
    </row>
    <row r="448" spans="2:36" s="9" customFormat="1">
      <c r="B448" s="9">
        <v>486</v>
      </c>
      <c r="C448" s="9" t="s">
        <v>615</v>
      </c>
      <c r="G448" s="9">
        <v>2001</v>
      </c>
      <c r="H448" s="9">
        <v>6</v>
      </c>
      <c r="I448" s="9">
        <v>0</v>
      </c>
      <c r="J448" s="9" t="s">
        <v>78</v>
      </c>
      <c r="K448" s="158">
        <v>7</v>
      </c>
      <c r="L448" s="9">
        <f t="shared" si="187"/>
        <v>2008</v>
      </c>
      <c r="M448" s="127">
        <f t="shared" si="188"/>
        <v>2008.5</v>
      </c>
      <c r="N448" s="13">
        <v>22837.32</v>
      </c>
      <c r="O448" s="13">
        <f t="shared" si="189"/>
        <v>22837.32</v>
      </c>
      <c r="P448" s="13">
        <f t="shared" si="190"/>
        <v>271.87285714285713</v>
      </c>
      <c r="Q448" s="13">
        <f t="shared" si="191"/>
        <v>3262.4742857142855</v>
      </c>
      <c r="R448" s="13">
        <v>0</v>
      </c>
      <c r="S448" s="13">
        <f t="shared" si="192"/>
        <v>0</v>
      </c>
      <c r="T448" s="13">
        <f t="shared" si="193"/>
        <v>22837.32</v>
      </c>
      <c r="U448" s="13">
        <f t="shared" si="194"/>
        <v>22837.32</v>
      </c>
      <c r="V448" s="13">
        <v>0</v>
      </c>
      <c r="W448" s="13">
        <f t="shared" si="195"/>
        <v>0</v>
      </c>
      <c r="X448" s="115">
        <f t="shared" si="200"/>
        <v>0</v>
      </c>
      <c r="Y448" s="116">
        <f t="shared" si="201"/>
        <v>0</v>
      </c>
      <c r="Z448" s="116">
        <f t="shared" si="202"/>
        <v>0</v>
      </c>
      <c r="AA448" s="116">
        <f t="shared" si="203"/>
        <v>0</v>
      </c>
      <c r="AB448" s="117">
        <f>'Ratios (C)'!$C$26+'Ratios (C)'!$D$26</f>
        <v>0.75270178133090293</v>
      </c>
      <c r="AC448" s="116">
        <f t="shared" si="204"/>
        <v>0</v>
      </c>
      <c r="AD448" s="116">
        <f t="shared" si="205"/>
        <v>0</v>
      </c>
      <c r="AE448" s="118"/>
      <c r="AF448" s="119"/>
      <c r="AG448" s="120"/>
      <c r="AH448" s="118"/>
      <c r="AI448" s="119"/>
      <c r="AJ448" s="121"/>
    </row>
    <row r="449" spans="2:36" s="9" customFormat="1">
      <c r="B449" s="9">
        <v>486</v>
      </c>
      <c r="C449" s="9" t="s">
        <v>615</v>
      </c>
      <c r="G449" s="9">
        <v>2001</v>
      </c>
      <c r="H449" s="9">
        <v>6</v>
      </c>
      <c r="I449" s="9">
        <v>0</v>
      </c>
      <c r="J449" s="9" t="s">
        <v>78</v>
      </c>
      <c r="K449" s="158">
        <v>7</v>
      </c>
      <c r="L449" s="9">
        <f t="shared" si="187"/>
        <v>2008</v>
      </c>
      <c r="M449" s="127">
        <f t="shared" si="188"/>
        <v>2008.5</v>
      </c>
      <c r="N449" s="13">
        <v>22837.32</v>
      </c>
      <c r="O449" s="13">
        <f t="shared" si="189"/>
        <v>22837.32</v>
      </c>
      <c r="P449" s="13">
        <f t="shared" si="190"/>
        <v>271.87285714285713</v>
      </c>
      <c r="Q449" s="13">
        <f t="shared" si="191"/>
        <v>3262.4742857142855</v>
      </c>
      <c r="R449" s="13">
        <v>0</v>
      </c>
      <c r="S449" s="13">
        <f t="shared" si="192"/>
        <v>0</v>
      </c>
      <c r="T449" s="13">
        <f t="shared" si="193"/>
        <v>22837.32</v>
      </c>
      <c r="U449" s="13">
        <f t="shared" si="194"/>
        <v>22837.32</v>
      </c>
      <c r="V449" s="13">
        <v>0</v>
      </c>
      <c r="W449" s="13">
        <f t="shared" si="195"/>
        <v>0</v>
      </c>
      <c r="X449" s="115">
        <f t="shared" si="200"/>
        <v>0</v>
      </c>
      <c r="Y449" s="116">
        <f t="shared" si="201"/>
        <v>0</v>
      </c>
      <c r="Z449" s="116">
        <f t="shared" si="202"/>
        <v>0</v>
      </c>
      <c r="AA449" s="116">
        <f t="shared" si="203"/>
        <v>0</v>
      </c>
      <c r="AB449" s="117">
        <f>'Ratios (C)'!$C$26+'Ratios (C)'!$D$26</f>
        <v>0.75270178133090293</v>
      </c>
      <c r="AC449" s="116">
        <f t="shared" si="204"/>
        <v>0</v>
      </c>
      <c r="AD449" s="116">
        <f t="shared" si="205"/>
        <v>0</v>
      </c>
      <c r="AE449" s="118"/>
      <c r="AF449" s="119"/>
      <c r="AG449" s="120"/>
      <c r="AH449" s="118"/>
      <c r="AI449" s="119"/>
      <c r="AJ449" s="121"/>
    </row>
    <row r="450" spans="2:36" s="9" customFormat="1">
      <c r="B450" s="9">
        <v>523</v>
      </c>
      <c r="C450" s="9" t="s">
        <v>615</v>
      </c>
      <c r="G450" s="9">
        <v>2001</v>
      </c>
      <c r="H450" s="9">
        <v>8</v>
      </c>
      <c r="I450" s="9">
        <v>0</v>
      </c>
      <c r="J450" s="9" t="s">
        <v>78</v>
      </c>
      <c r="K450" s="158">
        <v>7</v>
      </c>
      <c r="L450" s="9">
        <f t="shared" si="187"/>
        <v>2008</v>
      </c>
      <c r="M450" s="127">
        <f t="shared" si="188"/>
        <v>2008.6666666666667</v>
      </c>
      <c r="N450" s="13">
        <v>24596.33</v>
      </c>
      <c r="O450" s="13">
        <f t="shared" si="189"/>
        <v>24596.33</v>
      </c>
      <c r="P450" s="13">
        <f t="shared" si="190"/>
        <v>292.81345238095241</v>
      </c>
      <c r="Q450" s="13">
        <f t="shared" si="191"/>
        <v>3513.761428571429</v>
      </c>
      <c r="R450" s="13">
        <v>0</v>
      </c>
      <c r="S450" s="13">
        <f t="shared" si="192"/>
        <v>0</v>
      </c>
      <c r="T450" s="13">
        <f t="shared" si="193"/>
        <v>24596.33</v>
      </c>
      <c r="U450" s="13">
        <f t="shared" si="194"/>
        <v>24596.33</v>
      </c>
      <c r="V450" s="13">
        <v>0</v>
      </c>
      <c r="W450" s="13">
        <f t="shared" si="195"/>
        <v>0</v>
      </c>
      <c r="X450" s="115">
        <f t="shared" si="200"/>
        <v>0</v>
      </c>
      <c r="Y450" s="116">
        <f t="shared" si="201"/>
        <v>0</v>
      </c>
      <c r="Z450" s="116">
        <f t="shared" si="202"/>
        <v>0</v>
      </c>
      <c r="AA450" s="116">
        <f t="shared" si="203"/>
        <v>0</v>
      </c>
      <c r="AB450" s="117">
        <f>'Ratios (C)'!$C$26+'Ratios (C)'!$D$26</f>
        <v>0.75270178133090293</v>
      </c>
      <c r="AC450" s="116">
        <f t="shared" si="204"/>
        <v>0</v>
      </c>
      <c r="AD450" s="116">
        <f t="shared" si="205"/>
        <v>0</v>
      </c>
      <c r="AE450" s="118"/>
      <c r="AF450" s="119"/>
      <c r="AG450" s="120"/>
      <c r="AH450" s="118"/>
      <c r="AI450" s="119"/>
      <c r="AJ450" s="121"/>
    </row>
    <row r="451" spans="2:36" s="9" customFormat="1">
      <c r="B451" s="9">
        <v>523</v>
      </c>
      <c r="C451" s="9" t="s">
        <v>615</v>
      </c>
      <c r="G451" s="9">
        <v>2001</v>
      </c>
      <c r="H451" s="9">
        <v>8</v>
      </c>
      <c r="I451" s="9">
        <v>0</v>
      </c>
      <c r="J451" s="9" t="s">
        <v>78</v>
      </c>
      <c r="K451" s="158">
        <v>7</v>
      </c>
      <c r="L451" s="9">
        <f t="shared" si="187"/>
        <v>2008</v>
      </c>
      <c r="M451" s="127">
        <f t="shared" si="188"/>
        <v>2008.6666666666667</v>
      </c>
      <c r="N451" s="13">
        <v>24596.33</v>
      </c>
      <c r="O451" s="13">
        <f t="shared" si="189"/>
        <v>24596.33</v>
      </c>
      <c r="P451" s="13">
        <f t="shared" si="190"/>
        <v>292.81345238095241</v>
      </c>
      <c r="Q451" s="13">
        <f t="shared" si="191"/>
        <v>3513.761428571429</v>
      </c>
      <c r="R451" s="13">
        <v>0</v>
      </c>
      <c r="S451" s="13">
        <f t="shared" si="192"/>
        <v>0</v>
      </c>
      <c r="T451" s="13">
        <f t="shared" si="193"/>
        <v>24596.33</v>
      </c>
      <c r="U451" s="13">
        <f t="shared" si="194"/>
        <v>24596.33</v>
      </c>
      <c r="V451" s="13">
        <v>0</v>
      </c>
      <c r="W451" s="13">
        <f t="shared" si="195"/>
        <v>0</v>
      </c>
      <c r="X451" s="115">
        <f t="shared" si="200"/>
        <v>0</v>
      </c>
      <c r="Y451" s="116">
        <f t="shared" si="201"/>
        <v>0</v>
      </c>
      <c r="Z451" s="116">
        <f t="shared" si="202"/>
        <v>0</v>
      </c>
      <c r="AA451" s="116">
        <f t="shared" si="203"/>
        <v>0</v>
      </c>
      <c r="AB451" s="117">
        <f>'Ratios (C)'!$C$26+'Ratios (C)'!$D$26</f>
        <v>0.75270178133090293</v>
      </c>
      <c r="AC451" s="116">
        <f t="shared" si="204"/>
        <v>0</v>
      </c>
      <c r="AD451" s="116">
        <f t="shared" si="205"/>
        <v>0</v>
      </c>
      <c r="AE451" s="118"/>
      <c r="AF451" s="119"/>
      <c r="AG451" s="120"/>
      <c r="AH451" s="118"/>
      <c r="AI451" s="119"/>
      <c r="AJ451" s="121"/>
    </row>
    <row r="452" spans="2:36" s="9" customFormat="1">
      <c r="B452" s="9">
        <v>523</v>
      </c>
      <c r="C452" s="9" t="s">
        <v>615</v>
      </c>
      <c r="G452" s="9">
        <v>2001</v>
      </c>
      <c r="H452" s="9">
        <v>8</v>
      </c>
      <c r="I452" s="9">
        <v>0</v>
      </c>
      <c r="J452" s="9" t="s">
        <v>78</v>
      </c>
      <c r="K452" s="158">
        <v>7</v>
      </c>
      <c r="L452" s="9">
        <f t="shared" si="187"/>
        <v>2008</v>
      </c>
      <c r="M452" s="127">
        <f t="shared" si="188"/>
        <v>2008.6666666666667</v>
      </c>
      <c r="N452" s="13">
        <v>24595.79</v>
      </c>
      <c r="O452" s="13">
        <f t="shared" si="189"/>
        <v>24595.79</v>
      </c>
      <c r="P452" s="13">
        <f t="shared" si="190"/>
        <v>292.80702380952386</v>
      </c>
      <c r="Q452" s="13">
        <f t="shared" si="191"/>
        <v>3513.6842857142865</v>
      </c>
      <c r="R452" s="13">
        <v>0</v>
      </c>
      <c r="S452" s="13">
        <f t="shared" si="192"/>
        <v>0</v>
      </c>
      <c r="T452" s="13">
        <f t="shared" si="193"/>
        <v>24595.79</v>
      </c>
      <c r="U452" s="13">
        <f t="shared" si="194"/>
        <v>24595.79</v>
      </c>
      <c r="V452" s="13">
        <v>0</v>
      </c>
      <c r="W452" s="13">
        <f t="shared" si="195"/>
        <v>0</v>
      </c>
      <c r="X452" s="115">
        <f t="shared" si="200"/>
        <v>0</v>
      </c>
      <c r="Y452" s="116">
        <f t="shared" si="201"/>
        <v>0</v>
      </c>
      <c r="Z452" s="116">
        <f t="shared" si="202"/>
        <v>0</v>
      </c>
      <c r="AA452" s="116">
        <f t="shared" si="203"/>
        <v>0</v>
      </c>
      <c r="AB452" s="117">
        <f>'Ratios (C)'!$C$26+'Ratios (C)'!$D$26</f>
        <v>0.75270178133090293</v>
      </c>
      <c r="AC452" s="116">
        <f t="shared" si="204"/>
        <v>0</v>
      </c>
      <c r="AD452" s="116">
        <f t="shared" si="205"/>
        <v>0</v>
      </c>
      <c r="AE452" s="118"/>
      <c r="AF452" s="119"/>
      <c r="AG452" s="120"/>
      <c r="AH452" s="118"/>
      <c r="AI452" s="119"/>
      <c r="AJ452" s="121"/>
    </row>
    <row r="453" spans="2:36" s="9" customFormat="1">
      <c r="B453" s="9">
        <v>523</v>
      </c>
      <c r="C453" s="9" t="s">
        <v>615</v>
      </c>
      <c r="G453" s="9">
        <v>2001</v>
      </c>
      <c r="H453" s="9">
        <v>10</v>
      </c>
      <c r="I453" s="9">
        <v>0</v>
      </c>
      <c r="J453" s="9" t="s">
        <v>78</v>
      </c>
      <c r="K453" s="158">
        <v>7</v>
      </c>
      <c r="L453" s="9">
        <f t="shared" si="187"/>
        <v>2008</v>
      </c>
      <c r="M453" s="127">
        <f t="shared" si="188"/>
        <v>2008.8333333333333</v>
      </c>
      <c r="N453" s="13">
        <v>24595.79</v>
      </c>
      <c r="O453" s="13">
        <f t="shared" si="189"/>
        <v>24595.79</v>
      </c>
      <c r="P453" s="13">
        <f t="shared" si="190"/>
        <v>292.80702380952386</v>
      </c>
      <c r="Q453" s="13">
        <f t="shared" si="191"/>
        <v>3513.6842857142865</v>
      </c>
      <c r="R453" s="13">
        <v>0</v>
      </c>
      <c r="S453" s="13">
        <f t="shared" si="192"/>
        <v>0</v>
      </c>
      <c r="T453" s="13">
        <f t="shared" si="193"/>
        <v>24595.79</v>
      </c>
      <c r="U453" s="13">
        <f t="shared" si="194"/>
        <v>24595.79</v>
      </c>
      <c r="V453" s="13">
        <v>0</v>
      </c>
      <c r="W453" s="13">
        <f t="shared" si="195"/>
        <v>0</v>
      </c>
      <c r="X453" s="115">
        <f t="shared" si="200"/>
        <v>0</v>
      </c>
      <c r="Y453" s="116">
        <f t="shared" si="201"/>
        <v>0</v>
      </c>
      <c r="Z453" s="116">
        <f t="shared" si="202"/>
        <v>0</v>
      </c>
      <c r="AA453" s="116">
        <f t="shared" si="203"/>
        <v>0</v>
      </c>
      <c r="AB453" s="117">
        <f>'Ratios (C)'!$C$26+'Ratios (C)'!$D$26</f>
        <v>0.75270178133090293</v>
      </c>
      <c r="AC453" s="116">
        <f t="shared" si="204"/>
        <v>0</v>
      </c>
      <c r="AD453" s="116">
        <f t="shared" si="205"/>
        <v>0</v>
      </c>
      <c r="AE453" s="118"/>
      <c r="AF453" s="119"/>
      <c r="AG453" s="120"/>
      <c r="AH453" s="118"/>
      <c r="AI453" s="119"/>
      <c r="AJ453" s="121"/>
    </row>
    <row r="454" spans="2:36" s="9" customFormat="1">
      <c r="B454" s="9">
        <v>523</v>
      </c>
      <c r="C454" s="9" t="s">
        <v>615</v>
      </c>
      <c r="G454" s="9">
        <v>2001</v>
      </c>
      <c r="H454" s="9">
        <v>10</v>
      </c>
      <c r="I454" s="9">
        <v>0</v>
      </c>
      <c r="J454" s="9" t="s">
        <v>78</v>
      </c>
      <c r="K454" s="158">
        <v>7</v>
      </c>
      <c r="L454" s="9">
        <f t="shared" si="187"/>
        <v>2008</v>
      </c>
      <c r="M454" s="127">
        <f t="shared" si="188"/>
        <v>2008.8333333333333</v>
      </c>
      <c r="N454" s="13">
        <v>24594.71</v>
      </c>
      <c r="O454" s="13">
        <f t="shared" si="189"/>
        <v>24594.71</v>
      </c>
      <c r="P454" s="13">
        <f t="shared" si="190"/>
        <v>292.79416666666663</v>
      </c>
      <c r="Q454" s="13">
        <f t="shared" si="191"/>
        <v>3513.5299999999997</v>
      </c>
      <c r="R454" s="13">
        <v>0</v>
      </c>
      <c r="S454" s="13">
        <f t="shared" si="192"/>
        <v>0</v>
      </c>
      <c r="T454" s="13">
        <f t="shared" si="193"/>
        <v>24594.71</v>
      </c>
      <c r="U454" s="13">
        <f t="shared" si="194"/>
        <v>24594.71</v>
      </c>
      <c r="V454" s="13">
        <v>0</v>
      </c>
      <c r="W454" s="13">
        <f t="shared" si="195"/>
        <v>0</v>
      </c>
      <c r="X454" s="115">
        <f t="shared" si="200"/>
        <v>0</v>
      </c>
      <c r="Y454" s="116">
        <f t="shared" si="201"/>
        <v>0</v>
      </c>
      <c r="Z454" s="116">
        <f t="shared" si="202"/>
        <v>0</v>
      </c>
      <c r="AA454" s="116">
        <f t="shared" si="203"/>
        <v>0</v>
      </c>
      <c r="AB454" s="117">
        <f>'Ratios (C)'!$C$26+'Ratios (C)'!$D$26</f>
        <v>0.75270178133090293</v>
      </c>
      <c r="AC454" s="116">
        <f t="shared" si="204"/>
        <v>0</v>
      </c>
      <c r="AD454" s="116">
        <f t="shared" si="205"/>
        <v>0</v>
      </c>
      <c r="AE454" s="118"/>
      <c r="AF454" s="119"/>
      <c r="AG454" s="120"/>
      <c r="AH454" s="118"/>
      <c r="AI454" s="119"/>
      <c r="AJ454" s="121"/>
    </row>
    <row r="455" spans="2:36" s="9" customFormat="1">
      <c r="B455" s="9">
        <v>461</v>
      </c>
      <c r="C455" s="9" t="s">
        <v>615</v>
      </c>
      <c r="G455" s="9">
        <v>2001</v>
      </c>
      <c r="H455" s="9">
        <v>10</v>
      </c>
      <c r="I455" s="9">
        <v>0</v>
      </c>
      <c r="J455" s="9" t="s">
        <v>78</v>
      </c>
      <c r="K455" s="158">
        <v>7</v>
      </c>
      <c r="L455" s="9">
        <f t="shared" si="187"/>
        <v>2008</v>
      </c>
      <c r="M455" s="127">
        <f t="shared" si="188"/>
        <v>2008.8333333333333</v>
      </c>
      <c r="N455" s="13">
        <v>21681</v>
      </c>
      <c r="O455" s="13">
        <f t="shared" si="189"/>
        <v>21681</v>
      </c>
      <c r="P455" s="13">
        <f t="shared" si="190"/>
        <v>258.10714285714283</v>
      </c>
      <c r="Q455" s="13">
        <f t="shared" si="191"/>
        <v>3097.2857142857138</v>
      </c>
      <c r="R455" s="13">
        <v>0</v>
      </c>
      <c r="S455" s="13">
        <f t="shared" si="192"/>
        <v>0</v>
      </c>
      <c r="T455" s="13">
        <f t="shared" si="193"/>
        <v>21681</v>
      </c>
      <c r="U455" s="13">
        <f t="shared" si="194"/>
        <v>21681</v>
      </c>
      <c r="V455" s="13">
        <v>0</v>
      </c>
      <c r="W455" s="13">
        <f t="shared" si="195"/>
        <v>0</v>
      </c>
      <c r="X455" s="115">
        <f t="shared" si="200"/>
        <v>0</v>
      </c>
      <c r="Y455" s="116">
        <f t="shared" si="201"/>
        <v>0</v>
      </c>
      <c r="Z455" s="116">
        <f t="shared" si="202"/>
        <v>0</v>
      </c>
      <c r="AA455" s="116">
        <f t="shared" si="203"/>
        <v>0</v>
      </c>
      <c r="AB455" s="117">
        <f>'Ratios (C)'!$C$26+'Ratios (C)'!$D$26</f>
        <v>0.75270178133090293</v>
      </c>
      <c r="AC455" s="116">
        <f t="shared" si="204"/>
        <v>0</v>
      </c>
      <c r="AD455" s="116">
        <f t="shared" si="205"/>
        <v>0</v>
      </c>
      <c r="AE455" s="118"/>
      <c r="AF455" s="119"/>
      <c r="AG455" s="120"/>
      <c r="AH455" s="118"/>
      <c r="AI455" s="119"/>
      <c r="AJ455" s="121"/>
    </row>
    <row r="456" spans="2:36" s="9" customFormat="1">
      <c r="B456" s="9">
        <v>497</v>
      </c>
      <c r="C456" s="9" t="s">
        <v>615</v>
      </c>
      <c r="G456" s="9">
        <v>2001</v>
      </c>
      <c r="H456" s="9">
        <v>11</v>
      </c>
      <c r="I456" s="9">
        <v>0</v>
      </c>
      <c r="J456" s="9" t="s">
        <v>78</v>
      </c>
      <c r="K456" s="158">
        <v>7</v>
      </c>
      <c r="L456" s="9">
        <f t="shared" si="187"/>
        <v>2008</v>
      </c>
      <c r="M456" s="127">
        <f t="shared" si="188"/>
        <v>2008.9166666666667</v>
      </c>
      <c r="N456" s="13">
        <v>23350.43</v>
      </c>
      <c r="O456" s="13">
        <f t="shared" si="189"/>
        <v>23350.43</v>
      </c>
      <c r="P456" s="13">
        <f t="shared" si="190"/>
        <v>277.98130952380956</v>
      </c>
      <c r="Q456" s="13">
        <f t="shared" si="191"/>
        <v>3335.7757142857145</v>
      </c>
      <c r="R456" s="13">
        <v>0</v>
      </c>
      <c r="S456" s="13">
        <f t="shared" si="192"/>
        <v>0</v>
      </c>
      <c r="T456" s="13">
        <f t="shared" si="193"/>
        <v>23350.43</v>
      </c>
      <c r="U456" s="13">
        <f t="shared" si="194"/>
        <v>23350.43</v>
      </c>
      <c r="V456" s="13">
        <v>0</v>
      </c>
      <c r="W456" s="13">
        <f t="shared" si="195"/>
        <v>0</v>
      </c>
      <c r="X456" s="115">
        <f t="shared" si="200"/>
        <v>0</v>
      </c>
      <c r="Y456" s="116">
        <f t="shared" si="201"/>
        <v>0</v>
      </c>
      <c r="Z456" s="116">
        <f t="shared" si="202"/>
        <v>0</v>
      </c>
      <c r="AA456" s="116">
        <f t="shared" si="203"/>
        <v>0</v>
      </c>
      <c r="AB456" s="117">
        <f>'Ratios (C)'!$C$26+'Ratios (C)'!$D$26</f>
        <v>0.75270178133090293</v>
      </c>
      <c r="AC456" s="116">
        <f t="shared" si="204"/>
        <v>0</v>
      </c>
      <c r="AD456" s="116">
        <f t="shared" si="205"/>
        <v>0</v>
      </c>
      <c r="AE456" s="118"/>
      <c r="AF456" s="119"/>
      <c r="AG456" s="120"/>
      <c r="AH456" s="118"/>
      <c r="AI456" s="119"/>
      <c r="AJ456" s="121"/>
    </row>
    <row r="457" spans="2:36" s="9" customFormat="1">
      <c r="B457" s="9">
        <v>1050</v>
      </c>
      <c r="C457" s="9" t="s">
        <v>610</v>
      </c>
      <c r="G457" s="9">
        <v>2002</v>
      </c>
      <c r="H457" s="9">
        <v>2</v>
      </c>
      <c r="I457" s="9">
        <v>0</v>
      </c>
      <c r="J457" s="9" t="s">
        <v>78</v>
      </c>
      <c r="K457" s="158">
        <v>7</v>
      </c>
      <c r="L457" s="9">
        <f t="shared" si="187"/>
        <v>2009</v>
      </c>
      <c r="M457" s="127">
        <f t="shared" si="188"/>
        <v>2009.1666666666667</v>
      </c>
      <c r="N457" s="13">
        <v>49371.839999999997</v>
      </c>
      <c r="O457" s="13">
        <f t="shared" si="189"/>
        <v>49371.839999999997</v>
      </c>
      <c r="P457" s="13">
        <f t="shared" si="190"/>
        <v>587.76</v>
      </c>
      <c r="Q457" s="13">
        <f t="shared" si="191"/>
        <v>7053.12</v>
      </c>
      <c r="R457" s="13">
        <v>0</v>
      </c>
      <c r="S457" s="13">
        <f t="shared" si="192"/>
        <v>0</v>
      </c>
      <c r="T457" s="13">
        <f t="shared" si="193"/>
        <v>49371.839999999997</v>
      </c>
      <c r="U457" s="13">
        <f t="shared" si="194"/>
        <v>49371.839999999997</v>
      </c>
      <c r="V457" s="13">
        <v>0</v>
      </c>
      <c r="W457" s="13">
        <f t="shared" si="195"/>
        <v>0</v>
      </c>
      <c r="X457" s="115">
        <f t="shared" si="200"/>
        <v>0</v>
      </c>
      <c r="Y457" s="116">
        <f t="shared" si="201"/>
        <v>0</v>
      </c>
      <c r="Z457" s="116">
        <f t="shared" si="202"/>
        <v>0</v>
      </c>
      <c r="AA457" s="116">
        <f t="shared" si="203"/>
        <v>0</v>
      </c>
      <c r="AB457" s="117">
        <f>'Ratios (C)'!$C$26+'Ratios (C)'!$D$26</f>
        <v>0.75270178133090293</v>
      </c>
      <c r="AC457" s="116">
        <f t="shared" si="204"/>
        <v>0</v>
      </c>
      <c r="AD457" s="116">
        <f t="shared" si="205"/>
        <v>0</v>
      </c>
      <c r="AE457" s="118"/>
      <c r="AF457" s="119"/>
      <c r="AG457" s="120"/>
      <c r="AH457" s="118"/>
      <c r="AI457" s="119"/>
      <c r="AJ457" s="121"/>
    </row>
    <row r="458" spans="2:36" s="9" customFormat="1">
      <c r="B458" s="9">
        <v>503</v>
      </c>
      <c r="C458" s="9" t="s">
        <v>615</v>
      </c>
      <c r="G458" s="9">
        <v>2003</v>
      </c>
      <c r="H458" s="9">
        <v>12</v>
      </c>
      <c r="I458" s="9">
        <v>0</v>
      </c>
      <c r="J458" s="9" t="s">
        <v>78</v>
      </c>
      <c r="K458" s="158">
        <v>7</v>
      </c>
      <c r="L458" s="9">
        <f t="shared" si="187"/>
        <v>2010</v>
      </c>
      <c r="M458" s="127">
        <f t="shared" si="188"/>
        <v>2011</v>
      </c>
      <c r="N458" s="13">
        <v>23635.15</v>
      </c>
      <c r="O458" s="13">
        <f t="shared" si="189"/>
        <v>23635.15</v>
      </c>
      <c r="P458" s="13">
        <f t="shared" si="190"/>
        <v>281.37083333333334</v>
      </c>
      <c r="Q458" s="13">
        <f t="shared" si="191"/>
        <v>3376.45</v>
      </c>
      <c r="R458" s="13">
        <v>0</v>
      </c>
      <c r="S458" s="13">
        <f t="shared" si="192"/>
        <v>0</v>
      </c>
      <c r="T458" s="13">
        <f t="shared" si="193"/>
        <v>23635.15</v>
      </c>
      <c r="U458" s="13">
        <f t="shared" si="194"/>
        <v>23635.15</v>
      </c>
      <c r="V458" s="13">
        <v>0</v>
      </c>
      <c r="W458" s="13">
        <f t="shared" si="195"/>
        <v>0</v>
      </c>
      <c r="X458" s="115">
        <f t="shared" si="200"/>
        <v>0</v>
      </c>
      <c r="Y458" s="116">
        <f t="shared" si="201"/>
        <v>0</v>
      </c>
      <c r="Z458" s="116">
        <f t="shared" si="202"/>
        <v>0</v>
      </c>
      <c r="AA458" s="116">
        <f t="shared" si="203"/>
        <v>0</v>
      </c>
      <c r="AB458" s="117">
        <f>'Ratios (C)'!$C$26+'Ratios (C)'!$D$26</f>
        <v>0.75270178133090293</v>
      </c>
      <c r="AC458" s="116">
        <f t="shared" si="204"/>
        <v>0</v>
      </c>
      <c r="AD458" s="116">
        <f t="shared" si="205"/>
        <v>0</v>
      </c>
      <c r="AE458" s="118"/>
      <c r="AF458" s="119"/>
      <c r="AG458" s="120"/>
      <c r="AH458" s="118"/>
      <c r="AI458" s="119"/>
      <c r="AJ458" s="121"/>
    </row>
    <row r="459" spans="2:36" s="9" customFormat="1">
      <c r="B459" s="9">
        <v>36</v>
      </c>
      <c r="C459" s="9" t="s">
        <v>616</v>
      </c>
      <c r="G459" s="9">
        <v>2004</v>
      </c>
      <c r="H459" s="9">
        <v>1</v>
      </c>
      <c r="I459" s="9">
        <v>0</v>
      </c>
      <c r="J459" s="9" t="s">
        <v>78</v>
      </c>
      <c r="K459" s="158">
        <v>7</v>
      </c>
      <c r="L459" s="9">
        <f t="shared" si="187"/>
        <v>2011</v>
      </c>
      <c r="M459" s="127">
        <f t="shared" si="188"/>
        <v>2011.0833333333333</v>
      </c>
      <c r="N459" s="13">
        <v>1677.7</v>
      </c>
      <c r="O459" s="13">
        <f t="shared" si="189"/>
        <v>1677.7</v>
      </c>
      <c r="P459" s="13">
        <f t="shared" si="190"/>
        <v>19.972619047619048</v>
      </c>
      <c r="Q459" s="13">
        <f t="shared" si="191"/>
        <v>239.67142857142858</v>
      </c>
      <c r="R459" s="13">
        <v>0</v>
      </c>
      <c r="S459" s="13">
        <f t="shared" si="192"/>
        <v>0</v>
      </c>
      <c r="T459" s="13">
        <f t="shared" si="193"/>
        <v>1677.7</v>
      </c>
      <c r="U459" s="13">
        <f t="shared" si="194"/>
        <v>1677.7</v>
      </c>
      <c r="V459" s="13">
        <v>0</v>
      </c>
      <c r="W459" s="13">
        <f t="shared" si="195"/>
        <v>0</v>
      </c>
      <c r="X459" s="115">
        <f t="shared" si="200"/>
        <v>0</v>
      </c>
      <c r="Y459" s="116">
        <f t="shared" si="201"/>
        <v>0</v>
      </c>
      <c r="Z459" s="116">
        <f t="shared" si="202"/>
        <v>0</v>
      </c>
      <c r="AA459" s="116">
        <f t="shared" si="203"/>
        <v>0</v>
      </c>
      <c r="AB459" s="117">
        <f>'Ratios (C)'!$C$26+'Ratios (C)'!$D$26</f>
        <v>0.75270178133090293</v>
      </c>
      <c r="AC459" s="116">
        <f t="shared" si="204"/>
        <v>0</v>
      </c>
      <c r="AD459" s="116">
        <f t="shared" si="205"/>
        <v>0</v>
      </c>
      <c r="AE459" s="118"/>
      <c r="AF459" s="119"/>
      <c r="AG459" s="120"/>
      <c r="AH459" s="118"/>
      <c r="AI459" s="119"/>
      <c r="AJ459" s="121"/>
    </row>
    <row r="460" spans="2:36" s="9" customFormat="1">
      <c r="B460" s="9">
        <v>506</v>
      </c>
      <c r="C460" s="9" t="s">
        <v>613</v>
      </c>
      <c r="G460" s="9">
        <v>2004</v>
      </c>
      <c r="H460" s="9">
        <v>2</v>
      </c>
      <c r="I460" s="9">
        <v>0</v>
      </c>
      <c r="J460" s="9" t="s">
        <v>78</v>
      </c>
      <c r="K460" s="158">
        <v>7</v>
      </c>
      <c r="L460" s="9">
        <f t="shared" si="187"/>
        <v>2011</v>
      </c>
      <c r="M460" s="127">
        <f t="shared" si="188"/>
        <v>2011.1666666666667</v>
      </c>
      <c r="N460" s="13">
        <v>23791.9</v>
      </c>
      <c r="O460" s="13">
        <f t="shared" si="189"/>
        <v>23791.9</v>
      </c>
      <c r="P460" s="13">
        <f t="shared" si="190"/>
        <v>283.23690476190478</v>
      </c>
      <c r="Q460" s="13">
        <f t="shared" si="191"/>
        <v>3398.8428571428576</v>
      </c>
      <c r="R460" s="13">
        <v>0</v>
      </c>
      <c r="S460" s="13">
        <f t="shared" si="192"/>
        <v>0</v>
      </c>
      <c r="T460" s="13">
        <f t="shared" si="193"/>
        <v>23791.9</v>
      </c>
      <c r="U460" s="13">
        <f t="shared" si="194"/>
        <v>23791.9</v>
      </c>
      <c r="V460" s="13">
        <v>0</v>
      </c>
      <c r="W460" s="13">
        <f t="shared" si="195"/>
        <v>0</v>
      </c>
      <c r="X460" s="115">
        <f t="shared" si="200"/>
        <v>0</v>
      </c>
      <c r="Y460" s="116">
        <f t="shared" si="201"/>
        <v>0</v>
      </c>
      <c r="Z460" s="116">
        <f t="shared" si="202"/>
        <v>0</v>
      </c>
      <c r="AA460" s="116">
        <f t="shared" si="203"/>
        <v>0</v>
      </c>
      <c r="AB460" s="117">
        <f>'Ratios (C)'!$C$26+'Ratios (C)'!$D$26</f>
        <v>0.75270178133090293</v>
      </c>
      <c r="AC460" s="116">
        <f t="shared" si="204"/>
        <v>0</v>
      </c>
      <c r="AD460" s="116">
        <f t="shared" si="205"/>
        <v>0</v>
      </c>
      <c r="AE460" s="118"/>
      <c r="AF460" s="119"/>
      <c r="AG460" s="120"/>
      <c r="AH460" s="118"/>
      <c r="AI460" s="119"/>
      <c r="AJ460" s="121"/>
    </row>
    <row r="461" spans="2:36" s="9" customFormat="1">
      <c r="B461" s="9">
        <v>97</v>
      </c>
      <c r="C461" s="9" t="s">
        <v>617</v>
      </c>
      <c r="G461" s="9">
        <v>2004</v>
      </c>
      <c r="H461" s="9">
        <v>3</v>
      </c>
      <c r="I461" s="9">
        <v>0</v>
      </c>
      <c r="J461" s="9" t="s">
        <v>78</v>
      </c>
      <c r="K461" s="158">
        <v>7</v>
      </c>
      <c r="L461" s="9">
        <f t="shared" si="187"/>
        <v>2011</v>
      </c>
      <c r="M461" s="127">
        <f t="shared" si="188"/>
        <v>2011.25</v>
      </c>
      <c r="N461" s="13">
        <v>4661.2</v>
      </c>
      <c r="O461" s="13">
        <f t="shared" si="189"/>
        <v>4661.2</v>
      </c>
      <c r="P461" s="13">
        <f t="shared" si="190"/>
        <v>55.490476190476187</v>
      </c>
      <c r="Q461" s="13">
        <f t="shared" si="191"/>
        <v>665.88571428571424</v>
      </c>
      <c r="R461" s="13">
        <v>0</v>
      </c>
      <c r="S461" s="13">
        <f t="shared" si="192"/>
        <v>0</v>
      </c>
      <c r="T461" s="13">
        <f t="shared" si="193"/>
        <v>4661.2</v>
      </c>
      <c r="U461" s="13">
        <f t="shared" si="194"/>
        <v>4661.2</v>
      </c>
      <c r="V461" s="13">
        <v>0</v>
      </c>
      <c r="W461" s="13">
        <f t="shared" si="195"/>
        <v>0</v>
      </c>
      <c r="X461" s="115">
        <f t="shared" si="200"/>
        <v>0</v>
      </c>
      <c r="Y461" s="116">
        <f t="shared" si="201"/>
        <v>0</v>
      </c>
      <c r="Z461" s="116">
        <f t="shared" si="202"/>
        <v>0</v>
      </c>
      <c r="AA461" s="116">
        <f t="shared" si="203"/>
        <v>0</v>
      </c>
      <c r="AB461" s="117">
        <f>'Ratios (C)'!$C$26+'Ratios (C)'!$D$26</f>
        <v>0.75270178133090293</v>
      </c>
      <c r="AC461" s="116">
        <f t="shared" si="204"/>
        <v>0</v>
      </c>
      <c r="AD461" s="116">
        <f t="shared" si="205"/>
        <v>0</v>
      </c>
      <c r="AE461" s="118"/>
      <c r="AF461" s="119"/>
      <c r="AG461" s="120"/>
      <c r="AH461" s="118"/>
      <c r="AI461" s="119"/>
      <c r="AJ461" s="121"/>
    </row>
    <row r="462" spans="2:36" s="9" customFormat="1">
      <c r="B462" s="9">
        <v>556</v>
      </c>
      <c r="C462" s="9" t="s">
        <v>618</v>
      </c>
      <c r="G462" s="9">
        <v>2006</v>
      </c>
      <c r="H462" s="9">
        <v>6</v>
      </c>
      <c r="I462" s="9">
        <v>0</v>
      </c>
      <c r="J462" s="9" t="s">
        <v>78</v>
      </c>
      <c r="K462" s="158">
        <v>7</v>
      </c>
      <c r="L462" s="9">
        <f t="shared" si="187"/>
        <v>2013</v>
      </c>
      <c r="M462" s="127">
        <f t="shared" si="188"/>
        <v>2013.5</v>
      </c>
      <c r="N462" s="13">
        <v>26122.639999999999</v>
      </c>
      <c r="O462" s="13">
        <f t="shared" si="189"/>
        <v>26122.639999999999</v>
      </c>
      <c r="P462" s="13">
        <f t="shared" si="190"/>
        <v>310.9838095238095</v>
      </c>
      <c r="Q462" s="13">
        <f t="shared" si="191"/>
        <v>3731.8057142857142</v>
      </c>
      <c r="R462" s="13">
        <v>0</v>
      </c>
      <c r="S462" s="13">
        <f t="shared" si="192"/>
        <v>0</v>
      </c>
      <c r="T462" s="13">
        <f t="shared" si="193"/>
        <v>26122.639999999999</v>
      </c>
      <c r="U462" s="13">
        <f t="shared" si="194"/>
        <v>26122.639999999999</v>
      </c>
      <c r="V462" s="13">
        <v>0</v>
      </c>
      <c r="W462" s="13">
        <f t="shared" si="195"/>
        <v>0</v>
      </c>
      <c r="X462" s="115">
        <f t="shared" si="200"/>
        <v>0</v>
      </c>
      <c r="Y462" s="116">
        <f t="shared" si="201"/>
        <v>0</v>
      </c>
      <c r="Z462" s="116">
        <f t="shared" si="202"/>
        <v>0</v>
      </c>
      <c r="AA462" s="116">
        <f t="shared" si="203"/>
        <v>0</v>
      </c>
      <c r="AB462" s="117">
        <f>'Ratios (C)'!$C$26+'Ratios (C)'!$D$26</f>
        <v>0.75270178133090293</v>
      </c>
      <c r="AC462" s="116">
        <f t="shared" si="204"/>
        <v>0</v>
      </c>
      <c r="AD462" s="116">
        <f t="shared" si="205"/>
        <v>0</v>
      </c>
      <c r="AE462" s="118"/>
      <c r="AF462" s="119"/>
      <c r="AG462" s="120"/>
      <c r="AH462" s="118"/>
      <c r="AI462" s="119"/>
      <c r="AJ462" s="121"/>
    </row>
    <row r="463" spans="2:36" s="9" customFormat="1">
      <c r="B463" s="9">
        <v>372</v>
      </c>
      <c r="C463" s="9" t="s">
        <v>610</v>
      </c>
      <c r="G463" s="9">
        <v>2008</v>
      </c>
      <c r="H463" s="9">
        <v>3</v>
      </c>
      <c r="I463" s="9">
        <v>0</v>
      </c>
      <c r="J463" s="9" t="s">
        <v>78</v>
      </c>
      <c r="K463" s="158">
        <v>7</v>
      </c>
      <c r="L463" s="9">
        <f t="shared" si="187"/>
        <v>2015</v>
      </c>
      <c r="M463" s="127">
        <f t="shared" si="188"/>
        <v>2015.25</v>
      </c>
      <c r="N463" s="13">
        <v>17492.259999999998</v>
      </c>
      <c r="O463" s="13">
        <f t="shared" si="189"/>
        <v>17492.259999999998</v>
      </c>
      <c r="P463" s="13">
        <f t="shared" si="190"/>
        <v>208.24119047619047</v>
      </c>
      <c r="Q463" s="13">
        <f t="shared" si="191"/>
        <v>2498.8942857142856</v>
      </c>
      <c r="R463" s="13">
        <v>0</v>
      </c>
      <c r="S463" s="13">
        <f t="shared" si="192"/>
        <v>0</v>
      </c>
      <c r="T463" s="13">
        <f t="shared" si="193"/>
        <v>17492.259999999998</v>
      </c>
      <c r="U463" s="13">
        <f t="shared" si="194"/>
        <v>17492.259999999998</v>
      </c>
      <c r="V463" s="13">
        <v>0</v>
      </c>
      <c r="W463" s="13">
        <f t="shared" si="195"/>
        <v>0</v>
      </c>
      <c r="X463" s="115">
        <f t="shared" si="200"/>
        <v>0</v>
      </c>
      <c r="Y463" s="116">
        <f t="shared" si="201"/>
        <v>0</v>
      </c>
      <c r="Z463" s="116">
        <f t="shared" si="202"/>
        <v>0</v>
      </c>
      <c r="AA463" s="116">
        <f t="shared" si="203"/>
        <v>0</v>
      </c>
      <c r="AB463" s="117">
        <f>'Ratios (C)'!$C$26+'Ratios (C)'!$D$26</f>
        <v>0.75270178133090293</v>
      </c>
      <c r="AC463" s="116">
        <f t="shared" si="204"/>
        <v>0</v>
      </c>
      <c r="AD463" s="116">
        <f t="shared" si="205"/>
        <v>0</v>
      </c>
      <c r="AE463" s="118"/>
      <c r="AF463" s="119"/>
      <c r="AG463" s="120"/>
      <c r="AH463" s="118"/>
      <c r="AI463" s="119"/>
      <c r="AJ463" s="121"/>
    </row>
    <row r="464" spans="2:36" s="9" customFormat="1">
      <c r="B464" s="9">
        <v>648</v>
      </c>
      <c r="C464" s="9" t="s">
        <v>610</v>
      </c>
      <c r="D464" s="9">
        <v>2181</v>
      </c>
      <c r="E464" s="9">
        <v>66098</v>
      </c>
      <c r="G464" s="9">
        <v>2009</v>
      </c>
      <c r="H464" s="9">
        <v>6</v>
      </c>
      <c r="I464" s="9">
        <v>0</v>
      </c>
      <c r="J464" s="9" t="s">
        <v>78</v>
      </c>
      <c r="K464" s="158">
        <v>7</v>
      </c>
      <c r="L464" s="9">
        <f t="shared" si="187"/>
        <v>2016</v>
      </c>
      <c r="M464" s="127">
        <f t="shared" si="188"/>
        <v>2016.5</v>
      </c>
      <c r="N464" s="13">
        <v>26659.040000000001</v>
      </c>
      <c r="O464" s="13">
        <f t="shared" si="189"/>
        <v>26659.040000000001</v>
      </c>
      <c r="P464" s="13">
        <f t="shared" si="190"/>
        <v>317.36952380952386</v>
      </c>
      <c r="Q464" s="13">
        <f t="shared" si="191"/>
        <v>3808.4342857142865</v>
      </c>
      <c r="R464" s="13">
        <v>0</v>
      </c>
      <c r="S464" s="13">
        <f t="shared" si="192"/>
        <v>0</v>
      </c>
      <c r="T464" s="13">
        <f t="shared" si="193"/>
        <v>26659.040000000001</v>
      </c>
      <c r="U464" s="13">
        <f t="shared" si="194"/>
        <v>26659.040000000001</v>
      </c>
      <c r="V464" s="13">
        <v>0</v>
      </c>
      <c r="W464" s="13">
        <f t="shared" si="195"/>
        <v>0</v>
      </c>
      <c r="X464" s="115">
        <f t="shared" si="200"/>
        <v>0</v>
      </c>
      <c r="Y464" s="116">
        <f t="shared" si="201"/>
        <v>0</v>
      </c>
      <c r="Z464" s="116">
        <f t="shared" si="202"/>
        <v>0</v>
      </c>
      <c r="AA464" s="116">
        <f t="shared" si="203"/>
        <v>0</v>
      </c>
      <c r="AB464" s="117">
        <f>'Ratios (C)'!$C$26+'Ratios (C)'!$D$26</f>
        <v>0.75270178133090293</v>
      </c>
      <c r="AC464" s="116">
        <f t="shared" si="204"/>
        <v>0</v>
      </c>
      <c r="AD464" s="116">
        <f t="shared" si="205"/>
        <v>0</v>
      </c>
      <c r="AE464" s="118"/>
      <c r="AF464" s="119"/>
      <c r="AG464" s="120"/>
      <c r="AH464" s="118"/>
      <c r="AI464" s="119"/>
      <c r="AJ464" s="121"/>
    </row>
    <row r="465" spans="2:36" s="9" customFormat="1">
      <c r="B465" s="9">
        <v>291</v>
      </c>
      <c r="C465" s="9" t="s">
        <v>619</v>
      </c>
      <c r="E465" s="9">
        <v>74350</v>
      </c>
      <c r="G465" s="9">
        <v>2010</v>
      </c>
      <c r="H465" s="9">
        <v>5</v>
      </c>
      <c r="I465" s="9">
        <v>0</v>
      </c>
      <c r="J465" s="9" t="s">
        <v>78</v>
      </c>
      <c r="K465" s="158">
        <v>7</v>
      </c>
      <c r="L465" s="9">
        <f t="shared" si="187"/>
        <v>2017</v>
      </c>
      <c r="M465" s="127">
        <f t="shared" si="188"/>
        <v>2017.4166666666667</v>
      </c>
      <c r="N465" s="13">
        <v>9645.31</v>
      </c>
      <c r="O465" s="13">
        <f t="shared" si="189"/>
        <v>9645.31</v>
      </c>
      <c r="P465" s="13">
        <f t="shared" si="190"/>
        <v>114.82511904761905</v>
      </c>
      <c r="Q465" s="13">
        <f t="shared" si="191"/>
        <v>1377.9014285714286</v>
      </c>
      <c r="R465" s="13">
        <v>0</v>
      </c>
      <c r="S465" s="13">
        <f t="shared" si="192"/>
        <v>0</v>
      </c>
      <c r="T465" s="13">
        <f t="shared" si="193"/>
        <v>9645.31</v>
      </c>
      <c r="U465" s="13">
        <f t="shared" si="194"/>
        <v>9645.31</v>
      </c>
      <c r="V465" s="13">
        <v>0</v>
      </c>
      <c r="W465" s="13">
        <f t="shared" si="195"/>
        <v>0</v>
      </c>
      <c r="X465" s="115">
        <f t="shared" si="200"/>
        <v>0</v>
      </c>
      <c r="Y465" s="116">
        <f t="shared" si="201"/>
        <v>0</v>
      </c>
      <c r="Z465" s="116">
        <f t="shared" si="202"/>
        <v>0</v>
      </c>
      <c r="AA465" s="116">
        <f t="shared" si="203"/>
        <v>0</v>
      </c>
      <c r="AB465" s="117">
        <f>'Ratios (C)'!$C$26+'Ratios (C)'!$D$26</f>
        <v>0.75270178133090293</v>
      </c>
      <c r="AC465" s="116">
        <f t="shared" si="204"/>
        <v>0</v>
      </c>
      <c r="AD465" s="116">
        <f t="shared" si="205"/>
        <v>0</v>
      </c>
      <c r="AE465" s="118"/>
      <c r="AF465" s="119"/>
      <c r="AG465" s="120"/>
      <c r="AH465" s="118"/>
      <c r="AI465" s="119"/>
      <c r="AJ465" s="121"/>
    </row>
    <row r="466" spans="2:36" s="9" customFormat="1">
      <c r="B466" s="9">
        <v>291</v>
      </c>
      <c r="C466" s="9" t="s">
        <v>619</v>
      </c>
      <c r="E466" s="9">
        <v>74347</v>
      </c>
      <c r="G466" s="9">
        <v>2010</v>
      </c>
      <c r="H466" s="9">
        <v>5</v>
      </c>
      <c r="I466" s="9">
        <v>0</v>
      </c>
      <c r="J466" s="9" t="s">
        <v>78</v>
      </c>
      <c r="K466" s="158">
        <v>7</v>
      </c>
      <c r="L466" s="9">
        <f t="shared" si="187"/>
        <v>2017</v>
      </c>
      <c r="M466" s="127">
        <f t="shared" si="188"/>
        <v>2017.4166666666667</v>
      </c>
      <c r="N466" s="13">
        <v>16673.25</v>
      </c>
      <c r="O466" s="13">
        <f t="shared" si="189"/>
        <v>16673.25</v>
      </c>
      <c r="P466" s="13">
        <f t="shared" si="190"/>
        <v>198.49107142857144</v>
      </c>
      <c r="Q466" s="13">
        <f t="shared" si="191"/>
        <v>2381.8928571428573</v>
      </c>
      <c r="R466" s="13">
        <v>0</v>
      </c>
      <c r="S466" s="13">
        <f t="shared" si="192"/>
        <v>0</v>
      </c>
      <c r="T466" s="13">
        <f t="shared" si="193"/>
        <v>16673.25</v>
      </c>
      <c r="U466" s="13">
        <f t="shared" si="194"/>
        <v>16673.25</v>
      </c>
      <c r="V466" s="13">
        <v>0</v>
      </c>
      <c r="W466" s="13">
        <f t="shared" si="195"/>
        <v>0</v>
      </c>
      <c r="X466" s="115">
        <f t="shared" si="200"/>
        <v>0</v>
      </c>
      <c r="Y466" s="116">
        <f t="shared" si="201"/>
        <v>0</v>
      </c>
      <c r="Z466" s="116">
        <f t="shared" si="202"/>
        <v>0</v>
      </c>
      <c r="AA466" s="116">
        <f t="shared" si="203"/>
        <v>0</v>
      </c>
      <c r="AB466" s="117">
        <f>'Ratios (C)'!$C$26+'Ratios (C)'!$D$26</f>
        <v>0.75270178133090293</v>
      </c>
      <c r="AC466" s="116">
        <f t="shared" si="204"/>
        <v>0</v>
      </c>
      <c r="AD466" s="116">
        <f t="shared" si="205"/>
        <v>0</v>
      </c>
      <c r="AE466" s="118"/>
      <c r="AF466" s="119"/>
      <c r="AG466" s="120"/>
      <c r="AH466" s="118"/>
      <c r="AI466" s="119"/>
      <c r="AJ466" s="121"/>
    </row>
    <row r="467" spans="2:36" s="9" customFormat="1">
      <c r="B467" s="9">
        <v>357</v>
      </c>
      <c r="C467" s="9" t="s">
        <v>619</v>
      </c>
      <c r="G467" s="9">
        <v>2010</v>
      </c>
      <c r="H467" s="9">
        <v>5</v>
      </c>
      <c r="I467" s="9">
        <v>0</v>
      </c>
      <c r="J467" s="9" t="s">
        <v>78</v>
      </c>
      <c r="K467" s="158">
        <v>7</v>
      </c>
      <c r="L467" s="9">
        <f t="shared" si="187"/>
        <v>2017</v>
      </c>
      <c r="M467" s="127">
        <f t="shared" si="188"/>
        <v>2017.4166666666667</v>
      </c>
      <c r="N467" s="13">
        <v>19606</v>
      </c>
      <c r="O467" s="13">
        <f t="shared" si="189"/>
        <v>19606</v>
      </c>
      <c r="P467" s="13">
        <f t="shared" si="190"/>
        <v>233.4047619047619</v>
      </c>
      <c r="Q467" s="13">
        <f t="shared" si="191"/>
        <v>2800.8571428571427</v>
      </c>
      <c r="R467" s="13">
        <v>0</v>
      </c>
      <c r="S467" s="13">
        <f t="shared" si="192"/>
        <v>0</v>
      </c>
      <c r="T467" s="13">
        <f t="shared" si="193"/>
        <v>19606</v>
      </c>
      <c r="U467" s="13">
        <f t="shared" si="194"/>
        <v>19606</v>
      </c>
      <c r="V467" s="13">
        <v>0</v>
      </c>
      <c r="W467" s="13">
        <f t="shared" si="195"/>
        <v>0</v>
      </c>
      <c r="X467" s="115">
        <f t="shared" si="200"/>
        <v>0</v>
      </c>
      <c r="Y467" s="116">
        <f t="shared" si="201"/>
        <v>0</v>
      </c>
      <c r="Z467" s="116">
        <f t="shared" si="202"/>
        <v>0</v>
      </c>
      <c r="AA467" s="116">
        <f t="shared" si="203"/>
        <v>0</v>
      </c>
      <c r="AB467" s="117">
        <f>'Ratios (C)'!$C$26+'Ratios (C)'!$D$26</f>
        <v>0.75270178133090293</v>
      </c>
      <c r="AC467" s="116">
        <f t="shared" si="204"/>
        <v>0</v>
      </c>
      <c r="AD467" s="116">
        <f t="shared" si="205"/>
        <v>0</v>
      </c>
      <c r="AE467" s="118"/>
      <c r="AF467" s="119"/>
      <c r="AG467" s="120"/>
      <c r="AH467" s="118"/>
      <c r="AI467" s="119"/>
      <c r="AJ467" s="121"/>
    </row>
    <row r="468" spans="2:36" s="9" customFormat="1">
      <c r="B468" s="9">
        <v>357</v>
      </c>
      <c r="C468" s="9" t="s">
        <v>619</v>
      </c>
      <c r="G468" s="9">
        <v>2010</v>
      </c>
      <c r="H468" s="9">
        <v>5</v>
      </c>
      <c r="I468" s="9">
        <v>0</v>
      </c>
      <c r="J468" s="9" t="s">
        <v>78</v>
      </c>
      <c r="K468" s="158">
        <v>7</v>
      </c>
      <c r="L468" s="9">
        <f t="shared" si="187"/>
        <v>2017</v>
      </c>
      <c r="M468" s="127">
        <f t="shared" si="188"/>
        <v>2017.4166666666667</v>
      </c>
      <c r="N468" s="13">
        <v>12578.06</v>
      </c>
      <c r="O468" s="13">
        <f t="shared" si="189"/>
        <v>12578.06</v>
      </c>
      <c r="P468" s="13">
        <f t="shared" si="190"/>
        <v>149.73880952380952</v>
      </c>
      <c r="Q468" s="13">
        <f t="shared" si="191"/>
        <v>1796.8657142857141</v>
      </c>
      <c r="R468" s="13">
        <v>0</v>
      </c>
      <c r="S468" s="13">
        <f t="shared" si="192"/>
        <v>0</v>
      </c>
      <c r="T468" s="13">
        <f t="shared" si="193"/>
        <v>12578.06</v>
      </c>
      <c r="U468" s="13">
        <f t="shared" si="194"/>
        <v>12578.06</v>
      </c>
      <c r="V468" s="13">
        <v>0</v>
      </c>
      <c r="W468" s="13">
        <f t="shared" si="195"/>
        <v>0</v>
      </c>
      <c r="X468" s="115">
        <f t="shared" si="200"/>
        <v>0</v>
      </c>
      <c r="Y468" s="116">
        <f t="shared" si="201"/>
        <v>0</v>
      </c>
      <c r="Z468" s="116">
        <f t="shared" si="202"/>
        <v>0</v>
      </c>
      <c r="AA468" s="116">
        <f t="shared" si="203"/>
        <v>0</v>
      </c>
      <c r="AB468" s="117">
        <f>'Ratios (C)'!$C$26+'Ratios (C)'!$D$26</f>
        <v>0.75270178133090293</v>
      </c>
      <c r="AC468" s="116">
        <f t="shared" si="204"/>
        <v>0</v>
      </c>
      <c r="AD468" s="116">
        <f t="shared" si="205"/>
        <v>0</v>
      </c>
      <c r="AE468" s="118"/>
      <c r="AF468" s="119"/>
      <c r="AG468" s="120"/>
      <c r="AH468" s="118"/>
      <c r="AI468" s="119"/>
      <c r="AJ468" s="121"/>
    </row>
    <row r="469" spans="2:36" s="9" customFormat="1">
      <c r="B469" s="9">
        <v>648</v>
      </c>
      <c r="C469" s="9" t="s">
        <v>619</v>
      </c>
      <c r="G469" s="9">
        <v>2010</v>
      </c>
      <c r="H469" s="9">
        <v>9</v>
      </c>
      <c r="I469" s="9">
        <v>0</v>
      </c>
      <c r="J469" s="9" t="s">
        <v>78</v>
      </c>
      <c r="K469" s="158">
        <v>7</v>
      </c>
      <c r="L469" s="9">
        <f t="shared" si="187"/>
        <v>2017</v>
      </c>
      <c r="M469" s="127">
        <f t="shared" si="188"/>
        <v>2017.75</v>
      </c>
      <c r="N469" s="13">
        <v>27714.37</v>
      </c>
      <c r="O469" s="13">
        <f t="shared" si="189"/>
        <v>27714.37</v>
      </c>
      <c r="P469" s="13">
        <f t="shared" si="190"/>
        <v>329.93297619047615</v>
      </c>
      <c r="Q469" s="13">
        <f t="shared" si="191"/>
        <v>3959.1957142857136</v>
      </c>
      <c r="R469" s="13">
        <v>0</v>
      </c>
      <c r="S469" s="13">
        <f t="shared" si="192"/>
        <v>0</v>
      </c>
      <c r="T469" s="13">
        <f t="shared" si="193"/>
        <v>27714.37</v>
      </c>
      <c r="U469" s="13">
        <f t="shared" si="194"/>
        <v>27714.37</v>
      </c>
      <c r="V469" s="13">
        <v>0</v>
      </c>
      <c r="W469" s="13">
        <f t="shared" si="195"/>
        <v>0</v>
      </c>
      <c r="X469" s="115">
        <f t="shared" si="200"/>
        <v>0</v>
      </c>
      <c r="Y469" s="116">
        <f t="shared" si="201"/>
        <v>0</v>
      </c>
      <c r="Z469" s="116">
        <f t="shared" si="202"/>
        <v>0</v>
      </c>
      <c r="AA469" s="116">
        <f t="shared" si="203"/>
        <v>0</v>
      </c>
      <c r="AB469" s="117">
        <f>'Ratios (C)'!$C$26+'Ratios (C)'!$D$26</f>
        <v>0.75270178133090293</v>
      </c>
      <c r="AC469" s="116">
        <f t="shared" si="204"/>
        <v>0</v>
      </c>
      <c r="AD469" s="116">
        <f t="shared" si="205"/>
        <v>0</v>
      </c>
      <c r="AE469" s="118"/>
      <c r="AF469" s="119"/>
      <c r="AG469" s="120"/>
      <c r="AH469" s="118"/>
      <c r="AI469" s="119"/>
      <c r="AJ469" s="121"/>
    </row>
    <row r="470" spans="2:36" s="9" customFormat="1">
      <c r="B470" s="9">
        <v>648</v>
      </c>
      <c r="C470" s="9" t="s">
        <v>619</v>
      </c>
      <c r="E470" s="9">
        <v>84568</v>
      </c>
      <c r="G470" s="9">
        <v>2011</v>
      </c>
      <c r="H470" s="9">
        <v>5</v>
      </c>
      <c r="I470" s="9">
        <v>0</v>
      </c>
      <c r="J470" s="9" t="s">
        <v>78</v>
      </c>
      <c r="K470" s="158">
        <v>7</v>
      </c>
      <c r="L470" s="9">
        <f t="shared" si="187"/>
        <v>2018</v>
      </c>
      <c r="M470" s="127">
        <f t="shared" si="188"/>
        <v>2018.4166666666667</v>
      </c>
      <c r="N470" s="13">
        <v>31701.91</v>
      </c>
      <c r="O470" s="13">
        <f t="shared" si="189"/>
        <v>31701.91</v>
      </c>
      <c r="P470" s="13">
        <f t="shared" si="190"/>
        <v>377.40369047619043</v>
      </c>
      <c r="Q470" s="13">
        <f t="shared" si="191"/>
        <v>4528.8442857142854</v>
      </c>
      <c r="R470" s="13">
        <v>0</v>
      </c>
      <c r="S470" s="13">
        <f t="shared" si="192"/>
        <v>0</v>
      </c>
      <c r="T470" s="13">
        <f t="shared" si="193"/>
        <v>31701.91</v>
      </c>
      <c r="U470" s="13">
        <f t="shared" si="194"/>
        <v>31701.91</v>
      </c>
      <c r="V470" s="13">
        <v>0</v>
      </c>
      <c r="W470" s="13">
        <f t="shared" si="195"/>
        <v>0</v>
      </c>
      <c r="X470" s="115">
        <f t="shared" si="200"/>
        <v>0</v>
      </c>
      <c r="Y470" s="116">
        <f t="shared" si="201"/>
        <v>0</v>
      </c>
      <c r="Z470" s="116">
        <f t="shared" si="202"/>
        <v>0</v>
      </c>
      <c r="AA470" s="116">
        <f t="shared" si="203"/>
        <v>0</v>
      </c>
      <c r="AB470" s="117">
        <f>'Ratios (C)'!$C$26+'Ratios (C)'!$D$26</f>
        <v>0.75270178133090293</v>
      </c>
      <c r="AC470" s="116">
        <f t="shared" si="204"/>
        <v>0</v>
      </c>
      <c r="AD470" s="116">
        <f t="shared" si="205"/>
        <v>0</v>
      </c>
      <c r="AE470" s="118"/>
      <c r="AF470" s="119"/>
      <c r="AG470" s="120"/>
      <c r="AH470" s="118"/>
      <c r="AI470" s="119"/>
      <c r="AJ470" s="121"/>
    </row>
    <row r="471" spans="2:36" s="9" customFormat="1">
      <c r="B471" s="9">
        <v>91</v>
      </c>
      <c r="C471" s="9" t="s">
        <v>619</v>
      </c>
      <c r="E471" s="9">
        <v>84570</v>
      </c>
      <c r="G471" s="9">
        <v>2011</v>
      </c>
      <c r="H471" s="9">
        <v>5</v>
      </c>
      <c r="I471" s="9">
        <v>0</v>
      </c>
      <c r="J471" s="9" t="s">
        <v>78</v>
      </c>
      <c r="K471" s="158">
        <v>7</v>
      </c>
      <c r="L471" s="9">
        <f t="shared" si="187"/>
        <v>2018</v>
      </c>
      <c r="M471" s="127">
        <f t="shared" si="188"/>
        <v>2018.4166666666667</v>
      </c>
      <c r="N471" s="13">
        <v>4451.96</v>
      </c>
      <c r="O471" s="13">
        <f t="shared" si="189"/>
        <v>4451.96</v>
      </c>
      <c r="P471" s="13">
        <f t="shared" si="190"/>
        <v>52.999523809523815</v>
      </c>
      <c r="Q471" s="13">
        <f t="shared" si="191"/>
        <v>635.99428571428575</v>
      </c>
      <c r="R471" s="13">
        <v>0</v>
      </c>
      <c r="S471" s="13">
        <f t="shared" si="192"/>
        <v>0</v>
      </c>
      <c r="T471" s="13">
        <f t="shared" si="193"/>
        <v>4451.96</v>
      </c>
      <c r="U471" s="13">
        <f t="shared" si="194"/>
        <v>4451.96</v>
      </c>
      <c r="V471" s="13">
        <v>0</v>
      </c>
      <c r="W471" s="13">
        <f t="shared" si="195"/>
        <v>0</v>
      </c>
      <c r="X471" s="115">
        <f t="shared" si="200"/>
        <v>0</v>
      </c>
      <c r="Y471" s="116">
        <f t="shared" si="201"/>
        <v>0</v>
      </c>
      <c r="Z471" s="116">
        <f t="shared" si="202"/>
        <v>0</v>
      </c>
      <c r="AA471" s="116">
        <f t="shared" si="203"/>
        <v>0</v>
      </c>
      <c r="AB471" s="117">
        <f>'Ratios (C)'!$C$26+'Ratios (C)'!$D$26</f>
        <v>0.75270178133090293</v>
      </c>
      <c r="AC471" s="116">
        <f t="shared" si="204"/>
        <v>0</v>
      </c>
      <c r="AD471" s="116">
        <f t="shared" si="205"/>
        <v>0</v>
      </c>
      <c r="AE471" s="118"/>
      <c r="AF471" s="119"/>
      <c r="AG471" s="120"/>
      <c r="AH471" s="118"/>
      <c r="AI471" s="119"/>
      <c r="AJ471" s="121"/>
    </row>
    <row r="472" spans="2:36" s="9" customFormat="1">
      <c r="B472" s="9">
        <v>557</v>
      </c>
      <c r="C472" s="9" t="s">
        <v>619</v>
      </c>
      <c r="E472" s="9">
        <v>84575</v>
      </c>
      <c r="G472" s="9">
        <v>2011</v>
      </c>
      <c r="H472" s="9">
        <v>5</v>
      </c>
      <c r="I472" s="9">
        <v>0</v>
      </c>
      <c r="J472" s="9" t="s">
        <v>78</v>
      </c>
      <c r="K472" s="158">
        <v>7</v>
      </c>
      <c r="L472" s="9">
        <f t="shared" si="187"/>
        <v>2018</v>
      </c>
      <c r="M472" s="127">
        <f t="shared" si="188"/>
        <v>2018.4166666666667</v>
      </c>
      <c r="N472" s="13">
        <v>27249.94</v>
      </c>
      <c r="O472" s="13">
        <f t="shared" si="189"/>
        <v>27249.94</v>
      </c>
      <c r="P472" s="13">
        <f t="shared" si="190"/>
        <v>324.40404761904762</v>
      </c>
      <c r="Q472" s="13">
        <f t="shared" si="191"/>
        <v>3892.8485714285716</v>
      </c>
      <c r="R472" s="13">
        <v>0</v>
      </c>
      <c r="S472" s="13">
        <f t="shared" si="192"/>
        <v>0</v>
      </c>
      <c r="T472" s="13">
        <f t="shared" si="193"/>
        <v>27249.94</v>
      </c>
      <c r="U472" s="13">
        <f t="shared" si="194"/>
        <v>27249.94</v>
      </c>
      <c r="V472" s="13">
        <v>0</v>
      </c>
      <c r="W472" s="13">
        <f t="shared" si="195"/>
        <v>0</v>
      </c>
      <c r="X472" s="115">
        <f t="shared" si="200"/>
        <v>0</v>
      </c>
      <c r="Y472" s="116">
        <f t="shared" si="201"/>
        <v>0</v>
      </c>
      <c r="Z472" s="116">
        <f t="shared" si="202"/>
        <v>0</v>
      </c>
      <c r="AA472" s="116">
        <f t="shared" si="203"/>
        <v>0</v>
      </c>
      <c r="AB472" s="117">
        <f>'Ratios (C)'!$C$26+'Ratios (C)'!$D$26</f>
        <v>0.75270178133090293</v>
      </c>
      <c r="AC472" s="116">
        <f t="shared" si="204"/>
        <v>0</v>
      </c>
      <c r="AD472" s="116">
        <f t="shared" si="205"/>
        <v>0</v>
      </c>
      <c r="AE472" s="118"/>
      <c r="AF472" s="119"/>
      <c r="AG472" s="120"/>
      <c r="AH472" s="118"/>
      <c r="AI472" s="119"/>
      <c r="AJ472" s="121"/>
    </row>
    <row r="473" spans="2:36" s="9" customFormat="1">
      <c r="B473" s="9">
        <v>648</v>
      </c>
      <c r="C473" s="9" t="s">
        <v>619</v>
      </c>
      <c r="E473" s="9">
        <v>89282</v>
      </c>
      <c r="G473" s="9">
        <v>2011</v>
      </c>
      <c r="H473" s="9">
        <v>12</v>
      </c>
      <c r="I473" s="9">
        <v>0</v>
      </c>
      <c r="J473" s="9" t="s">
        <v>78</v>
      </c>
      <c r="K473" s="158">
        <v>7</v>
      </c>
      <c r="L473" s="9">
        <f t="shared" si="187"/>
        <v>2018</v>
      </c>
      <c r="M473" s="127">
        <f t="shared" si="188"/>
        <v>2019</v>
      </c>
      <c r="N473" s="13">
        <v>29237.14</v>
      </c>
      <c r="O473" s="13">
        <f t="shared" si="189"/>
        <v>29237.14</v>
      </c>
      <c r="P473" s="13">
        <f t="shared" si="190"/>
        <v>348.06119047619046</v>
      </c>
      <c r="Q473" s="13">
        <f t="shared" si="191"/>
        <v>4176.7342857142858</v>
      </c>
      <c r="R473" s="13">
        <v>0</v>
      </c>
      <c r="S473" s="13">
        <f t="shared" si="192"/>
        <v>0</v>
      </c>
      <c r="T473" s="13">
        <f t="shared" si="193"/>
        <v>29237.14</v>
      </c>
      <c r="U473" s="13">
        <f t="shared" si="194"/>
        <v>29237.14</v>
      </c>
      <c r="V473" s="13">
        <v>0</v>
      </c>
      <c r="W473" s="13">
        <f t="shared" si="195"/>
        <v>0</v>
      </c>
      <c r="X473" s="115">
        <f t="shared" si="200"/>
        <v>0</v>
      </c>
      <c r="Y473" s="116">
        <f t="shared" si="201"/>
        <v>0</v>
      </c>
      <c r="Z473" s="116">
        <f t="shared" si="202"/>
        <v>0</v>
      </c>
      <c r="AA473" s="116">
        <f t="shared" si="203"/>
        <v>0</v>
      </c>
      <c r="AB473" s="117">
        <f>'Ratios (C)'!$C$26+'Ratios (C)'!$D$26</f>
        <v>0.75270178133090293</v>
      </c>
      <c r="AC473" s="116">
        <f t="shared" si="204"/>
        <v>0</v>
      </c>
      <c r="AD473" s="116">
        <f t="shared" si="205"/>
        <v>0</v>
      </c>
      <c r="AE473" s="118"/>
      <c r="AF473" s="119"/>
      <c r="AG473" s="120"/>
      <c r="AH473" s="118"/>
      <c r="AI473" s="119"/>
      <c r="AJ473" s="121"/>
    </row>
    <row r="474" spans="2:36" s="9" customFormat="1">
      <c r="B474" s="9">
        <f>486+49</f>
        <v>535</v>
      </c>
      <c r="C474" s="9" t="s">
        <v>620</v>
      </c>
      <c r="E474" s="9" t="s">
        <v>621</v>
      </c>
      <c r="G474" s="9">
        <v>2011</v>
      </c>
      <c r="H474" s="9">
        <v>5</v>
      </c>
      <c r="I474" s="9">
        <v>0</v>
      </c>
      <c r="J474" s="9" t="s">
        <v>78</v>
      </c>
      <c r="K474" s="158">
        <v>7</v>
      </c>
      <c r="L474" s="9">
        <f>G474+K474</f>
        <v>2018</v>
      </c>
      <c r="M474" s="127">
        <f>+L474+(H474/12)</f>
        <v>2018.4166666666667</v>
      </c>
      <c r="N474" s="13">
        <f>25210.65+2541.82</f>
        <v>27752.47</v>
      </c>
      <c r="O474" s="13">
        <f>N474-N474*I474</f>
        <v>27752.47</v>
      </c>
      <c r="P474" s="13">
        <f>O474/K474/12</f>
        <v>330.38654761904763</v>
      </c>
      <c r="Q474" s="13">
        <f>P474*12</f>
        <v>3964.6385714285716</v>
      </c>
      <c r="R474" s="13">
        <v>0</v>
      </c>
      <c r="S474" s="13">
        <f>+IF(M474&lt;=$O$5,0,IF(L474&gt;$O$4,Q474,(P474*H474)))</f>
        <v>0</v>
      </c>
      <c r="T474" s="13">
        <f>+IF(S474=0,N474,IF($O$3-G474&lt;1,0,(($O$3-G474)*Q474)))</f>
        <v>27752.47</v>
      </c>
      <c r="U474" s="13">
        <f>+IF(S474=0,T474,T474+S474)</f>
        <v>27752.47</v>
      </c>
      <c r="V474" s="13">
        <v>0</v>
      </c>
      <c r="W474" s="13">
        <f>+N474-U474</f>
        <v>0</v>
      </c>
      <c r="X474" s="115">
        <f t="shared" si="200"/>
        <v>0</v>
      </c>
      <c r="Y474" s="116">
        <f t="shared" si="201"/>
        <v>0</v>
      </c>
      <c r="Z474" s="116">
        <f t="shared" si="202"/>
        <v>0</v>
      </c>
      <c r="AA474" s="116">
        <f t="shared" si="203"/>
        <v>0</v>
      </c>
      <c r="AB474" s="117">
        <f>'Ratios (C)'!$C$26+'Ratios (C)'!$D$26</f>
        <v>0.75270178133090293</v>
      </c>
      <c r="AC474" s="116">
        <f t="shared" si="204"/>
        <v>0</v>
      </c>
      <c r="AD474" s="116">
        <f t="shared" si="205"/>
        <v>0</v>
      </c>
      <c r="AE474" s="118"/>
      <c r="AF474" s="119"/>
      <c r="AG474" s="120"/>
      <c r="AH474" s="118"/>
      <c r="AI474" s="119"/>
      <c r="AJ474" s="121"/>
    </row>
    <row r="475" spans="2:36" s="9" customFormat="1">
      <c r="B475" s="9">
        <v>486</v>
      </c>
      <c r="C475" s="9" t="s">
        <v>620</v>
      </c>
      <c r="E475" s="9">
        <v>94335</v>
      </c>
      <c r="G475" s="9">
        <v>2012</v>
      </c>
      <c r="H475" s="9">
        <v>6</v>
      </c>
      <c r="I475" s="9">
        <v>0</v>
      </c>
      <c r="J475" s="9" t="s">
        <v>78</v>
      </c>
      <c r="K475" s="158">
        <v>7</v>
      </c>
      <c r="L475" s="9">
        <f>G475+K475</f>
        <v>2019</v>
      </c>
      <c r="M475" s="127">
        <f>+L475+(H475/12)</f>
        <v>2019.5</v>
      </c>
      <c r="N475" s="13">
        <v>25058</v>
      </c>
      <c r="O475" s="13">
        <f>N475-N475*I475</f>
        <v>25058</v>
      </c>
      <c r="P475" s="13">
        <f>O475/K475/12</f>
        <v>298.3095238095238</v>
      </c>
      <c r="Q475" s="13">
        <f t="shared" ref="Q475:Q477" si="206">P475*12</f>
        <v>3579.7142857142853</v>
      </c>
      <c r="R475" s="13">
        <v>1789.8571428571427</v>
      </c>
      <c r="S475" s="13">
        <v>0</v>
      </c>
      <c r="T475" s="13">
        <f>+IF(S475=0,N475,IF($O$3-G475&lt;1,0,(($O$3-G475)*Q475)))</f>
        <v>25058</v>
      </c>
      <c r="U475" s="13">
        <f>+IF(S475=0,T475,T475+S475)</f>
        <v>25058</v>
      </c>
      <c r="V475" s="13">
        <v>1789.8571428571486</v>
      </c>
      <c r="W475" s="13">
        <f>+N475-U475</f>
        <v>0</v>
      </c>
      <c r="X475" s="115">
        <f t="shared" si="200"/>
        <v>0</v>
      </c>
      <c r="Y475" s="116">
        <f t="shared" si="201"/>
        <v>0</v>
      </c>
      <c r="Z475" s="116">
        <f t="shared" si="202"/>
        <v>-1789.8571428571427</v>
      </c>
      <c r="AA475" s="116">
        <f t="shared" si="203"/>
        <v>-1789.8571428571486</v>
      </c>
      <c r="AB475" s="117">
        <f>'Ratios (C)'!$C$26+'Ratios (C)'!$D$26</f>
        <v>0.75270178133090293</v>
      </c>
      <c r="AC475" s="116">
        <f t="shared" si="204"/>
        <v>0</v>
      </c>
      <c r="AD475" s="116">
        <f t="shared" si="205"/>
        <v>0</v>
      </c>
      <c r="AE475" s="118"/>
      <c r="AF475" s="119"/>
      <c r="AG475" s="120"/>
      <c r="AH475" s="118"/>
      <c r="AI475" s="119"/>
      <c r="AJ475" s="121"/>
    </row>
    <row r="476" spans="2:36" s="9" customFormat="1">
      <c r="B476" s="9">
        <v>648</v>
      </c>
      <c r="C476" s="9" t="s">
        <v>619</v>
      </c>
      <c r="E476" s="9">
        <v>93825</v>
      </c>
      <c r="G476" s="9">
        <v>2012</v>
      </c>
      <c r="H476" s="9">
        <v>5</v>
      </c>
      <c r="I476" s="9">
        <v>0</v>
      </c>
      <c r="J476" s="9" t="s">
        <v>78</v>
      </c>
      <c r="K476" s="158">
        <v>7</v>
      </c>
      <c r="L476" s="9">
        <f t="shared" si="187"/>
        <v>2019</v>
      </c>
      <c r="M476" s="127">
        <f t="shared" si="188"/>
        <v>2019.4166666666667</v>
      </c>
      <c r="N476" s="13">
        <v>28683</v>
      </c>
      <c r="O476" s="13">
        <f t="shared" si="189"/>
        <v>28683</v>
      </c>
      <c r="P476" s="13">
        <f t="shared" si="190"/>
        <v>341.46428571428572</v>
      </c>
      <c r="Q476" s="13">
        <f t="shared" si="206"/>
        <v>4097.5714285714284</v>
      </c>
      <c r="R476" s="13">
        <v>1707.3214285714287</v>
      </c>
      <c r="S476" s="13">
        <v>0</v>
      </c>
      <c r="T476" s="13">
        <f t="shared" si="193"/>
        <v>28683</v>
      </c>
      <c r="U476" s="13">
        <f t="shared" si="194"/>
        <v>28683</v>
      </c>
      <c r="V476" s="13">
        <v>2390.25</v>
      </c>
      <c r="W476" s="13">
        <v>0</v>
      </c>
      <c r="X476" s="115">
        <f t="shared" si="200"/>
        <v>0</v>
      </c>
      <c r="Y476" s="116">
        <f t="shared" si="201"/>
        <v>0</v>
      </c>
      <c r="Z476" s="116">
        <f t="shared" si="202"/>
        <v>-1707.3214285714287</v>
      </c>
      <c r="AA476" s="116">
        <f t="shared" si="203"/>
        <v>-2390.25</v>
      </c>
      <c r="AB476" s="117">
        <f>'Ratios (C)'!$C$26+'Ratios (C)'!$D$26</f>
        <v>0.75270178133090293</v>
      </c>
      <c r="AC476" s="116">
        <f t="shared" si="204"/>
        <v>0</v>
      </c>
      <c r="AD476" s="116">
        <f t="shared" si="205"/>
        <v>0</v>
      </c>
      <c r="AE476" s="118"/>
      <c r="AF476" s="119"/>
      <c r="AG476" s="120"/>
      <c r="AH476" s="118"/>
      <c r="AI476" s="119"/>
      <c r="AJ476" s="121"/>
    </row>
    <row r="477" spans="2:36" s="9" customFormat="1">
      <c r="B477" s="9">
        <f>648+648</f>
        <v>1296</v>
      </c>
      <c r="C477" s="9" t="s">
        <v>619</v>
      </c>
      <c r="E477" s="9" t="s">
        <v>622</v>
      </c>
      <c r="G477" s="9">
        <v>2012</v>
      </c>
      <c r="H477" s="9">
        <v>6</v>
      </c>
      <c r="I477" s="9">
        <v>0</v>
      </c>
      <c r="J477" s="9" t="s">
        <v>78</v>
      </c>
      <c r="K477" s="158">
        <v>7</v>
      </c>
      <c r="L477" s="9">
        <f t="shared" si="187"/>
        <v>2019</v>
      </c>
      <c r="M477" s="127">
        <f t="shared" si="188"/>
        <v>2019.5</v>
      </c>
      <c r="N477" s="13">
        <f>29796+29796</f>
        <v>59592</v>
      </c>
      <c r="O477" s="13">
        <f t="shared" si="189"/>
        <v>59592</v>
      </c>
      <c r="P477" s="13">
        <f t="shared" si="190"/>
        <v>709.42857142857144</v>
      </c>
      <c r="Q477" s="13">
        <f t="shared" si="206"/>
        <v>8513.1428571428569</v>
      </c>
      <c r="R477" s="13">
        <v>4256.5714285714284</v>
      </c>
      <c r="S477" s="13">
        <v>0</v>
      </c>
      <c r="T477" s="13">
        <f t="shared" si="193"/>
        <v>59592</v>
      </c>
      <c r="U477" s="13">
        <f t="shared" si="194"/>
        <v>59592</v>
      </c>
      <c r="V477" s="13">
        <v>4256.5714285714275</v>
      </c>
      <c r="W477" s="13">
        <v>0</v>
      </c>
      <c r="X477" s="115">
        <f t="shared" si="200"/>
        <v>0</v>
      </c>
      <c r="Y477" s="116">
        <f t="shared" si="201"/>
        <v>0</v>
      </c>
      <c r="Z477" s="116">
        <f t="shared" si="202"/>
        <v>-4256.5714285714284</v>
      </c>
      <c r="AA477" s="116">
        <f t="shared" si="203"/>
        <v>-4256.5714285714275</v>
      </c>
      <c r="AB477" s="117">
        <f>'Ratios (C)'!$C$26+'Ratios (C)'!$D$26</f>
        <v>0.75270178133090293</v>
      </c>
      <c r="AC477" s="116">
        <f t="shared" si="204"/>
        <v>0</v>
      </c>
      <c r="AD477" s="116">
        <f t="shared" si="205"/>
        <v>0</v>
      </c>
      <c r="AE477" s="118"/>
      <c r="AF477" s="119"/>
      <c r="AG477" s="120"/>
      <c r="AH477" s="118"/>
      <c r="AI477" s="119"/>
      <c r="AJ477" s="121"/>
    </row>
    <row r="478" spans="2:36" s="9" customFormat="1">
      <c r="B478" s="9">
        <v>1296</v>
      </c>
      <c r="C478" s="9" t="s">
        <v>619</v>
      </c>
      <c r="E478" s="9" t="s">
        <v>623</v>
      </c>
      <c r="G478" s="9">
        <v>2013</v>
      </c>
      <c r="H478" s="9">
        <v>1</v>
      </c>
      <c r="I478" s="9">
        <v>0</v>
      </c>
      <c r="J478" s="9" t="s">
        <v>78</v>
      </c>
      <c r="K478" s="158">
        <v>7</v>
      </c>
      <c r="L478" s="9">
        <f t="shared" si="187"/>
        <v>2020</v>
      </c>
      <c r="M478" s="127">
        <f t="shared" si="188"/>
        <v>2020.0833333333333</v>
      </c>
      <c r="N478" s="13">
        <v>59052.82</v>
      </c>
      <c r="O478" s="13">
        <f t="shared" si="189"/>
        <v>59052.82</v>
      </c>
      <c r="P478" s="13">
        <f t="shared" si="190"/>
        <v>703.00976190476194</v>
      </c>
      <c r="Q478" s="13">
        <f t="shared" si="191"/>
        <v>8436.1171428571433</v>
      </c>
      <c r="R478" s="13">
        <v>8436.1171428571433</v>
      </c>
      <c r="S478" s="13">
        <v>0</v>
      </c>
      <c r="T478" s="13">
        <f t="shared" si="193"/>
        <v>59052.82</v>
      </c>
      <c r="U478" s="13">
        <f t="shared" si="194"/>
        <v>59052.82</v>
      </c>
      <c r="V478" s="13">
        <v>8436.117142857147</v>
      </c>
      <c r="W478" s="13">
        <f t="shared" si="195"/>
        <v>0</v>
      </c>
      <c r="X478" s="115">
        <f t="shared" si="200"/>
        <v>0</v>
      </c>
      <c r="Y478" s="116">
        <f t="shared" si="201"/>
        <v>0</v>
      </c>
      <c r="Z478" s="116">
        <f t="shared" si="202"/>
        <v>-8436.1171428571433</v>
      </c>
      <c r="AA478" s="116">
        <f t="shared" si="203"/>
        <v>-8436.117142857147</v>
      </c>
      <c r="AB478" s="117">
        <f>'Ratios (C)'!$C$26+'Ratios (C)'!$D$26</f>
        <v>0.75270178133090293</v>
      </c>
      <c r="AC478" s="116">
        <f t="shared" si="204"/>
        <v>0</v>
      </c>
      <c r="AD478" s="116">
        <f t="shared" si="205"/>
        <v>0</v>
      </c>
      <c r="AE478" s="118"/>
      <c r="AF478" s="119"/>
      <c r="AG478" s="120"/>
      <c r="AH478" s="118"/>
      <c r="AI478" s="119"/>
      <c r="AJ478" s="121"/>
    </row>
    <row r="479" spans="2:36" s="9" customFormat="1">
      <c r="B479" s="9">
        <v>1296</v>
      </c>
      <c r="C479" s="9" t="s">
        <v>619</v>
      </c>
      <c r="E479" s="9" t="s">
        <v>624</v>
      </c>
      <c r="G479" s="9">
        <v>2013</v>
      </c>
      <c r="H479" s="9">
        <v>1</v>
      </c>
      <c r="I479" s="9">
        <v>0</v>
      </c>
      <c r="J479" s="9" t="s">
        <v>78</v>
      </c>
      <c r="K479" s="158">
        <v>7</v>
      </c>
      <c r="L479" s="9">
        <f t="shared" si="187"/>
        <v>2020</v>
      </c>
      <c r="M479" s="127">
        <f t="shared" si="188"/>
        <v>2020.0833333333333</v>
      </c>
      <c r="N479" s="13">
        <v>59378.46</v>
      </c>
      <c r="O479" s="13">
        <f t="shared" si="189"/>
        <v>59378.46</v>
      </c>
      <c r="P479" s="13">
        <f t="shared" si="190"/>
        <v>706.8864285714285</v>
      </c>
      <c r="Q479" s="13">
        <f t="shared" si="191"/>
        <v>8482.637142857142</v>
      </c>
      <c r="R479" s="13">
        <v>8482.637142857142</v>
      </c>
      <c r="S479" s="13">
        <v>0</v>
      </c>
      <c r="T479" s="13">
        <f t="shared" si="193"/>
        <v>59378.46</v>
      </c>
      <c r="U479" s="13">
        <f t="shared" si="194"/>
        <v>59378.46</v>
      </c>
      <c r="V479" s="13">
        <v>8482.6371428571438</v>
      </c>
      <c r="W479" s="13">
        <f t="shared" si="195"/>
        <v>0</v>
      </c>
      <c r="X479" s="115">
        <f t="shared" si="200"/>
        <v>0</v>
      </c>
      <c r="Y479" s="116">
        <f t="shared" si="201"/>
        <v>0</v>
      </c>
      <c r="Z479" s="116">
        <f t="shared" si="202"/>
        <v>-8482.637142857142</v>
      </c>
      <c r="AA479" s="116">
        <f t="shared" si="203"/>
        <v>-8482.6371428571438</v>
      </c>
      <c r="AB479" s="117">
        <f>'Ratios (C)'!$C$26+'Ratios (C)'!$D$26</f>
        <v>0.75270178133090293</v>
      </c>
      <c r="AC479" s="116">
        <f t="shared" si="204"/>
        <v>0</v>
      </c>
      <c r="AD479" s="116">
        <f t="shared" si="205"/>
        <v>0</v>
      </c>
      <c r="AE479" s="118"/>
      <c r="AF479" s="119"/>
      <c r="AG479" s="120"/>
      <c r="AH479" s="118"/>
      <c r="AI479" s="119"/>
      <c r="AJ479" s="121"/>
    </row>
    <row r="480" spans="2:36" s="9" customFormat="1">
      <c r="B480" s="9">
        <v>1296</v>
      </c>
      <c r="C480" s="9" t="s">
        <v>619</v>
      </c>
      <c r="E480" s="9" t="s">
        <v>625</v>
      </c>
      <c r="G480" s="9">
        <v>2013</v>
      </c>
      <c r="H480" s="9">
        <v>3</v>
      </c>
      <c r="I480" s="9">
        <v>0</v>
      </c>
      <c r="J480" s="9" t="s">
        <v>78</v>
      </c>
      <c r="K480" s="158">
        <v>7</v>
      </c>
      <c r="L480" s="9">
        <f t="shared" si="187"/>
        <v>2020</v>
      </c>
      <c r="M480" s="127">
        <f t="shared" si="188"/>
        <v>2020.25</v>
      </c>
      <c r="N480" s="13">
        <v>59082.239999999998</v>
      </c>
      <c r="O480" s="13">
        <f t="shared" si="189"/>
        <v>59082.239999999998</v>
      </c>
      <c r="P480" s="13">
        <f t="shared" si="190"/>
        <v>703.36</v>
      </c>
      <c r="Q480" s="13">
        <f t="shared" si="191"/>
        <v>8440.32</v>
      </c>
      <c r="R480" s="13">
        <v>8440.32</v>
      </c>
      <c r="S480" s="13">
        <f t="shared" si="192"/>
        <v>0</v>
      </c>
      <c r="T480" s="13">
        <f t="shared" si="193"/>
        <v>59082.239999999998</v>
      </c>
      <c r="U480" s="13">
        <f t="shared" si="194"/>
        <v>59082.239999999998</v>
      </c>
      <c r="V480" s="13">
        <v>8440.32</v>
      </c>
      <c r="W480" s="13">
        <f t="shared" si="195"/>
        <v>0</v>
      </c>
      <c r="X480" s="115">
        <f t="shared" si="200"/>
        <v>0</v>
      </c>
      <c r="Y480" s="116">
        <f t="shared" si="201"/>
        <v>0</v>
      </c>
      <c r="Z480" s="116">
        <f t="shared" si="202"/>
        <v>-8440.32</v>
      </c>
      <c r="AA480" s="116">
        <f t="shared" si="203"/>
        <v>-8440.32</v>
      </c>
      <c r="AB480" s="117">
        <f>'Ratios (C)'!$C$26+'Ratios (C)'!$D$26</f>
        <v>0.75270178133090293</v>
      </c>
      <c r="AC480" s="116">
        <f t="shared" si="204"/>
        <v>0</v>
      </c>
      <c r="AD480" s="116">
        <f t="shared" si="205"/>
        <v>0</v>
      </c>
      <c r="AE480" s="118"/>
      <c r="AF480" s="119"/>
      <c r="AG480" s="120"/>
      <c r="AH480" s="118"/>
      <c r="AI480" s="119"/>
      <c r="AJ480" s="121"/>
    </row>
    <row r="481" spans="2:36" s="9" customFormat="1">
      <c r="B481" s="9">
        <v>648</v>
      </c>
      <c r="C481" s="9" t="s">
        <v>619</v>
      </c>
      <c r="E481" s="9">
        <v>106181</v>
      </c>
      <c r="G481" s="9">
        <v>2013</v>
      </c>
      <c r="H481" s="9">
        <v>7</v>
      </c>
      <c r="I481" s="9">
        <v>0</v>
      </c>
      <c r="J481" s="9" t="s">
        <v>78</v>
      </c>
      <c r="K481" s="158">
        <v>7</v>
      </c>
      <c r="L481" s="9">
        <f t="shared" si="187"/>
        <v>2020</v>
      </c>
      <c r="M481" s="127">
        <f t="shared" si="188"/>
        <v>2020.5833333333333</v>
      </c>
      <c r="N481" s="13">
        <v>30302.54</v>
      </c>
      <c r="O481" s="13">
        <f t="shared" si="189"/>
        <v>30302.54</v>
      </c>
      <c r="P481" s="13">
        <f t="shared" si="190"/>
        <v>360.7445238095238</v>
      </c>
      <c r="Q481" s="13">
        <f t="shared" si="191"/>
        <v>4328.9342857142856</v>
      </c>
      <c r="R481" s="13">
        <v>4328.9342857142856</v>
      </c>
      <c r="S481" s="13">
        <f t="shared" si="192"/>
        <v>0</v>
      </c>
      <c r="T481" s="13">
        <f t="shared" si="193"/>
        <v>30302.54</v>
      </c>
      <c r="U481" s="13">
        <f t="shared" si="194"/>
        <v>30302.54</v>
      </c>
      <c r="V481" s="13">
        <v>4328.934285714291</v>
      </c>
      <c r="W481" s="13">
        <f t="shared" si="195"/>
        <v>0</v>
      </c>
      <c r="X481" s="115">
        <f t="shared" si="200"/>
        <v>0</v>
      </c>
      <c r="Y481" s="116">
        <f t="shared" si="201"/>
        <v>0</v>
      </c>
      <c r="Z481" s="116">
        <f t="shared" si="202"/>
        <v>-4328.9342857142856</v>
      </c>
      <c r="AA481" s="116">
        <f t="shared" si="203"/>
        <v>-4328.934285714291</v>
      </c>
      <c r="AB481" s="117">
        <f>'Ratios (C)'!$C$26+'Ratios (C)'!$D$26</f>
        <v>0.75270178133090293</v>
      </c>
      <c r="AC481" s="116">
        <f t="shared" si="204"/>
        <v>0</v>
      </c>
      <c r="AD481" s="116">
        <f t="shared" si="205"/>
        <v>0</v>
      </c>
      <c r="AE481" s="118"/>
      <c r="AF481" s="119"/>
      <c r="AG481" s="120"/>
      <c r="AH481" s="118"/>
      <c r="AI481" s="119"/>
      <c r="AJ481" s="121"/>
    </row>
    <row r="482" spans="2:36" s="9" customFormat="1">
      <c r="B482" s="9">
        <v>360</v>
      </c>
      <c r="C482" s="9" t="s">
        <v>620</v>
      </c>
      <c r="E482" s="9">
        <v>106805</v>
      </c>
      <c r="G482" s="9">
        <v>2013</v>
      </c>
      <c r="H482" s="9">
        <v>8</v>
      </c>
      <c r="I482" s="9">
        <v>0</v>
      </c>
      <c r="J482" s="9" t="s">
        <v>78</v>
      </c>
      <c r="K482" s="158">
        <v>7</v>
      </c>
      <c r="L482" s="9">
        <f t="shared" si="187"/>
        <v>2020</v>
      </c>
      <c r="M482" s="127">
        <f t="shared" si="188"/>
        <v>2020.6666666666667</v>
      </c>
      <c r="N482" s="13">
        <v>20639.8</v>
      </c>
      <c r="O482" s="13">
        <f t="shared" si="189"/>
        <v>20639.8</v>
      </c>
      <c r="P482" s="13">
        <f t="shared" si="190"/>
        <v>245.71190476190475</v>
      </c>
      <c r="Q482" s="13">
        <f t="shared" si="191"/>
        <v>2948.542857142857</v>
      </c>
      <c r="R482" s="13">
        <v>2948.542857142857</v>
      </c>
      <c r="S482" s="13">
        <f t="shared" si="192"/>
        <v>0</v>
      </c>
      <c r="T482" s="13">
        <f t="shared" si="193"/>
        <v>20639.8</v>
      </c>
      <c r="U482" s="13">
        <f t="shared" si="194"/>
        <v>20639.8</v>
      </c>
      <c r="V482" s="13">
        <v>2948.5428571428565</v>
      </c>
      <c r="W482" s="13">
        <f t="shared" si="195"/>
        <v>0</v>
      </c>
      <c r="X482" s="115">
        <f t="shared" si="200"/>
        <v>0</v>
      </c>
      <c r="Y482" s="116">
        <f t="shared" si="201"/>
        <v>0</v>
      </c>
      <c r="Z482" s="116">
        <f t="shared" si="202"/>
        <v>-2948.542857142857</v>
      </c>
      <c r="AA482" s="116">
        <f t="shared" si="203"/>
        <v>-2948.5428571428565</v>
      </c>
      <c r="AB482" s="117">
        <f>'Ratios (C)'!$C$26+'Ratios (C)'!$D$26</f>
        <v>0.75270178133090293</v>
      </c>
      <c r="AC482" s="116">
        <f t="shared" si="204"/>
        <v>0</v>
      </c>
      <c r="AD482" s="116">
        <f t="shared" si="205"/>
        <v>0</v>
      </c>
      <c r="AE482" s="118"/>
      <c r="AF482" s="119"/>
      <c r="AG482" s="120"/>
      <c r="AH482" s="118"/>
      <c r="AI482" s="119"/>
      <c r="AJ482" s="121"/>
    </row>
    <row r="483" spans="2:36" s="9" customFormat="1">
      <c r="B483" s="9">
        <v>360</v>
      </c>
      <c r="C483" s="9" t="s">
        <v>620</v>
      </c>
      <c r="E483" s="9">
        <v>107151</v>
      </c>
      <c r="G483" s="9">
        <v>2013</v>
      </c>
      <c r="H483" s="9">
        <v>9</v>
      </c>
      <c r="I483" s="9">
        <v>0</v>
      </c>
      <c r="J483" s="9" t="s">
        <v>78</v>
      </c>
      <c r="K483" s="158">
        <v>7</v>
      </c>
      <c r="L483" s="9">
        <f t="shared" si="187"/>
        <v>2020</v>
      </c>
      <c r="M483" s="127">
        <f t="shared" si="188"/>
        <v>2020.75</v>
      </c>
      <c r="N483" s="13">
        <v>20639.8</v>
      </c>
      <c r="O483" s="13">
        <f t="shared" si="189"/>
        <v>20639.8</v>
      </c>
      <c r="P483" s="13">
        <f t="shared" si="190"/>
        <v>245.71190476190475</v>
      </c>
      <c r="Q483" s="13">
        <f t="shared" si="191"/>
        <v>2948.542857142857</v>
      </c>
      <c r="R483" s="13">
        <v>2948.542857142857</v>
      </c>
      <c r="S483" s="13">
        <f t="shared" si="192"/>
        <v>0</v>
      </c>
      <c r="T483" s="13">
        <f t="shared" si="193"/>
        <v>20639.8</v>
      </c>
      <c r="U483" s="13">
        <f t="shared" si="194"/>
        <v>20639.8</v>
      </c>
      <c r="V483" s="13">
        <v>2948.5428571428565</v>
      </c>
      <c r="W483" s="13">
        <f t="shared" si="195"/>
        <v>0</v>
      </c>
      <c r="X483" s="115">
        <f t="shared" si="200"/>
        <v>0</v>
      </c>
      <c r="Y483" s="116">
        <f t="shared" si="201"/>
        <v>0</v>
      </c>
      <c r="Z483" s="116">
        <f t="shared" si="202"/>
        <v>-2948.542857142857</v>
      </c>
      <c r="AA483" s="116">
        <f t="shared" si="203"/>
        <v>-2948.5428571428565</v>
      </c>
      <c r="AB483" s="117">
        <f>'Ratios (C)'!$C$26+'Ratios (C)'!$D$26</f>
        <v>0.75270178133090293</v>
      </c>
      <c r="AC483" s="116">
        <f t="shared" si="204"/>
        <v>0</v>
      </c>
      <c r="AD483" s="116">
        <f t="shared" si="205"/>
        <v>0</v>
      </c>
      <c r="AE483" s="118"/>
      <c r="AF483" s="119"/>
      <c r="AG483" s="120"/>
      <c r="AH483" s="118"/>
      <c r="AI483" s="119"/>
      <c r="AJ483" s="121"/>
    </row>
    <row r="484" spans="2:36" s="9" customFormat="1">
      <c r="B484" s="9">
        <v>648</v>
      </c>
      <c r="C484" s="9" t="s">
        <v>619</v>
      </c>
      <c r="E484" s="9">
        <v>107425</v>
      </c>
      <c r="G484" s="9">
        <v>2013</v>
      </c>
      <c r="H484" s="9">
        <v>9</v>
      </c>
      <c r="I484" s="9">
        <v>0</v>
      </c>
      <c r="J484" s="9" t="s">
        <v>78</v>
      </c>
      <c r="K484" s="158">
        <v>7</v>
      </c>
      <c r="L484" s="9">
        <f t="shared" ref="L484:L538" si="207">G484+K484</f>
        <v>2020</v>
      </c>
      <c r="M484" s="127">
        <f t="shared" ref="M484:M538" si="208">+L484+(H484/12)</f>
        <v>2020.75</v>
      </c>
      <c r="N484" s="13">
        <v>30302.54</v>
      </c>
      <c r="O484" s="13">
        <f t="shared" ref="O484:O550" si="209">N484-N484*I484</f>
        <v>30302.54</v>
      </c>
      <c r="P484" s="13">
        <f t="shared" ref="P484:P550" si="210">O484/K484/12</f>
        <v>360.7445238095238</v>
      </c>
      <c r="Q484" s="13">
        <f t="shared" ref="Q484:Q550" si="211">P484*12</f>
        <v>4328.9342857142856</v>
      </c>
      <c r="R484" s="13">
        <v>4328.9342857142856</v>
      </c>
      <c r="S484" s="13">
        <f t="shared" ref="S484:S550" si="212">+IF(M484&lt;=$O$5,0,IF(L484&gt;$O$4,Q484,(P484*H484)))</f>
        <v>0</v>
      </c>
      <c r="T484" s="13">
        <f t="shared" ref="T484:T550" si="213">+IF(S484=0,N484,IF($O$3-G484&lt;1,0,(($O$3-G484)*Q484)))</f>
        <v>30302.54</v>
      </c>
      <c r="U484" s="13">
        <f t="shared" ref="U484:U550" si="214">+IF(S484=0,T484,T484+S484)</f>
        <v>30302.54</v>
      </c>
      <c r="V484" s="13">
        <v>4328.934285714291</v>
      </c>
      <c r="W484" s="13">
        <f t="shared" ref="W484:W550" si="215">+N484-U484</f>
        <v>0</v>
      </c>
      <c r="X484" s="115">
        <f t="shared" si="200"/>
        <v>0</v>
      </c>
      <c r="Y484" s="116">
        <f t="shared" si="201"/>
        <v>0</v>
      </c>
      <c r="Z484" s="116">
        <f t="shared" si="202"/>
        <v>-4328.9342857142856</v>
      </c>
      <c r="AA484" s="116">
        <f t="shared" si="203"/>
        <v>-4328.934285714291</v>
      </c>
      <c r="AB484" s="117">
        <f>'Ratios (C)'!$C$26+'Ratios (C)'!$D$26</f>
        <v>0.75270178133090293</v>
      </c>
      <c r="AC484" s="116">
        <f t="shared" si="204"/>
        <v>0</v>
      </c>
      <c r="AD484" s="116">
        <f t="shared" si="205"/>
        <v>0</v>
      </c>
      <c r="AE484" s="118"/>
      <c r="AF484" s="119"/>
      <c r="AG484" s="120"/>
      <c r="AH484" s="118"/>
      <c r="AI484" s="119"/>
      <c r="AJ484" s="121"/>
    </row>
    <row r="485" spans="2:36" s="9" customFormat="1">
      <c r="B485" s="9">
        <v>540</v>
      </c>
      <c r="C485" s="9" t="s">
        <v>626</v>
      </c>
      <c r="E485" s="9">
        <v>107426</v>
      </c>
      <c r="G485" s="9">
        <v>2013</v>
      </c>
      <c r="H485" s="9">
        <v>9</v>
      </c>
      <c r="I485" s="9">
        <v>0</v>
      </c>
      <c r="J485" s="9" t="s">
        <v>78</v>
      </c>
      <c r="K485" s="158">
        <v>7</v>
      </c>
      <c r="L485" s="9">
        <f t="shared" si="207"/>
        <v>2020</v>
      </c>
      <c r="M485" s="127">
        <f t="shared" si="208"/>
        <v>2020.75</v>
      </c>
      <c r="N485" s="13">
        <v>21107.85</v>
      </c>
      <c r="O485" s="13">
        <f t="shared" si="209"/>
        <v>21107.85</v>
      </c>
      <c r="P485" s="13">
        <f t="shared" si="210"/>
        <v>251.28392857142856</v>
      </c>
      <c r="Q485" s="13">
        <f t="shared" si="211"/>
        <v>3015.4071428571428</v>
      </c>
      <c r="R485" s="13">
        <v>3015.4071428571428</v>
      </c>
      <c r="S485" s="13">
        <f t="shared" si="212"/>
        <v>0</v>
      </c>
      <c r="T485" s="13">
        <f t="shared" si="213"/>
        <v>21107.85</v>
      </c>
      <c r="U485" s="13">
        <f t="shared" si="214"/>
        <v>21107.85</v>
      </c>
      <c r="V485" s="13">
        <v>3015.4071428571406</v>
      </c>
      <c r="W485" s="13">
        <f t="shared" si="215"/>
        <v>0</v>
      </c>
      <c r="X485" s="115">
        <f t="shared" ref="X485:X550" si="216">S485</f>
        <v>0</v>
      </c>
      <c r="Y485" s="116">
        <f t="shared" ref="Y485:Y550" si="217">W485</f>
        <v>0</v>
      </c>
      <c r="Z485" s="116">
        <f t="shared" ref="Z485:Z541" si="218">X485-R485</f>
        <v>-3015.4071428571428</v>
      </c>
      <c r="AA485" s="116">
        <f t="shared" ref="AA485:AA541" si="219">Y485-V485</f>
        <v>-3015.4071428571406</v>
      </c>
      <c r="AB485" s="117">
        <f>'Ratios (C)'!$C$26+'Ratios (C)'!$D$26</f>
        <v>0.75270178133090293</v>
      </c>
      <c r="AC485" s="116">
        <f t="shared" ref="AC485:AC541" si="220">X485*AB485</f>
        <v>0</v>
      </c>
      <c r="AD485" s="116">
        <f t="shared" ref="AD485:AD541" si="221">Y485*AB485</f>
        <v>0</v>
      </c>
      <c r="AE485" s="118"/>
      <c r="AF485" s="119"/>
      <c r="AG485" s="120"/>
      <c r="AH485" s="118"/>
      <c r="AI485" s="119"/>
      <c r="AJ485" s="121"/>
    </row>
    <row r="486" spans="2:36" s="9" customFormat="1">
      <c r="B486" s="9">
        <v>648</v>
      </c>
      <c r="C486" s="9" t="s">
        <v>619</v>
      </c>
      <c r="E486" s="9">
        <v>108738</v>
      </c>
      <c r="G486" s="9">
        <v>2013</v>
      </c>
      <c r="H486" s="9">
        <v>11</v>
      </c>
      <c r="I486" s="9">
        <v>0</v>
      </c>
      <c r="J486" s="9" t="s">
        <v>78</v>
      </c>
      <c r="K486" s="158">
        <v>7</v>
      </c>
      <c r="L486" s="9">
        <f t="shared" si="207"/>
        <v>2020</v>
      </c>
      <c r="M486" s="127">
        <f t="shared" si="208"/>
        <v>2020.9166666666667</v>
      </c>
      <c r="N486" s="13">
        <v>30302.54</v>
      </c>
      <c r="O486" s="13">
        <f t="shared" si="209"/>
        <v>30302.54</v>
      </c>
      <c r="P486" s="13">
        <f t="shared" si="210"/>
        <v>360.7445238095238</v>
      </c>
      <c r="Q486" s="13">
        <f t="shared" si="211"/>
        <v>4328.9342857142856</v>
      </c>
      <c r="R486" s="13">
        <v>4328.9342857142856</v>
      </c>
      <c r="S486" s="13">
        <f t="shared" si="212"/>
        <v>0</v>
      </c>
      <c r="T486" s="13">
        <f t="shared" si="213"/>
        <v>30302.54</v>
      </c>
      <c r="U486" s="13">
        <f t="shared" si="214"/>
        <v>30302.54</v>
      </c>
      <c r="V486" s="13">
        <v>4328.934285714291</v>
      </c>
      <c r="W486" s="13">
        <f t="shared" si="215"/>
        <v>0</v>
      </c>
      <c r="X486" s="115">
        <f t="shared" si="216"/>
        <v>0</v>
      </c>
      <c r="Y486" s="116">
        <f t="shared" si="217"/>
        <v>0</v>
      </c>
      <c r="Z486" s="116">
        <f t="shared" si="218"/>
        <v>-4328.9342857142856</v>
      </c>
      <c r="AA486" s="116">
        <f t="shared" si="219"/>
        <v>-4328.934285714291</v>
      </c>
      <c r="AB486" s="117">
        <f>'Ratios (C)'!$C$26+'Ratios (C)'!$D$26</f>
        <v>0.75270178133090293</v>
      </c>
      <c r="AC486" s="116">
        <f t="shared" si="220"/>
        <v>0</v>
      </c>
      <c r="AD486" s="116">
        <f t="shared" si="221"/>
        <v>0</v>
      </c>
      <c r="AE486" s="118"/>
      <c r="AF486" s="119"/>
      <c r="AG486" s="120"/>
      <c r="AH486" s="118"/>
      <c r="AI486" s="119"/>
      <c r="AJ486" s="121"/>
    </row>
    <row r="487" spans="2:36" s="9" customFormat="1">
      <c r="B487" s="9">
        <v>648</v>
      </c>
      <c r="C487" s="9" t="s">
        <v>627</v>
      </c>
      <c r="E487" s="9">
        <v>111195</v>
      </c>
      <c r="G487" s="9">
        <v>2014</v>
      </c>
      <c r="H487" s="9">
        <v>2</v>
      </c>
      <c r="I487" s="9">
        <v>0</v>
      </c>
      <c r="J487" s="9" t="s">
        <v>78</v>
      </c>
      <c r="K487" s="158">
        <v>7</v>
      </c>
      <c r="L487" s="9">
        <f t="shared" si="207"/>
        <v>2021</v>
      </c>
      <c r="M487" s="127">
        <f t="shared" si="208"/>
        <v>2021.1666666666667</v>
      </c>
      <c r="N487" s="13">
        <v>30302.54</v>
      </c>
      <c r="O487" s="13">
        <f t="shared" si="209"/>
        <v>30302.54</v>
      </c>
      <c r="P487" s="13">
        <f t="shared" si="210"/>
        <v>360.7445238095238</v>
      </c>
      <c r="Q487" s="13">
        <f t="shared" si="211"/>
        <v>4328.9342857142856</v>
      </c>
      <c r="R487" s="13">
        <v>4328.9342857142856</v>
      </c>
      <c r="S487" s="13">
        <f t="shared" si="212"/>
        <v>0</v>
      </c>
      <c r="T487" s="13">
        <f t="shared" si="213"/>
        <v>30302.54</v>
      </c>
      <c r="U487" s="13">
        <f t="shared" si="214"/>
        <v>30302.54</v>
      </c>
      <c r="V487" s="13">
        <v>8657.8685714285748</v>
      </c>
      <c r="W487" s="13">
        <f t="shared" si="215"/>
        <v>0</v>
      </c>
      <c r="X487" s="115">
        <f t="shared" si="216"/>
        <v>0</v>
      </c>
      <c r="Y487" s="116">
        <f t="shared" si="217"/>
        <v>0</v>
      </c>
      <c r="Z487" s="116">
        <f t="shared" si="218"/>
        <v>-4328.9342857142856</v>
      </c>
      <c r="AA487" s="116">
        <f t="shared" si="219"/>
        <v>-8657.8685714285748</v>
      </c>
      <c r="AB487" s="117">
        <f>'Ratios (C)'!$C$26+'Ratios (C)'!$D$26</f>
        <v>0.75270178133090293</v>
      </c>
      <c r="AC487" s="116">
        <f t="shared" si="220"/>
        <v>0</v>
      </c>
      <c r="AD487" s="116">
        <f t="shared" si="221"/>
        <v>0</v>
      </c>
      <c r="AE487" s="118"/>
      <c r="AF487" s="119"/>
      <c r="AG487" s="120"/>
      <c r="AH487" s="118"/>
      <c r="AI487" s="119"/>
      <c r="AJ487" s="121"/>
    </row>
    <row r="488" spans="2:36" s="9" customFormat="1">
      <c r="B488" s="9">
        <v>648</v>
      </c>
      <c r="C488" s="9" t="s">
        <v>627</v>
      </c>
      <c r="E488" s="9">
        <v>112985</v>
      </c>
      <c r="G488" s="9">
        <v>2014</v>
      </c>
      <c r="H488" s="9">
        <v>2</v>
      </c>
      <c r="I488" s="9">
        <v>0</v>
      </c>
      <c r="J488" s="9" t="s">
        <v>78</v>
      </c>
      <c r="K488" s="158">
        <v>7</v>
      </c>
      <c r="L488" s="9">
        <f t="shared" si="207"/>
        <v>2021</v>
      </c>
      <c r="M488" s="127">
        <f t="shared" si="208"/>
        <v>2021.1666666666667</v>
      </c>
      <c r="N488" s="13">
        <v>30302.543000000001</v>
      </c>
      <c r="O488" s="13">
        <f t="shared" si="209"/>
        <v>30302.543000000001</v>
      </c>
      <c r="P488" s="13">
        <f t="shared" si="210"/>
        <v>360.74455952380953</v>
      </c>
      <c r="Q488" s="13">
        <f t="shared" si="211"/>
        <v>4328.9347142857141</v>
      </c>
      <c r="R488" s="13">
        <v>4328.9347142857141</v>
      </c>
      <c r="S488" s="13">
        <f t="shared" si="212"/>
        <v>0</v>
      </c>
      <c r="T488" s="13">
        <f t="shared" si="213"/>
        <v>30302.543000000001</v>
      </c>
      <c r="U488" s="13">
        <f t="shared" si="214"/>
        <v>30302.543000000001</v>
      </c>
      <c r="V488" s="13">
        <v>8657.86942857143</v>
      </c>
      <c r="W488" s="13">
        <f t="shared" si="215"/>
        <v>0</v>
      </c>
      <c r="X488" s="115">
        <f t="shared" si="216"/>
        <v>0</v>
      </c>
      <c r="Y488" s="116">
        <f t="shared" si="217"/>
        <v>0</v>
      </c>
      <c r="Z488" s="116">
        <f t="shared" si="218"/>
        <v>-4328.9347142857141</v>
      </c>
      <c r="AA488" s="116">
        <f t="shared" si="219"/>
        <v>-8657.86942857143</v>
      </c>
      <c r="AB488" s="117">
        <f>'Ratios (C)'!$C$26+'Ratios (C)'!$D$26</f>
        <v>0.75270178133090293</v>
      </c>
      <c r="AC488" s="116">
        <f t="shared" si="220"/>
        <v>0</v>
      </c>
      <c r="AD488" s="116">
        <f t="shared" si="221"/>
        <v>0</v>
      </c>
      <c r="AE488" s="118"/>
      <c r="AF488" s="119"/>
      <c r="AG488" s="120"/>
      <c r="AH488" s="118"/>
      <c r="AI488" s="119"/>
      <c r="AJ488" s="121"/>
    </row>
    <row r="489" spans="2:36" s="9" customFormat="1">
      <c r="B489" s="9">
        <v>648</v>
      </c>
      <c r="C489" s="9" t="s">
        <v>627</v>
      </c>
      <c r="E489" s="9">
        <v>114100</v>
      </c>
      <c r="G489" s="9">
        <v>2014</v>
      </c>
      <c r="H489" s="9">
        <v>6</v>
      </c>
      <c r="I489" s="9">
        <v>0</v>
      </c>
      <c r="J489" s="9" t="s">
        <v>78</v>
      </c>
      <c r="K489" s="158">
        <v>7</v>
      </c>
      <c r="L489" s="9">
        <f t="shared" si="207"/>
        <v>2021</v>
      </c>
      <c r="M489" s="127">
        <f t="shared" si="208"/>
        <v>2021.5</v>
      </c>
      <c r="N489" s="13">
        <v>31156.75</v>
      </c>
      <c r="O489" s="13">
        <f t="shared" si="209"/>
        <v>31156.75</v>
      </c>
      <c r="P489" s="13">
        <f t="shared" si="210"/>
        <v>370.91369047619042</v>
      </c>
      <c r="Q489" s="13">
        <f t="shared" si="211"/>
        <v>4450.9642857142853</v>
      </c>
      <c r="R489" s="13">
        <v>4450.9642857142853</v>
      </c>
      <c r="S489" s="13">
        <f t="shared" si="212"/>
        <v>0</v>
      </c>
      <c r="T489" s="13">
        <f t="shared" si="213"/>
        <v>31156.75</v>
      </c>
      <c r="U489" s="13">
        <f t="shared" si="214"/>
        <v>31156.75</v>
      </c>
      <c r="V489" s="13">
        <v>8901.9285714285725</v>
      </c>
      <c r="W489" s="13">
        <f t="shared" si="215"/>
        <v>0</v>
      </c>
      <c r="X489" s="115">
        <f t="shared" si="216"/>
        <v>0</v>
      </c>
      <c r="Y489" s="116">
        <f t="shared" si="217"/>
        <v>0</v>
      </c>
      <c r="Z489" s="116">
        <f t="shared" si="218"/>
        <v>-4450.9642857142853</v>
      </c>
      <c r="AA489" s="116">
        <f t="shared" si="219"/>
        <v>-8901.9285714285725</v>
      </c>
      <c r="AB489" s="117">
        <f>'Ratios (C)'!$C$26+'Ratios (C)'!$D$26</f>
        <v>0.75270178133090293</v>
      </c>
      <c r="AC489" s="116">
        <f t="shared" si="220"/>
        <v>0</v>
      </c>
      <c r="AD489" s="116">
        <f t="shared" si="221"/>
        <v>0</v>
      </c>
      <c r="AE489" s="118"/>
      <c r="AF489" s="119"/>
      <c r="AG489" s="120"/>
      <c r="AH489" s="118"/>
      <c r="AI489" s="119"/>
      <c r="AJ489" s="121"/>
    </row>
    <row r="490" spans="2:36" s="9" customFormat="1">
      <c r="B490" s="9">
        <v>486</v>
      </c>
      <c r="C490" s="9" t="s">
        <v>628</v>
      </c>
      <c r="E490" s="9">
        <v>114401</v>
      </c>
      <c r="G490" s="9">
        <v>2014</v>
      </c>
      <c r="H490" s="9">
        <v>3</v>
      </c>
      <c r="I490" s="9">
        <v>0</v>
      </c>
      <c r="J490" s="9" t="s">
        <v>78</v>
      </c>
      <c r="K490" s="158">
        <v>7</v>
      </c>
      <c r="L490" s="9">
        <f t="shared" si="207"/>
        <v>2021</v>
      </c>
      <c r="M490" s="127">
        <f t="shared" si="208"/>
        <v>2021.25</v>
      </c>
      <c r="N490" s="13">
        <v>26672.26</v>
      </c>
      <c r="O490" s="13">
        <f t="shared" si="209"/>
        <v>26672.26</v>
      </c>
      <c r="P490" s="13">
        <f t="shared" si="210"/>
        <v>317.52690476190475</v>
      </c>
      <c r="Q490" s="13">
        <f t="shared" si="211"/>
        <v>3810.3228571428572</v>
      </c>
      <c r="R490" s="13">
        <v>3810.3228571428572</v>
      </c>
      <c r="S490" s="13">
        <f t="shared" si="212"/>
        <v>0</v>
      </c>
      <c r="T490" s="13">
        <f t="shared" si="213"/>
        <v>26672.26</v>
      </c>
      <c r="U490" s="13">
        <f t="shared" si="214"/>
        <v>26672.26</v>
      </c>
      <c r="V490" s="13">
        <v>7620.6457142857143</v>
      </c>
      <c r="W490" s="13">
        <f t="shared" si="215"/>
        <v>0</v>
      </c>
      <c r="X490" s="115">
        <f t="shared" si="216"/>
        <v>0</v>
      </c>
      <c r="Y490" s="116">
        <f t="shared" si="217"/>
        <v>0</v>
      </c>
      <c r="Z490" s="116">
        <f t="shared" si="218"/>
        <v>-3810.3228571428572</v>
      </c>
      <c r="AA490" s="116">
        <f t="shared" si="219"/>
        <v>-7620.6457142857143</v>
      </c>
      <c r="AB490" s="117">
        <f>'Ratios (C)'!$C$26+'Ratios (C)'!$D$26</f>
        <v>0.75270178133090293</v>
      </c>
      <c r="AC490" s="116">
        <f t="shared" si="220"/>
        <v>0</v>
      </c>
      <c r="AD490" s="116">
        <f t="shared" si="221"/>
        <v>0</v>
      </c>
      <c r="AE490" s="118"/>
      <c r="AF490" s="119"/>
      <c r="AG490" s="120"/>
      <c r="AH490" s="118"/>
      <c r="AI490" s="119"/>
      <c r="AJ490" s="121"/>
    </row>
    <row r="491" spans="2:36" s="9" customFormat="1">
      <c r="B491" s="9">
        <f>546+102</f>
        <v>648</v>
      </c>
      <c r="C491" s="9" t="s">
        <v>627</v>
      </c>
      <c r="E491" s="9" t="s">
        <v>629</v>
      </c>
      <c r="G491" s="9">
        <v>2014</v>
      </c>
      <c r="H491" s="9">
        <v>7</v>
      </c>
      <c r="I491" s="9">
        <v>0</v>
      </c>
      <c r="J491" s="9" t="s">
        <v>78</v>
      </c>
      <c r="K491" s="158">
        <v>7</v>
      </c>
      <c r="L491" s="9">
        <f t="shared" si="207"/>
        <v>2021</v>
      </c>
      <c r="M491" s="127">
        <f t="shared" si="208"/>
        <v>2021.5833333333333</v>
      </c>
      <c r="N491" s="13">
        <f>4903.92+26252.83</f>
        <v>31156.75</v>
      </c>
      <c r="O491" s="13">
        <f t="shared" si="209"/>
        <v>31156.75</v>
      </c>
      <c r="P491" s="13">
        <f t="shared" si="210"/>
        <v>370.91369047619042</v>
      </c>
      <c r="Q491" s="13">
        <f t="shared" si="211"/>
        <v>4450.9642857142853</v>
      </c>
      <c r="R491" s="13">
        <v>4450.9642857142853</v>
      </c>
      <c r="S491" s="13">
        <f t="shared" si="212"/>
        <v>0</v>
      </c>
      <c r="T491" s="13">
        <f t="shared" si="213"/>
        <v>31156.75</v>
      </c>
      <c r="U491" s="13">
        <f t="shared" si="214"/>
        <v>31156.75</v>
      </c>
      <c r="V491" s="13">
        <v>8901.9285714285725</v>
      </c>
      <c r="W491" s="13">
        <f t="shared" si="215"/>
        <v>0</v>
      </c>
      <c r="X491" s="115">
        <f t="shared" si="216"/>
        <v>0</v>
      </c>
      <c r="Y491" s="116">
        <f t="shared" si="217"/>
        <v>0</v>
      </c>
      <c r="Z491" s="116">
        <f t="shared" si="218"/>
        <v>-4450.9642857142853</v>
      </c>
      <c r="AA491" s="116">
        <f t="shared" si="219"/>
        <v>-8901.9285714285725</v>
      </c>
      <c r="AB491" s="117">
        <f>'Ratios (C)'!$C$26+'Ratios (C)'!$D$26</f>
        <v>0.75270178133090293</v>
      </c>
      <c r="AC491" s="116">
        <f t="shared" si="220"/>
        <v>0</v>
      </c>
      <c r="AD491" s="116">
        <f t="shared" si="221"/>
        <v>0</v>
      </c>
      <c r="AE491" s="118"/>
      <c r="AF491" s="119"/>
      <c r="AG491" s="120"/>
      <c r="AH491" s="118"/>
      <c r="AI491" s="119"/>
      <c r="AJ491" s="121"/>
    </row>
    <row r="492" spans="2:36" s="9" customFormat="1">
      <c r="B492" s="9">
        <v>486</v>
      </c>
      <c r="C492" s="9" t="s">
        <v>628</v>
      </c>
      <c r="E492" s="9">
        <v>115101</v>
      </c>
      <c r="G492" s="9">
        <v>2014</v>
      </c>
      <c r="H492" s="9">
        <v>7</v>
      </c>
      <c r="I492" s="9">
        <v>0</v>
      </c>
      <c r="J492" s="9" t="s">
        <v>78</v>
      </c>
      <c r="K492" s="158">
        <v>7</v>
      </c>
      <c r="L492" s="9">
        <f t="shared" si="207"/>
        <v>2021</v>
      </c>
      <c r="M492" s="127">
        <f t="shared" si="208"/>
        <v>2021.5833333333333</v>
      </c>
      <c r="N492" s="13">
        <v>27813.17</v>
      </c>
      <c r="O492" s="13">
        <f t="shared" si="209"/>
        <v>27813.17</v>
      </c>
      <c r="P492" s="13">
        <f t="shared" si="210"/>
        <v>331.10916666666668</v>
      </c>
      <c r="Q492" s="13">
        <f t="shared" si="211"/>
        <v>3973.3100000000004</v>
      </c>
      <c r="R492" s="13">
        <v>3973.3100000000004</v>
      </c>
      <c r="S492" s="13">
        <f t="shared" si="212"/>
        <v>0</v>
      </c>
      <c r="T492" s="13">
        <f t="shared" si="213"/>
        <v>27813.17</v>
      </c>
      <c r="U492" s="13">
        <f t="shared" si="214"/>
        <v>27813.17</v>
      </c>
      <c r="V492" s="13">
        <v>7946.6199999999953</v>
      </c>
      <c r="W492" s="13">
        <f t="shared" si="215"/>
        <v>0</v>
      </c>
      <c r="X492" s="115">
        <f t="shared" si="216"/>
        <v>0</v>
      </c>
      <c r="Y492" s="116">
        <f t="shared" si="217"/>
        <v>0</v>
      </c>
      <c r="Z492" s="116">
        <f t="shared" si="218"/>
        <v>-3973.3100000000004</v>
      </c>
      <c r="AA492" s="116">
        <f t="shared" si="219"/>
        <v>-7946.6199999999953</v>
      </c>
      <c r="AB492" s="117">
        <f>'Ratios (C)'!$C$26+'Ratios (C)'!$D$26</f>
        <v>0.75270178133090293</v>
      </c>
      <c r="AC492" s="116">
        <f t="shared" si="220"/>
        <v>0</v>
      </c>
      <c r="AD492" s="116">
        <f t="shared" si="221"/>
        <v>0</v>
      </c>
      <c r="AE492" s="118"/>
      <c r="AF492" s="119"/>
      <c r="AG492" s="120"/>
      <c r="AH492" s="118"/>
      <c r="AI492" s="119"/>
      <c r="AJ492" s="121"/>
    </row>
    <row r="493" spans="2:36" s="9" customFormat="1">
      <c r="B493" s="9">
        <v>624</v>
      </c>
      <c r="C493" s="9" t="s">
        <v>630</v>
      </c>
      <c r="E493" s="9">
        <v>117836</v>
      </c>
      <c r="G493" s="9">
        <v>2014</v>
      </c>
      <c r="H493" s="9">
        <v>10</v>
      </c>
      <c r="I493" s="9">
        <v>0</v>
      </c>
      <c r="J493" s="9" t="s">
        <v>78</v>
      </c>
      <c r="K493" s="158">
        <v>7</v>
      </c>
      <c r="L493" s="9">
        <f t="shared" si="207"/>
        <v>2021</v>
      </c>
      <c r="M493" s="127">
        <f t="shared" si="208"/>
        <v>2021.8333333333333</v>
      </c>
      <c r="N493" s="13">
        <v>26546.799999999999</v>
      </c>
      <c r="O493" s="13">
        <f t="shared" si="209"/>
        <v>26546.799999999999</v>
      </c>
      <c r="P493" s="13">
        <f t="shared" si="210"/>
        <v>316.03333333333336</v>
      </c>
      <c r="Q493" s="13">
        <f t="shared" si="211"/>
        <v>3792.4000000000005</v>
      </c>
      <c r="R493" s="13">
        <v>3792.4000000000005</v>
      </c>
      <c r="S493" s="13">
        <f t="shared" si="212"/>
        <v>0</v>
      </c>
      <c r="T493" s="13">
        <f t="shared" si="213"/>
        <v>26546.799999999999</v>
      </c>
      <c r="U493" s="13">
        <f t="shared" si="214"/>
        <v>26546.799999999999</v>
      </c>
      <c r="V493" s="13">
        <v>7584.7999999999956</v>
      </c>
      <c r="W493" s="13">
        <f t="shared" si="215"/>
        <v>0</v>
      </c>
      <c r="X493" s="115">
        <f t="shared" si="216"/>
        <v>0</v>
      </c>
      <c r="Y493" s="116">
        <f t="shared" si="217"/>
        <v>0</v>
      </c>
      <c r="Z493" s="116">
        <f t="shared" si="218"/>
        <v>-3792.4000000000005</v>
      </c>
      <c r="AA493" s="116">
        <f t="shared" si="219"/>
        <v>-7584.7999999999956</v>
      </c>
      <c r="AB493" s="117">
        <f>'Ratios (C)'!$C$26+'Ratios (C)'!$D$26</f>
        <v>0.75270178133090293</v>
      </c>
      <c r="AC493" s="116">
        <f t="shared" si="220"/>
        <v>0</v>
      </c>
      <c r="AD493" s="116">
        <f t="shared" si="221"/>
        <v>0</v>
      </c>
      <c r="AE493" s="118"/>
      <c r="AF493" s="119"/>
      <c r="AG493" s="120"/>
      <c r="AH493" s="118"/>
      <c r="AI493" s="119"/>
      <c r="AJ493" s="121"/>
    </row>
    <row r="494" spans="2:36" s="9" customFormat="1">
      <c r="B494" s="9">
        <v>1728</v>
      </c>
      <c r="C494" s="9" t="s">
        <v>627</v>
      </c>
      <c r="E494" s="9">
        <v>117835</v>
      </c>
      <c r="G494" s="9">
        <v>2014</v>
      </c>
      <c r="H494" s="9">
        <v>10</v>
      </c>
      <c r="I494" s="9">
        <v>0</v>
      </c>
      <c r="J494" s="9" t="s">
        <v>78</v>
      </c>
      <c r="K494" s="158">
        <v>7</v>
      </c>
      <c r="L494" s="9">
        <f t="shared" si="207"/>
        <v>2021</v>
      </c>
      <c r="M494" s="127">
        <f t="shared" si="208"/>
        <v>2021.8333333333333</v>
      </c>
      <c r="N494" s="13">
        <v>62667.29</v>
      </c>
      <c r="O494" s="13">
        <f t="shared" si="209"/>
        <v>62667.29</v>
      </c>
      <c r="P494" s="13">
        <f t="shared" si="210"/>
        <v>746.03916666666657</v>
      </c>
      <c r="Q494" s="13">
        <f t="shared" si="211"/>
        <v>8952.4699999999993</v>
      </c>
      <c r="R494" s="13">
        <v>8952.4699999999993</v>
      </c>
      <c r="S494" s="13">
        <f t="shared" si="212"/>
        <v>0</v>
      </c>
      <c r="T494" s="13">
        <f t="shared" si="213"/>
        <v>62667.29</v>
      </c>
      <c r="U494" s="13">
        <f t="shared" si="214"/>
        <v>62667.29</v>
      </c>
      <c r="V494" s="13">
        <v>17904.940000000002</v>
      </c>
      <c r="W494" s="13">
        <f t="shared" si="215"/>
        <v>0</v>
      </c>
      <c r="X494" s="115">
        <f t="shared" si="216"/>
        <v>0</v>
      </c>
      <c r="Y494" s="116">
        <f t="shared" si="217"/>
        <v>0</v>
      </c>
      <c r="Z494" s="116">
        <f t="shared" si="218"/>
        <v>-8952.4699999999993</v>
      </c>
      <c r="AA494" s="116">
        <f t="shared" si="219"/>
        <v>-17904.940000000002</v>
      </c>
      <c r="AB494" s="117">
        <f>'Ratios (C)'!$C$26+'Ratios (C)'!$D$26</f>
        <v>0.75270178133090293</v>
      </c>
      <c r="AC494" s="116">
        <f t="shared" si="220"/>
        <v>0</v>
      </c>
      <c r="AD494" s="116">
        <f t="shared" si="221"/>
        <v>0</v>
      </c>
      <c r="AE494" s="118"/>
      <c r="AF494" s="119"/>
      <c r="AG494" s="120"/>
      <c r="AH494" s="118"/>
      <c r="AI494" s="119"/>
      <c r="AJ494" s="121"/>
    </row>
    <row r="495" spans="2:36" s="9" customFormat="1">
      <c r="B495" s="9">
        <v>486</v>
      </c>
      <c r="C495" s="9" t="s">
        <v>628</v>
      </c>
      <c r="E495" s="9">
        <v>118903</v>
      </c>
      <c r="G495" s="9">
        <v>2015</v>
      </c>
      <c r="H495" s="9">
        <v>1</v>
      </c>
      <c r="I495" s="9">
        <v>0</v>
      </c>
      <c r="J495" s="9" t="s">
        <v>78</v>
      </c>
      <c r="K495" s="158">
        <v>7</v>
      </c>
      <c r="L495" s="9">
        <f t="shared" si="207"/>
        <v>2022</v>
      </c>
      <c r="M495" s="127">
        <f t="shared" si="208"/>
        <v>2022.0833333333333</v>
      </c>
      <c r="N495" s="13">
        <v>27813.17</v>
      </c>
      <c r="O495" s="13">
        <f t="shared" si="209"/>
        <v>27813.17</v>
      </c>
      <c r="P495" s="13">
        <f t="shared" si="210"/>
        <v>331.10916666666668</v>
      </c>
      <c r="Q495" s="13">
        <f t="shared" si="211"/>
        <v>3973.3100000000004</v>
      </c>
      <c r="R495" s="13">
        <v>3973.3100000000004</v>
      </c>
      <c r="S495" s="13">
        <f t="shared" si="212"/>
        <v>0</v>
      </c>
      <c r="T495" s="13">
        <f t="shared" si="213"/>
        <v>27813.17</v>
      </c>
      <c r="U495" s="13">
        <f t="shared" si="214"/>
        <v>27813.17</v>
      </c>
      <c r="V495" s="13">
        <v>11919.929999999997</v>
      </c>
      <c r="W495" s="13">
        <f t="shared" si="215"/>
        <v>0</v>
      </c>
      <c r="X495" s="115">
        <f t="shared" si="216"/>
        <v>0</v>
      </c>
      <c r="Y495" s="116">
        <f t="shared" si="217"/>
        <v>0</v>
      </c>
      <c r="Z495" s="116">
        <f t="shared" si="218"/>
        <v>-3973.3100000000004</v>
      </c>
      <c r="AA495" s="116">
        <f t="shared" si="219"/>
        <v>-11919.929999999997</v>
      </c>
      <c r="AB495" s="117">
        <f>'Ratios (C)'!$C$26+'Ratios (C)'!$D$26</f>
        <v>0.75270178133090293</v>
      </c>
      <c r="AC495" s="116">
        <f t="shared" si="220"/>
        <v>0</v>
      </c>
      <c r="AD495" s="116">
        <f t="shared" si="221"/>
        <v>0</v>
      </c>
      <c r="AE495" s="118"/>
      <c r="AF495" s="119"/>
      <c r="AG495" s="120"/>
      <c r="AH495" s="118"/>
      <c r="AI495" s="119"/>
      <c r="AJ495" s="121"/>
    </row>
    <row r="496" spans="2:36" s="9" customFormat="1">
      <c r="B496" s="9">
        <v>1440</v>
      </c>
      <c r="C496" s="9" t="s">
        <v>627</v>
      </c>
      <c r="E496" s="9">
        <v>123156</v>
      </c>
      <c r="G496" s="9">
        <v>2015</v>
      </c>
      <c r="H496" s="9">
        <v>4</v>
      </c>
      <c r="I496" s="9">
        <v>0</v>
      </c>
      <c r="J496" s="9" t="s">
        <v>78</v>
      </c>
      <c r="K496" s="158">
        <v>7</v>
      </c>
      <c r="L496" s="9">
        <f t="shared" si="207"/>
        <v>2022</v>
      </c>
      <c r="M496" s="127">
        <f t="shared" si="208"/>
        <v>2022.3333333333333</v>
      </c>
      <c r="N496" s="13">
        <v>65323.519999999997</v>
      </c>
      <c r="O496" s="13">
        <f t="shared" si="209"/>
        <v>65323.519999999997</v>
      </c>
      <c r="P496" s="13">
        <f t="shared" si="210"/>
        <v>777.66095238095238</v>
      </c>
      <c r="Q496" s="13">
        <f t="shared" si="211"/>
        <v>9331.9314285714281</v>
      </c>
      <c r="R496" s="13">
        <v>9331.9314285714281</v>
      </c>
      <c r="S496" s="13">
        <f t="shared" si="212"/>
        <v>0</v>
      </c>
      <c r="T496" s="13">
        <f t="shared" si="213"/>
        <v>65323.519999999997</v>
      </c>
      <c r="U496" s="13">
        <f t="shared" si="214"/>
        <v>65323.519999999997</v>
      </c>
      <c r="V496" s="13">
        <v>27995.794285714284</v>
      </c>
      <c r="W496" s="13">
        <f t="shared" si="215"/>
        <v>0</v>
      </c>
      <c r="X496" s="115">
        <f t="shared" si="216"/>
        <v>0</v>
      </c>
      <c r="Y496" s="116">
        <f t="shared" si="217"/>
        <v>0</v>
      </c>
      <c r="Z496" s="116">
        <f t="shared" si="218"/>
        <v>-9331.9314285714281</v>
      </c>
      <c r="AA496" s="116">
        <f t="shared" si="219"/>
        <v>-27995.794285714284</v>
      </c>
      <c r="AB496" s="117">
        <f>'Ratios (C)'!$C$26+'Ratios (C)'!$D$26</f>
        <v>0.75270178133090293</v>
      </c>
      <c r="AC496" s="116">
        <f t="shared" si="220"/>
        <v>0</v>
      </c>
      <c r="AD496" s="116">
        <f t="shared" si="221"/>
        <v>0</v>
      </c>
      <c r="AE496" s="118"/>
      <c r="AF496" s="119"/>
      <c r="AG496" s="120"/>
      <c r="AH496" s="118"/>
      <c r="AI496" s="119"/>
      <c r="AJ496" s="121"/>
    </row>
    <row r="497" spans="2:36" s="9" customFormat="1">
      <c r="B497" s="9">
        <v>624</v>
      </c>
      <c r="C497" s="9" t="s">
        <v>630</v>
      </c>
      <c r="E497" s="9">
        <v>122925</v>
      </c>
      <c r="G497" s="9">
        <v>2015</v>
      </c>
      <c r="H497" s="9">
        <v>5</v>
      </c>
      <c r="I497" s="9">
        <v>0</v>
      </c>
      <c r="J497" s="9" t="s">
        <v>78</v>
      </c>
      <c r="K497" s="158">
        <v>7</v>
      </c>
      <c r="L497" s="9">
        <f t="shared" si="207"/>
        <v>2022</v>
      </c>
      <c r="M497" s="127">
        <f t="shared" si="208"/>
        <v>2022.4166666666667</v>
      </c>
      <c r="N497" s="13">
        <v>32729.22</v>
      </c>
      <c r="O497" s="13">
        <f t="shared" si="209"/>
        <v>32729.22</v>
      </c>
      <c r="P497" s="13">
        <f t="shared" si="210"/>
        <v>389.63357142857143</v>
      </c>
      <c r="Q497" s="13">
        <f t="shared" si="211"/>
        <v>4675.6028571428569</v>
      </c>
      <c r="R497" s="13">
        <v>4675.6028571428569</v>
      </c>
      <c r="S497" s="13">
        <f t="shared" si="212"/>
        <v>0</v>
      </c>
      <c r="T497" s="13">
        <f t="shared" si="213"/>
        <v>32729.22</v>
      </c>
      <c r="U497" s="13">
        <f t="shared" si="214"/>
        <v>32729.22</v>
      </c>
      <c r="V497" s="13">
        <v>14026.808571428573</v>
      </c>
      <c r="W497" s="13">
        <f t="shared" si="215"/>
        <v>0</v>
      </c>
      <c r="X497" s="115">
        <f t="shared" si="216"/>
        <v>0</v>
      </c>
      <c r="Y497" s="116">
        <f t="shared" si="217"/>
        <v>0</v>
      </c>
      <c r="Z497" s="116">
        <f t="shared" si="218"/>
        <v>-4675.6028571428569</v>
      </c>
      <c r="AA497" s="116">
        <f t="shared" si="219"/>
        <v>-14026.808571428573</v>
      </c>
      <c r="AB497" s="117">
        <f>'Ratios (C)'!$C$26+'Ratios (C)'!$D$26</f>
        <v>0.75270178133090293</v>
      </c>
      <c r="AC497" s="116">
        <f t="shared" si="220"/>
        <v>0</v>
      </c>
      <c r="AD497" s="116">
        <f t="shared" si="221"/>
        <v>0</v>
      </c>
      <c r="AE497" s="118"/>
      <c r="AF497" s="119"/>
      <c r="AG497" s="120"/>
      <c r="AH497" s="118"/>
      <c r="AI497" s="119"/>
      <c r="AJ497" s="121"/>
    </row>
    <row r="498" spans="2:36" s="9" customFormat="1">
      <c r="B498" s="9">
        <v>624</v>
      </c>
      <c r="C498" s="9" t="s">
        <v>630</v>
      </c>
      <c r="E498" s="9">
        <v>123337</v>
      </c>
      <c r="G498" s="9">
        <v>2015</v>
      </c>
      <c r="H498" s="9">
        <v>5</v>
      </c>
      <c r="I498" s="9">
        <v>0</v>
      </c>
      <c r="J498" s="9" t="s">
        <v>78</v>
      </c>
      <c r="K498" s="158">
        <v>7</v>
      </c>
      <c r="L498" s="9">
        <f t="shared" si="207"/>
        <v>2022</v>
      </c>
      <c r="M498" s="127">
        <f t="shared" si="208"/>
        <v>2022.4166666666667</v>
      </c>
      <c r="N498" s="13">
        <v>32729.22</v>
      </c>
      <c r="O498" s="13">
        <f t="shared" si="209"/>
        <v>32729.22</v>
      </c>
      <c r="P498" s="13">
        <f t="shared" si="210"/>
        <v>389.63357142857143</v>
      </c>
      <c r="Q498" s="13">
        <f t="shared" si="211"/>
        <v>4675.6028571428569</v>
      </c>
      <c r="R498" s="13">
        <v>4675.6028571428569</v>
      </c>
      <c r="S498" s="13">
        <f t="shared" si="212"/>
        <v>0</v>
      </c>
      <c r="T498" s="13">
        <f t="shared" si="213"/>
        <v>32729.22</v>
      </c>
      <c r="U498" s="13">
        <f t="shared" si="214"/>
        <v>32729.22</v>
      </c>
      <c r="V498" s="13">
        <v>14026.808571428573</v>
      </c>
      <c r="W498" s="13">
        <f t="shared" si="215"/>
        <v>0</v>
      </c>
      <c r="X498" s="115">
        <f t="shared" si="216"/>
        <v>0</v>
      </c>
      <c r="Y498" s="116">
        <f t="shared" si="217"/>
        <v>0</v>
      </c>
      <c r="Z498" s="116">
        <f t="shared" si="218"/>
        <v>-4675.6028571428569</v>
      </c>
      <c r="AA498" s="116">
        <f t="shared" si="219"/>
        <v>-14026.808571428573</v>
      </c>
      <c r="AB498" s="117">
        <f>'Ratios (C)'!$C$26+'Ratios (C)'!$D$26</f>
        <v>0.75270178133090293</v>
      </c>
      <c r="AC498" s="116">
        <f t="shared" si="220"/>
        <v>0</v>
      </c>
      <c r="AD498" s="116">
        <f t="shared" si="221"/>
        <v>0</v>
      </c>
      <c r="AE498" s="118"/>
      <c r="AF498" s="119"/>
      <c r="AG498" s="120"/>
      <c r="AH498" s="118"/>
      <c r="AI498" s="119"/>
      <c r="AJ498" s="121"/>
    </row>
    <row r="499" spans="2:36" s="9" customFormat="1">
      <c r="B499" s="9">
        <f>864*2</f>
        <v>1728</v>
      </c>
      <c r="C499" s="9" t="s">
        <v>627</v>
      </c>
      <c r="E499" s="9" t="s">
        <v>631</v>
      </c>
      <c r="G499" s="9">
        <v>2015</v>
      </c>
      <c r="H499" s="9">
        <v>7</v>
      </c>
      <c r="I499" s="9">
        <v>0</v>
      </c>
      <c r="J499" s="9" t="s">
        <v>78</v>
      </c>
      <c r="K499" s="158">
        <v>7</v>
      </c>
      <c r="L499" s="9">
        <f t="shared" si="207"/>
        <v>2022</v>
      </c>
      <c r="M499" s="127">
        <f t="shared" si="208"/>
        <v>2022.5833333333333</v>
      </c>
      <c r="N499" s="13">
        <f>41476.04+37601.28</f>
        <v>79077.320000000007</v>
      </c>
      <c r="O499" s="13">
        <f t="shared" si="209"/>
        <v>79077.320000000007</v>
      </c>
      <c r="P499" s="13">
        <f t="shared" si="210"/>
        <v>941.39666666666665</v>
      </c>
      <c r="Q499" s="13">
        <f t="shared" si="211"/>
        <v>11296.76</v>
      </c>
      <c r="R499" s="13">
        <v>11296.76</v>
      </c>
      <c r="S499" s="13">
        <f t="shared" si="212"/>
        <v>0</v>
      </c>
      <c r="T499" s="13">
        <f t="shared" si="213"/>
        <v>79077.320000000007</v>
      </c>
      <c r="U499" s="13">
        <f t="shared" si="214"/>
        <v>79077.320000000007</v>
      </c>
      <c r="V499" s="13">
        <v>33890.280000000006</v>
      </c>
      <c r="W499" s="13">
        <f t="shared" si="215"/>
        <v>0</v>
      </c>
      <c r="X499" s="115">
        <f t="shared" si="216"/>
        <v>0</v>
      </c>
      <c r="Y499" s="116">
        <f t="shared" si="217"/>
        <v>0</v>
      </c>
      <c r="Z499" s="116">
        <f t="shared" si="218"/>
        <v>-11296.76</v>
      </c>
      <c r="AA499" s="116">
        <f t="shared" si="219"/>
        <v>-33890.280000000006</v>
      </c>
      <c r="AB499" s="117">
        <f>'Ratios (C)'!$C$26+'Ratios (C)'!$D$26</f>
        <v>0.75270178133090293</v>
      </c>
      <c r="AC499" s="116">
        <f t="shared" si="220"/>
        <v>0</v>
      </c>
      <c r="AD499" s="116">
        <f t="shared" si="221"/>
        <v>0</v>
      </c>
      <c r="AE499" s="118"/>
      <c r="AF499" s="119"/>
      <c r="AG499" s="120"/>
      <c r="AH499" s="118"/>
      <c r="AI499" s="119"/>
      <c r="AJ499" s="121"/>
    </row>
    <row r="500" spans="2:36" s="9" customFormat="1">
      <c r="B500" s="9">
        <v>624</v>
      </c>
      <c r="C500" s="9" t="s">
        <v>632</v>
      </c>
      <c r="E500" s="9">
        <v>128767</v>
      </c>
      <c r="G500" s="9">
        <v>2015</v>
      </c>
      <c r="H500" s="9">
        <v>5</v>
      </c>
      <c r="I500" s="9">
        <v>0</v>
      </c>
      <c r="J500" s="9" t="s">
        <v>78</v>
      </c>
      <c r="K500" s="158">
        <v>7</v>
      </c>
      <c r="L500" s="9">
        <f t="shared" si="207"/>
        <v>2022</v>
      </c>
      <c r="M500" s="127">
        <f t="shared" si="208"/>
        <v>2022.4166666666667</v>
      </c>
      <c r="N500" s="13">
        <v>31744.58</v>
      </c>
      <c r="O500" s="13">
        <f t="shared" si="209"/>
        <v>31744.58</v>
      </c>
      <c r="P500" s="13">
        <f t="shared" si="210"/>
        <v>377.91166666666669</v>
      </c>
      <c r="Q500" s="13">
        <f t="shared" si="211"/>
        <v>4534.9400000000005</v>
      </c>
      <c r="R500" s="13">
        <v>4534.9400000000005</v>
      </c>
      <c r="S500" s="13">
        <f t="shared" si="212"/>
        <v>0</v>
      </c>
      <c r="T500" s="13">
        <f t="shared" si="213"/>
        <v>31744.58</v>
      </c>
      <c r="U500" s="13">
        <f t="shared" si="214"/>
        <v>31744.58</v>
      </c>
      <c r="V500" s="13">
        <v>13604.82</v>
      </c>
      <c r="W500" s="13">
        <f t="shared" si="215"/>
        <v>0</v>
      </c>
      <c r="X500" s="115">
        <f t="shared" si="216"/>
        <v>0</v>
      </c>
      <c r="Y500" s="116">
        <f t="shared" si="217"/>
        <v>0</v>
      </c>
      <c r="Z500" s="116">
        <f t="shared" si="218"/>
        <v>-4534.9400000000005</v>
      </c>
      <c r="AA500" s="116">
        <f t="shared" si="219"/>
        <v>-13604.82</v>
      </c>
      <c r="AB500" s="117">
        <f>'Ratios (C)'!$C$26+'Ratios (C)'!$D$26</f>
        <v>0.75270178133090293</v>
      </c>
      <c r="AC500" s="116">
        <f t="shared" si="220"/>
        <v>0</v>
      </c>
      <c r="AD500" s="116">
        <f t="shared" si="221"/>
        <v>0</v>
      </c>
      <c r="AE500" s="118"/>
      <c r="AF500" s="119"/>
      <c r="AG500" s="120"/>
      <c r="AH500" s="118"/>
      <c r="AI500" s="119"/>
      <c r="AJ500" s="121"/>
    </row>
    <row r="501" spans="2:36" s="9" customFormat="1">
      <c r="B501" s="9">
        <f>864*2</f>
        <v>1728</v>
      </c>
      <c r="C501" s="9" t="s">
        <v>633</v>
      </c>
      <c r="E501" s="9" t="s">
        <v>634</v>
      </c>
      <c r="G501" s="9">
        <v>2016</v>
      </c>
      <c r="H501" s="9">
        <v>1</v>
      </c>
      <c r="I501" s="9">
        <v>0</v>
      </c>
      <c r="J501" s="9" t="s">
        <v>78</v>
      </c>
      <c r="K501" s="158">
        <v>7</v>
      </c>
      <c r="L501" s="9">
        <f t="shared" si="207"/>
        <v>2023</v>
      </c>
      <c r="M501" s="127">
        <f t="shared" si="208"/>
        <v>2023.0833333333333</v>
      </c>
      <c r="N501" s="13">
        <f>37847.26*2</f>
        <v>75694.52</v>
      </c>
      <c r="O501" s="13">
        <f t="shared" si="209"/>
        <v>75694.52</v>
      </c>
      <c r="P501" s="13">
        <f t="shared" si="210"/>
        <v>901.12523809523816</v>
      </c>
      <c r="Q501" s="13">
        <f t="shared" si="211"/>
        <v>10813.502857142857</v>
      </c>
      <c r="R501" s="13">
        <v>10813.502857142857</v>
      </c>
      <c r="S501" s="13">
        <f t="shared" si="212"/>
        <v>10813.502857142857</v>
      </c>
      <c r="T501" s="13">
        <f t="shared" si="213"/>
        <v>54067.514285714286</v>
      </c>
      <c r="U501" s="13">
        <f t="shared" si="214"/>
        <v>64881.017142857141</v>
      </c>
      <c r="V501" s="13">
        <v>43254.01142857143</v>
      </c>
      <c r="W501" s="13">
        <f t="shared" si="215"/>
        <v>10813.502857142863</v>
      </c>
      <c r="X501" s="115">
        <f t="shared" si="216"/>
        <v>10813.502857142857</v>
      </c>
      <c r="Y501" s="116">
        <f t="shared" si="217"/>
        <v>10813.502857142863</v>
      </c>
      <c r="Z501" s="116">
        <f t="shared" si="218"/>
        <v>0</v>
      </c>
      <c r="AA501" s="116">
        <f t="shared" si="219"/>
        <v>-32440.508571428567</v>
      </c>
      <c r="AB501" s="117">
        <f>'Ratios (C)'!$C$26+'Ratios (C)'!$D$26</f>
        <v>0.75270178133090293</v>
      </c>
      <c r="AC501" s="116">
        <f t="shared" si="220"/>
        <v>8139.3428629982373</v>
      </c>
      <c r="AD501" s="116">
        <f t="shared" si="221"/>
        <v>8139.3428629982409</v>
      </c>
      <c r="AE501" s="118"/>
      <c r="AF501" s="119"/>
      <c r="AG501" s="120"/>
      <c r="AH501" s="118"/>
      <c r="AI501" s="119"/>
      <c r="AJ501" s="121"/>
    </row>
    <row r="502" spans="2:36" s="9" customFormat="1">
      <c r="B502" s="9">
        <v>580</v>
      </c>
      <c r="C502" s="9" t="s">
        <v>635</v>
      </c>
      <c r="E502" s="9">
        <v>129839</v>
      </c>
      <c r="G502" s="9">
        <v>2016</v>
      </c>
      <c r="H502" s="9">
        <v>1</v>
      </c>
      <c r="I502" s="9">
        <v>0</v>
      </c>
      <c r="J502" s="9" t="s">
        <v>78</v>
      </c>
      <c r="K502" s="158">
        <v>7</v>
      </c>
      <c r="L502" s="9">
        <f t="shared" si="207"/>
        <v>2023</v>
      </c>
      <c r="M502" s="127">
        <f t="shared" si="208"/>
        <v>2023.0833333333333</v>
      </c>
      <c r="N502" s="13">
        <v>20519.68</v>
      </c>
      <c r="O502" s="13">
        <f t="shared" si="209"/>
        <v>20519.68</v>
      </c>
      <c r="P502" s="13">
        <f t="shared" si="210"/>
        <v>244.28190476190477</v>
      </c>
      <c r="Q502" s="13">
        <f t="shared" si="211"/>
        <v>2931.3828571428571</v>
      </c>
      <c r="R502" s="13">
        <v>2931.3828571428571</v>
      </c>
      <c r="S502" s="13">
        <f t="shared" si="212"/>
        <v>2931.3828571428571</v>
      </c>
      <c r="T502" s="13">
        <f t="shared" si="213"/>
        <v>14656.914285714285</v>
      </c>
      <c r="U502" s="13">
        <f t="shared" si="214"/>
        <v>17588.297142857144</v>
      </c>
      <c r="V502" s="13">
        <v>11725.531428571428</v>
      </c>
      <c r="W502" s="13">
        <f t="shared" si="215"/>
        <v>2931.3828571428567</v>
      </c>
      <c r="X502" s="115">
        <f t="shared" si="216"/>
        <v>2931.3828571428571</v>
      </c>
      <c r="Y502" s="116">
        <f t="shared" si="217"/>
        <v>2931.3828571428567</v>
      </c>
      <c r="Z502" s="116">
        <f t="shared" si="218"/>
        <v>0</v>
      </c>
      <c r="AA502" s="116">
        <f t="shared" si="219"/>
        <v>-8794.1485714285718</v>
      </c>
      <c r="AB502" s="117">
        <f>'Ratios (C)'!$C$26+'Ratios (C)'!$D$26</f>
        <v>0.75270178133090293</v>
      </c>
      <c r="AC502" s="116">
        <f t="shared" si="220"/>
        <v>2206.4570983343001</v>
      </c>
      <c r="AD502" s="116">
        <f t="shared" si="221"/>
        <v>2206.4570983343001</v>
      </c>
      <c r="AE502" s="118"/>
      <c r="AF502" s="119"/>
      <c r="AG502" s="120"/>
      <c r="AH502" s="118"/>
      <c r="AI502" s="119"/>
      <c r="AJ502" s="121"/>
    </row>
    <row r="503" spans="2:36" s="9" customFormat="1">
      <c r="B503" s="9">
        <v>864</v>
      </c>
      <c r="C503" s="9" t="s">
        <v>627</v>
      </c>
      <c r="E503" s="9">
        <v>130763</v>
      </c>
      <c r="G503" s="9">
        <v>2016</v>
      </c>
      <c r="H503" s="9">
        <v>2</v>
      </c>
      <c r="I503" s="9">
        <v>0</v>
      </c>
      <c r="J503" s="9" t="s">
        <v>78</v>
      </c>
      <c r="K503" s="158">
        <v>7</v>
      </c>
      <c r="L503" s="9">
        <f t="shared" si="207"/>
        <v>2023</v>
      </c>
      <c r="M503" s="127">
        <f t="shared" si="208"/>
        <v>2023.1666666666667</v>
      </c>
      <c r="N503" s="13">
        <v>36644.400000000001</v>
      </c>
      <c r="O503" s="13">
        <f t="shared" si="209"/>
        <v>36644.400000000001</v>
      </c>
      <c r="P503" s="13">
        <f t="shared" si="210"/>
        <v>436.24285714285719</v>
      </c>
      <c r="Q503" s="13">
        <f t="shared" si="211"/>
        <v>5234.9142857142861</v>
      </c>
      <c r="R503" s="13">
        <v>5234.9142857142861</v>
      </c>
      <c r="S503" s="13">
        <f t="shared" si="212"/>
        <v>5234.9142857142861</v>
      </c>
      <c r="T503" s="13">
        <f t="shared" si="213"/>
        <v>26174.571428571431</v>
      </c>
      <c r="U503" s="13">
        <f t="shared" si="214"/>
        <v>31409.485714285718</v>
      </c>
      <c r="V503" s="13">
        <v>20939.657142857144</v>
      </c>
      <c r="W503" s="13">
        <f t="shared" si="215"/>
        <v>5234.9142857142833</v>
      </c>
      <c r="X503" s="115">
        <f t="shared" si="216"/>
        <v>5234.9142857142861</v>
      </c>
      <c r="Y503" s="116">
        <f t="shared" si="217"/>
        <v>5234.9142857142833</v>
      </c>
      <c r="Z503" s="116">
        <f t="shared" si="218"/>
        <v>0</v>
      </c>
      <c r="AA503" s="116">
        <f t="shared" si="219"/>
        <v>-15704.742857142861</v>
      </c>
      <c r="AB503" s="117">
        <f>'Ratios (C)'!$C$26+'Ratios (C)'!$D$26</f>
        <v>0.75270178133090293</v>
      </c>
      <c r="AC503" s="116">
        <f t="shared" si="220"/>
        <v>3940.3293079717346</v>
      </c>
      <c r="AD503" s="116">
        <f t="shared" si="221"/>
        <v>3940.3293079717323</v>
      </c>
      <c r="AE503" s="118"/>
      <c r="AF503" s="119"/>
      <c r="AG503" s="120"/>
      <c r="AH503" s="118"/>
      <c r="AI503" s="119"/>
      <c r="AJ503" s="121"/>
    </row>
    <row r="504" spans="2:36" s="9" customFormat="1">
      <c r="B504" s="9">
        <v>504</v>
      </c>
      <c r="C504" s="9" t="s">
        <v>628</v>
      </c>
      <c r="E504" s="9">
        <v>132009</v>
      </c>
      <c r="G504" s="9">
        <v>2016</v>
      </c>
      <c r="H504" s="9">
        <v>3</v>
      </c>
      <c r="I504" s="9">
        <v>0</v>
      </c>
      <c r="J504" s="9" t="s">
        <v>78</v>
      </c>
      <c r="K504" s="158">
        <v>7</v>
      </c>
      <c r="L504" s="9">
        <f t="shared" si="207"/>
        <v>2023</v>
      </c>
      <c r="M504" s="127">
        <f t="shared" si="208"/>
        <v>2023.25</v>
      </c>
      <c r="N504" s="13">
        <v>25010.38</v>
      </c>
      <c r="O504" s="13">
        <f t="shared" si="209"/>
        <v>25010.38</v>
      </c>
      <c r="P504" s="13">
        <f t="shared" si="210"/>
        <v>297.74261904761903</v>
      </c>
      <c r="Q504" s="13">
        <f t="shared" si="211"/>
        <v>3572.9114285714286</v>
      </c>
      <c r="R504" s="13">
        <v>3572.9114285714286</v>
      </c>
      <c r="S504" s="13">
        <f t="shared" si="212"/>
        <v>3572.9114285714286</v>
      </c>
      <c r="T504" s="13">
        <f t="shared" si="213"/>
        <v>17864.557142857142</v>
      </c>
      <c r="U504" s="13">
        <f t="shared" si="214"/>
        <v>21437.46857142857</v>
      </c>
      <c r="V504" s="13">
        <v>14291.645714285714</v>
      </c>
      <c r="W504" s="13">
        <f t="shared" si="215"/>
        <v>3572.9114285714313</v>
      </c>
      <c r="X504" s="115">
        <f t="shared" si="216"/>
        <v>3572.9114285714286</v>
      </c>
      <c r="Y504" s="116">
        <f t="shared" si="217"/>
        <v>3572.9114285714313</v>
      </c>
      <c r="Z504" s="116">
        <f t="shared" si="218"/>
        <v>0</v>
      </c>
      <c r="AA504" s="116">
        <f t="shared" si="219"/>
        <v>-10718.734285714283</v>
      </c>
      <c r="AB504" s="117">
        <f>'Ratios (C)'!$C$26+'Ratios (C)'!$D$26</f>
        <v>0.75270178133090293</v>
      </c>
      <c r="AC504" s="116">
        <f t="shared" si="220"/>
        <v>2689.3367968232556</v>
      </c>
      <c r="AD504" s="116">
        <f t="shared" si="221"/>
        <v>2689.3367968232574</v>
      </c>
      <c r="AE504" s="118"/>
      <c r="AF504" s="119"/>
      <c r="AG504" s="120"/>
      <c r="AH504" s="118"/>
      <c r="AI504" s="119"/>
      <c r="AJ504" s="121"/>
    </row>
    <row r="505" spans="2:36" s="9" customFormat="1">
      <c r="B505" s="9">
        <f>884+556</f>
        <v>1440</v>
      </c>
      <c r="C505" s="9" t="s">
        <v>627</v>
      </c>
      <c r="E505" s="9" t="s">
        <v>636</v>
      </c>
      <c r="G505" s="9">
        <v>2016</v>
      </c>
      <c r="H505" s="9">
        <v>3</v>
      </c>
      <c r="I505" s="9">
        <v>0</v>
      </c>
      <c r="J505" s="9" t="s">
        <v>78</v>
      </c>
      <c r="K505" s="158">
        <v>7</v>
      </c>
      <c r="L505" s="9">
        <f t="shared" si="207"/>
        <v>2023</v>
      </c>
      <c r="M505" s="127">
        <f t="shared" si="208"/>
        <v>2023.25</v>
      </c>
      <c r="N505" s="13">
        <f>39802+25010.16</f>
        <v>64812.160000000003</v>
      </c>
      <c r="O505" s="13">
        <f t="shared" si="209"/>
        <v>64812.160000000003</v>
      </c>
      <c r="P505" s="13">
        <f t="shared" si="210"/>
        <v>771.57333333333338</v>
      </c>
      <c r="Q505" s="13">
        <f t="shared" si="211"/>
        <v>9258.880000000001</v>
      </c>
      <c r="R505" s="13">
        <v>9258.880000000001</v>
      </c>
      <c r="S505" s="13">
        <f t="shared" si="212"/>
        <v>9258.880000000001</v>
      </c>
      <c r="T505" s="13">
        <f t="shared" si="213"/>
        <v>46294.400000000009</v>
      </c>
      <c r="U505" s="13">
        <f t="shared" si="214"/>
        <v>55553.280000000013</v>
      </c>
      <c r="V505" s="13">
        <v>37035.520000000004</v>
      </c>
      <c r="W505" s="13">
        <f t="shared" si="215"/>
        <v>9258.8799999999901</v>
      </c>
      <c r="X505" s="115">
        <f t="shared" si="216"/>
        <v>9258.880000000001</v>
      </c>
      <c r="Y505" s="116">
        <f t="shared" si="217"/>
        <v>9258.8799999999901</v>
      </c>
      <c r="Z505" s="116">
        <f t="shared" si="218"/>
        <v>0</v>
      </c>
      <c r="AA505" s="116">
        <f t="shared" si="219"/>
        <v>-27776.640000000014</v>
      </c>
      <c r="AB505" s="117">
        <f>'Ratios (C)'!$C$26+'Ratios (C)'!$D$26</f>
        <v>0.75270178133090293</v>
      </c>
      <c r="AC505" s="116">
        <f t="shared" si="220"/>
        <v>6969.1754691290716</v>
      </c>
      <c r="AD505" s="116">
        <f t="shared" si="221"/>
        <v>6969.1754691290635</v>
      </c>
      <c r="AE505" s="118"/>
      <c r="AF505" s="119"/>
      <c r="AG505" s="120"/>
      <c r="AH505" s="118"/>
      <c r="AI505" s="119"/>
      <c r="AJ505" s="121"/>
    </row>
    <row r="506" spans="2:36" s="9" customFormat="1">
      <c r="B506" s="9">
        <v>648</v>
      </c>
      <c r="C506" s="9" t="s">
        <v>627</v>
      </c>
      <c r="E506" s="9">
        <v>168667</v>
      </c>
      <c r="G506" s="9">
        <v>2016</v>
      </c>
      <c r="H506" s="9">
        <v>8</v>
      </c>
      <c r="I506" s="9">
        <v>0</v>
      </c>
      <c r="J506" s="9" t="s">
        <v>78</v>
      </c>
      <c r="K506" s="158">
        <v>7</v>
      </c>
      <c r="L506" s="9">
        <f t="shared" si="207"/>
        <v>2023</v>
      </c>
      <c r="M506" s="127">
        <f t="shared" si="208"/>
        <v>2023.6666666666667</v>
      </c>
      <c r="N506" s="13">
        <v>29821.13</v>
      </c>
      <c r="O506" s="13">
        <f t="shared" si="209"/>
        <v>29821.13</v>
      </c>
      <c r="P506" s="13">
        <f t="shared" si="210"/>
        <v>355.0134523809524</v>
      </c>
      <c r="Q506" s="13">
        <f t="shared" si="211"/>
        <v>4260.1614285714286</v>
      </c>
      <c r="R506" s="13">
        <v>4260.1614285714286</v>
      </c>
      <c r="S506" s="13">
        <f t="shared" si="212"/>
        <v>4260.1614285714286</v>
      </c>
      <c r="T506" s="13">
        <f t="shared" si="213"/>
        <v>21300.807142857142</v>
      </c>
      <c r="U506" s="13">
        <f t="shared" si="214"/>
        <v>25560.96857142857</v>
      </c>
      <c r="V506" s="13">
        <v>17040.645714285714</v>
      </c>
      <c r="W506" s="13">
        <f t="shared" si="215"/>
        <v>4260.1614285714313</v>
      </c>
      <c r="X506" s="115">
        <f t="shared" si="216"/>
        <v>4260.1614285714286</v>
      </c>
      <c r="Y506" s="116">
        <f t="shared" si="217"/>
        <v>4260.1614285714313</v>
      </c>
      <c r="Z506" s="116">
        <f t="shared" si="218"/>
        <v>0</v>
      </c>
      <c r="AA506" s="116">
        <f t="shared" si="219"/>
        <v>-12780.484285714283</v>
      </c>
      <c r="AB506" s="117">
        <f>'Ratios (C)'!$C$26+'Ratios (C)'!$D$26</f>
        <v>0.75270178133090293</v>
      </c>
      <c r="AC506" s="116">
        <f t="shared" si="220"/>
        <v>3206.6310960429187</v>
      </c>
      <c r="AD506" s="116">
        <f t="shared" si="221"/>
        <v>3206.6310960429205</v>
      </c>
      <c r="AE506" s="118"/>
      <c r="AF506" s="119"/>
      <c r="AG506" s="120"/>
      <c r="AH506" s="118"/>
      <c r="AI506" s="119"/>
      <c r="AJ506" s="121"/>
    </row>
    <row r="507" spans="2:36" s="9" customFormat="1">
      <c r="B507" s="9">
        <v>648</v>
      </c>
      <c r="C507" s="9" t="s">
        <v>627</v>
      </c>
      <c r="E507" s="9">
        <v>168668</v>
      </c>
      <c r="G507" s="9">
        <v>2016</v>
      </c>
      <c r="H507" s="9">
        <v>8</v>
      </c>
      <c r="I507" s="9">
        <v>0</v>
      </c>
      <c r="J507" s="9" t="s">
        <v>78</v>
      </c>
      <c r="K507" s="158">
        <v>7</v>
      </c>
      <c r="L507" s="9">
        <f t="shared" si="207"/>
        <v>2023</v>
      </c>
      <c r="M507" s="127">
        <f t="shared" si="208"/>
        <v>2023.6666666666667</v>
      </c>
      <c r="N507" s="13">
        <v>29821.13</v>
      </c>
      <c r="O507" s="13">
        <f t="shared" si="209"/>
        <v>29821.13</v>
      </c>
      <c r="P507" s="13">
        <f t="shared" si="210"/>
        <v>355.0134523809524</v>
      </c>
      <c r="Q507" s="13">
        <f t="shared" si="211"/>
        <v>4260.1614285714286</v>
      </c>
      <c r="R507" s="13">
        <v>4260.1614285714286</v>
      </c>
      <c r="S507" s="13">
        <f t="shared" si="212"/>
        <v>4260.1614285714286</v>
      </c>
      <c r="T507" s="13">
        <f t="shared" si="213"/>
        <v>21300.807142857142</v>
      </c>
      <c r="U507" s="13">
        <f t="shared" si="214"/>
        <v>25560.96857142857</v>
      </c>
      <c r="V507" s="13">
        <v>17040.645714285714</v>
      </c>
      <c r="W507" s="13">
        <f t="shared" si="215"/>
        <v>4260.1614285714313</v>
      </c>
      <c r="X507" s="115">
        <f t="shared" si="216"/>
        <v>4260.1614285714286</v>
      </c>
      <c r="Y507" s="116">
        <f t="shared" si="217"/>
        <v>4260.1614285714313</v>
      </c>
      <c r="Z507" s="116">
        <f t="shared" si="218"/>
        <v>0</v>
      </c>
      <c r="AA507" s="116">
        <f t="shared" si="219"/>
        <v>-12780.484285714283</v>
      </c>
      <c r="AB507" s="117">
        <f>'Ratios (C)'!$C$26+'Ratios (C)'!$D$26</f>
        <v>0.75270178133090293</v>
      </c>
      <c r="AC507" s="116">
        <f t="shared" si="220"/>
        <v>3206.6310960429187</v>
      </c>
      <c r="AD507" s="116">
        <f t="shared" si="221"/>
        <v>3206.6310960429205</v>
      </c>
      <c r="AE507" s="118"/>
      <c r="AF507" s="119"/>
      <c r="AG507" s="120"/>
      <c r="AH507" s="118"/>
      <c r="AI507" s="119"/>
      <c r="AJ507" s="121"/>
    </row>
    <row r="508" spans="2:36" s="9" customFormat="1">
      <c r="B508" s="9">
        <v>486</v>
      </c>
      <c r="C508" s="9" t="s">
        <v>628</v>
      </c>
      <c r="E508" s="9">
        <v>168666</v>
      </c>
      <c r="G508" s="9">
        <v>2016</v>
      </c>
      <c r="H508" s="9">
        <v>9</v>
      </c>
      <c r="I508" s="9">
        <v>0</v>
      </c>
      <c r="J508" s="9" t="s">
        <v>78</v>
      </c>
      <c r="K508" s="158">
        <v>7</v>
      </c>
      <c r="L508" s="9">
        <f t="shared" si="207"/>
        <v>2023</v>
      </c>
      <c r="M508" s="127">
        <f t="shared" si="208"/>
        <v>2023.75</v>
      </c>
      <c r="N508" s="13">
        <v>25827.17</v>
      </c>
      <c r="O508" s="13">
        <f t="shared" si="209"/>
        <v>25827.17</v>
      </c>
      <c r="P508" s="13">
        <f t="shared" si="210"/>
        <v>307.46630952380951</v>
      </c>
      <c r="Q508" s="13">
        <f t="shared" si="211"/>
        <v>3689.5957142857142</v>
      </c>
      <c r="R508" s="13">
        <v>3689.5957142857142</v>
      </c>
      <c r="S508" s="13">
        <f t="shared" si="212"/>
        <v>3689.5957142857142</v>
      </c>
      <c r="T508" s="13">
        <f t="shared" si="213"/>
        <v>18447.978571428572</v>
      </c>
      <c r="U508" s="13">
        <f t="shared" si="214"/>
        <v>22137.574285714287</v>
      </c>
      <c r="V508" s="13">
        <v>14758.382857142857</v>
      </c>
      <c r="W508" s="13">
        <f t="shared" si="215"/>
        <v>3689.5957142857114</v>
      </c>
      <c r="X508" s="115">
        <f t="shared" si="216"/>
        <v>3689.5957142857142</v>
      </c>
      <c r="Y508" s="116">
        <f t="shared" si="217"/>
        <v>3689.5957142857114</v>
      </c>
      <c r="Z508" s="116">
        <f t="shared" si="218"/>
        <v>0</v>
      </c>
      <c r="AA508" s="116">
        <f t="shared" si="219"/>
        <v>-11068.787142857145</v>
      </c>
      <c r="AB508" s="117">
        <f>'Ratios (C)'!$C$26+'Ratios (C)'!$D$26</f>
        <v>0.75270178133090293</v>
      </c>
      <c r="AC508" s="116">
        <f t="shared" si="220"/>
        <v>2777.1652665337224</v>
      </c>
      <c r="AD508" s="116">
        <f t="shared" si="221"/>
        <v>2777.1652665337201</v>
      </c>
      <c r="AE508" s="118"/>
      <c r="AF508" s="119"/>
      <c r="AG508" s="120"/>
      <c r="AH508" s="118"/>
      <c r="AI508" s="119"/>
      <c r="AJ508" s="121"/>
    </row>
    <row r="509" spans="2:36" s="9" customFormat="1">
      <c r="B509" s="9">
        <v>1080</v>
      </c>
      <c r="C509" s="9" t="s">
        <v>635</v>
      </c>
      <c r="E509" s="9">
        <v>169623</v>
      </c>
      <c r="G509" s="9">
        <v>2016</v>
      </c>
      <c r="H509" s="9">
        <v>10</v>
      </c>
      <c r="I509" s="9">
        <v>0</v>
      </c>
      <c r="J509" s="9" t="s">
        <v>78</v>
      </c>
      <c r="K509" s="158">
        <v>7</v>
      </c>
      <c r="L509" s="9">
        <f t="shared" si="207"/>
        <v>2023</v>
      </c>
      <c r="M509" s="127">
        <f t="shared" si="208"/>
        <v>2023.8333333333333</v>
      </c>
      <c r="N509" s="13">
        <v>39812.97</v>
      </c>
      <c r="O509" s="13">
        <f t="shared" si="209"/>
        <v>39812.97</v>
      </c>
      <c r="P509" s="13">
        <f t="shared" si="210"/>
        <v>473.9639285714286</v>
      </c>
      <c r="Q509" s="13">
        <f t="shared" si="211"/>
        <v>5687.5671428571432</v>
      </c>
      <c r="R509" s="13">
        <v>5687.5671428571432</v>
      </c>
      <c r="S509" s="13">
        <f t="shared" si="212"/>
        <v>5687.5671428571432</v>
      </c>
      <c r="T509" s="13">
        <f t="shared" si="213"/>
        <v>28437.835714285717</v>
      </c>
      <c r="U509" s="13">
        <f t="shared" si="214"/>
        <v>34125.402857142857</v>
      </c>
      <c r="V509" s="13">
        <v>22750.268571428573</v>
      </c>
      <c r="W509" s="13">
        <f t="shared" si="215"/>
        <v>5687.5671428571441</v>
      </c>
      <c r="X509" s="115">
        <f t="shared" si="216"/>
        <v>5687.5671428571432</v>
      </c>
      <c r="Y509" s="116">
        <f t="shared" si="217"/>
        <v>5687.5671428571441</v>
      </c>
      <c r="Z509" s="116">
        <f t="shared" si="218"/>
        <v>0</v>
      </c>
      <c r="AA509" s="116">
        <f t="shared" si="219"/>
        <v>-17062.701428571429</v>
      </c>
      <c r="AB509" s="117">
        <f>'Ratios (C)'!$C$26+'Ratios (C)'!$D$26</f>
        <v>0.75270178133090293</v>
      </c>
      <c r="AC509" s="116">
        <f t="shared" si="220"/>
        <v>4281.0419198676855</v>
      </c>
      <c r="AD509" s="116">
        <f t="shared" si="221"/>
        <v>4281.0419198676864</v>
      </c>
      <c r="AE509" s="118"/>
      <c r="AF509" s="119"/>
      <c r="AG509" s="120"/>
      <c r="AH509" s="118"/>
      <c r="AI509" s="119"/>
      <c r="AJ509" s="121"/>
    </row>
    <row r="510" spans="2:36" s="9" customFormat="1">
      <c r="B510" s="9">
        <v>1080</v>
      </c>
      <c r="C510" s="9" t="s">
        <v>635</v>
      </c>
      <c r="E510" s="9">
        <v>169622</v>
      </c>
      <c r="G510" s="9">
        <v>2016</v>
      </c>
      <c r="H510" s="9">
        <v>10</v>
      </c>
      <c r="I510" s="9">
        <v>0</v>
      </c>
      <c r="J510" s="9" t="s">
        <v>78</v>
      </c>
      <c r="K510" s="158">
        <v>7</v>
      </c>
      <c r="L510" s="9">
        <f t="shared" si="207"/>
        <v>2023</v>
      </c>
      <c r="M510" s="127">
        <f t="shared" si="208"/>
        <v>2023.8333333333333</v>
      </c>
      <c r="N510" s="13">
        <v>39812.97</v>
      </c>
      <c r="O510" s="13">
        <f t="shared" si="209"/>
        <v>39812.97</v>
      </c>
      <c r="P510" s="13">
        <f t="shared" si="210"/>
        <v>473.9639285714286</v>
      </c>
      <c r="Q510" s="13">
        <f t="shared" si="211"/>
        <v>5687.5671428571432</v>
      </c>
      <c r="R510" s="13">
        <v>5687.5671428571432</v>
      </c>
      <c r="S510" s="13">
        <f t="shared" si="212"/>
        <v>5687.5671428571432</v>
      </c>
      <c r="T510" s="13">
        <f t="shared" si="213"/>
        <v>28437.835714285717</v>
      </c>
      <c r="U510" s="13">
        <f t="shared" si="214"/>
        <v>34125.402857142857</v>
      </c>
      <c r="V510" s="13">
        <v>22750.268571428573</v>
      </c>
      <c r="W510" s="13">
        <f t="shared" si="215"/>
        <v>5687.5671428571441</v>
      </c>
      <c r="X510" s="115">
        <f t="shared" si="216"/>
        <v>5687.5671428571432</v>
      </c>
      <c r="Y510" s="116">
        <f t="shared" si="217"/>
        <v>5687.5671428571441</v>
      </c>
      <c r="Z510" s="116">
        <f t="shared" si="218"/>
        <v>0</v>
      </c>
      <c r="AA510" s="116">
        <f t="shared" si="219"/>
        <v>-17062.701428571429</v>
      </c>
      <c r="AB510" s="117">
        <f>'Ratios (C)'!$C$26+'Ratios (C)'!$D$26</f>
        <v>0.75270178133090293</v>
      </c>
      <c r="AC510" s="116">
        <f t="shared" si="220"/>
        <v>4281.0419198676855</v>
      </c>
      <c r="AD510" s="116">
        <f t="shared" si="221"/>
        <v>4281.0419198676864</v>
      </c>
      <c r="AE510" s="118"/>
      <c r="AF510" s="119"/>
      <c r="AG510" s="120"/>
      <c r="AH510" s="118"/>
      <c r="AI510" s="119"/>
      <c r="AJ510" s="121"/>
    </row>
    <row r="511" spans="2:36" s="9" customFormat="1">
      <c r="B511" s="9">
        <v>568</v>
      </c>
      <c r="C511" s="9" t="s">
        <v>627</v>
      </c>
      <c r="E511" s="9">
        <v>169621</v>
      </c>
      <c r="G511" s="9">
        <v>2016</v>
      </c>
      <c r="H511" s="9">
        <v>10</v>
      </c>
      <c r="I511" s="9">
        <v>0</v>
      </c>
      <c r="J511" s="9" t="s">
        <v>78</v>
      </c>
      <c r="K511" s="158">
        <v>7</v>
      </c>
      <c r="L511" s="9">
        <f t="shared" si="207"/>
        <v>2023</v>
      </c>
      <c r="M511" s="127">
        <f t="shared" si="208"/>
        <v>2023.8333333333333</v>
      </c>
      <c r="N511" s="13">
        <v>29848.33</v>
      </c>
      <c r="O511" s="13">
        <f t="shared" si="209"/>
        <v>29848.33</v>
      </c>
      <c r="P511" s="13">
        <f t="shared" si="210"/>
        <v>355.33726190476187</v>
      </c>
      <c r="Q511" s="13">
        <f t="shared" si="211"/>
        <v>4264.0471428571427</v>
      </c>
      <c r="R511" s="13">
        <v>4264.0471428571427</v>
      </c>
      <c r="S511" s="13">
        <f t="shared" si="212"/>
        <v>4264.0471428571427</v>
      </c>
      <c r="T511" s="13">
        <f t="shared" si="213"/>
        <v>21320.235714285714</v>
      </c>
      <c r="U511" s="13">
        <f t="shared" si="214"/>
        <v>25584.282857142858</v>
      </c>
      <c r="V511" s="13">
        <v>17056.188571428575</v>
      </c>
      <c r="W511" s="13">
        <f t="shared" si="215"/>
        <v>4264.0471428571436</v>
      </c>
      <c r="X511" s="115">
        <f t="shared" si="216"/>
        <v>4264.0471428571427</v>
      </c>
      <c r="Y511" s="116">
        <f t="shared" si="217"/>
        <v>4264.0471428571436</v>
      </c>
      <c r="Z511" s="116">
        <f t="shared" si="218"/>
        <v>0</v>
      </c>
      <c r="AA511" s="116">
        <f t="shared" si="219"/>
        <v>-12792.141428571431</v>
      </c>
      <c r="AB511" s="117">
        <f>'Ratios (C)'!$C$26+'Ratios (C)'!$D$26</f>
        <v>0.75270178133090293</v>
      </c>
      <c r="AC511" s="116">
        <f t="shared" si="220"/>
        <v>3209.5558801075185</v>
      </c>
      <c r="AD511" s="116">
        <f t="shared" si="221"/>
        <v>3209.555880107519</v>
      </c>
      <c r="AE511" s="118"/>
      <c r="AF511" s="119"/>
      <c r="AG511" s="120"/>
      <c r="AH511" s="118"/>
      <c r="AI511" s="119"/>
      <c r="AJ511" s="121"/>
    </row>
    <row r="512" spans="2:36" s="9" customFormat="1">
      <c r="B512" s="9">
        <v>648</v>
      </c>
      <c r="C512" s="9" t="s">
        <v>627</v>
      </c>
      <c r="E512" s="9">
        <v>169574</v>
      </c>
      <c r="G512" s="9">
        <v>2016</v>
      </c>
      <c r="H512" s="9">
        <v>10</v>
      </c>
      <c r="I512" s="9">
        <v>0</v>
      </c>
      <c r="J512" s="9" t="s">
        <v>78</v>
      </c>
      <c r="K512" s="158">
        <v>7</v>
      </c>
      <c r="L512" s="9">
        <f t="shared" si="207"/>
        <v>2023</v>
      </c>
      <c r="M512" s="127">
        <f t="shared" si="208"/>
        <v>2023.8333333333333</v>
      </c>
      <c r="N512" s="13">
        <v>29848.33</v>
      </c>
      <c r="O512" s="13">
        <f t="shared" si="209"/>
        <v>29848.33</v>
      </c>
      <c r="P512" s="13">
        <f t="shared" si="210"/>
        <v>355.33726190476187</v>
      </c>
      <c r="Q512" s="13">
        <f t="shared" si="211"/>
        <v>4264.0471428571427</v>
      </c>
      <c r="R512" s="13">
        <v>4264.0471428571427</v>
      </c>
      <c r="S512" s="13">
        <f t="shared" si="212"/>
        <v>4264.0471428571427</v>
      </c>
      <c r="T512" s="13">
        <f t="shared" si="213"/>
        <v>21320.235714285714</v>
      </c>
      <c r="U512" s="13">
        <f t="shared" si="214"/>
        <v>25584.282857142858</v>
      </c>
      <c r="V512" s="13">
        <v>17056.188571428575</v>
      </c>
      <c r="W512" s="13">
        <f t="shared" si="215"/>
        <v>4264.0471428571436</v>
      </c>
      <c r="X512" s="115">
        <f t="shared" si="216"/>
        <v>4264.0471428571427</v>
      </c>
      <c r="Y512" s="116">
        <f t="shared" si="217"/>
        <v>4264.0471428571436</v>
      </c>
      <c r="Z512" s="116">
        <f t="shared" si="218"/>
        <v>0</v>
      </c>
      <c r="AA512" s="116">
        <f t="shared" si="219"/>
        <v>-12792.141428571431</v>
      </c>
      <c r="AB512" s="117">
        <f>'Ratios (C)'!$C$26+'Ratios (C)'!$D$26</f>
        <v>0.75270178133090293</v>
      </c>
      <c r="AC512" s="116">
        <f t="shared" si="220"/>
        <v>3209.5558801075185</v>
      </c>
      <c r="AD512" s="116">
        <f t="shared" si="221"/>
        <v>3209.555880107519</v>
      </c>
      <c r="AE512" s="118"/>
      <c r="AF512" s="119"/>
      <c r="AG512" s="120"/>
      <c r="AH512" s="118"/>
      <c r="AI512" s="119"/>
      <c r="AJ512" s="121"/>
    </row>
    <row r="513" spans="2:36" s="9" customFormat="1">
      <c r="B513" s="9">
        <v>43</v>
      </c>
      <c r="C513" s="9" t="s">
        <v>627</v>
      </c>
      <c r="E513" s="9">
        <v>170191</v>
      </c>
      <c r="G513" s="9">
        <v>2016</v>
      </c>
      <c r="H513" s="9">
        <v>10</v>
      </c>
      <c r="I513" s="9">
        <v>0</v>
      </c>
      <c r="J513" s="9" t="s">
        <v>78</v>
      </c>
      <c r="K513" s="158">
        <v>7</v>
      </c>
      <c r="L513" s="9">
        <f t="shared" si="207"/>
        <v>2023</v>
      </c>
      <c r="M513" s="127">
        <f t="shared" si="208"/>
        <v>2023.8333333333333</v>
      </c>
      <c r="N513" s="13">
        <v>3669</v>
      </c>
      <c r="O513" s="13">
        <f t="shared" si="209"/>
        <v>3669</v>
      </c>
      <c r="P513" s="13">
        <f t="shared" si="210"/>
        <v>43.678571428571423</v>
      </c>
      <c r="Q513" s="13">
        <f t="shared" si="211"/>
        <v>524.14285714285711</v>
      </c>
      <c r="R513" s="13">
        <v>524.14285714285711</v>
      </c>
      <c r="S513" s="13">
        <f t="shared" si="212"/>
        <v>524.14285714285711</v>
      </c>
      <c r="T513" s="13">
        <f t="shared" si="213"/>
        <v>2620.7142857142853</v>
      </c>
      <c r="U513" s="13">
        <f t="shared" si="214"/>
        <v>3144.8571428571422</v>
      </c>
      <c r="V513" s="13">
        <v>2096.5714285714284</v>
      </c>
      <c r="W513" s="13">
        <f t="shared" si="215"/>
        <v>524.14285714285779</v>
      </c>
      <c r="X513" s="115">
        <f t="shared" si="216"/>
        <v>524.14285714285711</v>
      </c>
      <c r="Y513" s="116">
        <f t="shared" si="217"/>
        <v>524.14285714285779</v>
      </c>
      <c r="Z513" s="116">
        <f t="shared" si="218"/>
        <v>0</v>
      </c>
      <c r="AA513" s="116">
        <f t="shared" si="219"/>
        <v>-1572.4285714285706</v>
      </c>
      <c r="AB513" s="117">
        <f>'Ratios (C)'!$C$26+'Ratios (C)'!$D$26</f>
        <v>0.75270178133090293</v>
      </c>
      <c r="AC513" s="116">
        <f t="shared" si="220"/>
        <v>394.52326224329755</v>
      </c>
      <c r="AD513" s="116">
        <f t="shared" si="221"/>
        <v>394.52326224329806</v>
      </c>
      <c r="AE513" s="118"/>
      <c r="AF513" s="119"/>
      <c r="AG513" s="120"/>
      <c r="AH513" s="118"/>
      <c r="AI513" s="119"/>
      <c r="AJ513" s="121"/>
    </row>
    <row r="514" spans="2:36" s="9" customFormat="1">
      <c r="B514" s="9">
        <v>504</v>
      </c>
      <c r="C514" s="9" t="s">
        <v>628</v>
      </c>
      <c r="E514" s="9">
        <v>170164</v>
      </c>
      <c r="G514" s="9">
        <v>2016</v>
      </c>
      <c r="H514" s="9">
        <v>11</v>
      </c>
      <c r="I514" s="9">
        <v>0</v>
      </c>
      <c r="J514" s="9" t="s">
        <v>78</v>
      </c>
      <c r="K514" s="158">
        <v>7</v>
      </c>
      <c r="L514" s="9">
        <f t="shared" si="207"/>
        <v>2023</v>
      </c>
      <c r="M514" s="127">
        <f t="shared" si="208"/>
        <v>2023.9166666666667</v>
      </c>
      <c r="N514" s="13">
        <v>26710.19</v>
      </c>
      <c r="O514" s="13">
        <f t="shared" si="209"/>
        <v>26710.19</v>
      </c>
      <c r="P514" s="13">
        <f t="shared" si="210"/>
        <v>317.97845238095238</v>
      </c>
      <c r="Q514" s="13">
        <f t="shared" si="211"/>
        <v>3815.7414285714285</v>
      </c>
      <c r="R514" s="13">
        <v>3815.7414285714285</v>
      </c>
      <c r="S514" s="13">
        <f t="shared" si="212"/>
        <v>3815.7414285714285</v>
      </c>
      <c r="T514" s="13">
        <f t="shared" si="213"/>
        <v>19078.707142857143</v>
      </c>
      <c r="U514" s="13">
        <f t="shared" si="214"/>
        <v>22894.448571428573</v>
      </c>
      <c r="V514" s="13">
        <v>15262.965714285714</v>
      </c>
      <c r="W514" s="13">
        <f t="shared" si="215"/>
        <v>3815.7414285714258</v>
      </c>
      <c r="X514" s="115">
        <f t="shared" si="216"/>
        <v>3815.7414285714285</v>
      </c>
      <c r="Y514" s="116">
        <f t="shared" si="217"/>
        <v>3815.7414285714258</v>
      </c>
      <c r="Z514" s="116">
        <f t="shared" si="218"/>
        <v>0</v>
      </c>
      <c r="AA514" s="116">
        <f t="shared" si="219"/>
        <v>-11447.224285714288</v>
      </c>
      <c r="AB514" s="117">
        <f>'Ratios (C)'!$C$26+'Ratios (C)'!$D$26</f>
        <v>0.75270178133090293</v>
      </c>
      <c r="AC514" s="116">
        <f t="shared" si="220"/>
        <v>2872.1153703838386</v>
      </c>
      <c r="AD514" s="116">
        <f t="shared" si="221"/>
        <v>2872.1153703838363</v>
      </c>
      <c r="AE514" s="118"/>
      <c r="AF514" s="119"/>
      <c r="AG514" s="120"/>
      <c r="AH514" s="118"/>
      <c r="AI514" s="119"/>
      <c r="AJ514" s="121"/>
    </row>
    <row r="515" spans="2:36" s="9" customFormat="1">
      <c r="B515" s="9">
        <v>3</v>
      </c>
      <c r="C515" s="9" t="s">
        <v>627</v>
      </c>
      <c r="E515" s="9">
        <v>170192</v>
      </c>
      <c r="G515" s="9">
        <v>2016</v>
      </c>
      <c r="H515" s="9">
        <v>11</v>
      </c>
      <c r="I515" s="9">
        <v>0</v>
      </c>
      <c r="J515" s="9" t="s">
        <v>78</v>
      </c>
      <c r="K515" s="158">
        <v>7</v>
      </c>
      <c r="L515" s="9">
        <f t="shared" si="207"/>
        <v>2023</v>
      </c>
      <c r="M515" s="127">
        <f t="shared" si="208"/>
        <v>2023.9166666666667</v>
      </c>
      <c r="N515" s="13">
        <v>96.85</v>
      </c>
      <c r="O515" s="13">
        <f t="shared" si="209"/>
        <v>96.85</v>
      </c>
      <c r="P515" s="13">
        <f t="shared" si="210"/>
        <v>1.1529761904761904</v>
      </c>
      <c r="Q515" s="13">
        <f t="shared" si="211"/>
        <v>13.835714285714285</v>
      </c>
      <c r="R515" s="13">
        <v>13.835714285714285</v>
      </c>
      <c r="S515" s="13">
        <f t="shared" si="212"/>
        <v>13.835714285714285</v>
      </c>
      <c r="T515" s="13">
        <f t="shared" si="213"/>
        <v>69.178571428571431</v>
      </c>
      <c r="U515" s="13">
        <f t="shared" si="214"/>
        <v>83.01428571428572</v>
      </c>
      <c r="V515" s="13">
        <v>55.342857142857142</v>
      </c>
      <c r="W515" s="13">
        <f t="shared" si="215"/>
        <v>13.835714285714275</v>
      </c>
      <c r="X515" s="115">
        <f t="shared" si="216"/>
        <v>13.835714285714285</v>
      </c>
      <c r="Y515" s="116">
        <f t="shared" si="217"/>
        <v>13.835714285714275</v>
      </c>
      <c r="Z515" s="116">
        <f t="shared" si="218"/>
        <v>0</v>
      </c>
      <c r="AA515" s="116">
        <f t="shared" si="219"/>
        <v>-41.507142857142867</v>
      </c>
      <c r="AB515" s="117">
        <f>'Ratios (C)'!$C$26+'Ratios (C)'!$D$26</f>
        <v>0.75270178133090293</v>
      </c>
      <c r="AC515" s="116">
        <f t="shared" si="220"/>
        <v>10.414166788842564</v>
      </c>
      <c r="AD515" s="116">
        <f t="shared" si="221"/>
        <v>10.414166788842556</v>
      </c>
      <c r="AE515" s="118"/>
      <c r="AF515" s="119"/>
      <c r="AG515" s="120"/>
      <c r="AH515" s="118"/>
      <c r="AI515" s="119"/>
      <c r="AJ515" s="121"/>
    </row>
    <row r="516" spans="2:36" s="9" customFormat="1">
      <c r="B516" s="9">
        <v>750</v>
      </c>
      <c r="C516" s="9" t="s">
        <v>635</v>
      </c>
      <c r="E516" s="9">
        <v>171563</v>
      </c>
      <c r="G516" s="9">
        <v>2016</v>
      </c>
      <c r="H516" s="9">
        <v>12</v>
      </c>
      <c r="I516" s="9">
        <v>0</v>
      </c>
      <c r="J516" s="9" t="s">
        <v>78</v>
      </c>
      <c r="K516" s="158">
        <v>7</v>
      </c>
      <c r="L516" s="9">
        <f t="shared" si="207"/>
        <v>2023</v>
      </c>
      <c r="M516" s="127">
        <f t="shared" si="208"/>
        <v>2024</v>
      </c>
      <c r="N516" s="13">
        <v>29778.560000000001</v>
      </c>
      <c r="O516" s="13">
        <f t="shared" si="209"/>
        <v>29778.560000000001</v>
      </c>
      <c r="P516" s="13">
        <f t="shared" si="210"/>
        <v>354.50666666666666</v>
      </c>
      <c r="Q516" s="13">
        <f t="shared" si="211"/>
        <v>4254.08</v>
      </c>
      <c r="R516" s="13">
        <v>4254.08</v>
      </c>
      <c r="S516" s="13">
        <f t="shared" si="212"/>
        <v>4254.08</v>
      </c>
      <c r="T516" s="13">
        <f t="shared" si="213"/>
        <v>21270.400000000001</v>
      </c>
      <c r="U516" s="13">
        <f t="shared" si="214"/>
        <v>25524.480000000003</v>
      </c>
      <c r="V516" s="13">
        <v>17016.32</v>
      </c>
      <c r="W516" s="13">
        <f t="shared" si="215"/>
        <v>4254.0799999999981</v>
      </c>
      <c r="X516" s="115">
        <f t="shared" si="216"/>
        <v>4254.08</v>
      </c>
      <c r="Y516" s="116">
        <f t="shared" si="217"/>
        <v>4254.0799999999981</v>
      </c>
      <c r="Z516" s="116">
        <f t="shared" si="218"/>
        <v>0</v>
      </c>
      <c r="AA516" s="116">
        <f t="shared" si="219"/>
        <v>-12762.240000000002</v>
      </c>
      <c r="AB516" s="117">
        <f>'Ratios (C)'!$C$26+'Ratios (C)'!$D$26</f>
        <v>0.75270178133090293</v>
      </c>
      <c r="AC516" s="116">
        <f t="shared" si="220"/>
        <v>3202.0535939241677</v>
      </c>
      <c r="AD516" s="116">
        <f t="shared" si="221"/>
        <v>3202.0535939241663</v>
      </c>
      <c r="AE516" s="118"/>
      <c r="AF516" s="119"/>
      <c r="AG516" s="120"/>
      <c r="AH516" s="118"/>
      <c r="AI516" s="119"/>
      <c r="AJ516" s="121"/>
    </row>
    <row r="517" spans="2:36" s="9" customFormat="1">
      <c r="B517" s="9">
        <v>648</v>
      </c>
      <c r="C517" s="9" t="s">
        <v>627</v>
      </c>
      <c r="E517" s="9">
        <v>171566</v>
      </c>
      <c r="G517" s="9">
        <v>2016</v>
      </c>
      <c r="H517" s="9">
        <v>12</v>
      </c>
      <c r="I517" s="9">
        <v>0</v>
      </c>
      <c r="J517" s="9" t="s">
        <v>78</v>
      </c>
      <c r="K517" s="158">
        <v>7</v>
      </c>
      <c r="L517" s="9">
        <f t="shared" si="207"/>
        <v>2023</v>
      </c>
      <c r="M517" s="127">
        <f t="shared" si="208"/>
        <v>2024</v>
      </c>
      <c r="N517" s="13">
        <v>31283.66</v>
      </c>
      <c r="O517" s="13">
        <f t="shared" si="209"/>
        <v>31283.66</v>
      </c>
      <c r="P517" s="13">
        <f t="shared" si="210"/>
        <v>372.42452380952381</v>
      </c>
      <c r="Q517" s="13">
        <f t="shared" si="211"/>
        <v>4469.0942857142854</v>
      </c>
      <c r="R517" s="13">
        <v>4469.0942857142854</v>
      </c>
      <c r="S517" s="13">
        <f t="shared" si="212"/>
        <v>4469.0942857142854</v>
      </c>
      <c r="T517" s="13">
        <f t="shared" si="213"/>
        <v>22345.471428571429</v>
      </c>
      <c r="U517" s="13">
        <f t="shared" si="214"/>
        <v>26814.565714285716</v>
      </c>
      <c r="V517" s="13">
        <v>17876.377142857142</v>
      </c>
      <c r="W517" s="13">
        <f t="shared" si="215"/>
        <v>4469.0942857142836</v>
      </c>
      <c r="X517" s="115">
        <f t="shared" si="216"/>
        <v>4469.0942857142854</v>
      </c>
      <c r="Y517" s="116">
        <f t="shared" si="217"/>
        <v>4469.0942857142836</v>
      </c>
      <c r="Z517" s="116">
        <f t="shared" si="218"/>
        <v>0</v>
      </c>
      <c r="AA517" s="116">
        <f t="shared" si="219"/>
        <v>-13407.282857142858</v>
      </c>
      <c r="AB517" s="117">
        <f>'Ratios (C)'!$C$26+'Ratios (C)'!$D$26</f>
        <v>0.75270178133090293</v>
      </c>
      <c r="AC517" s="116">
        <f t="shared" si="220"/>
        <v>3363.8952297929018</v>
      </c>
      <c r="AD517" s="116">
        <f t="shared" si="221"/>
        <v>3363.8952297929004</v>
      </c>
      <c r="AE517" s="118"/>
      <c r="AF517" s="119"/>
      <c r="AG517" s="120"/>
      <c r="AH517" s="118"/>
      <c r="AI517" s="119"/>
      <c r="AJ517" s="121"/>
    </row>
    <row r="518" spans="2:36" s="9" customFormat="1">
      <c r="B518" s="9">
        <v>102</v>
      </c>
      <c r="C518" s="9" t="s">
        <v>627</v>
      </c>
      <c r="E518" s="9">
        <v>172665</v>
      </c>
      <c r="G518" s="9">
        <v>2017</v>
      </c>
      <c r="H518" s="9">
        <v>1</v>
      </c>
      <c r="I518" s="9">
        <v>0</v>
      </c>
      <c r="J518" s="9" t="s">
        <v>78</v>
      </c>
      <c r="K518" s="158">
        <v>7</v>
      </c>
      <c r="L518" s="9">
        <f t="shared" si="207"/>
        <v>2024</v>
      </c>
      <c r="M518" s="127">
        <f t="shared" si="208"/>
        <v>2024.0833333333333</v>
      </c>
      <c r="N518" s="13">
        <v>4419.07</v>
      </c>
      <c r="O518" s="13">
        <f t="shared" si="209"/>
        <v>4419.07</v>
      </c>
      <c r="P518" s="13">
        <f t="shared" si="210"/>
        <v>52.607976190476187</v>
      </c>
      <c r="Q518" s="13">
        <f t="shared" si="211"/>
        <v>631.29571428571421</v>
      </c>
      <c r="R518" s="13">
        <v>631.29571428571421</v>
      </c>
      <c r="S518" s="13">
        <f t="shared" si="212"/>
        <v>631.29571428571421</v>
      </c>
      <c r="T518" s="13">
        <f t="shared" si="213"/>
        <v>2525.1828571428568</v>
      </c>
      <c r="U518" s="13">
        <f t="shared" si="214"/>
        <v>3156.4785714285708</v>
      </c>
      <c r="V518" s="13">
        <v>3156.4785714285713</v>
      </c>
      <c r="W518" s="13">
        <f t="shared" si="215"/>
        <v>1262.5914285714289</v>
      </c>
      <c r="X518" s="115">
        <f t="shared" si="216"/>
        <v>631.29571428571421</v>
      </c>
      <c r="Y518" s="116">
        <f t="shared" si="217"/>
        <v>1262.5914285714289</v>
      </c>
      <c r="Z518" s="116">
        <f t="shared" si="218"/>
        <v>0</v>
      </c>
      <c r="AA518" s="116">
        <f t="shared" si="219"/>
        <v>-1893.8871428571424</v>
      </c>
      <c r="AB518" s="117">
        <f>'Ratios (C)'!$C$26+'Ratios (C)'!$D$26</f>
        <v>0.75270178133090293</v>
      </c>
      <c r="AC518" s="116">
        <f t="shared" si="220"/>
        <v>475.17740868942184</v>
      </c>
      <c r="AD518" s="116">
        <f t="shared" si="221"/>
        <v>950.35481737884402</v>
      </c>
      <c r="AE518" s="118"/>
      <c r="AF518" s="119"/>
      <c r="AG518" s="120"/>
      <c r="AH518" s="118"/>
      <c r="AI518" s="119"/>
      <c r="AJ518" s="121"/>
    </row>
    <row r="519" spans="2:36" s="9" customFormat="1">
      <c r="B519" s="9">
        <v>648</v>
      </c>
      <c r="C519" s="9" t="s">
        <v>627</v>
      </c>
      <c r="E519" s="9">
        <v>177526</v>
      </c>
      <c r="G519" s="9">
        <v>2017</v>
      </c>
      <c r="H519" s="9">
        <v>2</v>
      </c>
      <c r="I519" s="9">
        <v>0</v>
      </c>
      <c r="J519" s="9" t="s">
        <v>78</v>
      </c>
      <c r="K519" s="158">
        <v>7</v>
      </c>
      <c r="L519" s="9">
        <f t="shared" si="207"/>
        <v>2024</v>
      </c>
      <c r="M519" s="127">
        <f t="shared" si="208"/>
        <v>2024.1666666666667</v>
      </c>
      <c r="N519" s="13">
        <v>30738.18</v>
      </c>
      <c r="O519" s="13">
        <f t="shared" si="209"/>
        <v>30738.18</v>
      </c>
      <c r="P519" s="13">
        <f t="shared" si="210"/>
        <v>365.93071428571426</v>
      </c>
      <c r="Q519" s="13">
        <f t="shared" si="211"/>
        <v>4391.1685714285713</v>
      </c>
      <c r="R519" s="13">
        <v>4391.1685714285713</v>
      </c>
      <c r="S519" s="13">
        <f t="shared" si="212"/>
        <v>4391.1685714285713</v>
      </c>
      <c r="T519" s="13">
        <f t="shared" si="213"/>
        <v>17564.674285714285</v>
      </c>
      <c r="U519" s="13">
        <f t="shared" si="214"/>
        <v>21955.842857142856</v>
      </c>
      <c r="V519" s="13">
        <v>21955.842857142859</v>
      </c>
      <c r="W519" s="13">
        <f t="shared" si="215"/>
        <v>8782.3371428571445</v>
      </c>
      <c r="X519" s="115">
        <f t="shared" si="216"/>
        <v>4391.1685714285713</v>
      </c>
      <c r="Y519" s="116">
        <f t="shared" si="217"/>
        <v>8782.3371428571445</v>
      </c>
      <c r="Z519" s="116">
        <f t="shared" si="218"/>
        <v>0</v>
      </c>
      <c r="AA519" s="116">
        <f t="shared" si="219"/>
        <v>-13173.505714285715</v>
      </c>
      <c r="AB519" s="117">
        <f>'Ratios (C)'!$C$26+'Ratios (C)'!$D$26</f>
        <v>0.75270178133090293</v>
      </c>
      <c r="AC519" s="116">
        <f t="shared" si="220"/>
        <v>3305.2404058385619</v>
      </c>
      <c r="AD519" s="116">
        <f t="shared" si="221"/>
        <v>6610.4808116771255</v>
      </c>
      <c r="AE519" s="118"/>
      <c r="AF519" s="119"/>
      <c r="AG519" s="120"/>
      <c r="AH519" s="118"/>
      <c r="AI519" s="119"/>
      <c r="AJ519" s="121"/>
    </row>
    <row r="520" spans="2:36" s="9" customFormat="1">
      <c r="B520" s="9">
        <v>648</v>
      </c>
      <c r="C520" s="9" t="s">
        <v>627</v>
      </c>
      <c r="E520" s="9">
        <v>176741</v>
      </c>
      <c r="G520" s="9">
        <v>2017</v>
      </c>
      <c r="H520" s="9">
        <v>2</v>
      </c>
      <c r="I520" s="9">
        <v>0</v>
      </c>
      <c r="J520" s="9" t="s">
        <v>78</v>
      </c>
      <c r="K520" s="158">
        <v>7</v>
      </c>
      <c r="L520" s="9">
        <f t="shared" si="207"/>
        <v>2024</v>
      </c>
      <c r="M520" s="127">
        <f t="shared" si="208"/>
        <v>2024.1666666666667</v>
      </c>
      <c r="N520" s="13">
        <v>30738.18</v>
      </c>
      <c r="O520" s="13">
        <f t="shared" si="209"/>
        <v>30738.18</v>
      </c>
      <c r="P520" s="13">
        <f t="shared" si="210"/>
        <v>365.93071428571426</v>
      </c>
      <c r="Q520" s="13">
        <f t="shared" si="211"/>
        <v>4391.1685714285713</v>
      </c>
      <c r="R520" s="13">
        <v>4391.1685714285713</v>
      </c>
      <c r="S520" s="13">
        <f t="shared" si="212"/>
        <v>4391.1685714285713</v>
      </c>
      <c r="T520" s="13">
        <f t="shared" si="213"/>
        <v>17564.674285714285</v>
      </c>
      <c r="U520" s="13">
        <f t="shared" si="214"/>
        <v>21955.842857142856</v>
      </c>
      <c r="V520" s="13">
        <v>21955.842857142859</v>
      </c>
      <c r="W520" s="13">
        <f t="shared" si="215"/>
        <v>8782.3371428571445</v>
      </c>
      <c r="X520" s="115">
        <f t="shared" si="216"/>
        <v>4391.1685714285713</v>
      </c>
      <c r="Y520" s="116">
        <f t="shared" si="217"/>
        <v>8782.3371428571445</v>
      </c>
      <c r="Z520" s="116">
        <f t="shared" si="218"/>
        <v>0</v>
      </c>
      <c r="AA520" s="116">
        <f t="shared" si="219"/>
        <v>-13173.505714285715</v>
      </c>
      <c r="AB520" s="117">
        <f>'Ratios (C)'!$C$26+'Ratios (C)'!$D$26</f>
        <v>0.75270178133090293</v>
      </c>
      <c r="AC520" s="116">
        <f t="shared" si="220"/>
        <v>3305.2404058385619</v>
      </c>
      <c r="AD520" s="116">
        <f t="shared" si="221"/>
        <v>6610.4808116771255</v>
      </c>
      <c r="AE520" s="118"/>
      <c r="AF520" s="119"/>
      <c r="AG520" s="120"/>
      <c r="AH520" s="118"/>
      <c r="AI520" s="119"/>
      <c r="AJ520" s="121"/>
    </row>
    <row r="521" spans="2:36" s="9" customFormat="1">
      <c r="B521" s="9">
        <v>1080</v>
      </c>
      <c r="C521" s="9" t="s">
        <v>635</v>
      </c>
      <c r="E521" s="9">
        <v>177850</v>
      </c>
      <c r="G521" s="9">
        <v>2017</v>
      </c>
      <c r="H521" s="9">
        <v>2</v>
      </c>
      <c r="I521" s="9">
        <v>0</v>
      </c>
      <c r="J521" s="9" t="s">
        <v>78</v>
      </c>
      <c r="K521" s="158">
        <v>7</v>
      </c>
      <c r="L521" s="9">
        <f t="shared" si="207"/>
        <v>2024</v>
      </c>
      <c r="M521" s="127">
        <f t="shared" si="208"/>
        <v>2024.1666666666667</v>
      </c>
      <c r="N521" s="13">
        <v>40131.97</v>
      </c>
      <c r="O521" s="13">
        <f t="shared" si="209"/>
        <v>40131.97</v>
      </c>
      <c r="P521" s="13">
        <f t="shared" si="210"/>
        <v>477.76154761904763</v>
      </c>
      <c r="Q521" s="13">
        <f t="shared" si="211"/>
        <v>5733.1385714285716</v>
      </c>
      <c r="R521" s="13">
        <v>5733.1385714285716</v>
      </c>
      <c r="S521" s="13">
        <f t="shared" si="212"/>
        <v>5733.1385714285716</v>
      </c>
      <c r="T521" s="13">
        <f t="shared" si="213"/>
        <v>22932.554285714286</v>
      </c>
      <c r="U521" s="13">
        <f t="shared" si="214"/>
        <v>28665.692857142858</v>
      </c>
      <c r="V521" s="13">
        <v>28665.692857142858</v>
      </c>
      <c r="W521" s="13">
        <f t="shared" si="215"/>
        <v>11466.277142857143</v>
      </c>
      <c r="X521" s="115">
        <f t="shared" si="216"/>
        <v>5733.1385714285716</v>
      </c>
      <c r="Y521" s="116">
        <f t="shared" si="217"/>
        <v>11466.277142857143</v>
      </c>
      <c r="Z521" s="116">
        <f t="shared" si="218"/>
        <v>0</v>
      </c>
      <c r="AA521" s="116">
        <f t="shared" si="219"/>
        <v>-17199.415714285715</v>
      </c>
      <c r="AB521" s="117">
        <f>'Ratios (C)'!$C$26+'Ratios (C)'!$D$26</f>
        <v>0.75270178133090293</v>
      </c>
      <c r="AC521" s="116">
        <f t="shared" si="220"/>
        <v>4315.3436153311941</v>
      </c>
      <c r="AD521" s="116">
        <f t="shared" si="221"/>
        <v>8630.6872306623882</v>
      </c>
      <c r="AE521" s="118"/>
      <c r="AF521" s="119"/>
      <c r="AG521" s="120"/>
      <c r="AH521" s="118"/>
      <c r="AI521" s="119"/>
      <c r="AJ521" s="121"/>
    </row>
    <row r="522" spans="2:36" s="9" customFormat="1">
      <c r="B522" s="9">
        <v>1080</v>
      </c>
      <c r="C522" s="9" t="s">
        <v>635</v>
      </c>
      <c r="E522" s="9">
        <v>177849</v>
      </c>
      <c r="G522" s="9">
        <v>2017</v>
      </c>
      <c r="H522" s="9">
        <v>2</v>
      </c>
      <c r="I522" s="9">
        <v>0</v>
      </c>
      <c r="J522" s="9" t="s">
        <v>78</v>
      </c>
      <c r="K522" s="158">
        <v>7</v>
      </c>
      <c r="L522" s="9">
        <f t="shared" si="207"/>
        <v>2024</v>
      </c>
      <c r="M522" s="127">
        <f t="shared" si="208"/>
        <v>2024.1666666666667</v>
      </c>
      <c r="N522" s="13">
        <v>40131.97</v>
      </c>
      <c r="O522" s="13">
        <f t="shared" si="209"/>
        <v>40131.97</v>
      </c>
      <c r="P522" s="13">
        <f t="shared" si="210"/>
        <v>477.76154761904763</v>
      </c>
      <c r="Q522" s="13">
        <f t="shared" si="211"/>
        <v>5733.1385714285716</v>
      </c>
      <c r="R522" s="13">
        <v>5733.1385714285716</v>
      </c>
      <c r="S522" s="13">
        <f t="shared" si="212"/>
        <v>5733.1385714285716</v>
      </c>
      <c r="T522" s="13">
        <f t="shared" si="213"/>
        <v>22932.554285714286</v>
      </c>
      <c r="U522" s="13">
        <f t="shared" si="214"/>
        <v>28665.692857142858</v>
      </c>
      <c r="V522" s="13">
        <v>28665.692857142858</v>
      </c>
      <c r="W522" s="13">
        <f t="shared" si="215"/>
        <v>11466.277142857143</v>
      </c>
      <c r="X522" s="115">
        <f t="shared" si="216"/>
        <v>5733.1385714285716</v>
      </c>
      <c r="Y522" s="116">
        <f t="shared" si="217"/>
        <v>11466.277142857143</v>
      </c>
      <c r="Z522" s="116">
        <f t="shared" si="218"/>
        <v>0</v>
      </c>
      <c r="AA522" s="116">
        <f t="shared" si="219"/>
        <v>-17199.415714285715</v>
      </c>
      <c r="AB522" s="117">
        <f>'Ratios (C)'!$C$26+'Ratios (C)'!$D$26</f>
        <v>0.75270178133090293</v>
      </c>
      <c r="AC522" s="116">
        <f t="shared" si="220"/>
        <v>4315.3436153311941</v>
      </c>
      <c r="AD522" s="116">
        <f t="shared" si="221"/>
        <v>8630.6872306623882</v>
      </c>
      <c r="AE522" s="118"/>
      <c r="AF522" s="119"/>
      <c r="AG522" s="120"/>
      <c r="AH522" s="118"/>
      <c r="AI522" s="119"/>
      <c r="AJ522" s="121"/>
    </row>
    <row r="523" spans="2:36" s="9" customFormat="1">
      <c r="B523" s="9">
        <v>702</v>
      </c>
      <c r="C523" s="9" t="s">
        <v>628</v>
      </c>
      <c r="E523" s="9">
        <v>181674</v>
      </c>
      <c r="G523" s="9">
        <v>2017</v>
      </c>
      <c r="H523" s="9">
        <v>5</v>
      </c>
      <c r="I523" s="9">
        <v>0</v>
      </c>
      <c r="J523" s="9" t="s">
        <v>78</v>
      </c>
      <c r="K523" s="158">
        <v>7</v>
      </c>
      <c r="L523" s="9">
        <f t="shared" si="207"/>
        <v>2024</v>
      </c>
      <c r="M523" s="127">
        <f t="shared" si="208"/>
        <v>2024.4166666666667</v>
      </c>
      <c r="N523" s="13">
        <v>34834.79</v>
      </c>
      <c r="O523" s="13">
        <f t="shared" si="209"/>
        <v>34834.79</v>
      </c>
      <c r="P523" s="13">
        <f t="shared" si="210"/>
        <v>414.69988095238097</v>
      </c>
      <c r="Q523" s="13">
        <f t="shared" si="211"/>
        <v>4976.3985714285718</v>
      </c>
      <c r="R523" s="13">
        <v>4976.3985714285718</v>
      </c>
      <c r="S523" s="13">
        <f t="shared" si="212"/>
        <v>4976.3985714285718</v>
      </c>
      <c r="T523" s="13">
        <f t="shared" si="213"/>
        <v>19905.594285714287</v>
      </c>
      <c r="U523" s="13">
        <f t="shared" si="214"/>
        <v>24881.992857142861</v>
      </c>
      <c r="V523" s="13">
        <v>24881.992857142857</v>
      </c>
      <c r="W523" s="13">
        <f t="shared" si="215"/>
        <v>9952.79714285714</v>
      </c>
      <c r="X523" s="115">
        <f t="shared" si="216"/>
        <v>4976.3985714285718</v>
      </c>
      <c r="Y523" s="116">
        <f t="shared" si="217"/>
        <v>9952.79714285714</v>
      </c>
      <c r="Z523" s="116">
        <f t="shared" si="218"/>
        <v>0</v>
      </c>
      <c r="AA523" s="116">
        <f t="shared" si="219"/>
        <v>-14929.195714285717</v>
      </c>
      <c r="AB523" s="117">
        <f>'Ratios (C)'!$C$26+'Ratios (C)'!$D$26</f>
        <v>0.75270178133090293</v>
      </c>
      <c r="AC523" s="116">
        <f t="shared" si="220"/>
        <v>3745.7440693268468</v>
      </c>
      <c r="AD523" s="116">
        <f t="shared" si="221"/>
        <v>7491.4881386536908</v>
      </c>
      <c r="AE523" s="118"/>
      <c r="AF523" s="119"/>
      <c r="AG523" s="120"/>
      <c r="AH523" s="118"/>
      <c r="AI523" s="119"/>
      <c r="AJ523" s="121"/>
    </row>
    <row r="524" spans="2:36" s="9" customFormat="1">
      <c r="B524" s="9">
        <v>702</v>
      </c>
      <c r="C524" s="9" t="s">
        <v>628</v>
      </c>
      <c r="E524" s="9">
        <v>183933</v>
      </c>
      <c r="G524" s="9">
        <v>2017</v>
      </c>
      <c r="H524" s="9">
        <v>6</v>
      </c>
      <c r="I524" s="9">
        <v>0</v>
      </c>
      <c r="J524" s="9" t="s">
        <v>78</v>
      </c>
      <c r="K524" s="158">
        <v>7</v>
      </c>
      <c r="L524" s="9">
        <f t="shared" si="207"/>
        <v>2024</v>
      </c>
      <c r="M524" s="127">
        <f t="shared" si="208"/>
        <v>2024.5</v>
      </c>
      <c r="N524" s="13">
        <v>38623.17</v>
      </c>
      <c r="O524" s="13">
        <f t="shared" si="209"/>
        <v>38623.17</v>
      </c>
      <c r="P524" s="13">
        <f t="shared" si="210"/>
        <v>459.79964285714283</v>
      </c>
      <c r="Q524" s="13">
        <f t="shared" si="211"/>
        <v>5517.5957142857142</v>
      </c>
      <c r="R524" s="13">
        <v>5517.5957142857142</v>
      </c>
      <c r="S524" s="13">
        <f t="shared" si="212"/>
        <v>5517.5957142857142</v>
      </c>
      <c r="T524" s="13">
        <f t="shared" si="213"/>
        <v>22070.382857142857</v>
      </c>
      <c r="U524" s="13">
        <f t="shared" si="214"/>
        <v>27587.978571428572</v>
      </c>
      <c r="V524" s="13">
        <v>27587.978571428568</v>
      </c>
      <c r="W524" s="13">
        <f t="shared" si="215"/>
        <v>11035.191428571427</v>
      </c>
      <c r="X524" s="115">
        <f t="shared" si="216"/>
        <v>5517.5957142857142</v>
      </c>
      <c r="Y524" s="116">
        <f t="shared" si="217"/>
        <v>11035.191428571427</v>
      </c>
      <c r="Z524" s="116">
        <f t="shared" si="218"/>
        <v>0</v>
      </c>
      <c r="AA524" s="116">
        <f t="shared" si="219"/>
        <v>-16552.787142857142</v>
      </c>
      <c r="AB524" s="117">
        <f>'Ratios (C)'!$C$26+'Ratios (C)'!$D$26</f>
        <v>0.75270178133090293</v>
      </c>
      <c r="AC524" s="116">
        <f t="shared" si="220"/>
        <v>4153.1041228066124</v>
      </c>
      <c r="AD524" s="116">
        <f t="shared" si="221"/>
        <v>8306.2082456132248</v>
      </c>
      <c r="AE524" s="118"/>
      <c r="AF524" s="119"/>
      <c r="AG524" s="120"/>
      <c r="AH524" s="118"/>
      <c r="AI524" s="119"/>
      <c r="AJ524" s="121"/>
    </row>
    <row r="525" spans="2:36" s="9" customFormat="1">
      <c r="B525" s="9">
        <v>792</v>
      </c>
      <c r="C525" s="9" t="s">
        <v>627</v>
      </c>
      <c r="E525" s="9">
        <v>185322</v>
      </c>
      <c r="G525" s="9">
        <v>2017</v>
      </c>
      <c r="H525" s="9">
        <v>7</v>
      </c>
      <c r="I525" s="9">
        <v>0</v>
      </c>
      <c r="J525" s="9" t="s">
        <v>78</v>
      </c>
      <c r="K525" s="158">
        <v>7</v>
      </c>
      <c r="L525" s="9">
        <f t="shared" si="207"/>
        <v>2024</v>
      </c>
      <c r="M525" s="127">
        <f t="shared" si="208"/>
        <v>2024.5833333333333</v>
      </c>
      <c r="N525" s="13">
        <v>36039.269999999997</v>
      </c>
      <c r="O525" s="13">
        <f t="shared" si="209"/>
        <v>36039.269999999997</v>
      </c>
      <c r="P525" s="13">
        <f t="shared" si="210"/>
        <v>429.03892857142858</v>
      </c>
      <c r="Q525" s="13">
        <f t="shared" si="211"/>
        <v>5148.4671428571428</v>
      </c>
      <c r="R525" s="13">
        <v>5148.4671428571428</v>
      </c>
      <c r="S525" s="13">
        <f t="shared" si="212"/>
        <v>5148.4671428571428</v>
      </c>
      <c r="T525" s="13">
        <f t="shared" si="213"/>
        <v>20593.868571428571</v>
      </c>
      <c r="U525" s="13">
        <f t="shared" si="214"/>
        <v>25742.335714285713</v>
      </c>
      <c r="V525" s="13">
        <v>25742.335714285713</v>
      </c>
      <c r="W525" s="13">
        <f t="shared" si="215"/>
        <v>10296.934285714284</v>
      </c>
      <c r="X525" s="115">
        <f t="shared" si="216"/>
        <v>5148.4671428571428</v>
      </c>
      <c r="Y525" s="116">
        <f t="shared" si="217"/>
        <v>10296.934285714284</v>
      </c>
      <c r="Z525" s="116">
        <f t="shared" si="218"/>
        <v>0</v>
      </c>
      <c r="AA525" s="116">
        <f t="shared" si="219"/>
        <v>-15445.401428571429</v>
      </c>
      <c r="AB525" s="117">
        <f>'Ratios (C)'!$C$26+'Ratios (C)'!$D$26</f>
        <v>0.75270178133090293</v>
      </c>
      <c r="AC525" s="116">
        <f t="shared" si="220"/>
        <v>3875.2603895521956</v>
      </c>
      <c r="AD525" s="116">
        <f t="shared" si="221"/>
        <v>7750.5207791043904</v>
      </c>
      <c r="AE525" s="118"/>
      <c r="AF525" s="119"/>
      <c r="AG525" s="120"/>
      <c r="AH525" s="118"/>
      <c r="AI525" s="119"/>
      <c r="AJ525" s="121"/>
    </row>
    <row r="526" spans="2:36" s="9" customFormat="1">
      <c r="B526" s="9">
        <v>864</v>
      </c>
      <c r="C526" s="9" t="s">
        <v>627</v>
      </c>
      <c r="E526" s="9">
        <v>190184</v>
      </c>
      <c r="G526" s="9">
        <v>2017</v>
      </c>
      <c r="H526" s="9">
        <v>12</v>
      </c>
      <c r="I526" s="9">
        <v>0</v>
      </c>
      <c r="J526" s="9" t="s">
        <v>78</v>
      </c>
      <c r="K526" s="158">
        <v>7</v>
      </c>
      <c r="L526" s="9">
        <f t="shared" si="207"/>
        <v>2024</v>
      </c>
      <c r="M526" s="127">
        <f t="shared" si="208"/>
        <v>2025</v>
      </c>
      <c r="N526" s="13">
        <v>39522.050000000003</v>
      </c>
      <c r="O526" s="13">
        <f t="shared" si="209"/>
        <v>39522.050000000003</v>
      </c>
      <c r="P526" s="13">
        <f t="shared" si="210"/>
        <v>470.50059523809529</v>
      </c>
      <c r="Q526" s="13">
        <f t="shared" si="211"/>
        <v>5646.0071428571437</v>
      </c>
      <c r="R526" s="13">
        <v>5646.0071428571437</v>
      </c>
      <c r="S526" s="13">
        <f t="shared" si="212"/>
        <v>5646.0071428571437</v>
      </c>
      <c r="T526" s="13">
        <f t="shared" si="213"/>
        <v>22584.028571428575</v>
      </c>
      <c r="U526" s="13">
        <f t="shared" si="214"/>
        <v>28230.035714285717</v>
      </c>
      <c r="V526" s="13">
        <v>28230.035714285717</v>
      </c>
      <c r="W526" s="13">
        <f t="shared" si="215"/>
        <v>11292.014285714286</v>
      </c>
      <c r="X526" s="115">
        <f t="shared" si="216"/>
        <v>5646.0071428571437</v>
      </c>
      <c r="Y526" s="116">
        <f t="shared" si="217"/>
        <v>11292.014285714286</v>
      </c>
      <c r="Z526" s="116">
        <f t="shared" si="218"/>
        <v>0</v>
      </c>
      <c r="AA526" s="116">
        <f t="shared" si="219"/>
        <v>-16938.021428571432</v>
      </c>
      <c r="AB526" s="117">
        <f>'Ratios (C)'!$C$26+'Ratios (C)'!$D$26</f>
        <v>0.75270178133090293</v>
      </c>
      <c r="AC526" s="116">
        <f t="shared" si="220"/>
        <v>4249.7596338355734</v>
      </c>
      <c r="AD526" s="116">
        <f t="shared" si="221"/>
        <v>8499.5192676711467</v>
      </c>
      <c r="AE526" s="118"/>
      <c r="AF526" s="119"/>
      <c r="AG526" s="120"/>
      <c r="AH526" s="118"/>
      <c r="AI526" s="119"/>
      <c r="AJ526" s="121"/>
    </row>
    <row r="527" spans="2:36" s="9" customFormat="1">
      <c r="B527" s="9">
        <v>768</v>
      </c>
      <c r="C527" s="9" t="s">
        <v>627</v>
      </c>
      <c r="E527" s="9">
        <v>185870</v>
      </c>
      <c r="G527" s="9">
        <v>2017</v>
      </c>
      <c r="H527" s="9">
        <v>8</v>
      </c>
      <c r="I527" s="9">
        <v>0</v>
      </c>
      <c r="J527" s="9" t="s">
        <v>78</v>
      </c>
      <c r="K527" s="158">
        <v>7</v>
      </c>
      <c r="L527" s="9">
        <f t="shared" si="207"/>
        <v>2024</v>
      </c>
      <c r="M527" s="127">
        <f t="shared" si="208"/>
        <v>2024.6666666666667</v>
      </c>
      <c r="N527" s="13">
        <v>34622.35</v>
      </c>
      <c r="O527" s="13">
        <f t="shared" si="209"/>
        <v>34622.35</v>
      </c>
      <c r="P527" s="13">
        <f t="shared" si="210"/>
        <v>412.17083333333335</v>
      </c>
      <c r="Q527" s="13">
        <f t="shared" si="211"/>
        <v>4946.05</v>
      </c>
      <c r="R527" s="13">
        <v>4946.05</v>
      </c>
      <c r="S527" s="13">
        <f t="shared" si="212"/>
        <v>4946.05</v>
      </c>
      <c r="T527" s="13">
        <f t="shared" si="213"/>
        <v>19784.2</v>
      </c>
      <c r="U527" s="13">
        <f t="shared" si="214"/>
        <v>24730.25</v>
      </c>
      <c r="V527" s="13">
        <v>24730.25</v>
      </c>
      <c r="W527" s="13">
        <f t="shared" si="215"/>
        <v>9892.0999999999985</v>
      </c>
      <c r="X527" s="115">
        <f t="shared" si="216"/>
        <v>4946.05</v>
      </c>
      <c r="Y527" s="116">
        <f t="shared" si="217"/>
        <v>9892.0999999999985</v>
      </c>
      <c r="Z527" s="116">
        <f t="shared" si="218"/>
        <v>0</v>
      </c>
      <c r="AA527" s="116">
        <f t="shared" si="219"/>
        <v>-14838.150000000001</v>
      </c>
      <c r="AB527" s="117">
        <f>'Ratios (C)'!$C$26+'Ratios (C)'!$D$26</f>
        <v>0.75270178133090293</v>
      </c>
      <c r="AC527" s="116">
        <f t="shared" si="220"/>
        <v>3722.9006455517124</v>
      </c>
      <c r="AD527" s="116">
        <f t="shared" si="221"/>
        <v>7445.8012911034239</v>
      </c>
      <c r="AE527" s="118"/>
      <c r="AF527" s="119"/>
      <c r="AG527" s="120"/>
      <c r="AH527" s="118"/>
      <c r="AI527" s="119"/>
      <c r="AJ527" s="121"/>
    </row>
    <row r="528" spans="2:36" s="9" customFormat="1">
      <c r="B528" s="9">
        <v>864</v>
      </c>
      <c r="C528" s="9" t="s">
        <v>637</v>
      </c>
      <c r="E528" s="9">
        <v>192486</v>
      </c>
      <c r="G528" s="9">
        <v>2018</v>
      </c>
      <c r="H528" s="9">
        <v>1</v>
      </c>
      <c r="I528" s="9">
        <v>0</v>
      </c>
      <c r="J528" s="9" t="s">
        <v>78</v>
      </c>
      <c r="K528" s="158">
        <v>7</v>
      </c>
      <c r="L528" s="9">
        <f t="shared" si="207"/>
        <v>2025</v>
      </c>
      <c r="M528" s="127">
        <f t="shared" si="208"/>
        <v>2025.0833333333333</v>
      </c>
      <c r="N528" s="13">
        <v>39303.46</v>
      </c>
      <c r="O528" s="13">
        <f t="shared" si="209"/>
        <v>39303.46</v>
      </c>
      <c r="P528" s="13">
        <f t="shared" si="210"/>
        <v>467.89833333333331</v>
      </c>
      <c r="Q528" s="13">
        <f t="shared" si="211"/>
        <v>5614.78</v>
      </c>
      <c r="R528" s="13">
        <v>5614.78</v>
      </c>
      <c r="S528" s="13">
        <f t="shared" si="212"/>
        <v>5614.78</v>
      </c>
      <c r="T528" s="13">
        <f t="shared" si="213"/>
        <v>16844.34</v>
      </c>
      <c r="U528" s="13">
        <f t="shared" si="214"/>
        <v>22459.119999999999</v>
      </c>
      <c r="V528" s="13">
        <v>33688.68</v>
      </c>
      <c r="W528" s="13">
        <f t="shared" si="215"/>
        <v>16844.34</v>
      </c>
      <c r="X528" s="115">
        <f t="shared" si="216"/>
        <v>5614.78</v>
      </c>
      <c r="Y528" s="116">
        <f t="shared" si="217"/>
        <v>16844.34</v>
      </c>
      <c r="Z528" s="116">
        <f t="shared" si="218"/>
        <v>0</v>
      </c>
      <c r="AA528" s="116">
        <f t="shared" si="219"/>
        <v>-16844.34</v>
      </c>
      <c r="AB528" s="117">
        <f>'Ratios (C)'!$C$26+'Ratios (C)'!$D$26</f>
        <v>0.75270178133090293</v>
      </c>
      <c r="AC528" s="116">
        <f t="shared" si="220"/>
        <v>4226.2549077811273</v>
      </c>
      <c r="AD528" s="116">
        <f t="shared" si="221"/>
        <v>12678.764723343382</v>
      </c>
      <c r="AE528" s="118"/>
      <c r="AF528" s="119"/>
      <c r="AG528" s="120"/>
      <c r="AH528" s="118"/>
      <c r="AI528" s="119"/>
      <c r="AJ528" s="121"/>
    </row>
    <row r="529" spans="2:36" s="9" customFormat="1">
      <c r="B529" s="9">
        <v>624</v>
      </c>
      <c r="C529" s="9" t="s">
        <v>638</v>
      </c>
      <c r="E529" s="9">
        <v>193148</v>
      </c>
      <c r="G529" s="9">
        <v>2018</v>
      </c>
      <c r="H529" s="9">
        <v>2</v>
      </c>
      <c r="I529" s="9">
        <v>0</v>
      </c>
      <c r="J529" s="9" t="s">
        <v>78</v>
      </c>
      <c r="K529" s="158">
        <v>7</v>
      </c>
      <c r="L529" s="9">
        <f t="shared" si="207"/>
        <v>2025</v>
      </c>
      <c r="M529" s="127">
        <f t="shared" si="208"/>
        <v>2025.1666666666667</v>
      </c>
      <c r="N529" s="13">
        <v>32824.15</v>
      </c>
      <c r="O529" s="13">
        <f t="shared" si="209"/>
        <v>32824.15</v>
      </c>
      <c r="P529" s="13">
        <f t="shared" si="210"/>
        <v>390.7636904761905</v>
      </c>
      <c r="Q529" s="13">
        <f t="shared" si="211"/>
        <v>4689.1642857142861</v>
      </c>
      <c r="R529" s="13">
        <v>4689.1642857142861</v>
      </c>
      <c r="S529" s="13">
        <f t="shared" si="212"/>
        <v>4689.1642857142861</v>
      </c>
      <c r="T529" s="13">
        <f t="shared" si="213"/>
        <v>14067.492857142857</v>
      </c>
      <c r="U529" s="13">
        <f t="shared" si="214"/>
        <v>18756.657142857144</v>
      </c>
      <c r="V529" s="13">
        <v>28134.985714285714</v>
      </c>
      <c r="W529" s="13">
        <f t="shared" si="215"/>
        <v>14067.492857142857</v>
      </c>
      <c r="X529" s="115">
        <f t="shared" si="216"/>
        <v>4689.1642857142861</v>
      </c>
      <c r="Y529" s="116">
        <f t="shared" si="217"/>
        <v>14067.492857142857</v>
      </c>
      <c r="Z529" s="116">
        <f t="shared" si="218"/>
        <v>0</v>
      </c>
      <c r="AA529" s="116">
        <f t="shared" si="219"/>
        <v>-14067.492857142857</v>
      </c>
      <c r="AB529" s="117">
        <f>'Ratios (C)'!$C$26+'Ratios (C)'!$D$26</f>
        <v>0.75270178133090293</v>
      </c>
      <c r="AC529" s="116">
        <f t="shared" si="220"/>
        <v>3529.5423108103942</v>
      </c>
      <c r="AD529" s="116">
        <f t="shared" si="221"/>
        <v>10588.626932431182</v>
      </c>
      <c r="AE529" s="118"/>
      <c r="AF529" s="119"/>
      <c r="AG529" s="120"/>
      <c r="AH529" s="118"/>
      <c r="AI529" s="119"/>
      <c r="AJ529" s="121"/>
    </row>
    <row r="530" spans="2:36" s="9" customFormat="1">
      <c r="B530" s="9">
        <v>864</v>
      </c>
      <c r="C530" s="9" t="s">
        <v>639</v>
      </c>
      <c r="E530" s="9">
        <v>197566</v>
      </c>
      <c r="G530" s="9">
        <v>2018</v>
      </c>
      <c r="H530" s="9">
        <v>5</v>
      </c>
      <c r="I530" s="9">
        <v>0</v>
      </c>
      <c r="J530" s="9" t="s">
        <v>78</v>
      </c>
      <c r="K530" s="158">
        <v>7</v>
      </c>
      <c r="L530" s="9">
        <f t="shared" si="207"/>
        <v>2025</v>
      </c>
      <c r="M530" s="127">
        <f t="shared" si="208"/>
        <v>2025.4166666666667</v>
      </c>
      <c r="N530" s="13">
        <v>42474.5</v>
      </c>
      <c r="O530" s="13">
        <f t="shared" si="209"/>
        <v>42474.5</v>
      </c>
      <c r="P530" s="13">
        <f t="shared" si="210"/>
        <v>505.64880952380958</v>
      </c>
      <c r="Q530" s="13">
        <f t="shared" si="211"/>
        <v>6067.7857142857147</v>
      </c>
      <c r="R530" s="13">
        <v>6067.7857142857147</v>
      </c>
      <c r="S530" s="13">
        <f t="shared" si="212"/>
        <v>6067.7857142857147</v>
      </c>
      <c r="T530" s="13">
        <f t="shared" si="213"/>
        <v>18203.357142857145</v>
      </c>
      <c r="U530" s="13">
        <f t="shared" si="214"/>
        <v>24271.142857142859</v>
      </c>
      <c r="V530" s="13">
        <v>36406.714285714283</v>
      </c>
      <c r="W530" s="13">
        <f t="shared" si="215"/>
        <v>18203.357142857141</v>
      </c>
      <c r="X530" s="115">
        <f t="shared" si="216"/>
        <v>6067.7857142857147</v>
      </c>
      <c r="Y530" s="116">
        <f t="shared" si="217"/>
        <v>18203.357142857141</v>
      </c>
      <c r="Z530" s="116">
        <f t="shared" si="218"/>
        <v>0</v>
      </c>
      <c r="AA530" s="116">
        <f t="shared" si="219"/>
        <v>-18203.357142857141</v>
      </c>
      <c r="AB530" s="117">
        <f>'Ratios (C)'!$C$26+'Ratios (C)'!$D$26</f>
        <v>0.75270178133090293</v>
      </c>
      <c r="AC530" s="116">
        <f t="shared" si="220"/>
        <v>4567.233115877063</v>
      </c>
      <c r="AD530" s="116">
        <f t="shared" si="221"/>
        <v>13701.699347631185</v>
      </c>
      <c r="AE530" s="118"/>
      <c r="AF530" s="119"/>
      <c r="AG530" s="120"/>
      <c r="AH530" s="118"/>
      <c r="AI530" s="119"/>
      <c r="AJ530" s="121"/>
    </row>
    <row r="531" spans="2:36" s="9" customFormat="1">
      <c r="B531" s="9">
        <v>864</v>
      </c>
      <c r="C531" s="9" t="s">
        <v>639</v>
      </c>
      <c r="E531" s="9">
        <v>198376</v>
      </c>
      <c r="G531" s="9">
        <v>2018</v>
      </c>
      <c r="H531" s="9">
        <v>5</v>
      </c>
      <c r="I531" s="9">
        <v>0</v>
      </c>
      <c r="J531" s="9" t="s">
        <v>78</v>
      </c>
      <c r="K531" s="158">
        <v>7</v>
      </c>
      <c r="L531" s="9">
        <f t="shared" si="207"/>
        <v>2025</v>
      </c>
      <c r="M531" s="127">
        <f t="shared" si="208"/>
        <v>2025.4166666666667</v>
      </c>
      <c r="N531" s="13">
        <v>37301.9</v>
      </c>
      <c r="O531" s="13">
        <f t="shared" si="209"/>
        <v>37301.9</v>
      </c>
      <c r="P531" s="13">
        <f t="shared" si="210"/>
        <v>444.07023809523815</v>
      </c>
      <c r="Q531" s="13">
        <f t="shared" si="211"/>
        <v>5328.8428571428576</v>
      </c>
      <c r="R531" s="13">
        <v>5328.8428571428576</v>
      </c>
      <c r="S531" s="13">
        <f t="shared" si="212"/>
        <v>5328.8428571428576</v>
      </c>
      <c r="T531" s="13">
        <f t="shared" si="213"/>
        <v>15986.528571428573</v>
      </c>
      <c r="U531" s="13">
        <f t="shared" si="214"/>
        <v>21315.37142857143</v>
      </c>
      <c r="V531" s="13">
        <v>31973.057142857142</v>
      </c>
      <c r="W531" s="13">
        <f t="shared" si="215"/>
        <v>15986.528571428571</v>
      </c>
      <c r="X531" s="115">
        <f t="shared" si="216"/>
        <v>5328.8428571428576</v>
      </c>
      <c r="Y531" s="116">
        <f t="shared" si="217"/>
        <v>15986.528571428571</v>
      </c>
      <c r="Z531" s="116">
        <f t="shared" si="218"/>
        <v>0</v>
      </c>
      <c r="AA531" s="116">
        <f t="shared" si="219"/>
        <v>-15986.528571428571</v>
      </c>
      <c r="AB531" s="117">
        <f>'Ratios (C)'!$C$26+'Ratios (C)'!$D$26</f>
        <v>0.75270178133090293</v>
      </c>
      <c r="AC531" s="116">
        <f t="shared" si="220"/>
        <v>4011.0295110038874</v>
      </c>
      <c r="AD531" s="116">
        <f t="shared" si="221"/>
        <v>12033.08853301166</v>
      </c>
      <c r="AE531" s="118"/>
      <c r="AF531" s="119"/>
      <c r="AG531" s="120"/>
      <c r="AH531" s="118"/>
      <c r="AI531" s="119"/>
      <c r="AJ531" s="121"/>
    </row>
    <row r="532" spans="2:36" s="9" customFormat="1">
      <c r="B532" s="9">
        <v>624</v>
      </c>
      <c r="C532" s="9" t="s">
        <v>638</v>
      </c>
      <c r="E532" s="9">
        <v>199309</v>
      </c>
      <c r="G532" s="9">
        <v>2018</v>
      </c>
      <c r="H532" s="9">
        <v>6</v>
      </c>
      <c r="I532" s="9">
        <v>0</v>
      </c>
      <c r="J532" s="9" t="s">
        <v>78</v>
      </c>
      <c r="K532" s="158">
        <v>7</v>
      </c>
      <c r="L532" s="9">
        <f t="shared" si="207"/>
        <v>2025</v>
      </c>
      <c r="M532" s="127">
        <f t="shared" si="208"/>
        <v>2025.5</v>
      </c>
      <c r="N532" s="13">
        <v>33402.910000000003</v>
      </c>
      <c r="O532" s="13">
        <f t="shared" si="209"/>
        <v>33402.910000000003</v>
      </c>
      <c r="P532" s="13">
        <f t="shared" si="210"/>
        <v>397.65369047619055</v>
      </c>
      <c r="Q532" s="13">
        <f t="shared" si="211"/>
        <v>4771.8442857142863</v>
      </c>
      <c r="R532" s="13">
        <v>4771.8442857142863</v>
      </c>
      <c r="S532" s="13">
        <f t="shared" si="212"/>
        <v>4771.8442857142863</v>
      </c>
      <c r="T532" s="13">
        <f t="shared" si="213"/>
        <v>14315.532857142858</v>
      </c>
      <c r="U532" s="13">
        <f t="shared" si="214"/>
        <v>19087.377142857145</v>
      </c>
      <c r="V532" s="13">
        <v>28631.065714285716</v>
      </c>
      <c r="W532" s="13">
        <f t="shared" si="215"/>
        <v>14315.532857142858</v>
      </c>
      <c r="X532" s="115">
        <f t="shared" si="216"/>
        <v>4771.8442857142863</v>
      </c>
      <c r="Y532" s="116">
        <f t="shared" si="217"/>
        <v>14315.532857142858</v>
      </c>
      <c r="Z532" s="116">
        <f t="shared" si="218"/>
        <v>0</v>
      </c>
      <c r="AA532" s="116">
        <f t="shared" si="219"/>
        <v>-14315.532857142858</v>
      </c>
      <c r="AB532" s="117">
        <f>'Ratios (C)'!$C$26+'Ratios (C)'!$D$26</f>
        <v>0.75270178133090293</v>
      </c>
      <c r="AC532" s="116">
        <f t="shared" si="220"/>
        <v>3591.7756940908334</v>
      </c>
      <c r="AD532" s="116">
        <f t="shared" si="221"/>
        <v>10775.327082272499</v>
      </c>
      <c r="AE532" s="118"/>
      <c r="AF532" s="119"/>
      <c r="AG532" s="120"/>
      <c r="AH532" s="118"/>
      <c r="AI532" s="119"/>
      <c r="AJ532" s="121"/>
    </row>
    <row r="533" spans="2:36" s="9" customFormat="1">
      <c r="B533" s="9">
        <v>864</v>
      </c>
      <c r="C533" s="9" t="s">
        <v>640</v>
      </c>
      <c r="E533" s="9">
        <v>206677</v>
      </c>
      <c r="G533" s="9">
        <v>2018</v>
      </c>
      <c r="H533" s="9">
        <v>11</v>
      </c>
      <c r="I533" s="9">
        <v>0</v>
      </c>
      <c r="J533" s="9" t="s">
        <v>78</v>
      </c>
      <c r="K533" s="158">
        <v>7</v>
      </c>
      <c r="L533" s="9">
        <f t="shared" si="207"/>
        <v>2025</v>
      </c>
      <c r="M533" s="127">
        <f t="shared" si="208"/>
        <v>2025.9166666666667</v>
      </c>
      <c r="N533" s="13">
        <v>39910.019999999997</v>
      </c>
      <c r="O533" s="13">
        <f t="shared" si="209"/>
        <v>39910.019999999997</v>
      </c>
      <c r="P533" s="13">
        <f t="shared" si="210"/>
        <v>475.1192857142857</v>
      </c>
      <c r="Q533" s="13">
        <f t="shared" si="211"/>
        <v>5701.4314285714281</v>
      </c>
      <c r="R533" s="13">
        <v>5701.4314285714281</v>
      </c>
      <c r="S533" s="13">
        <f t="shared" si="212"/>
        <v>5701.4314285714281</v>
      </c>
      <c r="T533" s="13">
        <f t="shared" si="213"/>
        <v>17104.294285714284</v>
      </c>
      <c r="U533" s="13">
        <f t="shared" si="214"/>
        <v>22805.725714285712</v>
      </c>
      <c r="V533" s="13">
        <v>34208.588571428569</v>
      </c>
      <c r="W533" s="13">
        <f t="shared" si="215"/>
        <v>17104.294285714284</v>
      </c>
      <c r="X533" s="115">
        <f t="shared" si="216"/>
        <v>5701.4314285714281</v>
      </c>
      <c r="Y533" s="116">
        <f t="shared" si="217"/>
        <v>17104.294285714284</v>
      </c>
      <c r="Z533" s="116">
        <f t="shared" si="218"/>
        <v>0</v>
      </c>
      <c r="AA533" s="116">
        <f t="shared" si="219"/>
        <v>-17104.294285714284</v>
      </c>
      <c r="AB533" s="117">
        <f>'Ratios (C)'!$C$26+'Ratios (C)'!$D$26</f>
        <v>0.75270178133090293</v>
      </c>
      <c r="AC533" s="116">
        <f t="shared" si="220"/>
        <v>4291.4775924217083</v>
      </c>
      <c r="AD533" s="116">
        <f t="shared" si="221"/>
        <v>12874.432777265125</v>
      </c>
      <c r="AE533" s="118"/>
      <c r="AF533" s="119"/>
      <c r="AG533" s="120"/>
      <c r="AH533" s="118"/>
      <c r="AI533" s="119"/>
      <c r="AJ533" s="121"/>
    </row>
    <row r="534" spans="2:36" s="9" customFormat="1">
      <c r="B534" s="9">
        <v>624</v>
      </c>
      <c r="C534" s="9" t="s">
        <v>641</v>
      </c>
      <c r="E534" s="9">
        <v>206414</v>
      </c>
      <c r="G534" s="9">
        <v>2018</v>
      </c>
      <c r="H534" s="9">
        <v>11</v>
      </c>
      <c r="I534" s="9">
        <v>0</v>
      </c>
      <c r="J534" s="9" t="s">
        <v>78</v>
      </c>
      <c r="K534" s="158">
        <v>7</v>
      </c>
      <c r="L534" s="9">
        <f t="shared" si="207"/>
        <v>2025</v>
      </c>
      <c r="M534" s="127">
        <f t="shared" si="208"/>
        <v>2025.9166666666667</v>
      </c>
      <c r="N534" s="13">
        <v>33601.22</v>
      </c>
      <c r="O534" s="13">
        <f t="shared" si="209"/>
        <v>33601.22</v>
      </c>
      <c r="P534" s="13">
        <f t="shared" si="210"/>
        <v>400.01452380952384</v>
      </c>
      <c r="Q534" s="13">
        <f t="shared" si="211"/>
        <v>4800.1742857142863</v>
      </c>
      <c r="R534" s="13">
        <v>4800.1742857142863</v>
      </c>
      <c r="S534" s="13">
        <f t="shared" si="212"/>
        <v>4800.1742857142863</v>
      </c>
      <c r="T534" s="13">
        <f t="shared" si="213"/>
        <v>14400.52285714286</v>
      </c>
      <c r="U534" s="13">
        <f t="shared" si="214"/>
        <v>19200.697142857145</v>
      </c>
      <c r="V534" s="13">
        <v>28801.045714285716</v>
      </c>
      <c r="W534" s="13">
        <f t="shared" si="215"/>
        <v>14400.522857142856</v>
      </c>
      <c r="X534" s="115">
        <f t="shared" si="216"/>
        <v>4800.1742857142863</v>
      </c>
      <c r="Y534" s="116">
        <f t="shared" si="217"/>
        <v>14400.522857142856</v>
      </c>
      <c r="Z534" s="116">
        <f t="shared" si="218"/>
        <v>0</v>
      </c>
      <c r="AA534" s="116">
        <f t="shared" si="219"/>
        <v>-14400.52285714286</v>
      </c>
      <c r="AB534" s="117">
        <f>'Ratios (C)'!$C$26+'Ratios (C)'!$D$26</f>
        <v>0.75270178133090293</v>
      </c>
      <c r="AC534" s="116">
        <f t="shared" si="220"/>
        <v>3613.099735555938</v>
      </c>
      <c r="AD534" s="116">
        <f t="shared" si="221"/>
        <v>10839.299206667811</v>
      </c>
      <c r="AE534" s="118"/>
      <c r="AF534" s="119"/>
      <c r="AG534" s="120"/>
      <c r="AH534" s="118"/>
      <c r="AI534" s="119"/>
      <c r="AJ534" s="121"/>
    </row>
    <row r="535" spans="2:36" s="9" customFormat="1">
      <c r="B535" s="9">
        <v>1248</v>
      </c>
      <c r="C535" s="9" t="s">
        <v>642</v>
      </c>
      <c r="E535" s="9">
        <v>211011</v>
      </c>
      <c r="G535" s="9">
        <v>2019</v>
      </c>
      <c r="H535" s="9">
        <v>2</v>
      </c>
      <c r="I535" s="9">
        <v>0</v>
      </c>
      <c r="J535" s="9" t="s">
        <v>78</v>
      </c>
      <c r="K535" s="158">
        <v>7</v>
      </c>
      <c r="L535" s="9">
        <f t="shared" si="207"/>
        <v>2026</v>
      </c>
      <c r="M535" s="127">
        <f t="shared" si="208"/>
        <v>2026.1666666666667</v>
      </c>
      <c r="N535" s="13">
        <v>63802.92</v>
      </c>
      <c r="O535" s="13">
        <f t="shared" si="209"/>
        <v>63802.92</v>
      </c>
      <c r="P535" s="13">
        <f t="shared" si="210"/>
        <v>759.55857142857133</v>
      </c>
      <c r="Q535" s="13">
        <f t="shared" si="211"/>
        <v>9114.7028571428564</v>
      </c>
      <c r="R535" s="13">
        <v>9114.7028571428564</v>
      </c>
      <c r="S535" s="13">
        <f t="shared" si="212"/>
        <v>9114.7028571428564</v>
      </c>
      <c r="T535" s="13">
        <f t="shared" si="213"/>
        <v>18229.405714285713</v>
      </c>
      <c r="U535" s="13">
        <f t="shared" si="214"/>
        <v>27344.108571428569</v>
      </c>
      <c r="V535" s="13">
        <v>54688.217142857146</v>
      </c>
      <c r="W535" s="13">
        <f t="shared" si="215"/>
        <v>36458.811428571425</v>
      </c>
      <c r="X535" s="115">
        <f t="shared" si="216"/>
        <v>9114.7028571428564</v>
      </c>
      <c r="Y535" s="116">
        <f t="shared" si="217"/>
        <v>36458.811428571425</v>
      </c>
      <c r="Z535" s="116">
        <f t="shared" si="218"/>
        <v>0</v>
      </c>
      <c r="AA535" s="116">
        <f t="shared" si="219"/>
        <v>-18229.40571428572</v>
      </c>
      <c r="AB535" s="117">
        <f>'Ratios (C)'!$C$26+'Ratios (C)'!$D$26</f>
        <v>0.75270178133090293</v>
      </c>
      <c r="AC535" s="116">
        <f t="shared" si="220"/>
        <v>6860.6530768732982</v>
      </c>
      <c r="AD535" s="116">
        <f t="shared" si="221"/>
        <v>27442.612307493193</v>
      </c>
      <c r="AE535" s="118"/>
      <c r="AF535" s="119"/>
      <c r="AG535" s="120"/>
      <c r="AH535" s="118"/>
      <c r="AI535" s="119"/>
      <c r="AJ535" s="121"/>
    </row>
    <row r="536" spans="2:36" s="9" customFormat="1">
      <c r="B536" s="9">
        <f>864+864</f>
        <v>1728</v>
      </c>
      <c r="C536" s="9" t="s">
        <v>643</v>
      </c>
      <c r="E536" s="9" t="s">
        <v>644</v>
      </c>
      <c r="G536" s="9">
        <v>2019</v>
      </c>
      <c r="H536" s="9">
        <v>2</v>
      </c>
      <c r="I536" s="9">
        <v>0</v>
      </c>
      <c r="J536" s="9" t="s">
        <v>78</v>
      </c>
      <c r="K536" s="158">
        <v>7</v>
      </c>
      <c r="L536" s="9">
        <f t="shared" si="207"/>
        <v>2026</v>
      </c>
      <c r="M536" s="127">
        <f t="shared" si="208"/>
        <v>2026.1666666666667</v>
      </c>
      <c r="N536" s="13">
        <f>39272.65+39272.65</f>
        <v>78545.3</v>
      </c>
      <c r="O536" s="13">
        <f t="shared" si="209"/>
        <v>78545.3</v>
      </c>
      <c r="P536" s="13">
        <f t="shared" si="210"/>
        <v>935.06309523809523</v>
      </c>
      <c r="Q536" s="13">
        <f t="shared" si="211"/>
        <v>11220.757142857143</v>
      </c>
      <c r="R536" s="13">
        <v>11220.757142857143</v>
      </c>
      <c r="S536" s="13">
        <f>+IF(M536&lt;=$O$5,0,IF(L536&gt;$O$4,Q536,(P536*H536)))</f>
        <v>11220.757142857143</v>
      </c>
      <c r="T536" s="13">
        <f>+IF(S536=0,N536,IF($O$3-G536&lt;1,0,(($O$3-G536)*Q536)))</f>
        <v>22441.514285714286</v>
      </c>
      <c r="U536" s="13">
        <f>+IF(S536=0,T536,T536+S536)</f>
        <v>33662.271428571432</v>
      </c>
      <c r="V536" s="13">
        <v>67324.542857142864</v>
      </c>
      <c r="W536" s="13">
        <f>+N536-U536</f>
        <v>44883.028571428571</v>
      </c>
      <c r="X536" s="115">
        <f t="shared" si="216"/>
        <v>11220.757142857143</v>
      </c>
      <c r="Y536" s="116">
        <f t="shared" si="217"/>
        <v>44883.028571428571</v>
      </c>
      <c r="Z536" s="116">
        <f t="shared" si="218"/>
        <v>0</v>
      </c>
      <c r="AA536" s="116">
        <f t="shared" si="219"/>
        <v>-22441.514285714293</v>
      </c>
      <c r="AB536" s="117">
        <f>'Ratios (C)'!$C$26+'Ratios (C)'!$D$26</f>
        <v>0.75270178133090293</v>
      </c>
      <c r="AC536" s="116">
        <f t="shared" si="220"/>
        <v>8445.8838893100237</v>
      </c>
      <c r="AD536" s="116">
        <f t="shared" si="221"/>
        <v>33783.535557240095</v>
      </c>
      <c r="AE536" s="118"/>
      <c r="AF536" s="119"/>
      <c r="AG536" s="120"/>
      <c r="AH536" s="118"/>
      <c r="AI536" s="119"/>
      <c r="AJ536" s="121"/>
    </row>
    <row r="537" spans="2:36" s="9" customFormat="1">
      <c r="B537" s="9">
        <v>624</v>
      </c>
      <c r="C537" s="9" t="s">
        <v>645</v>
      </c>
      <c r="E537" s="9">
        <v>211012</v>
      </c>
      <c r="G537" s="9">
        <v>2019</v>
      </c>
      <c r="H537" s="9">
        <v>3</v>
      </c>
      <c r="I537" s="9">
        <v>0</v>
      </c>
      <c r="J537" s="9" t="s">
        <v>78</v>
      </c>
      <c r="K537" s="158">
        <v>7</v>
      </c>
      <c r="L537" s="9">
        <f t="shared" si="207"/>
        <v>2026</v>
      </c>
      <c r="M537" s="127">
        <f t="shared" si="208"/>
        <v>2026.25</v>
      </c>
      <c r="N537" s="13">
        <v>31901.46</v>
      </c>
      <c r="O537" s="13">
        <f t="shared" si="209"/>
        <v>31901.46</v>
      </c>
      <c r="P537" s="13">
        <f t="shared" si="210"/>
        <v>379.77928571428566</v>
      </c>
      <c r="Q537" s="13">
        <f t="shared" si="211"/>
        <v>4557.3514285714282</v>
      </c>
      <c r="R537" s="13">
        <v>4557.3514285714282</v>
      </c>
      <c r="S537" s="13">
        <f t="shared" si="212"/>
        <v>4557.3514285714282</v>
      </c>
      <c r="T537" s="13">
        <f t="shared" si="213"/>
        <v>9114.7028571428564</v>
      </c>
      <c r="U537" s="13">
        <f t="shared" si="214"/>
        <v>13672.054285714285</v>
      </c>
      <c r="V537" s="13">
        <v>27344.108571428573</v>
      </c>
      <c r="W537" s="13">
        <f t="shared" si="215"/>
        <v>18229.405714285713</v>
      </c>
      <c r="X537" s="115">
        <f t="shared" si="216"/>
        <v>4557.3514285714282</v>
      </c>
      <c r="Y537" s="116">
        <f t="shared" si="217"/>
        <v>18229.405714285713</v>
      </c>
      <c r="Z537" s="116">
        <f t="shared" si="218"/>
        <v>0</v>
      </c>
      <c r="AA537" s="116">
        <f t="shared" si="219"/>
        <v>-9114.70285714286</v>
      </c>
      <c r="AB537" s="117">
        <f>'Ratios (C)'!$C$26+'Ratios (C)'!$D$26</f>
        <v>0.75270178133090293</v>
      </c>
      <c r="AC537" s="116">
        <f t="shared" si="220"/>
        <v>3430.3265384366491</v>
      </c>
      <c r="AD537" s="116">
        <f t="shared" si="221"/>
        <v>13721.306153746596</v>
      </c>
      <c r="AE537" s="118"/>
      <c r="AF537" s="119"/>
      <c r="AG537" s="120"/>
      <c r="AH537" s="118"/>
      <c r="AI537" s="119"/>
      <c r="AJ537" s="121"/>
    </row>
    <row r="538" spans="2:36" s="9" customFormat="1">
      <c r="B538" s="9">
        <v>624</v>
      </c>
      <c r="C538" s="9" t="s">
        <v>646</v>
      </c>
      <c r="E538" s="9">
        <v>217051</v>
      </c>
      <c r="G538" s="9">
        <v>2019</v>
      </c>
      <c r="H538" s="9">
        <v>6</v>
      </c>
      <c r="I538" s="9">
        <v>0</v>
      </c>
      <c r="J538" s="9" t="s">
        <v>78</v>
      </c>
      <c r="K538" s="158">
        <v>7</v>
      </c>
      <c r="L538" s="9">
        <f t="shared" si="207"/>
        <v>2026</v>
      </c>
      <c r="M538" s="127">
        <f t="shared" si="208"/>
        <v>2026.5</v>
      </c>
      <c r="N538" s="13">
        <v>30698.34</v>
      </c>
      <c r="O538" s="13">
        <f t="shared" si="209"/>
        <v>30698.34</v>
      </c>
      <c r="P538" s="13">
        <f t="shared" si="210"/>
        <v>365.4564285714286</v>
      </c>
      <c r="Q538" s="13">
        <f t="shared" si="211"/>
        <v>4385.477142857143</v>
      </c>
      <c r="R538" s="13">
        <v>4385.477142857143</v>
      </c>
      <c r="S538" s="13">
        <f t="shared" si="212"/>
        <v>4385.477142857143</v>
      </c>
      <c r="T538" s="13">
        <f t="shared" si="213"/>
        <v>8770.954285714286</v>
      </c>
      <c r="U538" s="13">
        <f t="shared" si="214"/>
        <v>13156.431428571428</v>
      </c>
      <c r="V538" s="13">
        <v>26312.862857142856</v>
      </c>
      <c r="W538" s="13">
        <f t="shared" si="215"/>
        <v>17541.908571428572</v>
      </c>
      <c r="X538" s="115">
        <f t="shared" si="216"/>
        <v>4385.477142857143</v>
      </c>
      <c r="Y538" s="116">
        <f t="shared" si="217"/>
        <v>17541.908571428572</v>
      </c>
      <c r="Z538" s="116">
        <f t="shared" si="218"/>
        <v>0</v>
      </c>
      <c r="AA538" s="116">
        <f t="shared" si="219"/>
        <v>-8770.9542857142842</v>
      </c>
      <c r="AB538" s="117">
        <f>'Ratios (C)'!$C$26+'Ratios (C)'!$D$26</f>
        <v>0.75270178133090293</v>
      </c>
      <c r="AC538" s="116">
        <f t="shared" si="220"/>
        <v>3300.9564574145302</v>
      </c>
      <c r="AD538" s="116">
        <f t="shared" si="221"/>
        <v>13203.825829658121</v>
      </c>
      <c r="AE538" s="118"/>
      <c r="AF538" s="119"/>
      <c r="AG538" s="120"/>
      <c r="AH538" s="118"/>
      <c r="AI538" s="119"/>
      <c r="AJ538" s="121"/>
    </row>
    <row r="539" spans="2:36" s="9" customFormat="1">
      <c r="B539" s="9">
        <v>351</v>
      </c>
      <c r="C539" s="9" t="s">
        <v>638</v>
      </c>
      <c r="E539" s="9">
        <v>221022</v>
      </c>
      <c r="G539" s="9">
        <v>2019</v>
      </c>
      <c r="H539" s="9">
        <v>9</v>
      </c>
      <c r="I539" s="9">
        <v>0</v>
      </c>
      <c r="J539" s="9" t="s">
        <v>78</v>
      </c>
      <c r="K539" s="158">
        <v>7</v>
      </c>
      <c r="L539" s="9">
        <f t="shared" ref="L539:L552" si="222">G539+K539</f>
        <v>2026</v>
      </c>
      <c r="M539" s="127">
        <f t="shared" ref="M539:M552" si="223">+L539+(H539/12)</f>
        <v>2026.75</v>
      </c>
      <c r="N539" s="13">
        <v>16166.72</v>
      </c>
      <c r="O539" s="13">
        <f t="shared" si="209"/>
        <v>16166.72</v>
      </c>
      <c r="P539" s="13">
        <f t="shared" si="210"/>
        <v>192.46095238095236</v>
      </c>
      <c r="Q539" s="13">
        <f t="shared" si="211"/>
        <v>2309.5314285714285</v>
      </c>
      <c r="R539" s="13">
        <v>2309.5314285714285</v>
      </c>
      <c r="S539" s="13">
        <f t="shared" si="212"/>
        <v>2309.5314285714285</v>
      </c>
      <c r="T539" s="13">
        <f t="shared" si="213"/>
        <v>4619.062857142857</v>
      </c>
      <c r="U539" s="13">
        <f t="shared" si="214"/>
        <v>6928.5942857142854</v>
      </c>
      <c r="V539" s="13">
        <v>13857.188571428571</v>
      </c>
      <c r="W539" s="13">
        <f t="shared" si="215"/>
        <v>9238.1257142857139</v>
      </c>
      <c r="X539" s="115">
        <f t="shared" si="216"/>
        <v>2309.5314285714285</v>
      </c>
      <c r="Y539" s="116">
        <f t="shared" si="217"/>
        <v>9238.1257142857139</v>
      </c>
      <c r="Z539" s="116">
        <f t="shared" si="218"/>
        <v>0</v>
      </c>
      <c r="AA539" s="116">
        <f t="shared" si="219"/>
        <v>-4619.062857142857</v>
      </c>
      <c r="AB539" s="117">
        <f>'Ratios (C)'!$C$26+'Ratios (C)'!$D$26</f>
        <v>0.75270178133090293</v>
      </c>
      <c r="AC539" s="116">
        <f t="shared" si="220"/>
        <v>1738.3884203254192</v>
      </c>
      <c r="AD539" s="116">
        <f t="shared" si="221"/>
        <v>6953.553681301677</v>
      </c>
      <c r="AE539" s="118"/>
      <c r="AF539" s="119"/>
      <c r="AG539" s="120"/>
      <c r="AH539" s="118"/>
      <c r="AI539" s="119"/>
      <c r="AJ539" s="121"/>
    </row>
    <row r="540" spans="2:36" s="9" customFormat="1">
      <c r="B540" s="9">
        <v>540</v>
      </c>
      <c r="C540" s="9" t="s">
        <v>647</v>
      </c>
      <c r="E540" s="9">
        <v>221021</v>
      </c>
      <c r="G540" s="9">
        <v>2019</v>
      </c>
      <c r="H540" s="9">
        <v>9</v>
      </c>
      <c r="I540" s="9">
        <v>0</v>
      </c>
      <c r="J540" s="9" t="s">
        <v>78</v>
      </c>
      <c r="K540" s="158">
        <v>7</v>
      </c>
      <c r="L540" s="9">
        <f t="shared" si="222"/>
        <v>2026</v>
      </c>
      <c r="M540" s="127">
        <f t="shared" si="223"/>
        <v>2026.75</v>
      </c>
      <c r="N540" s="13">
        <v>17865.96</v>
      </c>
      <c r="O540" s="13">
        <f t="shared" si="209"/>
        <v>17865.96</v>
      </c>
      <c r="P540" s="13">
        <f t="shared" si="210"/>
        <v>212.68999999999997</v>
      </c>
      <c r="Q540" s="13">
        <f t="shared" si="211"/>
        <v>2552.2799999999997</v>
      </c>
      <c r="R540" s="13">
        <v>2552.2799999999997</v>
      </c>
      <c r="S540" s="13">
        <f t="shared" si="212"/>
        <v>2552.2799999999997</v>
      </c>
      <c r="T540" s="13">
        <f t="shared" si="213"/>
        <v>5104.5599999999995</v>
      </c>
      <c r="U540" s="13">
        <f t="shared" si="214"/>
        <v>7656.8399999999992</v>
      </c>
      <c r="V540" s="13">
        <v>15313.68</v>
      </c>
      <c r="W540" s="13">
        <f t="shared" si="215"/>
        <v>10209.119999999999</v>
      </c>
      <c r="X540" s="115">
        <f t="shared" si="216"/>
        <v>2552.2799999999997</v>
      </c>
      <c r="Y540" s="116">
        <f t="shared" si="217"/>
        <v>10209.119999999999</v>
      </c>
      <c r="Z540" s="116">
        <f t="shared" si="218"/>
        <v>0</v>
      </c>
      <c r="AA540" s="116">
        <f t="shared" si="219"/>
        <v>-5104.5600000000013</v>
      </c>
      <c r="AB540" s="117">
        <f>'Ratios (C)'!$C$26+'Ratios (C)'!$D$26</f>
        <v>0.75270178133090293</v>
      </c>
      <c r="AC540" s="116">
        <f t="shared" si="220"/>
        <v>1921.1057024552367</v>
      </c>
      <c r="AD540" s="116">
        <f t="shared" si="221"/>
        <v>7684.4228098209469</v>
      </c>
      <c r="AE540" s="118"/>
      <c r="AF540" s="119"/>
      <c r="AG540" s="120"/>
      <c r="AH540" s="118"/>
      <c r="AI540" s="119"/>
      <c r="AJ540" s="121"/>
    </row>
    <row r="541" spans="2:36" s="9" customFormat="1">
      <c r="B541" s="9">
        <v>936</v>
      </c>
      <c r="C541" s="9" t="s">
        <v>639</v>
      </c>
      <c r="E541" s="9">
        <v>225820</v>
      </c>
      <c r="G541" s="9">
        <v>2019</v>
      </c>
      <c r="H541" s="9">
        <v>10</v>
      </c>
      <c r="I541" s="9">
        <v>0</v>
      </c>
      <c r="J541" s="9" t="s">
        <v>78</v>
      </c>
      <c r="K541" s="158">
        <v>7</v>
      </c>
      <c r="L541" s="9">
        <f t="shared" si="222"/>
        <v>2026</v>
      </c>
      <c r="M541" s="127">
        <f t="shared" si="223"/>
        <v>2026.8333333333333</v>
      </c>
      <c r="N541" s="13">
        <v>37525.4</v>
      </c>
      <c r="O541" s="13">
        <f t="shared" si="209"/>
        <v>37525.4</v>
      </c>
      <c r="P541" s="13">
        <f t="shared" si="210"/>
        <v>446.73095238095243</v>
      </c>
      <c r="Q541" s="13">
        <f t="shared" si="211"/>
        <v>5360.7714285714292</v>
      </c>
      <c r="R541" s="13">
        <v>5360.7714285714292</v>
      </c>
      <c r="S541" s="13">
        <f t="shared" si="212"/>
        <v>5360.7714285714292</v>
      </c>
      <c r="T541" s="13">
        <f t="shared" si="213"/>
        <v>10721.542857142858</v>
      </c>
      <c r="U541" s="13">
        <f t="shared" si="214"/>
        <v>16082.314285714288</v>
      </c>
      <c r="V541" s="13">
        <v>32164.628571428573</v>
      </c>
      <c r="W541" s="13">
        <f t="shared" si="215"/>
        <v>21443.085714285713</v>
      </c>
      <c r="X541" s="115">
        <f t="shared" si="216"/>
        <v>5360.7714285714292</v>
      </c>
      <c r="Y541" s="116">
        <f t="shared" si="217"/>
        <v>21443.085714285713</v>
      </c>
      <c r="Z541" s="116">
        <f t="shared" si="218"/>
        <v>0</v>
      </c>
      <c r="AA541" s="116">
        <f t="shared" si="219"/>
        <v>-10721.54285714286</v>
      </c>
      <c r="AB541" s="117">
        <f>'Ratios (C)'!$C$26+'Ratios (C)'!$D$26</f>
        <v>0.75270178133090293</v>
      </c>
      <c r="AC541" s="116">
        <f t="shared" si="220"/>
        <v>4035.0622035935239</v>
      </c>
      <c r="AD541" s="116">
        <f t="shared" si="221"/>
        <v>16140.248814374094</v>
      </c>
      <c r="AE541" s="118"/>
      <c r="AF541" s="119"/>
      <c r="AG541" s="120"/>
      <c r="AH541" s="118"/>
      <c r="AI541" s="119"/>
      <c r="AJ541" s="121"/>
    </row>
    <row r="542" spans="2:36" s="9" customFormat="1">
      <c r="B542" s="9">
        <v>676</v>
      </c>
      <c r="C542" s="9" t="s">
        <v>638</v>
      </c>
      <c r="E542" s="9">
        <v>228613</v>
      </c>
      <c r="G542" s="9">
        <v>2020</v>
      </c>
      <c r="H542" s="9">
        <v>2</v>
      </c>
      <c r="I542" s="9">
        <v>0</v>
      </c>
      <c r="J542" s="9" t="s">
        <v>78</v>
      </c>
      <c r="K542" s="158">
        <v>7</v>
      </c>
      <c r="L542" s="9">
        <f t="shared" si="222"/>
        <v>2027</v>
      </c>
      <c r="M542" s="127">
        <f t="shared" si="223"/>
        <v>2027.1666666666667</v>
      </c>
      <c r="N542" s="13">
        <v>31941.27</v>
      </c>
      <c r="O542" s="13">
        <f t="shared" si="209"/>
        <v>31941.27</v>
      </c>
      <c r="P542" s="13">
        <f t="shared" si="210"/>
        <v>380.25321428571425</v>
      </c>
      <c r="Q542" s="13">
        <f t="shared" si="211"/>
        <v>4563.0385714285712</v>
      </c>
      <c r="R542" s="13"/>
      <c r="S542" s="13">
        <f t="shared" si="212"/>
        <v>4563.0385714285712</v>
      </c>
      <c r="T542" s="13">
        <f t="shared" si="213"/>
        <v>4563.0385714285712</v>
      </c>
      <c r="U542" s="13">
        <f t="shared" si="214"/>
        <v>9126.0771428571425</v>
      </c>
      <c r="V542" s="13"/>
      <c r="W542" s="13">
        <f t="shared" si="215"/>
        <v>22815.192857142858</v>
      </c>
      <c r="X542" s="147">
        <f t="shared" si="216"/>
        <v>4563.0385714285712</v>
      </c>
      <c r="Y542" s="116">
        <f t="shared" si="217"/>
        <v>22815.192857142858</v>
      </c>
      <c r="Z542" s="116"/>
      <c r="AA542" s="116"/>
      <c r="AB542" s="117"/>
      <c r="AC542" s="116"/>
      <c r="AD542" s="116"/>
      <c r="AE542" s="120"/>
      <c r="AF542" s="120"/>
      <c r="AG542" s="120"/>
      <c r="AH542" s="120"/>
      <c r="AI542" s="120"/>
      <c r="AJ542" s="120"/>
    </row>
    <row r="543" spans="2:36" s="9" customFormat="1">
      <c r="B543" s="9">
        <v>816</v>
      </c>
      <c r="C543" s="9" t="s">
        <v>639</v>
      </c>
      <c r="E543" s="9">
        <v>230972</v>
      </c>
      <c r="G543" s="9">
        <v>2020</v>
      </c>
      <c r="H543" s="9">
        <v>2</v>
      </c>
      <c r="I543" s="9">
        <v>0</v>
      </c>
      <c r="J543" s="9" t="s">
        <v>78</v>
      </c>
      <c r="K543" s="158">
        <v>7</v>
      </c>
      <c r="L543" s="9">
        <f t="shared" si="222"/>
        <v>2027</v>
      </c>
      <c r="M543" s="127">
        <f t="shared" si="223"/>
        <v>2027.1666666666667</v>
      </c>
      <c r="N543" s="13">
        <v>34293.089999999997</v>
      </c>
      <c r="O543" s="13">
        <f t="shared" si="209"/>
        <v>34293.089999999997</v>
      </c>
      <c r="P543" s="13">
        <f t="shared" si="210"/>
        <v>408.25107142857138</v>
      </c>
      <c r="Q543" s="13">
        <f t="shared" si="211"/>
        <v>4899.0128571428568</v>
      </c>
      <c r="R543" s="13"/>
      <c r="S543" s="13">
        <f t="shared" si="212"/>
        <v>4899.0128571428568</v>
      </c>
      <c r="T543" s="13">
        <f t="shared" si="213"/>
        <v>4899.0128571428568</v>
      </c>
      <c r="U543" s="13">
        <f t="shared" si="214"/>
        <v>9798.0257142857135</v>
      </c>
      <c r="V543" s="13"/>
      <c r="W543" s="13">
        <f t="shared" si="215"/>
        <v>24495.064285714281</v>
      </c>
      <c r="X543" s="147">
        <f t="shared" si="216"/>
        <v>4899.0128571428568</v>
      </c>
      <c r="Y543" s="116">
        <f t="shared" si="217"/>
        <v>24495.064285714281</v>
      </c>
      <c r="Z543" s="116"/>
      <c r="AA543" s="116"/>
      <c r="AB543" s="117"/>
      <c r="AC543" s="116"/>
      <c r="AD543" s="116"/>
      <c r="AE543" s="120"/>
      <c r="AF543" s="120"/>
      <c r="AG543" s="120"/>
      <c r="AH543" s="120"/>
      <c r="AI543" s="120"/>
      <c r="AJ543" s="120"/>
    </row>
    <row r="544" spans="2:36" s="9" customFormat="1">
      <c r="B544" s="9">
        <v>936</v>
      </c>
      <c r="C544" s="9" t="s">
        <v>639</v>
      </c>
      <c r="E544" s="9">
        <v>231986</v>
      </c>
      <c r="G544" s="9">
        <v>2020</v>
      </c>
      <c r="H544" s="9">
        <v>4</v>
      </c>
      <c r="I544" s="9">
        <v>0</v>
      </c>
      <c r="J544" s="9" t="s">
        <v>78</v>
      </c>
      <c r="K544" s="158">
        <v>7</v>
      </c>
      <c r="L544" s="9">
        <f t="shared" si="222"/>
        <v>2027</v>
      </c>
      <c r="M544" s="127">
        <f t="shared" si="223"/>
        <v>2027.3333333333333</v>
      </c>
      <c r="N544" s="13">
        <v>34619.94</v>
      </c>
      <c r="O544" s="13">
        <f t="shared" si="209"/>
        <v>34619.94</v>
      </c>
      <c r="P544" s="13">
        <f t="shared" si="210"/>
        <v>412.14214285714291</v>
      </c>
      <c r="Q544" s="13">
        <f t="shared" si="211"/>
        <v>4945.7057142857147</v>
      </c>
      <c r="R544" s="13"/>
      <c r="S544" s="13">
        <f t="shared" si="212"/>
        <v>4945.7057142857147</v>
      </c>
      <c r="T544" s="13">
        <f t="shared" si="213"/>
        <v>4945.7057142857147</v>
      </c>
      <c r="U544" s="13">
        <f t="shared" si="214"/>
        <v>9891.4114285714295</v>
      </c>
      <c r="V544" s="13"/>
      <c r="W544" s="13">
        <f t="shared" si="215"/>
        <v>24728.528571428571</v>
      </c>
      <c r="X544" s="147">
        <f t="shared" si="216"/>
        <v>4945.7057142857147</v>
      </c>
      <c r="Y544" s="116">
        <f t="shared" si="217"/>
        <v>24728.528571428571</v>
      </c>
      <c r="Z544" s="116"/>
      <c r="AA544" s="116"/>
      <c r="AB544" s="117"/>
      <c r="AC544" s="116"/>
      <c r="AD544" s="116"/>
      <c r="AE544" s="120"/>
      <c r="AF544" s="120"/>
      <c r="AG544" s="120"/>
      <c r="AH544" s="120"/>
      <c r="AI544" s="120"/>
      <c r="AJ544" s="120"/>
    </row>
    <row r="545" spans="1:36" s="9" customFormat="1">
      <c r="B545" s="9">
        <v>702</v>
      </c>
      <c r="C545" s="9" t="s">
        <v>638</v>
      </c>
      <c r="E545" s="9">
        <v>232774</v>
      </c>
      <c r="G545" s="9">
        <v>2020</v>
      </c>
      <c r="H545" s="9">
        <v>4</v>
      </c>
      <c r="I545" s="9">
        <v>0</v>
      </c>
      <c r="J545" s="9" t="s">
        <v>78</v>
      </c>
      <c r="K545" s="158">
        <v>7</v>
      </c>
      <c r="L545" s="9">
        <f t="shared" si="222"/>
        <v>2027</v>
      </c>
      <c r="M545" s="127">
        <f t="shared" si="223"/>
        <v>2027.3333333333333</v>
      </c>
      <c r="N545" s="13">
        <v>30039.25</v>
      </c>
      <c r="O545" s="13">
        <f t="shared" si="209"/>
        <v>30039.25</v>
      </c>
      <c r="P545" s="13">
        <f t="shared" si="210"/>
        <v>357.61011904761904</v>
      </c>
      <c r="Q545" s="13">
        <f t="shared" si="211"/>
        <v>4291.3214285714284</v>
      </c>
      <c r="R545" s="13"/>
      <c r="S545" s="13">
        <f t="shared" si="212"/>
        <v>4291.3214285714284</v>
      </c>
      <c r="T545" s="13">
        <f t="shared" si="213"/>
        <v>4291.3214285714284</v>
      </c>
      <c r="U545" s="13">
        <f t="shared" si="214"/>
        <v>8582.6428571428569</v>
      </c>
      <c r="V545" s="13"/>
      <c r="W545" s="13">
        <f t="shared" si="215"/>
        <v>21456.607142857145</v>
      </c>
      <c r="X545" s="147">
        <f t="shared" si="216"/>
        <v>4291.3214285714284</v>
      </c>
      <c r="Y545" s="116">
        <f t="shared" si="217"/>
        <v>21456.607142857145</v>
      </c>
      <c r="Z545" s="116"/>
      <c r="AA545" s="116"/>
      <c r="AB545" s="117"/>
      <c r="AC545" s="116"/>
      <c r="AD545" s="116"/>
      <c r="AE545" s="120"/>
      <c r="AF545" s="120"/>
      <c r="AG545" s="120"/>
      <c r="AH545" s="120"/>
      <c r="AI545" s="120"/>
      <c r="AJ545" s="120"/>
    </row>
    <row r="546" spans="1:36" s="9" customFormat="1">
      <c r="B546" s="9">
        <v>468</v>
      </c>
      <c r="C546" s="9" t="s">
        <v>1283</v>
      </c>
      <c r="E546" s="9">
        <v>236849</v>
      </c>
      <c r="G546" s="9">
        <v>2020</v>
      </c>
      <c r="H546" s="9">
        <v>8</v>
      </c>
      <c r="I546" s="9">
        <v>0</v>
      </c>
      <c r="J546" s="9" t="s">
        <v>78</v>
      </c>
      <c r="K546" s="158">
        <v>7</v>
      </c>
      <c r="L546" s="9">
        <f t="shared" si="222"/>
        <v>2027</v>
      </c>
      <c r="M546" s="127">
        <f t="shared" si="223"/>
        <v>2027.6666666666667</v>
      </c>
      <c r="N546" s="13">
        <v>17157</v>
      </c>
      <c r="O546" s="13">
        <f t="shared" si="209"/>
        <v>17157</v>
      </c>
      <c r="P546" s="13">
        <f t="shared" si="210"/>
        <v>204.25</v>
      </c>
      <c r="Q546" s="13">
        <f t="shared" si="211"/>
        <v>2451</v>
      </c>
      <c r="R546" s="13"/>
      <c r="S546" s="13">
        <f t="shared" si="212"/>
        <v>2451</v>
      </c>
      <c r="T546" s="13">
        <f t="shared" si="213"/>
        <v>2451</v>
      </c>
      <c r="U546" s="13">
        <f t="shared" si="214"/>
        <v>4902</v>
      </c>
      <c r="V546" s="13"/>
      <c r="W546" s="13">
        <f t="shared" si="215"/>
        <v>12255</v>
      </c>
      <c r="X546" s="147">
        <f t="shared" si="216"/>
        <v>2451</v>
      </c>
      <c r="Y546" s="116">
        <f t="shared" si="217"/>
        <v>12255</v>
      </c>
      <c r="Z546" s="116"/>
      <c r="AA546" s="116"/>
      <c r="AB546" s="117"/>
      <c r="AC546" s="116"/>
      <c r="AD546" s="116"/>
      <c r="AE546" s="120"/>
      <c r="AF546" s="120"/>
      <c r="AG546" s="120"/>
      <c r="AH546" s="120"/>
      <c r="AI546" s="120"/>
      <c r="AJ546" s="120"/>
    </row>
    <row r="547" spans="1:36" s="9" customFormat="1">
      <c r="B547" s="9">
        <v>702</v>
      </c>
      <c r="C547" s="9" t="s">
        <v>1289</v>
      </c>
      <c r="E547" s="9">
        <v>237325</v>
      </c>
      <c r="G547" s="9">
        <v>2020</v>
      </c>
      <c r="H547" s="9">
        <v>8</v>
      </c>
      <c r="I547" s="9">
        <v>0</v>
      </c>
      <c r="J547" s="9" t="s">
        <v>78</v>
      </c>
      <c r="K547" s="158">
        <v>7</v>
      </c>
      <c r="L547" s="9">
        <f t="shared" si="222"/>
        <v>2027</v>
      </c>
      <c r="M547" s="127">
        <f t="shared" si="223"/>
        <v>2027.6666666666667</v>
      </c>
      <c r="N547" s="13">
        <v>30031.58</v>
      </c>
      <c r="O547" s="13">
        <f t="shared" si="209"/>
        <v>30031.58</v>
      </c>
      <c r="P547" s="13">
        <f t="shared" si="210"/>
        <v>357.51880952380952</v>
      </c>
      <c r="Q547" s="13">
        <f t="shared" si="211"/>
        <v>4290.2257142857143</v>
      </c>
      <c r="R547" s="13"/>
      <c r="S547" s="13">
        <f t="shared" si="212"/>
        <v>4290.2257142857143</v>
      </c>
      <c r="T547" s="13">
        <f t="shared" si="213"/>
        <v>4290.2257142857143</v>
      </c>
      <c r="U547" s="13">
        <f t="shared" si="214"/>
        <v>8580.4514285714286</v>
      </c>
      <c r="V547" s="13"/>
      <c r="W547" s="13">
        <f t="shared" si="215"/>
        <v>21451.128571428573</v>
      </c>
      <c r="X547" s="147">
        <f t="shared" si="216"/>
        <v>4290.2257142857143</v>
      </c>
      <c r="Y547" s="116">
        <f t="shared" si="217"/>
        <v>21451.128571428573</v>
      </c>
      <c r="Z547" s="116"/>
      <c r="AA547" s="116"/>
      <c r="AB547" s="117"/>
      <c r="AC547" s="116"/>
      <c r="AD547" s="116"/>
      <c r="AE547" s="120"/>
      <c r="AF547" s="120"/>
      <c r="AG547" s="120"/>
      <c r="AH547" s="120"/>
      <c r="AI547" s="120"/>
      <c r="AJ547" s="120"/>
    </row>
    <row r="548" spans="1:36" s="9" customFormat="1">
      <c r="B548" s="9">
        <v>936</v>
      </c>
      <c r="C548" s="9" t="s">
        <v>1291</v>
      </c>
      <c r="E548" s="9">
        <v>237471</v>
      </c>
      <c r="G548" s="9">
        <v>2020</v>
      </c>
      <c r="H548" s="9">
        <v>9</v>
      </c>
      <c r="I548" s="9">
        <v>0</v>
      </c>
      <c r="J548" s="9" t="s">
        <v>78</v>
      </c>
      <c r="K548" s="158">
        <v>7</v>
      </c>
      <c r="L548" s="9">
        <f t="shared" si="222"/>
        <v>2027</v>
      </c>
      <c r="M548" s="127">
        <f t="shared" si="223"/>
        <v>2027.75</v>
      </c>
      <c r="N548" s="13">
        <v>34722.25</v>
      </c>
      <c r="O548" s="13">
        <f t="shared" si="209"/>
        <v>34722.25</v>
      </c>
      <c r="P548" s="13">
        <f t="shared" si="210"/>
        <v>413.36011904761904</v>
      </c>
      <c r="Q548" s="13">
        <f t="shared" si="211"/>
        <v>4960.3214285714284</v>
      </c>
      <c r="R548" s="13"/>
      <c r="S548" s="13">
        <f t="shared" si="212"/>
        <v>4960.3214285714284</v>
      </c>
      <c r="T548" s="13">
        <f t="shared" si="213"/>
        <v>4960.3214285714284</v>
      </c>
      <c r="U548" s="13">
        <f t="shared" si="214"/>
        <v>9920.6428571428569</v>
      </c>
      <c r="V548" s="13"/>
      <c r="W548" s="13">
        <f t="shared" si="215"/>
        <v>24801.607142857145</v>
      </c>
      <c r="X548" s="147">
        <f t="shared" si="216"/>
        <v>4960.3214285714284</v>
      </c>
      <c r="Y548" s="116">
        <f t="shared" si="217"/>
        <v>24801.607142857145</v>
      </c>
      <c r="Z548" s="116"/>
      <c r="AA548" s="116"/>
      <c r="AB548" s="117"/>
      <c r="AC548" s="116"/>
      <c r="AD548" s="116"/>
      <c r="AE548" s="120"/>
      <c r="AF548" s="120"/>
      <c r="AG548" s="120"/>
      <c r="AH548" s="120"/>
      <c r="AI548" s="120"/>
      <c r="AJ548" s="120"/>
    </row>
    <row r="549" spans="1:36" s="9" customFormat="1">
      <c r="B549" s="9">
        <v>702</v>
      </c>
      <c r="C549" s="9" t="s">
        <v>1292</v>
      </c>
      <c r="E549" s="9">
        <v>237472</v>
      </c>
      <c r="G549" s="9">
        <v>2020</v>
      </c>
      <c r="H549" s="9">
        <v>9</v>
      </c>
      <c r="I549" s="9">
        <v>0</v>
      </c>
      <c r="J549" s="9" t="s">
        <v>78</v>
      </c>
      <c r="K549" s="158">
        <v>7</v>
      </c>
      <c r="L549" s="9">
        <f t="shared" si="222"/>
        <v>2027</v>
      </c>
      <c r="M549" s="127">
        <f t="shared" si="223"/>
        <v>2027.75</v>
      </c>
      <c r="N549" s="13">
        <v>30338.49</v>
      </c>
      <c r="O549" s="13">
        <f t="shared" si="209"/>
        <v>30338.49</v>
      </c>
      <c r="P549" s="13">
        <f t="shared" si="210"/>
        <v>361.17250000000007</v>
      </c>
      <c r="Q549" s="13">
        <f t="shared" si="211"/>
        <v>4334.0700000000006</v>
      </c>
      <c r="R549" s="13"/>
      <c r="S549" s="13">
        <f t="shared" si="212"/>
        <v>4334.0700000000006</v>
      </c>
      <c r="T549" s="13">
        <f t="shared" si="213"/>
        <v>4334.0700000000006</v>
      </c>
      <c r="U549" s="13">
        <f t="shared" si="214"/>
        <v>8668.1400000000012</v>
      </c>
      <c r="V549" s="13"/>
      <c r="W549" s="13">
        <f t="shared" si="215"/>
        <v>21670.35</v>
      </c>
      <c r="X549" s="147">
        <f t="shared" si="216"/>
        <v>4334.0700000000006</v>
      </c>
      <c r="Y549" s="116">
        <f t="shared" si="217"/>
        <v>21670.35</v>
      </c>
      <c r="Z549" s="116"/>
      <c r="AA549" s="116"/>
      <c r="AB549" s="117"/>
      <c r="AC549" s="116"/>
      <c r="AD549" s="116"/>
      <c r="AE549" s="120"/>
      <c r="AF549" s="120"/>
      <c r="AG549" s="120"/>
      <c r="AH549" s="120"/>
      <c r="AI549" s="120"/>
      <c r="AJ549" s="120"/>
    </row>
    <row r="550" spans="1:36" s="9" customFormat="1">
      <c r="B550" s="9">
        <v>702</v>
      </c>
      <c r="C550" s="9" t="s">
        <v>1293</v>
      </c>
      <c r="E550" s="9">
        <v>237473</v>
      </c>
      <c r="G550" s="9">
        <v>2020</v>
      </c>
      <c r="H550" s="9">
        <v>9</v>
      </c>
      <c r="I550" s="9">
        <v>0</v>
      </c>
      <c r="J550" s="9" t="s">
        <v>78</v>
      </c>
      <c r="K550" s="158">
        <v>7</v>
      </c>
      <c r="L550" s="9">
        <f t="shared" si="222"/>
        <v>2027</v>
      </c>
      <c r="M550" s="127">
        <f t="shared" si="223"/>
        <v>2027.75</v>
      </c>
      <c r="N550" s="13">
        <v>30338.49</v>
      </c>
      <c r="O550" s="13">
        <f t="shared" si="209"/>
        <v>30338.49</v>
      </c>
      <c r="P550" s="13">
        <f t="shared" si="210"/>
        <v>361.17250000000007</v>
      </c>
      <c r="Q550" s="13">
        <f t="shared" si="211"/>
        <v>4334.0700000000006</v>
      </c>
      <c r="R550" s="13"/>
      <c r="S550" s="13">
        <f t="shared" si="212"/>
        <v>4334.0700000000006</v>
      </c>
      <c r="T550" s="13">
        <f t="shared" si="213"/>
        <v>4334.0700000000006</v>
      </c>
      <c r="U550" s="13">
        <f t="shared" si="214"/>
        <v>8668.1400000000012</v>
      </c>
      <c r="V550" s="13"/>
      <c r="W550" s="13">
        <f t="shared" si="215"/>
        <v>21670.35</v>
      </c>
      <c r="X550" s="147">
        <f t="shared" si="216"/>
        <v>4334.0700000000006</v>
      </c>
      <c r="Y550" s="116">
        <f t="shared" si="217"/>
        <v>21670.35</v>
      </c>
      <c r="Z550" s="116"/>
      <c r="AA550" s="116"/>
      <c r="AB550" s="117"/>
      <c r="AC550" s="116"/>
      <c r="AD550" s="116"/>
      <c r="AE550" s="120"/>
      <c r="AF550" s="120"/>
      <c r="AG550" s="120"/>
      <c r="AH550" s="120"/>
      <c r="AI550" s="120"/>
      <c r="AJ550" s="120"/>
    </row>
    <row r="551" spans="1:36" s="181" customFormat="1">
      <c r="A551" s="9"/>
      <c r="B551" s="9">
        <v>702</v>
      </c>
      <c r="C551" s="9" t="s">
        <v>1373</v>
      </c>
      <c r="D551" s="9"/>
      <c r="E551" s="9">
        <v>256224</v>
      </c>
      <c r="F551" s="9"/>
      <c r="G551" s="9">
        <v>2021</v>
      </c>
      <c r="H551" s="9">
        <v>7</v>
      </c>
      <c r="I551" s="9">
        <v>0</v>
      </c>
      <c r="J551" s="9" t="s">
        <v>78</v>
      </c>
      <c r="K551" s="158">
        <v>7</v>
      </c>
      <c r="L551" s="9">
        <f t="shared" si="222"/>
        <v>2028</v>
      </c>
      <c r="M551" s="127">
        <f t="shared" si="223"/>
        <v>2028.5833333333333</v>
      </c>
      <c r="N551" s="13">
        <v>42661.73</v>
      </c>
      <c r="O551" s="13">
        <f t="shared" ref="O551:O555" si="224">N551-N551*I551</f>
        <v>42661.73</v>
      </c>
      <c r="P551" s="13">
        <f t="shared" ref="P551:P555" si="225">O551/K551/12</f>
        <v>507.8777380952381</v>
      </c>
      <c r="Q551" s="13">
        <f t="shared" ref="Q551:Q555" si="226">P551*12</f>
        <v>6094.5328571428572</v>
      </c>
      <c r="R551" s="13"/>
      <c r="S551" s="13">
        <f t="shared" ref="S551:S555" si="227">+IF(M551&lt;=$O$5,0,IF(L551&gt;$O$4,Q551,(P551*H551)))</f>
        <v>6094.5328571428572</v>
      </c>
      <c r="T551" s="13">
        <f t="shared" ref="T551:T555" si="228">+IF(S551=0,N551,IF($O$3-G551&lt;1,0,(($O$3-G551)*Q551)))</f>
        <v>0</v>
      </c>
      <c r="U551" s="13">
        <f t="shared" ref="U551:U555" si="229">+IF(S551=0,T551,T551+S551)</f>
        <v>6094.5328571428572</v>
      </c>
      <c r="V551" s="13"/>
      <c r="W551" s="13">
        <f t="shared" ref="W551:W555" si="230">+N551-U551</f>
        <v>36567.197142857149</v>
      </c>
      <c r="X551" s="185">
        <f t="shared" ref="X551:X555" si="231">S551</f>
        <v>6094.5328571428572</v>
      </c>
      <c r="Y551" s="183">
        <f t="shared" ref="Y551:Y555" si="232">W551</f>
        <v>36567.197142857149</v>
      </c>
      <c r="Z551" s="183"/>
      <c r="AA551" s="183"/>
      <c r="AB551" s="184"/>
      <c r="AC551" s="183"/>
      <c r="AD551" s="183"/>
      <c r="AE551" s="187"/>
      <c r="AF551" s="187"/>
      <c r="AG551" s="187"/>
      <c r="AH551" s="187"/>
      <c r="AI551" s="187"/>
      <c r="AJ551" s="187"/>
    </row>
    <row r="552" spans="1:36" s="181" customFormat="1">
      <c r="A552" s="9"/>
      <c r="B552" s="9">
        <v>702</v>
      </c>
      <c r="C552" s="9" t="s">
        <v>1373</v>
      </c>
      <c r="D552" s="9"/>
      <c r="E552" s="9">
        <v>256223</v>
      </c>
      <c r="F552" s="9"/>
      <c r="G552" s="9">
        <v>2021</v>
      </c>
      <c r="H552" s="9">
        <v>7</v>
      </c>
      <c r="I552" s="9">
        <v>0</v>
      </c>
      <c r="J552" s="9" t="s">
        <v>78</v>
      </c>
      <c r="K552" s="158">
        <v>7</v>
      </c>
      <c r="L552" s="9">
        <f t="shared" si="222"/>
        <v>2028</v>
      </c>
      <c r="M552" s="127">
        <f t="shared" si="223"/>
        <v>2028.5833333333333</v>
      </c>
      <c r="N552" s="13">
        <v>42661.74</v>
      </c>
      <c r="O552" s="13">
        <f t="shared" si="224"/>
        <v>42661.74</v>
      </c>
      <c r="P552" s="13">
        <f t="shared" si="225"/>
        <v>507.87785714285707</v>
      </c>
      <c r="Q552" s="13">
        <f t="shared" si="226"/>
        <v>6094.534285714285</v>
      </c>
      <c r="R552" s="13"/>
      <c r="S552" s="13">
        <f t="shared" si="227"/>
        <v>6094.534285714285</v>
      </c>
      <c r="T552" s="13">
        <f t="shared" si="228"/>
        <v>0</v>
      </c>
      <c r="U552" s="13">
        <f t="shared" si="229"/>
        <v>6094.534285714285</v>
      </c>
      <c r="V552" s="13"/>
      <c r="W552" s="13">
        <f t="shared" si="230"/>
        <v>36567.205714285716</v>
      </c>
      <c r="X552" s="185">
        <f t="shared" si="231"/>
        <v>6094.534285714285</v>
      </c>
      <c r="Y552" s="183">
        <f t="shared" si="232"/>
        <v>36567.205714285716</v>
      </c>
      <c r="Z552" s="183"/>
      <c r="AA552" s="183"/>
      <c r="AB552" s="184"/>
      <c r="AC552" s="183"/>
      <c r="AD552" s="183"/>
      <c r="AE552" s="187"/>
      <c r="AF552" s="187"/>
      <c r="AG552" s="187"/>
      <c r="AH552" s="187"/>
      <c r="AI552" s="187"/>
      <c r="AJ552" s="187"/>
    </row>
    <row r="553" spans="1:36" s="181" customFormat="1">
      <c r="A553" s="9"/>
      <c r="B553" s="9">
        <v>936</v>
      </c>
      <c r="C553" s="9" t="s">
        <v>637</v>
      </c>
      <c r="D553" s="9"/>
      <c r="E553" s="9">
        <v>246795</v>
      </c>
      <c r="F553" s="9"/>
      <c r="G553" s="9">
        <v>2021</v>
      </c>
      <c r="H553" s="9">
        <v>1</v>
      </c>
      <c r="I553" s="9">
        <v>0</v>
      </c>
      <c r="J553" s="9" t="s">
        <v>78</v>
      </c>
      <c r="K553" s="158">
        <v>7</v>
      </c>
      <c r="L553" s="9">
        <f t="shared" ref="L553:L555" si="233">G553+K553</f>
        <v>2028</v>
      </c>
      <c r="M553" s="127">
        <f t="shared" ref="M553:M555" si="234">+L553+(H553/12)</f>
        <v>2028.0833333333333</v>
      </c>
      <c r="N553" s="13">
        <v>38405.230000000003</v>
      </c>
      <c r="O553" s="13">
        <f t="shared" si="224"/>
        <v>38405.230000000003</v>
      </c>
      <c r="P553" s="13">
        <f t="shared" si="225"/>
        <v>457.20511904761906</v>
      </c>
      <c r="Q553" s="13">
        <f t="shared" si="226"/>
        <v>5486.4614285714288</v>
      </c>
      <c r="R553" s="13"/>
      <c r="S553" s="13">
        <f t="shared" si="227"/>
        <v>5486.4614285714288</v>
      </c>
      <c r="T553" s="13">
        <f t="shared" si="228"/>
        <v>0</v>
      </c>
      <c r="U553" s="13">
        <f t="shared" si="229"/>
        <v>5486.4614285714288</v>
      </c>
      <c r="V553" s="13"/>
      <c r="W553" s="13">
        <f t="shared" si="230"/>
        <v>32918.768571428576</v>
      </c>
      <c r="X553" s="185">
        <f t="shared" si="231"/>
        <v>5486.4614285714288</v>
      </c>
      <c r="Y553" s="183">
        <f t="shared" si="232"/>
        <v>32918.768571428576</v>
      </c>
      <c r="Z553" s="183"/>
      <c r="AA553" s="183"/>
      <c r="AB553" s="184"/>
      <c r="AC553" s="183"/>
      <c r="AD553" s="183"/>
      <c r="AE553" s="187"/>
      <c r="AF553" s="187"/>
      <c r="AG553" s="187"/>
      <c r="AH553" s="187"/>
      <c r="AI553" s="187"/>
      <c r="AJ553" s="187"/>
    </row>
    <row r="554" spans="1:36" s="181" customFormat="1">
      <c r="A554" s="9"/>
      <c r="B554" s="9">
        <v>702</v>
      </c>
      <c r="C554" s="9" t="s">
        <v>1373</v>
      </c>
      <c r="D554" s="9"/>
      <c r="E554" s="9">
        <v>246131</v>
      </c>
      <c r="F554" s="9"/>
      <c r="G554" s="9">
        <v>2021</v>
      </c>
      <c r="H554" s="9">
        <v>1</v>
      </c>
      <c r="I554" s="9">
        <v>0</v>
      </c>
      <c r="J554" s="9" t="s">
        <v>78</v>
      </c>
      <c r="K554" s="158">
        <v>7</v>
      </c>
      <c r="L554" s="9">
        <f t="shared" si="233"/>
        <v>2028</v>
      </c>
      <c r="M554" s="127">
        <f t="shared" si="234"/>
        <v>2028.0833333333333</v>
      </c>
      <c r="N554" s="13">
        <v>32640.34</v>
      </c>
      <c r="O554" s="13">
        <f t="shared" si="224"/>
        <v>32640.34</v>
      </c>
      <c r="P554" s="13">
        <f t="shared" si="225"/>
        <v>388.57547619047619</v>
      </c>
      <c r="Q554" s="13">
        <f t="shared" si="226"/>
        <v>4662.9057142857146</v>
      </c>
      <c r="R554" s="13"/>
      <c r="S554" s="13">
        <f t="shared" si="227"/>
        <v>4662.9057142857146</v>
      </c>
      <c r="T554" s="13">
        <f t="shared" si="228"/>
        <v>0</v>
      </c>
      <c r="U554" s="13">
        <f t="shared" si="229"/>
        <v>4662.9057142857146</v>
      </c>
      <c r="V554" s="13"/>
      <c r="W554" s="13">
        <f t="shared" si="230"/>
        <v>27977.434285714284</v>
      </c>
      <c r="X554" s="185">
        <f t="shared" si="231"/>
        <v>4662.9057142857146</v>
      </c>
      <c r="Y554" s="183">
        <f t="shared" si="232"/>
        <v>27977.434285714284</v>
      </c>
      <c r="Z554" s="183"/>
      <c r="AA554" s="183"/>
      <c r="AB554" s="184"/>
      <c r="AC554" s="183"/>
      <c r="AD554" s="183"/>
      <c r="AE554" s="187"/>
      <c r="AF554" s="187"/>
      <c r="AG554" s="187"/>
      <c r="AH554" s="187"/>
      <c r="AI554" s="187"/>
      <c r="AJ554" s="187"/>
    </row>
    <row r="555" spans="1:36" s="181" customFormat="1">
      <c r="A555" s="9"/>
      <c r="B555" s="9">
        <v>936</v>
      </c>
      <c r="C555" s="9" t="s">
        <v>637</v>
      </c>
      <c r="D555" s="9"/>
      <c r="E555" s="9">
        <v>246130</v>
      </c>
      <c r="F555" s="9"/>
      <c r="G555" s="9">
        <v>2021</v>
      </c>
      <c r="H555" s="9">
        <v>1</v>
      </c>
      <c r="I555" s="9">
        <v>0</v>
      </c>
      <c r="J555" s="9" t="s">
        <v>78</v>
      </c>
      <c r="K555" s="158">
        <v>7</v>
      </c>
      <c r="L555" s="9">
        <f t="shared" si="233"/>
        <v>2028</v>
      </c>
      <c r="M555" s="127">
        <f t="shared" si="234"/>
        <v>2028.0833333333333</v>
      </c>
      <c r="N555" s="13">
        <v>38405.24</v>
      </c>
      <c r="O555" s="13">
        <f t="shared" si="224"/>
        <v>38405.24</v>
      </c>
      <c r="P555" s="13">
        <f t="shared" si="225"/>
        <v>457.20523809523803</v>
      </c>
      <c r="Q555" s="13">
        <f t="shared" si="226"/>
        <v>5486.4628571428566</v>
      </c>
      <c r="R555" s="13"/>
      <c r="S555" s="13">
        <f t="shared" si="227"/>
        <v>5486.4628571428566</v>
      </c>
      <c r="T555" s="13">
        <f t="shared" si="228"/>
        <v>0</v>
      </c>
      <c r="U555" s="13">
        <f t="shared" si="229"/>
        <v>5486.4628571428566</v>
      </c>
      <c r="V555" s="13"/>
      <c r="W555" s="13">
        <f t="shared" si="230"/>
        <v>32918.777142857143</v>
      </c>
      <c r="X555" s="185">
        <f t="shared" si="231"/>
        <v>5486.4628571428566</v>
      </c>
      <c r="Y555" s="183">
        <f t="shared" si="232"/>
        <v>32918.777142857143</v>
      </c>
      <c r="Z555" s="183"/>
      <c r="AA555" s="183"/>
      <c r="AB555" s="184"/>
      <c r="AC555" s="183"/>
      <c r="AD555" s="183"/>
      <c r="AE555" s="187"/>
      <c r="AF555" s="187"/>
      <c r="AG555" s="187"/>
      <c r="AH555" s="187"/>
      <c r="AI555" s="187"/>
      <c r="AJ555" s="187"/>
    </row>
    <row r="556" spans="1:36" s="9" customFormat="1">
      <c r="K556" s="158"/>
      <c r="M556" s="127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Z556" s="116"/>
      <c r="AA556" s="116"/>
    </row>
    <row r="557" spans="1:36" s="9" customFormat="1">
      <c r="K557" s="158"/>
      <c r="L557" s="159" t="s">
        <v>648</v>
      </c>
      <c r="M557" s="160"/>
      <c r="N557" s="150">
        <f>SUM(N420:N556)</f>
        <v>4090020.0030000019</v>
      </c>
      <c r="O557" s="150">
        <f>SUM(O420:O556)</f>
        <v>4090020.0030000019</v>
      </c>
      <c r="P557" s="150">
        <f>SUM(P420:P556)</f>
        <v>48690.714321428575</v>
      </c>
      <c r="Q557" s="150">
        <f>SUM(Q420:Q556)</f>
        <v>584288.57185714296</v>
      </c>
      <c r="R557" s="150">
        <v>332179.52328571427</v>
      </c>
      <c r="S557" s="150">
        <f>SUM(S420:S556)</f>
        <v>267484.61857142858</v>
      </c>
      <c r="T557" s="150">
        <f>SUM(T420:T556)</f>
        <v>3020086.1287142858</v>
      </c>
      <c r="U557" s="150">
        <f>SUM(U420:U556)</f>
        <v>3287570.7472857153</v>
      </c>
      <c r="V557" s="150">
        <v>1249764.1308571433</v>
      </c>
      <c r="W557" s="150">
        <f t="shared" ref="W557:AD557" si="235">SUM(W420:W556)</f>
        <v>802449.25571428565</v>
      </c>
      <c r="X557" s="150">
        <f t="shared" si="235"/>
        <v>267484.61857142858</v>
      </c>
      <c r="Y557" s="150">
        <f t="shared" si="235"/>
        <v>802449.25571428565</v>
      </c>
      <c r="Z557" s="150">
        <f t="shared" si="235"/>
        <v>-131588.56757142855</v>
      </c>
      <c r="AA557" s="150">
        <f t="shared" si="235"/>
        <v>-809608.08657142846</v>
      </c>
      <c r="AB557" s="150">
        <f t="shared" si="235"/>
        <v>91.829617322370112</v>
      </c>
      <c r="AC557" s="150">
        <f t="shared" si="235"/>
        <v>150985.16968501106</v>
      </c>
      <c r="AD557" s="150">
        <f t="shared" si="235"/>
        <v>331306.23859742092</v>
      </c>
      <c r="AE557" s="150">
        <f>AC557</f>
        <v>150985.16968501106</v>
      </c>
      <c r="AF557" s="150">
        <f>SUM(AF420:AF556)</f>
        <v>0</v>
      </c>
      <c r="AG557" s="150">
        <f>SUM(AG420:AG556)</f>
        <v>0</v>
      </c>
      <c r="AH557" s="150">
        <f>AD557</f>
        <v>331306.23859742092</v>
      </c>
      <c r="AI557" s="150">
        <f>SUM(AI420:AI556)</f>
        <v>0</v>
      </c>
      <c r="AJ557" s="150">
        <f>SUM(AJ420:AJ556)</f>
        <v>0</v>
      </c>
    </row>
    <row r="558" spans="1:36" s="9" customFormat="1">
      <c r="K558" s="158"/>
      <c r="M558" s="127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Z558" s="116"/>
      <c r="AA558" s="116"/>
    </row>
    <row r="559" spans="1:36" s="9" customFormat="1">
      <c r="A559" s="142" t="s">
        <v>649</v>
      </c>
      <c r="K559" s="158"/>
      <c r="M559" s="127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Z559" s="116"/>
      <c r="AA559" s="116"/>
    </row>
    <row r="560" spans="1:36" s="9" customFormat="1">
      <c r="B560" s="9">
        <f>912*4</f>
        <v>3648</v>
      </c>
      <c r="C560" s="9" t="s">
        <v>650</v>
      </c>
      <c r="E560" s="9" t="s">
        <v>651</v>
      </c>
      <c r="G560" s="9">
        <v>2015</v>
      </c>
      <c r="H560" s="9">
        <v>6</v>
      </c>
      <c r="I560" s="9">
        <v>0</v>
      </c>
      <c r="J560" s="9" t="s">
        <v>78</v>
      </c>
      <c r="K560" s="158">
        <v>7</v>
      </c>
      <c r="L560" s="9">
        <f>G560+K560</f>
        <v>2022</v>
      </c>
      <c r="M560" s="127">
        <f>+L560+(H560/12)</f>
        <v>2022.5</v>
      </c>
      <c r="N560" s="13">
        <f>40129.97*4</f>
        <v>160519.88</v>
      </c>
      <c r="O560" s="13">
        <f>N560-N560*I560</f>
        <v>160519.88</v>
      </c>
      <c r="P560" s="13">
        <f>O560/K560/12</f>
        <v>1910.9509523809522</v>
      </c>
      <c r="Q560" s="13">
        <f>P560*12</f>
        <v>22931.411428571428</v>
      </c>
      <c r="R560" s="13">
        <v>22931.411428571428</v>
      </c>
      <c r="S560" s="13">
        <f>+IF(M560&lt;=$O$5,0,IF(L560&gt;$O$4,Q560,(P560*H560)))</f>
        <v>0</v>
      </c>
      <c r="T560" s="13">
        <f>+IF(S560=0,N560,IF($O$3-G560&lt;1,0,(($O$3-G560)*Q560)))</f>
        <v>160519.88</v>
      </c>
      <c r="U560" s="13">
        <f>+IF(S560=0,T560,T560+S560)</f>
        <v>160519.88</v>
      </c>
      <c r="V560" s="13">
        <v>68794.234285714294</v>
      </c>
      <c r="W560" s="13">
        <f>+N560-U560</f>
        <v>0</v>
      </c>
      <c r="X560" s="115">
        <f t="shared" ref="X560" si="236">S560</f>
        <v>0</v>
      </c>
      <c r="Y560" s="116">
        <f t="shared" ref="Y560" si="237">W560</f>
        <v>0</v>
      </c>
      <c r="Z560" s="116">
        <f t="shared" ref="Z560:Z587" si="238">X560-R560</f>
        <v>-22931.411428571428</v>
      </c>
      <c r="AA560" s="116">
        <f t="shared" ref="AA560:AA587" si="239">Y560-V560</f>
        <v>-68794.234285714294</v>
      </c>
      <c r="AB560" s="117">
        <v>0</v>
      </c>
      <c r="AC560" s="116">
        <f t="shared" ref="AC560" si="240">X560*AB560</f>
        <v>0</v>
      </c>
      <c r="AD560" s="116">
        <f t="shared" ref="AD560" si="241">Y560*AB560</f>
        <v>0</v>
      </c>
      <c r="AE560" s="118"/>
      <c r="AF560" s="119"/>
      <c r="AG560" s="120"/>
      <c r="AH560" s="118"/>
      <c r="AI560" s="119"/>
      <c r="AJ560" s="121"/>
    </row>
    <row r="561" spans="1:36" s="9" customFormat="1">
      <c r="B561" s="9">
        <v>12</v>
      </c>
      <c r="C561" s="9" t="s">
        <v>652</v>
      </c>
      <c r="E561" s="9">
        <v>176740</v>
      </c>
      <c r="G561" s="9">
        <v>2017</v>
      </c>
      <c r="H561" s="9">
        <v>2</v>
      </c>
      <c r="I561" s="9">
        <v>0</v>
      </c>
      <c r="J561" s="9" t="s">
        <v>653</v>
      </c>
      <c r="K561" s="158">
        <v>7</v>
      </c>
      <c r="L561" s="9">
        <f>G561+K561</f>
        <v>2024</v>
      </c>
      <c r="M561" s="127">
        <f>+L561+(H561/12)</f>
        <v>2024.1666666666667</v>
      </c>
      <c r="N561" s="13">
        <v>4688.46</v>
      </c>
      <c r="O561" s="13">
        <f>N561-N561*I561</f>
        <v>4688.46</v>
      </c>
      <c r="P561" s="13">
        <f>O561/K561/12</f>
        <v>55.814999999999998</v>
      </c>
      <c r="Q561" s="13">
        <f>P561*12</f>
        <v>669.78</v>
      </c>
      <c r="R561" s="13">
        <v>669.78</v>
      </c>
      <c r="S561" s="13">
        <f>+IF(M561&lt;=$O$5,0,IF(L561&gt;$O$4,Q561,(P561*H561)))</f>
        <v>669.78</v>
      </c>
      <c r="T561" s="13">
        <f>+IF(S561=0,N561,IF($O$3-G561&lt;1,0,(($O$3-G561)*Q561)))</f>
        <v>2679.12</v>
      </c>
      <c r="U561" s="13">
        <f>+IF(S561=0,T561,T561+S561)</f>
        <v>3348.8999999999996</v>
      </c>
      <c r="V561" s="13">
        <v>3348.9</v>
      </c>
      <c r="W561" s="13">
        <f>+N561-U561</f>
        <v>1339.5600000000004</v>
      </c>
      <c r="X561" s="115">
        <f t="shared" ref="X561" si="242">S561</f>
        <v>669.78</v>
      </c>
      <c r="Y561" s="116">
        <f t="shared" ref="Y561" si="243">W561</f>
        <v>1339.5600000000004</v>
      </c>
      <c r="Z561" s="116">
        <f t="shared" si="238"/>
        <v>0</v>
      </c>
      <c r="AA561" s="116">
        <f t="shared" si="239"/>
        <v>-2009.3399999999997</v>
      </c>
      <c r="AB561" s="117">
        <v>0</v>
      </c>
      <c r="AC561" s="116">
        <f t="shared" ref="AC561" si="244">X561*AB561</f>
        <v>0</v>
      </c>
      <c r="AD561" s="116">
        <f t="shared" ref="AD561" si="245">Y561*AB561</f>
        <v>0</v>
      </c>
      <c r="AE561" s="118"/>
      <c r="AF561" s="119"/>
      <c r="AG561" s="120"/>
      <c r="AH561" s="118"/>
      <c r="AI561" s="119"/>
      <c r="AJ561" s="121"/>
    </row>
    <row r="562" spans="1:36" s="9" customFormat="1">
      <c r="K562" s="158"/>
      <c r="M562" s="127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Z562" s="116"/>
      <c r="AA562" s="116"/>
    </row>
    <row r="563" spans="1:36" s="9" customFormat="1">
      <c r="K563" s="158"/>
      <c r="L563" s="159" t="s">
        <v>648</v>
      </c>
      <c r="M563" s="160"/>
      <c r="N563" s="150">
        <f>SUM(N560:N562)</f>
        <v>165208.34</v>
      </c>
      <c r="O563" s="150">
        <f t="shared" ref="O563:U563" si="246">SUM(O560:O562)</f>
        <v>165208.34</v>
      </c>
      <c r="P563" s="150">
        <f t="shared" si="246"/>
        <v>1966.7659523809523</v>
      </c>
      <c r="Q563" s="150">
        <f t="shared" si="246"/>
        <v>23601.191428571427</v>
      </c>
      <c r="R563" s="150">
        <v>23601.191428571427</v>
      </c>
      <c r="S563" s="150">
        <f t="shared" si="246"/>
        <v>669.78</v>
      </c>
      <c r="T563" s="150">
        <f t="shared" si="246"/>
        <v>163199</v>
      </c>
      <c r="U563" s="150">
        <f t="shared" si="246"/>
        <v>163868.78</v>
      </c>
      <c r="V563" s="150">
        <v>72143.134285714288</v>
      </c>
      <c r="W563" s="150">
        <f>SUM(W560:W562)</f>
        <v>1339.5600000000004</v>
      </c>
      <c r="X563" s="150">
        <f t="shared" ref="X563:AJ563" si="247">SUM(X560:X562)</f>
        <v>669.78</v>
      </c>
      <c r="Y563" s="150">
        <f t="shared" si="247"/>
        <v>1339.5600000000004</v>
      </c>
      <c r="Z563" s="150">
        <f t="shared" ref="Z563" si="248">SUM(Z560:Z562)</f>
        <v>-22931.411428571428</v>
      </c>
      <c r="AA563" s="150">
        <f t="shared" ref="AA563" si="249">SUM(AA560:AA562)</f>
        <v>-70803.57428571429</v>
      </c>
      <c r="AB563" s="150">
        <f t="shared" ref="AB563" si="250">SUM(AB560:AB562)</f>
        <v>0</v>
      </c>
      <c r="AC563" s="150">
        <f t="shared" si="247"/>
        <v>0</v>
      </c>
      <c r="AD563" s="150">
        <f t="shared" si="247"/>
        <v>0</v>
      </c>
      <c r="AE563" s="150">
        <f t="shared" si="247"/>
        <v>0</v>
      </c>
      <c r="AF563" s="150">
        <f t="shared" si="247"/>
        <v>0</v>
      </c>
      <c r="AG563" s="150">
        <f t="shared" si="247"/>
        <v>0</v>
      </c>
      <c r="AH563" s="150">
        <f t="shared" si="247"/>
        <v>0</v>
      </c>
      <c r="AI563" s="150">
        <f t="shared" si="247"/>
        <v>0</v>
      </c>
      <c r="AJ563" s="150">
        <f t="shared" si="247"/>
        <v>0</v>
      </c>
    </row>
    <row r="564" spans="1:36" s="9" customFormat="1">
      <c r="A564" s="142" t="s">
        <v>654</v>
      </c>
      <c r="K564" s="158"/>
      <c r="M564" s="127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Z564" s="116"/>
      <c r="AA564" s="116"/>
    </row>
    <row r="565" spans="1:36" s="9" customFormat="1">
      <c r="B565" s="9">
        <v>32216</v>
      </c>
      <c r="C565" s="9" t="s">
        <v>655</v>
      </c>
      <c r="G565" s="9">
        <v>2005</v>
      </c>
      <c r="H565" s="9">
        <v>3</v>
      </c>
      <c r="I565" s="9">
        <v>0</v>
      </c>
      <c r="J565" s="9" t="s">
        <v>78</v>
      </c>
      <c r="K565" s="158">
        <v>7</v>
      </c>
      <c r="L565" s="9">
        <f t="shared" ref="L565:L621" si="251">G565+K565</f>
        <v>2012</v>
      </c>
      <c r="M565" s="127">
        <f t="shared" ref="M565:M621" si="252">+L565+(H565/12)</f>
        <v>2012.25</v>
      </c>
      <c r="N565" s="13">
        <v>1546385.28</v>
      </c>
      <c r="O565" s="13">
        <f t="shared" ref="O565:O621" si="253">N565-N565*I565</f>
        <v>1546385.28</v>
      </c>
      <c r="P565" s="13">
        <f t="shared" ref="P565:P621" si="254">O565/K565/12</f>
        <v>18409.348571428571</v>
      </c>
      <c r="Q565" s="13">
        <f t="shared" ref="Q565:Q621" si="255">P565*12</f>
        <v>220912.18285714285</v>
      </c>
      <c r="R565" s="13">
        <v>0</v>
      </c>
      <c r="S565" s="13">
        <f t="shared" ref="S565:S629" si="256">+IF(M565&lt;=$O$5,0,IF(L565&gt;$O$4,Q565,(P565*H565)))</f>
        <v>0</v>
      </c>
      <c r="T565" s="13">
        <f t="shared" ref="T565:T629" si="257">+IF(S565=0,N565,IF($O$3-G565&lt;1,0,(($O$3-G565)*Q565)))</f>
        <v>1546385.28</v>
      </c>
      <c r="U565" s="13">
        <f t="shared" ref="U565:U629" si="258">+IF(S565=0,T565,T565+S565)</f>
        <v>1546385.28</v>
      </c>
      <c r="V565" s="13">
        <v>0</v>
      </c>
      <c r="W565" s="13">
        <f t="shared" ref="W565:W629" si="259">+N565-U565</f>
        <v>0</v>
      </c>
      <c r="X565" s="115">
        <f t="shared" ref="X565" si="260">S565</f>
        <v>0</v>
      </c>
      <c r="Y565" s="116">
        <f t="shared" ref="Y565" si="261">W565</f>
        <v>0</v>
      </c>
      <c r="Z565" s="116">
        <f t="shared" si="238"/>
        <v>0</v>
      </c>
      <c r="AA565" s="116">
        <f t="shared" si="239"/>
        <v>0</v>
      </c>
      <c r="AB565" s="117">
        <f>'Ratios (C)'!$C$29+'Ratios (C)'!$D$29</f>
        <v>0.74382820142966577</v>
      </c>
      <c r="AC565" s="116">
        <f t="shared" ref="AC565" si="262">X565*AB565</f>
        <v>0</v>
      </c>
      <c r="AD565" s="116">
        <f t="shared" ref="AD565" si="263">Y565*AB565</f>
        <v>0</v>
      </c>
      <c r="AE565" s="118"/>
      <c r="AF565" s="119"/>
      <c r="AG565" s="120"/>
      <c r="AH565" s="118"/>
      <c r="AI565" s="119"/>
      <c r="AJ565" s="121"/>
    </row>
    <row r="566" spans="1:36" s="9" customFormat="1">
      <c r="B566" s="9">
        <v>9481</v>
      </c>
      <c r="C566" s="9" t="s">
        <v>655</v>
      </c>
      <c r="G566" s="9">
        <v>2005</v>
      </c>
      <c r="H566" s="9">
        <v>4</v>
      </c>
      <c r="I566" s="9">
        <v>0</v>
      </c>
      <c r="J566" s="9" t="s">
        <v>78</v>
      </c>
      <c r="K566" s="158">
        <v>7</v>
      </c>
      <c r="L566" s="9">
        <f t="shared" si="251"/>
        <v>2012</v>
      </c>
      <c r="M566" s="127">
        <f t="shared" si="252"/>
        <v>2012.3333333333333</v>
      </c>
      <c r="N566" s="13">
        <v>455099.52</v>
      </c>
      <c r="O566" s="13">
        <f t="shared" si="253"/>
        <v>455099.52</v>
      </c>
      <c r="P566" s="13">
        <f t="shared" si="254"/>
        <v>5417.8514285714291</v>
      </c>
      <c r="Q566" s="13">
        <f t="shared" si="255"/>
        <v>65014.217142857146</v>
      </c>
      <c r="R566" s="13">
        <v>0</v>
      </c>
      <c r="S566" s="13">
        <f t="shared" si="256"/>
        <v>0</v>
      </c>
      <c r="T566" s="13">
        <f t="shared" si="257"/>
        <v>455099.52</v>
      </c>
      <c r="U566" s="13">
        <f t="shared" si="258"/>
        <v>455099.52</v>
      </c>
      <c r="V566" s="13">
        <v>0</v>
      </c>
      <c r="W566" s="13">
        <f t="shared" si="259"/>
        <v>0</v>
      </c>
      <c r="X566" s="115">
        <f t="shared" ref="X566:X629" si="264">S566</f>
        <v>0</v>
      </c>
      <c r="Y566" s="116">
        <f t="shared" ref="Y566:Y629" si="265">W566</f>
        <v>0</v>
      </c>
      <c r="Z566" s="116">
        <f t="shared" si="238"/>
        <v>0</v>
      </c>
      <c r="AA566" s="116">
        <f t="shared" si="239"/>
        <v>0</v>
      </c>
      <c r="AB566" s="117">
        <f>'Ratios (C)'!$C$29+'Ratios (C)'!$D$29</f>
        <v>0.74382820142966577</v>
      </c>
      <c r="AC566" s="116">
        <f t="shared" ref="AC566:AC626" si="266">X566*AB566</f>
        <v>0</v>
      </c>
      <c r="AD566" s="116">
        <f t="shared" ref="AD566:AD626" si="267">Y566*AB566</f>
        <v>0</v>
      </c>
      <c r="AE566" s="118"/>
      <c r="AF566" s="119"/>
      <c r="AG566" s="120"/>
      <c r="AH566" s="118"/>
      <c r="AI566" s="119"/>
      <c r="AJ566" s="121"/>
    </row>
    <row r="567" spans="1:36" s="9" customFormat="1">
      <c r="B567" s="9">
        <v>128</v>
      </c>
      <c r="C567" s="9" t="s">
        <v>656</v>
      </c>
      <c r="G567" s="9">
        <v>2007</v>
      </c>
      <c r="H567" s="9">
        <v>8</v>
      </c>
      <c r="I567" s="9">
        <v>0</v>
      </c>
      <c r="J567" s="9" t="s">
        <v>78</v>
      </c>
      <c r="K567" s="158">
        <v>7</v>
      </c>
      <c r="L567" s="9">
        <f>G567+K567</f>
        <v>2014</v>
      </c>
      <c r="M567" s="127">
        <f>+L567+(H567/12)</f>
        <v>2014.6666666666667</v>
      </c>
      <c r="N567" s="13">
        <v>56759.66</v>
      </c>
      <c r="O567" s="13">
        <f>N567-N567*I567</f>
        <v>56759.66</v>
      </c>
      <c r="P567" s="13">
        <f>O567/K567/12</f>
        <v>675.7102380952382</v>
      </c>
      <c r="Q567" s="13">
        <f>P567*12</f>
        <v>8108.5228571428579</v>
      </c>
      <c r="R567" s="13">
        <v>0</v>
      </c>
      <c r="S567" s="13">
        <f>+IF(M567&lt;=$O$5,0,IF(L567&gt;$O$4,Q567,(P567*H567)))</f>
        <v>0</v>
      </c>
      <c r="T567" s="13">
        <f>+IF(S567=0,N567,IF($O$3-G567&lt;1,0,(($O$3-G567)*Q567)))</f>
        <v>56759.66</v>
      </c>
      <c r="U567" s="13">
        <f>+IF(S567=0,T567,T567+S567)</f>
        <v>56759.66</v>
      </c>
      <c r="V567" s="13">
        <v>0</v>
      </c>
      <c r="W567" s="13">
        <f>+N567-U567</f>
        <v>0</v>
      </c>
      <c r="X567" s="115">
        <f t="shared" si="264"/>
        <v>0</v>
      </c>
      <c r="Y567" s="116">
        <f t="shared" si="265"/>
        <v>0</v>
      </c>
      <c r="Z567" s="116">
        <f t="shared" si="238"/>
        <v>0</v>
      </c>
      <c r="AA567" s="116">
        <f t="shared" si="239"/>
        <v>0</v>
      </c>
      <c r="AB567" s="117">
        <f>'Ratios (C)'!$C$29+'Ratios (C)'!$D$29</f>
        <v>0.74382820142966577</v>
      </c>
      <c r="AC567" s="116">
        <f t="shared" si="266"/>
        <v>0</v>
      </c>
      <c r="AD567" s="116">
        <f t="shared" si="267"/>
        <v>0</v>
      </c>
      <c r="AE567" s="118"/>
      <c r="AF567" s="119"/>
      <c r="AG567" s="120"/>
      <c r="AH567" s="118"/>
      <c r="AI567" s="119"/>
      <c r="AJ567" s="121"/>
    </row>
    <row r="568" spans="1:36" s="9" customFormat="1">
      <c r="B568" s="9">
        <v>618</v>
      </c>
      <c r="C568" s="9" t="s">
        <v>657</v>
      </c>
      <c r="G568" s="9">
        <v>2008</v>
      </c>
      <c r="H568" s="9">
        <v>2</v>
      </c>
      <c r="I568" s="9">
        <v>0</v>
      </c>
      <c r="J568" s="9" t="s">
        <v>78</v>
      </c>
      <c r="K568" s="158">
        <v>7</v>
      </c>
      <c r="L568" s="9">
        <f t="shared" si="251"/>
        <v>2015</v>
      </c>
      <c r="M568" s="127">
        <f t="shared" si="252"/>
        <v>2015.1666666666667</v>
      </c>
      <c r="N568" s="13">
        <v>29652.77</v>
      </c>
      <c r="O568" s="13">
        <f t="shared" si="253"/>
        <v>29652.77</v>
      </c>
      <c r="P568" s="13">
        <f t="shared" si="254"/>
        <v>353.00916666666666</v>
      </c>
      <c r="Q568" s="13">
        <f t="shared" si="255"/>
        <v>4236.1099999999997</v>
      </c>
      <c r="R568" s="13">
        <v>0</v>
      </c>
      <c r="S568" s="13">
        <f t="shared" si="256"/>
        <v>0</v>
      </c>
      <c r="T568" s="13">
        <f t="shared" si="257"/>
        <v>29652.77</v>
      </c>
      <c r="U568" s="13">
        <f t="shared" si="258"/>
        <v>29652.77</v>
      </c>
      <c r="V568" s="13">
        <v>0</v>
      </c>
      <c r="W568" s="13">
        <f t="shared" si="259"/>
        <v>0</v>
      </c>
      <c r="X568" s="115">
        <f t="shared" si="264"/>
        <v>0</v>
      </c>
      <c r="Y568" s="116">
        <f t="shared" si="265"/>
        <v>0</v>
      </c>
      <c r="Z568" s="116">
        <f t="shared" si="238"/>
        <v>0</v>
      </c>
      <c r="AA568" s="116">
        <f t="shared" si="239"/>
        <v>0</v>
      </c>
      <c r="AB568" s="117">
        <f>'Ratios (C)'!$C$29+'Ratios (C)'!$D$29</f>
        <v>0.74382820142966577</v>
      </c>
      <c r="AC568" s="116">
        <f t="shared" si="266"/>
        <v>0</v>
      </c>
      <c r="AD568" s="116">
        <f t="shared" si="267"/>
        <v>0</v>
      </c>
      <c r="AE568" s="118"/>
      <c r="AF568" s="119"/>
      <c r="AG568" s="120"/>
      <c r="AH568" s="118"/>
      <c r="AI568" s="119"/>
      <c r="AJ568" s="121"/>
    </row>
    <row r="569" spans="1:36" s="9" customFormat="1">
      <c r="B569" s="9">
        <v>627</v>
      </c>
      <c r="C569" s="9" t="s">
        <v>655</v>
      </c>
      <c r="G569" s="9">
        <v>2008</v>
      </c>
      <c r="H569" s="9">
        <v>3</v>
      </c>
      <c r="I569" s="9">
        <v>0</v>
      </c>
      <c r="J569" s="9" t="s">
        <v>78</v>
      </c>
      <c r="K569" s="158">
        <v>7</v>
      </c>
      <c r="L569" s="9">
        <f t="shared" si="251"/>
        <v>2015</v>
      </c>
      <c r="M569" s="127">
        <f t="shared" si="252"/>
        <v>2015.25</v>
      </c>
      <c r="N569" s="13">
        <v>30072.07</v>
      </c>
      <c r="O569" s="13">
        <f t="shared" si="253"/>
        <v>30072.07</v>
      </c>
      <c r="P569" s="13">
        <f t="shared" si="254"/>
        <v>358.00083333333333</v>
      </c>
      <c r="Q569" s="13">
        <f t="shared" si="255"/>
        <v>4296.01</v>
      </c>
      <c r="R569" s="13">
        <v>0</v>
      </c>
      <c r="S569" s="13">
        <f t="shared" si="256"/>
        <v>0</v>
      </c>
      <c r="T569" s="13">
        <f t="shared" si="257"/>
        <v>30072.07</v>
      </c>
      <c r="U569" s="13">
        <f t="shared" si="258"/>
        <v>30072.07</v>
      </c>
      <c r="V569" s="13">
        <v>0</v>
      </c>
      <c r="W569" s="13">
        <f t="shared" si="259"/>
        <v>0</v>
      </c>
      <c r="X569" s="115">
        <f t="shared" si="264"/>
        <v>0</v>
      </c>
      <c r="Y569" s="116">
        <f t="shared" si="265"/>
        <v>0</v>
      </c>
      <c r="Z569" s="116">
        <f t="shared" si="238"/>
        <v>0</v>
      </c>
      <c r="AA569" s="116">
        <f t="shared" si="239"/>
        <v>0</v>
      </c>
      <c r="AB569" s="117">
        <f>'Ratios (C)'!$C$29+'Ratios (C)'!$D$29</f>
        <v>0.74382820142966577</v>
      </c>
      <c r="AC569" s="116">
        <f t="shared" si="266"/>
        <v>0</v>
      </c>
      <c r="AD569" s="116">
        <f t="shared" si="267"/>
        <v>0</v>
      </c>
      <c r="AE569" s="118"/>
      <c r="AF569" s="119"/>
      <c r="AG569" s="120"/>
      <c r="AH569" s="118"/>
      <c r="AI569" s="119"/>
      <c r="AJ569" s="121"/>
    </row>
    <row r="570" spans="1:36" s="9" customFormat="1">
      <c r="B570" s="9">
        <v>310</v>
      </c>
      <c r="C570" s="9" t="s">
        <v>655</v>
      </c>
      <c r="G570" s="9">
        <v>2008</v>
      </c>
      <c r="H570" s="9">
        <v>3</v>
      </c>
      <c r="I570" s="9">
        <v>0</v>
      </c>
      <c r="J570" s="9" t="s">
        <v>78</v>
      </c>
      <c r="K570" s="158">
        <v>7</v>
      </c>
      <c r="L570" s="9">
        <f t="shared" si="251"/>
        <v>2015</v>
      </c>
      <c r="M570" s="127">
        <f t="shared" si="252"/>
        <v>2015.25</v>
      </c>
      <c r="N570" s="13">
        <v>14900.5</v>
      </c>
      <c r="O570" s="13">
        <f t="shared" si="253"/>
        <v>14900.5</v>
      </c>
      <c r="P570" s="13">
        <f t="shared" si="254"/>
        <v>177.38690476190479</v>
      </c>
      <c r="Q570" s="13">
        <f t="shared" si="255"/>
        <v>2128.6428571428573</v>
      </c>
      <c r="R570" s="13">
        <v>0</v>
      </c>
      <c r="S570" s="13">
        <f t="shared" si="256"/>
        <v>0</v>
      </c>
      <c r="T570" s="13">
        <f t="shared" si="257"/>
        <v>14900.5</v>
      </c>
      <c r="U570" s="13">
        <f t="shared" si="258"/>
        <v>14900.5</v>
      </c>
      <c r="V570" s="13">
        <v>0</v>
      </c>
      <c r="W570" s="13">
        <f t="shared" si="259"/>
        <v>0</v>
      </c>
      <c r="X570" s="115">
        <f t="shared" si="264"/>
        <v>0</v>
      </c>
      <c r="Y570" s="116">
        <f t="shared" si="265"/>
        <v>0</v>
      </c>
      <c r="Z570" s="116">
        <f t="shared" si="238"/>
        <v>0</v>
      </c>
      <c r="AA570" s="116">
        <f t="shared" si="239"/>
        <v>0</v>
      </c>
      <c r="AB570" s="117">
        <f>'Ratios (C)'!$C$29+'Ratios (C)'!$D$29</f>
        <v>0.74382820142966577</v>
      </c>
      <c r="AC570" s="116">
        <f t="shared" si="266"/>
        <v>0</v>
      </c>
      <c r="AD570" s="116">
        <f t="shared" si="267"/>
        <v>0</v>
      </c>
      <c r="AE570" s="118"/>
      <c r="AF570" s="119"/>
      <c r="AG570" s="120"/>
      <c r="AH570" s="118"/>
      <c r="AI570" s="119"/>
      <c r="AJ570" s="121"/>
    </row>
    <row r="571" spans="1:36" s="9" customFormat="1">
      <c r="B571" s="9">
        <v>640</v>
      </c>
      <c r="C571" s="9" t="s">
        <v>658</v>
      </c>
      <c r="G571" s="9">
        <v>2008</v>
      </c>
      <c r="H571" s="9">
        <v>3</v>
      </c>
      <c r="I571" s="9">
        <v>0</v>
      </c>
      <c r="J571" s="9" t="s">
        <v>78</v>
      </c>
      <c r="K571" s="158">
        <v>7</v>
      </c>
      <c r="L571" s="9">
        <f t="shared" si="251"/>
        <v>2015</v>
      </c>
      <c r="M571" s="127">
        <f t="shared" si="252"/>
        <v>2015.25</v>
      </c>
      <c r="N571" s="13">
        <v>30706.32</v>
      </c>
      <c r="O571" s="13">
        <f t="shared" si="253"/>
        <v>30706.32</v>
      </c>
      <c r="P571" s="13">
        <f t="shared" si="254"/>
        <v>365.55142857142852</v>
      </c>
      <c r="Q571" s="13">
        <f t="shared" si="255"/>
        <v>4386.6171428571424</v>
      </c>
      <c r="R571" s="13">
        <v>0</v>
      </c>
      <c r="S571" s="13">
        <f t="shared" si="256"/>
        <v>0</v>
      </c>
      <c r="T571" s="13">
        <f t="shared" si="257"/>
        <v>30706.32</v>
      </c>
      <c r="U571" s="13">
        <f t="shared" si="258"/>
        <v>30706.32</v>
      </c>
      <c r="V571" s="13">
        <v>0</v>
      </c>
      <c r="W571" s="13">
        <f t="shared" si="259"/>
        <v>0</v>
      </c>
      <c r="X571" s="115">
        <f t="shared" si="264"/>
        <v>0</v>
      </c>
      <c r="Y571" s="116">
        <f t="shared" si="265"/>
        <v>0</v>
      </c>
      <c r="Z571" s="116">
        <f t="shared" si="238"/>
        <v>0</v>
      </c>
      <c r="AA571" s="116">
        <f t="shared" si="239"/>
        <v>0</v>
      </c>
      <c r="AB571" s="117">
        <f>'Ratios (C)'!$C$29+'Ratios (C)'!$D$29</f>
        <v>0.74382820142966577</v>
      </c>
      <c r="AC571" s="116">
        <f t="shared" si="266"/>
        <v>0</v>
      </c>
      <c r="AD571" s="116">
        <f t="shared" si="267"/>
        <v>0</v>
      </c>
      <c r="AE571" s="118"/>
      <c r="AF571" s="119"/>
      <c r="AG571" s="120"/>
      <c r="AH571" s="118"/>
      <c r="AI571" s="119"/>
      <c r="AJ571" s="121"/>
    </row>
    <row r="572" spans="1:36" s="9" customFormat="1">
      <c r="B572" s="9">
        <v>638</v>
      </c>
      <c r="C572" s="9" t="s">
        <v>657</v>
      </c>
      <c r="G572" s="9">
        <v>2008</v>
      </c>
      <c r="H572" s="9">
        <v>5</v>
      </c>
      <c r="I572" s="9">
        <v>0</v>
      </c>
      <c r="J572" s="9" t="s">
        <v>78</v>
      </c>
      <c r="K572" s="158">
        <v>7</v>
      </c>
      <c r="L572" s="9">
        <f t="shared" si="251"/>
        <v>2015</v>
      </c>
      <c r="M572" s="127">
        <f t="shared" si="252"/>
        <v>2015.4166666666667</v>
      </c>
      <c r="N572" s="13">
        <v>30612.3</v>
      </c>
      <c r="O572" s="13">
        <f t="shared" si="253"/>
        <v>30612.3</v>
      </c>
      <c r="P572" s="13">
        <f t="shared" si="254"/>
        <v>364.43214285714288</v>
      </c>
      <c r="Q572" s="13">
        <f t="shared" si="255"/>
        <v>4373.1857142857143</v>
      </c>
      <c r="R572" s="13">
        <v>0</v>
      </c>
      <c r="S572" s="13">
        <f t="shared" si="256"/>
        <v>0</v>
      </c>
      <c r="T572" s="13">
        <f t="shared" si="257"/>
        <v>30612.3</v>
      </c>
      <c r="U572" s="13">
        <f t="shared" si="258"/>
        <v>30612.3</v>
      </c>
      <c r="V572" s="13">
        <v>0</v>
      </c>
      <c r="W572" s="13">
        <f t="shared" si="259"/>
        <v>0</v>
      </c>
      <c r="X572" s="115">
        <f t="shared" si="264"/>
        <v>0</v>
      </c>
      <c r="Y572" s="116">
        <f t="shared" si="265"/>
        <v>0</v>
      </c>
      <c r="Z572" s="116">
        <f t="shared" si="238"/>
        <v>0</v>
      </c>
      <c r="AA572" s="116">
        <f t="shared" si="239"/>
        <v>0</v>
      </c>
      <c r="AB572" s="117">
        <f>'Ratios (C)'!$C$29+'Ratios (C)'!$D$29</f>
        <v>0.74382820142966577</v>
      </c>
      <c r="AC572" s="116">
        <f t="shared" si="266"/>
        <v>0</v>
      </c>
      <c r="AD572" s="116">
        <f t="shared" si="267"/>
        <v>0</v>
      </c>
      <c r="AE572" s="118"/>
      <c r="AF572" s="119"/>
      <c r="AG572" s="120"/>
      <c r="AH572" s="118"/>
      <c r="AI572" s="119"/>
      <c r="AJ572" s="121"/>
    </row>
    <row r="573" spans="1:36" s="9" customFormat="1">
      <c r="B573" s="9">
        <v>634</v>
      </c>
      <c r="C573" s="9" t="s">
        <v>657</v>
      </c>
      <c r="G573" s="9">
        <v>2008</v>
      </c>
      <c r="H573" s="9">
        <v>5</v>
      </c>
      <c r="I573" s="9">
        <v>0</v>
      </c>
      <c r="J573" s="9" t="s">
        <v>78</v>
      </c>
      <c r="K573" s="158">
        <v>7</v>
      </c>
      <c r="L573" s="9">
        <f t="shared" si="251"/>
        <v>2015</v>
      </c>
      <c r="M573" s="127">
        <f t="shared" si="252"/>
        <v>2015.4166666666667</v>
      </c>
      <c r="N573" s="13">
        <v>30437.39</v>
      </c>
      <c r="O573" s="13">
        <f t="shared" si="253"/>
        <v>30437.39</v>
      </c>
      <c r="P573" s="13">
        <f t="shared" si="254"/>
        <v>362.34988095238094</v>
      </c>
      <c r="Q573" s="13">
        <f t="shared" si="255"/>
        <v>4348.1985714285711</v>
      </c>
      <c r="R573" s="13">
        <v>0</v>
      </c>
      <c r="S573" s="13">
        <f t="shared" si="256"/>
        <v>0</v>
      </c>
      <c r="T573" s="13">
        <f t="shared" si="257"/>
        <v>30437.39</v>
      </c>
      <c r="U573" s="13">
        <f t="shared" si="258"/>
        <v>30437.39</v>
      </c>
      <c r="V573" s="13">
        <v>0</v>
      </c>
      <c r="W573" s="13">
        <f t="shared" si="259"/>
        <v>0</v>
      </c>
      <c r="X573" s="115">
        <f t="shared" si="264"/>
        <v>0</v>
      </c>
      <c r="Y573" s="116">
        <f t="shared" si="265"/>
        <v>0</v>
      </c>
      <c r="Z573" s="116">
        <f t="shared" si="238"/>
        <v>0</v>
      </c>
      <c r="AA573" s="116">
        <f t="shared" si="239"/>
        <v>0</v>
      </c>
      <c r="AB573" s="117">
        <f>'Ratios (C)'!$C$29+'Ratios (C)'!$D$29</f>
        <v>0.74382820142966577</v>
      </c>
      <c r="AC573" s="116">
        <f t="shared" si="266"/>
        <v>0</v>
      </c>
      <c r="AD573" s="116">
        <f t="shared" si="267"/>
        <v>0</v>
      </c>
      <c r="AE573" s="118"/>
      <c r="AF573" s="119"/>
      <c r="AG573" s="120"/>
      <c r="AH573" s="118"/>
      <c r="AI573" s="119"/>
      <c r="AJ573" s="121"/>
    </row>
    <row r="574" spans="1:36" s="9" customFormat="1">
      <c r="B574" s="9">
        <v>1285</v>
      </c>
      <c r="C574" s="9" t="s">
        <v>657</v>
      </c>
      <c r="G574" s="9">
        <v>2008</v>
      </c>
      <c r="H574" s="9">
        <v>6</v>
      </c>
      <c r="I574" s="9">
        <v>0</v>
      </c>
      <c r="J574" s="9" t="s">
        <v>78</v>
      </c>
      <c r="K574" s="158">
        <v>7</v>
      </c>
      <c r="L574" s="9">
        <f t="shared" si="251"/>
        <v>2015</v>
      </c>
      <c r="M574" s="127">
        <f t="shared" si="252"/>
        <v>2015.5</v>
      </c>
      <c r="N574" s="13">
        <v>61670.44</v>
      </c>
      <c r="O574" s="13">
        <f t="shared" si="253"/>
        <v>61670.44</v>
      </c>
      <c r="P574" s="13">
        <f t="shared" si="254"/>
        <v>734.17190476190478</v>
      </c>
      <c r="Q574" s="13">
        <f t="shared" si="255"/>
        <v>8810.062857142857</v>
      </c>
      <c r="R574" s="13">
        <v>0</v>
      </c>
      <c r="S574" s="13">
        <f t="shared" si="256"/>
        <v>0</v>
      </c>
      <c r="T574" s="13">
        <f t="shared" si="257"/>
        <v>61670.44</v>
      </c>
      <c r="U574" s="13">
        <f t="shared" si="258"/>
        <v>61670.44</v>
      </c>
      <c r="V574" s="13">
        <v>0</v>
      </c>
      <c r="W574" s="13">
        <f t="shared" si="259"/>
        <v>0</v>
      </c>
      <c r="X574" s="115">
        <f t="shared" si="264"/>
        <v>0</v>
      </c>
      <c r="Y574" s="116">
        <f t="shared" si="265"/>
        <v>0</v>
      </c>
      <c r="Z574" s="116">
        <f t="shared" si="238"/>
        <v>0</v>
      </c>
      <c r="AA574" s="116">
        <f t="shared" si="239"/>
        <v>0</v>
      </c>
      <c r="AB574" s="117">
        <f>'Ratios (C)'!$C$29+'Ratios (C)'!$D$29</f>
        <v>0.74382820142966577</v>
      </c>
      <c r="AC574" s="116">
        <f t="shared" si="266"/>
        <v>0</v>
      </c>
      <c r="AD574" s="116">
        <f t="shared" si="267"/>
        <v>0</v>
      </c>
      <c r="AE574" s="118"/>
      <c r="AF574" s="119"/>
      <c r="AG574" s="120"/>
      <c r="AH574" s="118"/>
      <c r="AI574" s="119"/>
      <c r="AJ574" s="121"/>
    </row>
    <row r="575" spans="1:36" s="9" customFormat="1">
      <c r="B575" s="9">
        <v>317</v>
      </c>
      <c r="C575" s="9" t="s">
        <v>655</v>
      </c>
      <c r="G575" s="9">
        <v>2008</v>
      </c>
      <c r="H575" s="9">
        <v>6</v>
      </c>
      <c r="I575" s="9">
        <v>0</v>
      </c>
      <c r="J575" s="9" t="s">
        <v>78</v>
      </c>
      <c r="K575" s="158">
        <v>7</v>
      </c>
      <c r="L575" s="9">
        <f t="shared" si="251"/>
        <v>2015</v>
      </c>
      <c r="M575" s="127">
        <f t="shared" si="252"/>
        <v>2015.5</v>
      </c>
      <c r="N575" s="13">
        <v>15202.07</v>
      </c>
      <c r="O575" s="13">
        <f t="shared" si="253"/>
        <v>15202.07</v>
      </c>
      <c r="P575" s="13">
        <f t="shared" si="254"/>
        <v>180.97702380952379</v>
      </c>
      <c r="Q575" s="13">
        <f t="shared" si="255"/>
        <v>2171.7242857142855</v>
      </c>
      <c r="R575" s="13">
        <v>0</v>
      </c>
      <c r="S575" s="13">
        <f t="shared" si="256"/>
        <v>0</v>
      </c>
      <c r="T575" s="13">
        <f t="shared" si="257"/>
        <v>15202.07</v>
      </c>
      <c r="U575" s="13">
        <f t="shared" si="258"/>
        <v>15202.07</v>
      </c>
      <c r="V575" s="13">
        <v>0</v>
      </c>
      <c r="W575" s="13">
        <f t="shared" si="259"/>
        <v>0</v>
      </c>
      <c r="X575" s="115">
        <f t="shared" si="264"/>
        <v>0</v>
      </c>
      <c r="Y575" s="116">
        <f t="shared" si="265"/>
        <v>0</v>
      </c>
      <c r="Z575" s="116">
        <f t="shared" si="238"/>
        <v>0</v>
      </c>
      <c r="AA575" s="116">
        <f t="shared" si="239"/>
        <v>0</v>
      </c>
      <c r="AB575" s="117">
        <f>'Ratios (C)'!$C$29+'Ratios (C)'!$D$29</f>
        <v>0.74382820142966577</v>
      </c>
      <c r="AC575" s="116">
        <f t="shared" si="266"/>
        <v>0</v>
      </c>
      <c r="AD575" s="116">
        <f t="shared" si="267"/>
        <v>0</v>
      </c>
      <c r="AE575" s="118"/>
      <c r="AF575" s="119"/>
      <c r="AG575" s="120"/>
      <c r="AH575" s="118"/>
      <c r="AI575" s="119"/>
      <c r="AJ575" s="121"/>
    </row>
    <row r="576" spans="1:36" s="9" customFormat="1">
      <c r="B576" s="9">
        <v>634</v>
      </c>
      <c r="C576" s="9" t="s">
        <v>658</v>
      </c>
      <c r="G576" s="9">
        <v>2008</v>
      </c>
      <c r="H576" s="9">
        <v>8</v>
      </c>
      <c r="I576" s="9">
        <v>0</v>
      </c>
      <c r="J576" s="9" t="s">
        <v>78</v>
      </c>
      <c r="K576" s="158">
        <v>7</v>
      </c>
      <c r="L576" s="9">
        <f t="shared" si="251"/>
        <v>2015</v>
      </c>
      <c r="M576" s="127">
        <f t="shared" si="252"/>
        <v>2015.6666666666667</v>
      </c>
      <c r="N576" s="13">
        <v>30425.26</v>
      </c>
      <c r="O576" s="13">
        <f t="shared" si="253"/>
        <v>30425.26</v>
      </c>
      <c r="P576" s="13">
        <f t="shared" si="254"/>
        <v>362.20547619047619</v>
      </c>
      <c r="Q576" s="13">
        <f t="shared" si="255"/>
        <v>4346.4657142857141</v>
      </c>
      <c r="R576" s="13">
        <v>0</v>
      </c>
      <c r="S576" s="13">
        <f t="shared" si="256"/>
        <v>0</v>
      </c>
      <c r="T576" s="13">
        <f t="shared" si="257"/>
        <v>30425.26</v>
      </c>
      <c r="U576" s="13">
        <f t="shared" si="258"/>
        <v>30425.26</v>
      </c>
      <c r="V576" s="13">
        <v>0</v>
      </c>
      <c r="W576" s="13">
        <f t="shared" si="259"/>
        <v>0</v>
      </c>
      <c r="X576" s="115">
        <f t="shared" si="264"/>
        <v>0</v>
      </c>
      <c r="Y576" s="116">
        <f t="shared" si="265"/>
        <v>0</v>
      </c>
      <c r="Z576" s="116">
        <f t="shared" si="238"/>
        <v>0</v>
      </c>
      <c r="AA576" s="116">
        <f t="shared" si="239"/>
        <v>0</v>
      </c>
      <c r="AB576" s="117">
        <f>'Ratios (C)'!$C$29+'Ratios (C)'!$D$29</f>
        <v>0.74382820142966577</v>
      </c>
      <c r="AC576" s="116">
        <f t="shared" si="266"/>
        <v>0</v>
      </c>
      <c r="AD576" s="116">
        <f t="shared" si="267"/>
        <v>0</v>
      </c>
      <c r="AE576" s="118"/>
      <c r="AF576" s="119"/>
      <c r="AG576" s="120"/>
      <c r="AH576" s="118"/>
      <c r="AI576" s="119"/>
      <c r="AJ576" s="121"/>
    </row>
    <row r="577" spans="2:36" s="9" customFormat="1">
      <c r="B577" s="9">
        <v>645</v>
      </c>
      <c r="C577" s="9" t="s">
        <v>657</v>
      </c>
      <c r="G577" s="9">
        <v>2008</v>
      </c>
      <c r="H577" s="9">
        <v>9</v>
      </c>
      <c r="I577" s="9">
        <v>0</v>
      </c>
      <c r="J577" s="9" t="s">
        <v>78</v>
      </c>
      <c r="K577" s="158">
        <v>7</v>
      </c>
      <c r="L577" s="9">
        <f t="shared" si="251"/>
        <v>2015</v>
      </c>
      <c r="M577" s="127">
        <f t="shared" si="252"/>
        <v>2015.75</v>
      </c>
      <c r="N577" s="13">
        <v>30944.14</v>
      </c>
      <c r="O577" s="13">
        <f t="shared" si="253"/>
        <v>30944.14</v>
      </c>
      <c r="P577" s="13">
        <f t="shared" si="254"/>
        <v>368.38261904761907</v>
      </c>
      <c r="Q577" s="13">
        <f t="shared" si="255"/>
        <v>4420.5914285714289</v>
      </c>
      <c r="R577" s="13">
        <v>0</v>
      </c>
      <c r="S577" s="13">
        <f t="shared" si="256"/>
        <v>0</v>
      </c>
      <c r="T577" s="13">
        <f t="shared" si="257"/>
        <v>30944.14</v>
      </c>
      <c r="U577" s="13">
        <f t="shared" si="258"/>
        <v>30944.14</v>
      </c>
      <c r="V577" s="13">
        <v>0</v>
      </c>
      <c r="W577" s="13">
        <f t="shared" si="259"/>
        <v>0</v>
      </c>
      <c r="X577" s="115">
        <f t="shared" si="264"/>
        <v>0</v>
      </c>
      <c r="Y577" s="116">
        <f t="shared" si="265"/>
        <v>0</v>
      </c>
      <c r="Z577" s="116">
        <f t="shared" si="238"/>
        <v>0</v>
      </c>
      <c r="AA577" s="116">
        <f t="shared" si="239"/>
        <v>0</v>
      </c>
      <c r="AB577" s="117">
        <f>'Ratios (C)'!$C$29+'Ratios (C)'!$D$29</f>
        <v>0.74382820142966577</v>
      </c>
      <c r="AC577" s="116">
        <f t="shared" si="266"/>
        <v>0</v>
      </c>
      <c r="AD577" s="116">
        <f t="shared" si="267"/>
        <v>0</v>
      </c>
      <c r="AE577" s="118"/>
      <c r="AF577" s="119"/>
      <c r="AG577" s="120"/>
      <c r="AH577" s="118"/>
      <c r="AI577" s="119"/>
      <c r="AJ577" s="121"/>
    </row>
    <row r="578" spans="2:36" s="9" customFormat="1">
      <c r="B578" s="9">
        <v>639</v>
      </c>
      <c r="C578" s="9" t="s">
        <v>657</v>
      </c>
      <c r="G578" s="9">
        <v>2008</v>
      </c>
      <c r="H578" s="9">
        <v>9</v>
      </c>
      <c r="I578" s="9">
        <v>0</v>
      </c>
      <c r="J578" s="9" t="s">
        <v>78</v>
      </c>
      <c r="K578" s="158">
        <v>7</v>
      </c>
      <c r="L578" s="9">
        <f t="shared" si="251"/>
        <v>2015</v>
      </c>
      <c r="M578" s="127">
        <f t="shared" si="252"/>
        <v>2015.75</v>
      </c>
      <c r="N578" s="13">
        <v>30672.63</v>
      </c>
      <c r="O578" s="13">
        <f t="shared" si="253"/>
        <v>30672.63</v>
      </c>
      <c r="P578" s="13">
        <f t="shared" si="254"/>
        <v>365.1503571428571</v>
      </c>
      <c r="Q578" s="13">
        <f t="shared" si="255"/>
        <v>4381.8042857142855</v>
      </c>
      <c r="R578" s="13">
        <v>0</v>
      </c>
      <c r="S578" s="13">
        <f t="shared" si="256"/>
        <v>0</v>
      </c>
      <c r="T578" s="13">
        <f t="shared" si="257"/>
        <v>30672.63</v>
      </c>
      <c r="U578" s="13">
        <f t="shared" si="258"/>
        <v>30672.63</v>
      </c>
      <c r="V578" s="13">
        <v>0</v>
      </c>
      <c r="W578" s="13">
        <f t="shared" si="259"/>
        <v>0</v>
      </c>
      <c r="X578" s="115">
        <f t="shared" si="264"/>
        <v>0</v>
      </c>
      <c r="Y578" s="116">
        <f t="shared" si="265"/>
        <v>0</v>
      </c>
      <c r="Z578" s="116">
        <f t="shared" si="238"/>
        <v>0</v>
      </c>
      <c r="AA578" s="116">
        <f t="shared" si="239"/>
        <v>0</v>
      </c>
      <c r="AB578" s="117">
        <f>'Ratios (C)'!$C$29+'Ratios (C)'!$D$29</f>
        <v>0.74382820142966577</v>
      </c>
      <c r="AC578" s="116">
        <f t="shared" si="266"/>
        <v>0</v>
      </c>
      <c r="AD578" s="116">
        <f t="shared" si="267"/>
        <v>0</v>
      </c>
      <c r="AE578" s="118"/>
      <c r="AF578" s="119"/>
      <c r="AG578" s="120"/>
      <c r="AH578" s="118"/>
      <c r="AI578" s="119"/>
      <c r="AJ578" s="121"/>
    </row>
    <row r="579" spans="2:36" s="9" customFormat="1">
      <c r="B579" s="9">
        <v>638</v>
      </c>
      <c r="C579" s="9" t="s">
        <v>658</v>
      </c>
      <c r="G579" s="9">
        <v>2008</v>
      </c>
      <c r="H579" s="9">
        <v>10</v>
      </c>
      <c r="I579" s="9">
        <v>0</v>
      </c>
      <c r="J579" s="9" t="s">
        <v>78</v>
      </c>
      <c r="K579" s="158">
        <v>7</v>
      </c>
      <c r="L579" s="9">
        <f t="shared" si="251"/>
        <v>2015</v>
      </c>
      <c r="M579" s="127">
        <f t="shared" si="252"/>
        <v>2015.8333333333333</v>
      </c>
      <c r="N579" s="13">
        <v>30636.95</v>
      </c>
      <c r="O579" s="13">
        <f t="shared" si="253"/>
        <v>30636.95</v>
      </c>
      <c r="P579" s="13">
        <f t="shared" si="254"/>
        <v>364.7255952380952</v>
      </c>
      <c r="Q579" s="13">
        <f t="shared" si="255"/>
        <v>4376.7071428571426</v>
      </c>
      <c r="R579" s="13">
        <v>0</v>
      </c>
      <c r="S579" s="13">
        <f t="shared" si="256"/>
        <v>0</v>
      </c>
      <c r="T579" s="13">
        <f t="shared" si="257"/>
        <v>30636.95</v>
      </c>
      <c r="U579" s="13">
        <f t="shared" si="258"/>
        <v>30636.95</v>
      </c>
      <c r="V579" s="13">
        <v>0</v>
      </c>
      <c r="W579" s="13">
        <f t="shared" si="259"/>
        <v>0</v>
      </c>
      <c r="X579" s="115">
        <f t="shared" si="264"/>
        <v>0</v>
      </c>
      <c r="Y579" s="116">
        <f t="shared" si="265"/>
        <v>0</v>
      </c>
      <c r="Z579" s="116">
        <f t="shared" si="238"/>
        <v>0</v>
      </c>
      <c r="AA579" s="116">
        <f t="shared" si="239"/>
        <v>0</v>
      </c>
      <c r="AB579" s="117">
        <f>'Ratios (C)'!$C$29+'Ratios (C)'!$D$29</f>
        <v>0.74382820142966577</v>
      </c>
      <c r="AC579" s="116">
        <f t="shared" si="266"/>
        <v>0</v>
      </c>
      <c r="AD579" s="116">
        <f t="shared" si="267"/>
        <v>0</v>
      </c>
      <c r="AE579" s="118"/>
      <c r="AF579" s="119"/>
      <c r="AG579" s="120"/>
      <c r="AH579" s="118"/>
      <c r="AI579" s="119"/>
      <c r="AJ579" s="121"/>
    </row>
    <row r="580" spans="2:36" s="9" customFormat="1">
      <c r="B580" s="9">
        <v>486</v>
      </c>
      <c r="C580" s="9" t="s">
        <v>659</v>
      </c>
      <c r="E580" s="9">
        <v>65432</v>
      </c>
      <c r="G580" s="9">
        <v>2009</v>
      </c>
      <c r="H580" s="9">
        <v>4</v>
      </c>
      <c r="I580" s="9">
        <v>0</v>
      </c>
      <c r="J580" s="9" t="s">
        <v>78</v>
      </c>
      <c r="K580" s="158">
        <v>7</v>
      </c>
      <c r="L580" s="9">
        <f t="shared" si="251"/>
        <v>2016</v>
      </c>
      <c r="M580" s="127">
        <f t="shared" si="252"/>
        <v>2016.3333333333333</v>
      </c>
      <c r="N580" s="13">
        <v>25794.99</v>
      </c>
      <c r="O580" s="13">
        <f t="shared" si="253"/>
        <v>25794.99</v>
      </c>
      <c r="P580" s="13">
        <f t="shared" si="254"/>
        <v>307.08321428571429</v>
      </c>
      <c r="Q580" s="13">
        <f t="shared" si="255"/>
        <v>3684.9985714285713</v>
      </c>
      <c r="R580" s="13">
        <v>0</v>
      </c>
      <c r="S580" s="13">
        <f t="shared" si="256"/>
        <v>0</v>
      </c>
      <c r="T580" s="13">
        <f t="shared" si="257"/>
        <v>25794.99</v>
      </c>
      <c r="U580" s="13">
        <f t="shared" si="258"/>
        <v>25794.99</v>
      </c>
      <c r="V580" s="13">
        <v>0</v>
      </c>
      <c r="W580" s="13">
        <f t="shared" si="259"/>
        <v>0</v>
      </c>
      <c r="X580" s="115">
        <f t="shared" si="264"/>
        <v>0</v>
      </c>
      <c r="Y580" s="116">
        <f t="shared" si="265"/>
        <v>0</v>
      </c>
      <c r="Z580" s="116">
        <f t="shared" si="238"/>
        <v>0</v>
      </c>
      <c r="AA580" s="116">
        <f t="shared" si="239"/>
        <v>0</v>
      </c>
      <c r="AB580" s="117">
        <f>'Ratios (C)'!$C$29+'Ratios (C)'!$D$29</f>
        <v>0.74382820142966577</v>
      </c>
      <c r="AC580" s="116">
        <f t="shared" si="266"/>
        <v>0</v>
      </c>
      <c r="AD580" s="116">
        <f t="shared" si="267"/>
        <v>0</v>
      </c>
      <c r="AE580" s="118"/>
      <c r="AF580" s="119"/>
      <c r="AG580" s="120"/>
      <c r="AH580" s="118"/>
      <c r="AI580" s="119"/>
      <c r="AJ580" s="121"/>
    </row>
    <row r="581" spans="2:36" s="9" customFormat="1">
      <c r="B581" s="9">
        <v>486</v>
      </c>
      <c r="C581" s="9" t="s">
        <v>660</v>
      </c>
      <c r="E581" s="9">
        <v>66101</v>
      </c>
      <c r="G581" s="9">
        <v>2009</v>
      </c>
      <c r="H581" s="9">
        <v>7</v>
      </c>
      <c r="I581" s="9">
        <v>0</v>
      </c>
      <c r="J581" s="9" t="s">
        <v>78</v>
      </c>
      <c r="K581" s="158">
        <v>7</v>
      </c>
      <c r="L581" s="9">
        <f t="shared" si="251"/>
        <v>2016</v>
      </c>
      <c r="M581" s="127">
        <f t="shared" si="252"/>
        <v>2016.5833333333333</v>
      </c>
      <c r="N581" s="13">
        <v>23117.72</v>
      </c>
      <c r="O581" s="13">
        <f t="shared" si="253"/>
        <v>23117.72</v>
      </c>
      <c r="P581" s="13">
        <f t="shared" si="254"/>
        <v>275.21095238095239</v>
      </c>
      <c r="Q581" s="13">
        <f t="shared" si="255"/>
        <v>3302.5314285714285</v>
      </c>
      <c r="R581" s="13">
        <v>0</v>
      </c>
      <c r="S581" s="13">
        <f t="shared" si="256"/>
        <v>0</v>
      </c>
      <c r="T581" s="13">
        <f t="shared" si="257"/>
        <v>23117.72</v>
      </c>
      <c r="U581" s="13">
        <f t="shared" si="258"/>
        <v>23117.72</v>
      </c>
      <c r="V581" s="13">
        <v>0</v>
      </c>
      <c r="W581" s="13">
        <f t="shared" si="259"/>
        <v>0</v>
      </c>
      <c r="X581" s="115">
        <f t="shared" si="264"/>
        <v>0</v>
      </c>
      <c r="Y581" s="116">
        <f t="shared" si="265"/>
        <v>0</v>
      </c>
      <c r="Z581" s="116">
        <f t="shared" si="238"/>
        <v>0</v>
      </c>
      <c r="AA581" s="116">
        <f t="shared" si="239"/>
        <v>0</v>
      </c>
      <c r="AB581" s="117">
        <f>'Ratios (C)'!$C$29+'Ratios (C)'!$D$29</f>
        <v>0.74382820142966577</v>
      </c>
      <c r="AC581" s="116">
        <f t="shared" si="266"/>
        <v>0</v>
      </c>
      <c r="AD581" s="116">
        <f t="shared" si="267"/>
        <v>0</v>
      </c>
      <c r="AE581" s="118"/>
      <c r="AF581" s="119"/>
      <c r="AG581" s="120"/>
      <c r="AH581" s="118"/>
      <c r="AI581" s="119"/>
      <c r="AJ581" s="121"/>
    </row>
    <row r="582" spans="2:36" s="9" customFormat="1">
      <c r="B582" s="9">
        <v>486</v>
      </c>
      <c r="C582" s="9" t="s">
        <v>657</v>
      </c>
      <c r="D582" s="9">
        <v>2181</v>
      </c>
      <c r="E582" s="9">
        <v>68211</v>
      </c>
      <c r="G582" s="9">
        <v>2009</v>
      </c>
      <c r="H582" s="9">
        <v>9</v>
      </c>
      <c r="I582" s="9">
        <v>0</v>
      </c>
      <c r="J582" s="9" t="s">
        <v>78</v>
      </c>
      <c r="K582" s="158">
        <v>7</v>
      </c>
      <c r="L582" s="9">
        <f t="shared" si="251"/>
        <v>2016</v>
      </c>
      <c r="M582" s="127">
        <f t="shared" si="252"/>
        <v>2016.75</v>
      </c>
      <c r="N582" s="13">
        <v>23308.959999999999</v>
      </c>
      <c r="O582" s="13">
        <f t="shared" si="253"/>
        <v>23308.959999999999</v>
      </c>
      <c r="P582" s="13">
        <f t="shared" si="254"/>
        <v>277.48761904761903</v>
      </c>
      <c r="Q582" s="13">
        <f t="shared" si="255"/>
        <v>3329.8514285714282</v>
      </c>
      <c r="R582" s="13">
        <v>0</v>
      </c>
      <c r="S582" s="13">
        <f t="shared" si="256"/>
        <v>0</v>
      </c>
      <c r="T582" s="13">
        <f t="shared" si="257"/>
        <v>23308.959999999999</v>
      </c>
      <c r="U582" s="13">
        <f t="shared" si="258"/>
        <v>23308.959999999999</v>
      </c>
      <c r="V582" s="13">
        <v>0</v>
      </c>
      <c r="W582" s="13">
        <f t="shared" si="259"/>
        <v>0</v>
      </c>
      <c r="X582" s="115">
        <f t="shared" si="264"/>
        <v>0</v>
      </c>
      <c r="Y582" s="116">
        <f t="shared" si="265"/>
        <v>0</v>
      </c>
      <c r="Z582" s="116">
        <f t="shared" si="238"/>
        <v>0</v>
      </c>
      <c r="AA582" s="116">
        <f t="shared" si="239"/>
        <v>0</v>
      </c>
      <c r="AB582" s="117">
        <f>'Ratios (C)'!$C$29+'Ratios (C)'!$D$29</f>
        <v>0.74382820142966577</v>
      </c>
      <c r="AC582" s="116">
        <f t="shared" si="266"/>
        <v>0</v>
      </c>
      <c r="AD582" s="116">
        <f t="shared" si="267"/>
        <v>0</v>
      </c>
      <c r="AE582" s="118"/>
      <c r="AF582" s="119"/>
      <c r="AG582" s="120"/>
      <c r="AH582" s="118"/>
      <c r="AI582" s="119"/>
      <c r="AJ582" s="121"/>
    </row>
    <row r="583" spans="2:36" s="9" customFormat="1">
      <c r="B583" s="9">
        <v>486</v>
      </c>
      <c r="C583" s="9" t="s">
        <v>659</v>
      </c>
      <c r="E583" s="9">
        <v>68210</v>
      </c>
      <c r="G583" s="9">
        <v>2009</v>
      </c>
      <c r="H583" s="9">
        <v>9</v>
      </c>
      <c r="I583" s="9">
        <v>0</v>
      </c>
      <c r="J583" s="9" t="s">
        <v>78</v>
      </c>
      <c r="K583" s="158">
        <v>7</v>
      </c>
      <c r="L583" s="9">
        <f t="shared" si="251"/>
        <v>2016</v>
      </c>
      <c r="M583" s="127">
        <f t="shared" si="252"/>
        <v>2016.75</v>
      </c>
      <c r="N583" s="13">
        <v>23308.959999999999</v>
      </c>
      <c r="O583" s="13">
        <f t="shared" si="253"/>
        <v>23308.959999999999</v>
      </c>
      <c r="P583" s="13">
        <f t="shared" si="254"/>
        <v>277.48761904761903</v>
      </c>
      <c r="Q583" s="13">
        <f t="shared" si="255"/>
        <v>3329.8514285714282</v>
      </c>
      <c r="R583" s="13">
        <v>0</v>
      </c>
      <c r="S583" s="13">
        <f t="shared" si="256"/>
        <v>0</v>
      </c>
      <c r="T583" s="13">
        <f t="shared" si="257"/>
        <v>23308.959999999999</v>
      </c>
      <c r="U583" s="13">
        <f t="shared" si="258"/>
        <v>23308.959999999999</v>
      </c>
      <c r="V583" s="13">
        <v>0</v>
      </c>
      <c r="W583" s="13">
        <f t="shared" si="259"/>
        <v>0</v>
      </c>
      <c r="X583" s="115">
        <f t="shared" si="264"/>
        <v>0</v>
      </c>
      <c r="Y583" s="116">
        <f t="shared" si="265"/>
        <v>0</v>
      </c>
      <c r="Z583" s="116">
        <f t="shared" si="238"/>
        <v>0</v>
      </c>
      <c r="AA583" s="116">
        <f t="shared" si="239"/>
        <v>0</v>
      </c>
      <c r="AB583" s="117">
        <f>'Ratios (C)'!$C$29+'Ratios (C)'!$D$29</f>
        <v>0.74382820142966577</v>
      </c>
      <c r="AC583" s="116">
        <f t="shared" si="266"/>
        <v>0</v>
      </c>
      <c r="AD583" s="116">
        <f t="shared" si="267"/>
        <v>0</v>
      </c>
      <c r="AE583" s="118"/>
      <c r="AF583" s="119"/>
      <c r="AG583" s="120"/>
      <c r="AH583" s="118"/>
      <c r="AI583" s="119"/>
      <c r="AJ583" s="121"/>
    </row>
    <row r="584" spans="2:36" s="9" customFormat="1">
      <c r="B584" s="9">
        <v>486</v>
      </c>
      <c r="C584" s="9" t="s">
        <v>657</v>
      </c>
      <c r="D584" s="9">
        <v>2181</v>
      </c>
      <c r="E584" s="9">
        <v>70658</v>
      </c>
      <c r="G584" s="9">
        <v>2009</v>
      </c>
      <c r="H584" s="9">
        <v>11</v>
      </c>
      <c r="I584" s="9">
        <v>0</v>
      </c>
      <c r="J584" s="9" t="s">
        <v>78</v>
      </c>
      <c r="K584" s="158">
        <v>7</v>
      </c>
      <c r="L584" s="9">
        <f t="shared" si="251"/>
        <v>2016</v>
      </c>
      <c r="M584" s="127">
        <f t="shared" si="252"/>
        <v>2016.9166666666667</v>
      </c>
      <c r="N584" s="13">
        <v>23622.38</v>
      </c>
      <c r="O584" s="13">
        <f t="shared" si="253"/>
        <v>23622.38</v>
      </c>
      <c r="P584" s="13">
        <f t="shared" si="254"/>
        <v>281.21880952380951</v>
      </c>
      <c r="Q584" s="13">
        <f t="shared" si="255"/>
        <v>3374.6257142857139</v>
      </c>
      <c r="R584" s="13">
        <v>0</v>
      </c>
      <c r="S584" s="13">
        <f t="shared" si="256"/>
        <v>0</v>
      </c>
      <c r="T584" s="13">
        <f t="shared" si="257"/>
        <v>23622.38</v>
      </c>
      <c r="U584" s="13">
        <f t="shared" si="258"/>
        <v>23622.38</v>
      </c>
      <c r="V584" s="13">
        <v>0</v>
      </c>
      <c r="W584" s="13">
        <f t="shared" si="259"/>
        <v>0</v>
      </c>
      <c r="X584" s="115">
        <f t="shared" si="264"/>
        <v>0</v>
      </c>
      <c r="Y584" s="116">
        <f t="shared" si="265"/>
        <v>0</v>
      </c>
      <c r="Z584" s="116">
        <f t="shared" si="238"/>
        <v>0</v>
      </c>
      <c r="AA584" s="116">
        <f t="shared" si="239"/>
        <v>0</v>
      </c>
      <c r="AB584" s="117">
        <f>'Ratios (C)'!$C$29+'Ratios (C)'!$D$29</f>
        <v>0.74382820142966577</v>
      </c>
      <c r="AC584" s="116">
        <f t="shared" si="266"/>
        <v>0</v>
      </c>
      <c r="AD584" s="116">
        <f t="shared" si="267"/>
        <v>0</v>
      </c>
      <c r="AE584" s="118"/>
      <c r="AF584" s="119"/>
      <c r="AG584" s="120"/>
      <c r="AH584" s="118"/>
      <c r="AI584" s="119"/>
      <c r="AJ584" s="121"/>
    </row>
    <row r="585" spans="2:36" s="9" customFormat="1">
      <c r="B585" s="9">
        <v>486</v>
      </c>
      <c r="C585" s="9" t="s">
        <v>658</v>
      </c>
      <c r="E585" s="9">
        <v>69858</v>
      </c>
      <c r="G585" s="9">
        <v>2009</v>
      </c>
      <c r="H585" s="9">
        <v>11</v>
      </c>
      <c r="I585" s="9">
        <v>0</v>
      </c>
      <c r="J585" s="9" t="s">
        <v>78</v>
      </c>
      <c r="K585" s="158">
        <v>7</v>
      </c>
      <c r="L585" s="9">
        <f t="shared" si="251"/>
        <v>2016</v>
      </c>
      <c r="M585" s="127">
        <f t="shared" si="252"/>
        <v>2016.9166666666667</v>
      </c>
      <c r="N585" s="13">
        <v>23622.38</v>
      </c>
      <c r="O585" s="13">
        <f t="shared" si="253"/>
        <v>23622.38</v>
      </c>
      <c r="P585" s="13">
        <f t="shared" si="254"/>
        <v>281.21880952380951</v>
      </c>
      <c r="Q585" s="13">
        <f t="shared" si="255"/>
        <v>3374.6257142857139</v>
      </c>
      <c r="R585" s="13">
        <v>0</v>
      </c>
      <c r="S585" s="13">
        <f t="shared" si="256"/>
        <v>0</v>
      </c>
      <c r="T585" s="13">
        <f t="shared" si="257"/>
        <v>23622.38</v>
      </c>
      <c r="U585" s="13">
        <f t="shared" si="258"/>
        <v>23622.38</v>
      </c>
      <c r="V585" s="13">
        <v>0</v>
      </c>
      <c r="W585" s="13">
        <f t="shared" si="259"/>
        <v>0</v>
      </c>
      <c r="X585" s="115">
        <f t="shared" si="264"/>
        <v>0</v>
      </c>
      <c r="Y585" s="116">
        <f t="shared" si="265"/>
        <v>0</v>
      </c>
      <c r="Z585" s="116">
        <f t="shared" si="238"/>
        <v>0</v>
      </c>
      <c r="AA585" s="116">
        <f t="shared" si="239"/>
        <v>0</v>
      </c>
      <c r="AB585" s="117">
        <f>'Ratios (C)'!$C$29+'Ratios (C)'!$D$29</f>
        <v>0.74382820142966577</v>
      </c>
      <c r="AC585" s="116">
        <f t="shared" si="266"/>
        <v>0</v>
      </c>
      <c r="AD585" s="116">
        <f t="shared" si="267"/>
        <v>0</v>
      </c>
      <c r="AE585" s="118"/>
      <c r="AF585" s="119"/>
      <c r="AG585" s="120"/>
      <c r="AH585" s="118"/>
      <c r="AI585" s="119"/>
      <c r="AJ585" s="121"/>
    </row>
    <row r="586" spans="2:36" s="9" customFormat="1">
      <c r="B586" s="9">
        <v>486</v>
      </c>
      <c r="C586" s="9" t="s">
        <v>658</v>
      </c>
      <c r="E586" s="9">
        <v>69857</v>
      </c>
      <c r="G586" s="9">
        <v>2009</v>
      </c>
      <c r="H586" s="9">
        <v>11</v>
      </c>
      <c r="I586" s="9">
        <v>0</v>
      </c>
      <c r="J586" s="9" t="s">
        <v>78</v>
      </c>
      <c r="K586" s="158">
        <v>7</v>
      </c>
      <c r="L586" s="9">
        <f t="shared" si="251"/>
        <v>2016</v>
      </c>
      <c r="M586" s="127">
        <f t="shared" si="252"/>
        <v>2016.9166666666667</v>
      </c>
      <c r="N586" s="13">
        <v>23622.38</v>
      </c>
      <c r="O586" s="13">
        <f t="shared" si="253"/>
        <v>23622.38</v>
      </c>
      <c r="P586" s="13">
        <f t="shared" si="254"/>
        <v>281.21880952380951</v>
      </c>
      <c r="Q586" s="13">
        <f t="shared" si="255"/>
        <v>3374.6257142857139</v>
      </c>
      <c r="R586" s="13">
        <v>0</v>
      </c>
      <c r="S586" s="13">
        <f t="shared" si="256"/>
        <v>0</v>
      </c>
      <c r="T586" s="13">
        <f t="shared" si="257"/>
        <v>23622.38</v>
      </c>
      <c r="U586" s="13">
        <f t="shared" si="258"/>
        <v>23622.38</v>
      </c>
      <c r="V586" s="13">
        <v>0</v>
      </c>
      <c r="W586" s="13">
        <f t="shared" si="259"/>
        <v>0</v>
      </c>
      <c r="X586" s="115">
        <f t="shared" si="264"/>
        <v>0</v>
      </c>
      <c r="Y586" s="116">
        <f t="shared" si="265"/>
        <v>0</v>
      </c>
      <c r="Z586" s="116">
        <f t="shared" si="238"/>
        <v>0</v>
      </c>
      <c r="AA586" s="116">
        <f t="shared" si="239"/>
        <v>0</v>
      </c>
      <c r="AB586" s="117">
        <f>'Ratios (C)'!$C$29+'Ratios (C)'!$D$29</f>
        <v>0.74382820142966577</v>
      </c>
      <c r="AC586" s="116">
        <f t="shared" si="266"/>
        <v>0</v>
      </c>
      <c r="AD586" s="116">
        <f t="shared" si="267"/>
        <v>0</v>
      </c>
      <c r="AE586" s="118"/>
      <c r="AF586" s="119"/>
      <c r="AG586" s="120"/>
      <c r="AH586" s="118"/>
      <c r="AI586" s="119"/>
      <c r="AJ586" s="121"/>
    </row>
    <row r="587" spans="2:36" s="9" customFormat="1">
      <c r="B587" s="9">
        <v>437</v>
      </c>
      <c r="C587" s="9" t="s">
        <v>660</v>
      </c>
      <c r="E587" s="9">
        <v>76468</v>
      </c>
      <c r="G587" s="9">
        <v>2010</v>
      </c>
      <c r="H587" s="9">
        <v>6</v>
      </c>
      <c r="I587" s="9">
        <v>0</v>
      </c>
      <c r="J587" s="9" t="s">
        <v>78</v>
      </c>
      <c r="K587" s="158">
        <v>7</v>
      </c>
      <c r="L587" s="9">
        <f t="shared" si="251"/>
        <v>2017</v>
      </c>
      <c r="M587" s="127">
        <f t="shared" si="252"/>
        <v>2017.5</v>
      </c>
      <c r="N587" s="13">
        <v>23084.39</v>
      </c>
      <c r="O587" s="13">
        <f t="shared" si="253"/>
        <v>23084.39</v>
      </c>
      <c r="P587" s="13">
        <f t="shared" si="254"/>
        <v>274.81416666666667</v>
      </c>
      <c r="Q587" s="13">
        <f t="shared" si="255"/>
        <v>3297.77</v>
      </c>
      <c r="R587" s="13">
        <v>0</v>
      </c>
      <c r="S587" s="13">
        <f t="shared" si="256"/>
        <v>0</v>
      </c>
      <c r="T587" s="13">
        <f t="shared" si="257"/>
        <v>23084.39</v>
      </c>
      <c r="U587" s="13">
        <f t="shared" si="258"/>
        <v>23084.39</v>
      </c>
      <c r="V587" s="13">
        <v>0</v>
      </c>
      <c r="W587" s="13">
        <f t="shared" si="259"/>
        <v>0</v>
      </c>
      <c r="X587" s="115">
        <f t="shared" si="264"/>
        <v>0</v>
      </c>
      <c r="Y587" s="116">
        <f t="shared" si="265"/>
        <v>0</v>
      </c>
      <c r="Z587" s="116">
        <f t="shared" si="238"/>
        <v>0</v>
      </c>
      <c r="AA587" s="116">
        <f t="shared" si="239"/>
        <v>0</v>
      </c>
      <c r="AB587" s="117">
        <f>'Ratios (C)'!$C$29+'Ratios (C)'!$D$29</f>
        <v>0.74382820142966577</v>
      </c>
      <c r="AC587" s="116">
        <f t="shared" si="266"/>
        <v>0</v>
      </c>
      <c r="AD587" s="116">
        <f t="shared" si="267"/>
        <v>0</v>
      </c>
      <c r="AE587" s="118"/>
      <c r="AF587" s="119"/>
      <c r="AG587" s="120"/>
      <c r="AH587" s="118"/>
      <c r="AI587" s="119"/>
      <c r="AJ587" s="121"/>
    </row>
    <row r="588" spans="2:36" s="9" customFormat="1">
      <c r="B588" s="9">
        <v>49</v>
      </c>
      <c r="C588" s="9" t="s">
        <v>660</v>
      </c>
      <c r="E588" s="9">
        <v>76469</v>
      </c>
      <c r="G588" s="9">
        <v>2010</v>
      </c>
      <c r="H588" s="9">
        <v>6</v>
      </c>
      <c r="I588" s="9">
        <v>0</v>
      </c>
      <c r="J588" s="9" t="s">
        <v>78</v>
      </c>
      <c r="K588" s="158">
        <v>7</v>
      </c>
      <c r="L588" s="9">
        <f t="shared" si="251"/>
        <v>2017</v>
      </c>
      <c r="M588" s="127">
        <f t="shared" si="252"/>
        <v>2017.5</v>
      </c>
      <c r="N588" s="13">
        <v>2588.4</v>
      </c>
      <c r="O588" s="13">
        <f t="shared" si="253"/>
        <v>2588.4</v>
      </c>
      <c r="P588" s="13">
        <f t="shared" si="254"/>
        <v>30.814285714285717</v>
      </c>
      <c r="Q588" s="13">
        <f t="shared" si="255"/>
        <v>369.7714285714286</v>
      </c>
      <c r="R588" s="13">
        <v>0</v>
      </c>
      <c r="S588" s="13">
        <f t="shared" si="256"/>
        <v>0</v>
      </c>
      <c r="T588" s="13">
        <f t="shared" si="257"/>
        <v>2588.4</v>
      </c>
      <c r="U588" s="13">
        <f t="shared" si="258"/>
        <v>2588.4</v>
      </c>
      <c r="V588" s="13">
        <v>0</v>
      </c>
      <c r="W588" s="13">
        <f t="shared" si="259"/>
        <v>0</v>
      </c>
      <c r="X588" s="115">
        <f t="shared" si="264"/>
        <v>0</v>
      </c>
      <c r="Y588" s="116">
        <f t="shared" si="265"/>
        <v>0</v>
      </c>
      <c r="Z588" s="116">
        <f t="shared" ref="Z588:Z658" si="268">X588-R588</f>
        <v>0</v>
      </c>
      <c r="AA588" s="116">
        <f t="shared" ref="AA588:AA658" si="269">Y588-V588</f>
        <v>0</v>
      </c>
      <c r="AB588" s="117">
        <f>'Ratios (C)'!$C$29+'Ratios (C)'!$D$29</f>
        <v>0.74382820142966577</v>
      </c>
      <c r="AC588" s="116">
        <f t="shared" si="266"/>
        <v>0</v>
      </c>
      <c r="AD588" s="116">
        <f t="shared" si="267"/>
        <v>0</v>
      </c>
      <c r="AE588" s="118"/>
      <c r="AF588" s="119"/>
      <c r="AG588" s="120"/>
      <c r="AH588" s="118"/>
      <c r="AI588" s="119"/>
      <c r="AJ588" s="121"/>
    </row>
    <row r="589" spans="2:36" s="9" customFormat="1">
      <c r="B589" s="9">
        <v>486</v>
      </c>
      <c r="C589" s="9" t="s">
        <v>660</v>
      </c>
      <c r="E589" s="9">
        <v>77550</v>
      </c>
      <c r="G589" s="9">
        <v>2010</v>
      </c>
      <c r="H589" s="9">
        <v>6</v>
      </c>
      <c r="I589" s="9">
        <v>0</v>
      </c>
      <c r="J589" s="9" t="s">
        <v>78</v>
      </c>
      <c r="K589" s="158">
        <v>7</v>
      </c>
      <c r="L589" s="9">
        <f t="shared" si="251"/>
        <v>2017</v>
      </c>
      <c r="M589" s="127">
        <f t="shared" si="252"/>
        <v>2017.5</v>
      </c>
      <c r="N589" s="13">
        <v>25672.799999999999</v>
      </c>
      <c r="O589" s="13">
        <f t="shared" si="253"/>
        <v>25672.799999999999</v>
      </c>
      <c r="P589" s="13">
        <f t="shared" si="254"/>
        <v>305.62857142857143</v>
      </c>
      <c r="Q589" s="13">
        <f t="shared" si="255"/>
        <v>3667.5428571428574</v>
      </c>
      <c r="R589" s="13">
        <v>0</v>
      </c>
      <c r="S589" s="13">
        <f t="shared" si="256"/>
        <v>0</v>
      </c>
      <c r="T589" s="13">
        <f t="shared" si="257"/>
        <v>25672.799999999999</v>
      </c>
      <c r="U589" s="13">
        <f t="shared" si="258"/>
        <v>25672.799999999999</v>
      </c>
      <c r="V589" s="13">
        <v>0</v>
      </c>
      <c r="W589" s="13">
        <f t="shared" si="259"/>
        <v>0</v>
      </c>
      <c r="X589" s="115">
        <f t="shared" si="264"/>
        <v>0</v>
      </c>
      <c r="Y589" s="116">
        <f t="shared" si="265"/>
        <v>0</v>
      </c>
      <c r="Z589" s="116">
        <f t="shared" si="268"/>
        <v>0</v>
      </c>
      <c r="AA589" s="116">
        <f t="shared" si="269"/>
        <v>0</v>
      </c>
      <c r="AB589" s="117">
        <f>'Ratios (C)'!$C$29+'Ratios (C)'!$D$29</f>
        <v>0.74382820142966577</v>
      </c>
      <c r="AC589" s="116">
        <f t="shared" si="266"/>
        <v>0</v>
      </c>
      <c r="AD589" s="116">
        <f t="shared" si="267"/>
        <v>0</v>
      </c>
      <c r="AE589" s="118"/>
      <c r="AF589" s="119"/>
      <c r="AG589" s="120"/>
      <c r="AH589" s="118"/>
      <c r="AI589" s="119"/>
      <c r="AJ589" s="121"/>
    </row>
    <row r="590" spans="2:36" s="9" customFormat="1">
      <c r="B590" s="9">
        <v>486</v>
      </c>
      <c r="C590" s="9" t="s">
        <v>660</v>
      </c>
      <c r="E590" s="9">
        <v>77552</v>
      </c>
      <c r="G590" s="9">
        <v>2010</v>
      </c>
      <c r="H590" s="9">
        <v>9</v>
      </c>
      <c r="I590" s="9">
        <v>0</v>
      </c>
      <c r="J590" s="9" t="s">
        <v>78</v>
      </c>
      <c r="K590" s="158">
        <v>7</v>
      </c>
      <c r="L590" s="9">
        <f t="shared" si="251"/>
        <v>2017</v>
      </c>
      <c r="M590" s="127">
        <f t="shared" si="252"/>
        <v>2017.75</v>
      </c>
      <c r="N590" s="13">
        <v>24169.51</v>
      </c>
      <c r="O590" s="13">
        <f t="shared" si="253"/>
        <v>24169.51</v>
      </c>
      <c r="P590" s="13">
        <f t="shared" si="254"/>
        <v>287.73226190476186</v>
      </c>
      <c r="Q590" s="13">
        <f t="shared" si="255"/>
        <v>3452.7871428571425</v>
      </c>
      <c r="R590" s="13">
        <v>0</v>
      </c>
      <c r="S590" s="13">
        <f t="shared" si="256"/>
        <v>0</v>
      </c>
      <c r="T590" s="13">
        <f t="shared" si="257"/>
        <v>24169.51</v>
      </c>
      <c r="U590" s="13">
        <f t="shared" si="258"/>
        <v>24169.51</v>
      </c>
      <c r="V590" s="13">
        <v>0</v>
      </c>
      <c r="W590" s="13">
        <f t="shared" si="259"/>
        <v>0</v>
      </c>
      <c r="X590" s="115">
        <f t="shared" si="264"/>
        <v>0</v>
      </c>
      <c r="Y590" s="116">
        <f t="shared" si="265"/>
        <v>0</v>
      </c>
      <c r="Z590" s="116">
        <f t="shared" si="268"/>
        <v>0</v>
      </c>
      <c r="AA590" s="116">
        <f t="shared" si="269"/>
        <v>0</v>
      </c>
      <c r="AB590" s="117">
        <f>'Ratios (C)'!$C$29+'Ratios (C)'!$D$29</f>
        <v>0.74382820142966577</v>
      </c>
      <c r="AC590" s="116">
        <f t="shared" si="266"/>
        <v>0</v>
      </c>
      <c r="AD590" s="116">
        <f t="shared" si="267"/>
        <v>0</v>
      </c>
      <c r="AE590" s="118"/>
      <c r="AF590" s="119"/>
      <c r="AG590" s="120"/>
      <c r="AH590" s="118"/>
      <c r="AI590" s="119"/>
      <c r="AJ590" s="121"/>
    </row>
    <row r="591" spans="2:36" s="9" customFormat="1">
      <c r="B591" s="9">
        <v>437</v>
      </c>
      <c r="C591" s="9" t="s">
        <v>660</v>
      </c>
      <c r="E591" s="9">
        <v>81513</v>
      </c>
      <c r="G591" s="9">
        <v>2011</v>
      </c>
      <c r="H591" s="9">
        <v>4</v>
      </c>
      <c r="I591" s="9">
        <v>0</v>
      </c>
      <c r="J591" s="9" t="s">
        <v>78</v>
      </c>
      <c r="K591" s="158">
        <v>7</v>
      </c>
      <c r="L591" s="9">
        <f t="shared" si="251"/>
        <v>2018</v>
      </c>
      <c r="M591" s="127">
        <f t="shared" si="252"/>
        <v>2018.3333333333333</v>
      </c>
      <c r="N591" s="13">
        <v>23146.47</v>
      </c>
      <c r="O591" s="13">
        <f t="shared" si="253"/>
        <v>23146.47</v>
      </c>
      <c r="P591" s="13">
        <f t="shared" si="254"/>
        <v>275.55321428571432</v>
      </c>
      <c r="Q591" s="13">
        <f t="shared" si="255"/>
        <v>3306.6385714285716</v>
      </c>
      <c r="R591" s="13">
        <v>0</v>
      </c>
      <c r="S591" s="13">
        <f t="shared" si="256"/>
        <v>0</v>
      </c>
      <c r="T591" s="13">
        <f t="shared" si="257"/>
        <v>23146.47</v>
      </c>
      <c r="U591" s="13">
        <f t="shared" si="258"/>
        <v>23146.47</v>
      </c>
      <c r="V591" s="13">
        <v>0</v>
      </c>
      <c r="W591" s="13">
        <f t="shared" si="259"/>
        <v>0</v>
      </c>
      <c r="X591" s="115">
        <f t="shared" si="264"/>
        <v>0</v>
      </c>
      <c r="Y591" s="116">
        <f t="shared" si="265"/>
        <v>0</v>
      </c>
      <c r="Z591" s="116">
        <f t="shared" si="268"/>
        <v>0</v>
      </c>
      <c r="AA591" s="116">
        <f t="shared" si="269"/>
        <v>0</v>
      </c>
      <c r="AB591" s="117">
        <f>'Ratios (C)'!$C$29+'Ratios (C)'!$D$29</f>
        <v>0.74382820142966577</v>
      </c>
      <c r="AC591" s="116">
        <f t="shared" si="266"/>
        <v>0</v>
      </c>
      <c r="AD591" s="116">
        <f t="shared" si="267"/>
        <v>0</v>
      </c>
      <c r="AE591" s="118"/>
      <c r="AF591" s="119"/>
      <c r="AG591" s="120"/>
      <c r="AH591" s="118"/>
      <c r="AI591" s="119"/>
      <c r="AJ591" s="121"/>
    </row>
    <row r="592" spans="2:36" s="9" customFormat="1">
      <c r="B592" s="9">
        <f>486+49</f>
        <v>535</v>
      </c>
      <c r="C592" s="9" t="s">
        <v>660</v>
      </c>
      <c r="E592" s="9" t="s">
        <v>661</v>
      </c>
      <c r="G592" s="9">
        <v>2011</v>
      </c>
      <c r="H592" s="9">
        <v>4</v>
      </c>
      <c r="I592" s="9">
        <v>0</v>
      </c>
      <c r="J592" s="9" t="s">
        <v>78</v>
      </c>
      <c r="K592" s="158">
        <v>7</v>
      </c>
      <c r="L592" s="9">
        <f t="shared" si="251"/>
        <v>2018</v>
      </c>
      <c r="M592" s="127">
        <f t="shared" si="252"/>
        <v>2018.3333333333333</v>
      </c>
      <c r="N592" s="13">
        <f>25741.84+2595.37</f>
        <v>28337.21</v>
      </c>
      <c r="O592" s="13">
        <f t="shared" si="253"/>
        <v>28337.21</v>
      </c>
      <c r="P592" s="13">
        <f t="shared" si="254"/>
        <v>337.34773809523807</v>
      </c>
      <c r="Q592" s="13">
        <f t="shared" si="255"/>
        <v>4048.1728571428566</v>
      </c>
      <c r="R592" s="13">
        <v>0</v>
      </c>
      <c r="S592" s="13">
        <f t="shared" si="256"/>
        <v>0</v>
      </c>
      <c r="T592" s="13">
        <f t="shared" si="257"/>
        <v>28337.21</v>
      </c>
      <c r="U592" s="13">
        <f t="shared" si="258"/>
        <v>28337.21</v>
      </c>
      <c r="V592" s="13">
        <v>0</v>
      </c>
      <c r="W592" s="13">
        <f t="shared" si="259"/>
        <v>0</v>
      </c>
      <c r="X592" s="115">
        <f t="shared" si="264"/>
        <v>0</v>
      </c>
      <c r="Y592" s="116">
        <f t="shared" si="265"/>
        <v>0</v>
      </c>
      <c r="Z592" s="116">
        <f t="shared" si="268"/>
        <v>0</v>
      </c>
      <c r="AA592" s="116">
        <f t="shared" si="269"/>
        <v>0</v>
      </c>
      <c r="AB592" s="117">
        <f>'Ratios (C)'!$C$29+'Ratios (C)'!$D$29</f>
        <v>0.74382820142966577</v>
      </c>
      <c r="AC592" s="116">
        <f t="shared" si="266"/>
        <v>0</v>
      </c>
      <c r="AD592" s="116">
        <f t="shared" si="267"/>
        <v>0</v>
      </c>
      <c r="AE592" s="118"/>
      <c r="AF592" s="119"/>
      <c r="AG592" s="120"/>
      <c r="AH592" s="118"/>
      <c r="AI592" s="119"/>
      <c r="AJ592" s="121"/>
    </row>
    <row r="593" spans="2:36" s="9" customFormat="1">
      <c r="B593" s="9">
        <v>63</v>
      </c>
      <c r="C593" s="9" t="s">
        <v>660</v>
      </c>
      <c r="E593" s="9">
        <v>86876</v>
      </c>
      <c r="G593" s="9">
        <v>2011</v>
      </c>
      <c r="H593" s="9">
        <v>9</v>
      </c>
      <c r="I593" s="9">
        <v>0</v>
      </c>
      <c r="J593" s="9" t="s">
        <v>78</v>
      </c>
      <c r="K593" s="158">
        <v>7</v>
      </c>
      <c r="L593" s="9">
        <f t="shared" si="251"/>
        <v>2018</v>
      </c>
      <c r="M593" s="127">
        <f t="shared" si="252"/>
        <v>2018.75</v>
      </c>
      <c r="N593" s="13">
        <v>3652.99</v>
      </c>
      <c r="O593" s="13">
        <f t="shared" si="253"/>
        <v>3652.99</v>
      </c>
      <c r="P593" s="13">
        <f t="shared" si="254"/>
        <v>43.487976190476189</v>
      </c>
      <c r="Q593" s="13">
        <f t="shared" si="255"/>
        <v>521.85571428571427</v>
      </c>
      <c r="R593" s="13">
        <v>0</v>
      </c>
      <c r="S593" s="13">
        <f t="shared" si="256"/>
        <v>0</v>
      </c>
      <c r="T593" s="13">
        <f t="shared" si="257"/>
        <v>3652.99</v>
      </c>
      <c r="U593" s="13">
        <f t="shared" si="258"/>
        <v>3652.99</v>
      </c>
      <c r="V593" s="13">
        <v>0</v>
      </c>
      <c r="W593" s="13">
        <f t="shared" si="259"/>
        <v>0</v>
      </c>
      <c r="X593" s="115">
        <f t="shared" si="264"/>
        <v>0</v>
      </c>
      <c r="Y593" s="116">
        <f t="shared" si="265"/>
        <v>0</v>
      </c>
      <c r="Z593" s="116">
        <f t="shared" si="268"/>
        <v>0</v>
      </c>
      <c r="AA593" s="116">
        <f t="shared" si="269"/>
        <v>0</v>
      </c>
      <c r="AB593" s="117">
        <f>'Ratios (C)'!$C$29+'Ratios (C)'!$D$29</f>
        <v>0.74382820142966577</v>
      </c>
      <c r="AC593" s="116">
        <f t="shared" si="266"/>
        <v>0</v>
      </c>
      <c r="AD593" s="116">
        <f t="shared" si="267"/>
        <v>0</v>
      </c>
      <c r="AE593" s="118"/>
      <c r="AF593" s="119"/>
      <c r="AG593" s="120"/>
      <c r="AH593" s="118"/>
      <c r="AI593" s="119"/>
      <c r="AJ593" s="121"/>
    </row>
    <row r="594" spans="2:36" s="9" customFormat="1">
      <c r="B594" s="9">
        <v>486</v>
      </c>
      <c r="C594" s="9" t="s">
        <v>660</v>
      </c>
      <c r="E594" s="9">
        <v>86875</v>
      </c>
      <c r="G594" s="9">
        <v>2011</v>
      </c>
      <c r="H594" s="9">
        <v>9</v>
      </c>
      <c r="I594" s="9">
        <v>0</v>
      </c>
      <c r="J594" s="9" t="s">
        <v>78</v>
      </c>
      <c r="K594" s="158">
        <v>7</v>
      </c>
      <c r="L594" s="9">
        <f t="shared" si="251"/>
        <v>2018</v>
      </c>
      <c r="M594" s="127">
        <f t="shared" si="252"/>
        <v>2018.75</v>
      </c>
      <c r="N594" s="13">
        <v>28180.04</v>
      </c>
      <c r="O594" s="13">
        <f t="shared" si="253"/>
        <v>28180.04</v>
      </c>
      <c r="P594" s="13">
        <f t="shared" si="254"/>
        <v>335.47666666666669</v>
      </c>
      <c r="Q594" s="13">
        <f t="shared" si="255"/>
        <v>4025.7200000000003</v>
      </c>
      <c r="R594" s="13">
        <v>0</v>
      </c>
      <c r="S594" s="13">
        <f t="shared" si="256"/>
        <v>0</v>
      </c>
      <c r="T594" s="13">
        <f t="shared" si="257"/>
        <v>28180.04</v>
      </c>
      <c r="U594" s="13">
        <f t="shared" si="258"/>
        <v>28180.04</v>
      </c>
      <c r="V594" s="13">
        <v>0</v>
      </c>
      <c r="W594" s="13">
        <f t="shared" si="259"/>
        <v>0</v>
      </c>
      <c r="X594" s="115">
        <f t="shared" si="264"/>
        <v>0</v>
      </c>
      <c r="Y594" s="116">
        <f t="shared" si="265"/>
        <v>0</v>
      </c>
      <c r="Z594" s="116">
        <f t="shared" si="268"/>
        <v>0</v>
      </c>
      <c r="AA594" s="116">
        <f t="shared" si="269"/>
        <v>0</v>
      </c>
      <c r="AB594" s="117">
        <f>'Ratios (C)'!$C$29+'Ratios (C)'!$D$29</f>
        <v>0.74382820142966577</v>
      </c>
      <c r="AC594" s="116">
        <f t="shared" si="266"/>
        <v>0</v>
      </c>
      <c r="AD594" s="116">
        <f t="shared" si="267"/>
        <v>0</v>
      </c>
      <c r="AE594" s="118"/>
      <c r="AF594" s="119"/>
      <c r="AG594" s="120"/>
      <c r="AH594" s="118"/>
      <c r="AI594" s="119"/>
      <c r="AJ594" s="121"/>
    </row>
    <row r="595" spans="2:36" s="9" customFormat="1">
      <c r="B595" s="9">
        <f>486+486</f>
        <v>972</v>
      </c>
      <c r="C595" s="9" t="s">
        <v>660</v>
      </c>
      <c r="E595" s="9" t="s">
        <v>662</v>
      </c>
      <c r="G595" s="9">
        <v>2012</v>
      </c>
      <c r="H595" s="9">
        <v>5</v>
      </c>
      <c r="I595" s="9">
        <v>0</v>
      </c>
      <c r="J595" s="9" t="s">
        <v>78</v>
      </c>
      <c r="K595" s="158">
        <v>7</v>
      </c>
      <c r="L595" s="9">
        <f t="shared" si="251"/>
        <v>2019</v>
      </c>
      <c r="M595" s="127">
        <f t="shared" si="252"/>
        <v>2019.4166666666667</v>
      </c>
      <c r="N595" s="13">
        <f>25590+25590</f>
        <v>51180</v>
      </c>
      <c r="O595" s="13">
        <f t="shared" si="253"/>
        <v>51180</v>
      </c>
      <c r="P595" s="13">
        <f t="shared" si="254"/>
        <v>609.28571428571433</v>
      </c>
      <c r="Q595" s="13">
        <f t="shared" si="255"/>
        <v>7311.4285714285725</v>
      </c>
      <c r="R595" s="13">
        <v>3046.4285714285716</v>
      </c>
      <c r="S595" s="13">
        <v>0</v>
      </c>
      <c r="T595" s="13">
        <f t="shared" si="257"/>
        <v>51180</v>
      </c>
      <c r="U595" s="13">
        <f t="shared" si="258"/>
        <v>51180</v>
      </c>
      <c r="V595" s="13">
        <v>4264.9999999999927</v>
      </c>
      <c r="W595" s="13">
        <f t="shared" si="259"/>
        <v>0</v>
      </c>
      <c r="X595" s="115">
        <f t="shared" si="264"/>
        <v>0</v>
      </c>
      <c r="Y595" s="116">
        <f t="shared" si="265"/>
        <v>0</v>
      </c>
      <c r="Z595" s="116">
        <f t="shared" si="268"/>
        <v>-3046.4285714285716</v>
      </c>
      <c r="AA595" s="116">
        <f t="shared" si="269"/>
        <v>-4264.9999999999927</v>
      </c>
      <c r="AB595" s="117">
        <f>'Ratios (C)'!$C$29+'Ratios (C)'!$D$29</f>
        <v>0.74382820142966577</v>
      </c>
      <c r="AC595" s="116">
        <f t="shared" si="266"/>
        <v>0</v>
      </c>
      <c r="AD595" s="116">
        <f t="shared" si="267"/>
        <v>0</v>
      </c>
      <c r="AE595" s="118"/>
      <c r="AF595" s="119"/>
      <c r="AG595" s="120"/>
      <c r="AH595" s="118"/>
      <c r="AI595" s="119"/>
      <c r="AJ595" s="121"/>
    </row>
    <row r="596" spans="2:36" s="9" customFormat="1">
      <c r="B596" s="9">
        <f>486+486</f>
        <v>972</v>
      </c>
      <c r="C596" s="9" t="s">
        <v>660</v>
      </c>
      <c r="E596" s="9" t="s">
        <v>663</v>
      </c>
      <c r="G596" s="9">
        <v>2012</v>
      </c>
      <c r="H596" s="9">
        <v>8</v>
      </c>
      <c r="I596" s="9">
        <v>0</v>
      </c>
      <c r="J596" s="9" t="s">
        <v>78</v>
      </c>
      <c r="K596" s="158">
        <v>7</v>
      </c>
      <c r="L596" s="9">
        <f t="shared" si="251"/>
        <v>2019</v>
      </c>
      <c r="M596" s="127">
        <f t="shared" si="252"/>
        <v>2019.6666666666667</v>
      </c>
      <c r="N596" s="13">
        <f>26015*2</f>
        <v>52030</v>
      </c>
      <c r="O596" s="13">
        <f t="shared" si="253"/>
        <v>52030</v>
      </c>
      <c r="P596" s="13">
        <f t="shared" si="254"/>
        <v>619.40476190476193</v>
      </c>
      <c r="Q596" s="13">
        <f t="shared" si="255"/>
        <v>7432.8571428571431</v>
      </c>
      <c r="R596" s="13">
        <v>4955.2380952380954</v>
      </c>
      <c r="S596" s="13">
        <v>0</v>
      </c>
      <c r="T596" s="13">
        <f t="shared" si="257"/>
        <v>52030</v>
      </c>
      <c r="U596" s="13">
        <f t="shared" si="258"/>
        <v>52030</v>
      </c>
      <c r="V596" s="13">
        <v>2477.6190476190532</v>
      </c>
      <c r="W596" s="13">
        <f t="shared" si="259"/>
        <v>0</v>
      </c>
      <c r="X596" s="115">
        <f t="shared" si="264"/>
        <v>0</v>
      </c>
      <c r="Y596" s="116">
        <f t="shared" si="265"/>
        <v>0</v>
      </c>
      <c r="Z596" s="116">
        <f t="shared" si="268"/>
        <v>-4955.2380952380954</v>
      </c>
      <c r="AA596" s="116">
        <f t="shared" si="269"/>
        <v>-2477.6190476190532</v>
      </c>
      <c r="AB596" s="117">
        <f>'Ratios (C)'!$C$29+'Ratios (C)'!$D$29</f>
        <v>0.74382820142966577</v>
      </c>
      <c r="AC596" s="116">
        <f t="shared" si="266"/>
        <v>0</v>
      </c>
      <c r="AD596" s="116">
        <f t="shared" si="267"/>
        <v>0</v>
      </c>
      <c r="AE596" s="118"/>
      <c r="AF596" s="119"/>
      <c r="AG596" s="120"/>
      <c r="AH596" s="118"/>
      <c r="AI596" s="119"/>
      <c r="AJ596" s="121"/>
    </row>
    <row r="597" spans="2:36" s="9" customFormat="1">
      <c r="B597" s="9">
        <v>972</v>
      </c>
      <c r="C597" s="9" t="s">
        <v>660</v>
      </c>
      <c r="E597" s="9" t="s">
        <v>664</v>
      </c>
      <c r="G597" s="9">
        <v>2013</v>
      </c>
      <c r="H597" s="9">
        <v>3</v>
      </c>
      <c r="I597" s="9">
        <v>0</v>
      </c>
      <c r="J597" s="9" t="s">
        <v>78</v>
      </c>
      <c r="K597" s="158">
        <v>7</v>
      </c>
      <c r="L597" s="9">
        <f t="shared" si="251"/>
        <v>2020</v>
      </c>
      <c r="M597" s="127">
        <f t="shared" si="252"/>
        <v>2020.25</v>
      </c>
      <c r="N597" s="13">
        <v>52317.52</v>
      </c>
      <c r="O597" s="13">
        <f t="shared" si="253"/>
        <v>52317.52</v>
      </c>
      <c r="P597" s="13">
        <f t="shared" si="254"/>
        <v>622.82761904761901</v>
      </c>
      <c r="Q597" s="13">
        <f t="shared" si="255"/>
        <v>7473.9314285714281</v>
      </c>
      <c r="R597" s="13">
        <v>7473.9314285714281</v>
      </c>
      <c r="S597" s="13">
        <v>0</v>
      </c>
      <c r="T597" s="13">
        <f t="shared" si="257"/>
        <v>52317.52</v>
      </c>
      <c r="U597" s="13">
        <f t="shared" si="258"/>
        <v>52317.52</v>
      </c>
      <c r="V597" s="13">
        <v>7473.9314285714281</v>
      </c>
      <c r="W597" s="13">
        <f t="shared" si="259"/>
        <v>0</v>
      </c>
      <c r="X597" s="115">
        <f t="shared" si="264"/>
        <v>0</v>
      </c>
      <c r="Y597" s="116">
        <f t="shared" si="265"/>
        <v>0</v>
      </c>
      <c r="Z597" s="116">
        <f t="shared" si="268"/>
        <v>-7473.9314285714281</v>
      </c>
      <c r="AA597" s="116">
        <f t="shared" si="269"/>
        <v>-7473.9314285714281</v>
      </c>
      <c r="AB597" s="117">
        <f>'Ratios (C)'!$C$29+'Ratios (C)'!$D$29</f>
        <v>0.74382820142966577</v>
      </c>
      <c r="AC597" s="116">
        <f t="shared" si="266"/>
        <v>0</v>
      </c>
      <c r="AD597" s="116">
        <f t="shared" si="267"/>
        <v>0</v>
      </c>
      <c r="AE597" s="118"/>
      <c r="AF597" s="119"/>
      <c r="AG597" s="120"/>
      <c r="AH597" s="118"/>
      <c r="AI597" s="119"/>
      <c r="AJ597" s="121"/>
    </row>
    <row r="598" spans="2:36" s="9" customFormat="1">
      <c r="B598" s="9">
        <v>486</v>
      </c>
      <c r="C598" s="9" t="s">
        <v>660</v>
      </c>
      <c r="E598" s="9">
        <v>106304</v>
      </c>
      <c r="G598" s="9">
        <v>2013</v>
      </c>
      <c r="H598" s="9">
        <v>7</v>
      </c>
      <c r="I598" s="9">
        <v>0</v>
      </c>
      <c r="J598" s="9" t="s">
        <v>78</v>
      </c>
      <c r="K598" s="158">
        <v>7</v>
      </c>
      <c r="L598" s="9">
        <f t="shared" si="251"/>
        <v>2020</v>
      </c>
      <c r="M598" s="127">
        <f t="shared" si="252"/>
        <v>2020.5833333333333</v>
      </c>
      <c r="N598" s="13">
        <v>26930.76</v>
      </c>
      <c r="O598" s="13">
        <f t="shared" si="253"/>
        <v>26930.76</v>
      </c>
      <c r="P598" s="13">
        <f t="shared" si="254"/>
        <v>320.60428571428571</v>
      </c>
      <c r="Q598" s="13">
        <f t="shared" si="255"/>
        <v>3847.2514285714287</v>
      </c>
      <c r="R598" s="13">
        <v>3847.2514285714287</v>
      </c>
      <c r="S598" s="13">
        <f t="shared" si="256"/>
        <v>0</v>
      </c>
      <c r="T598" s="13">
        <f t="shared" si="257"/>
        <v>26930.76</v>
      </c>
      <c r="U598" s="13">
        <f t="shared" si="258"/>
        <v>26930.76</v>
      </c>
      <c r="V598" s="13">
        <v>3847.2514285714278</v>
      </c>
      <c r="W598" s="13">
        <f t="shared" si="259"/>
        <v>0</v>
      </c>
      <c r="X598" s="115">
        <f t="shared" si="264"/>
        <v>0</v>
      </c>
      <c r="Y598" s="116">
        <f t="shared" si="265"/>
        <v>0</v>
      </c>
      <c r="Z598" s="116">
        <f t="shared" si="268"/>
        <v>-3847.2514285714287</v>
      </c>
      <c r="AA598" s="116">
        <f t="shared" si="269"/>
        <v>-3847.2514285714278</v>
      </c>
      <c r="AB598" s="117">
        <f>'Ratios (C)'!$C$29+'Ratios (C)'!$D$29</f>
        <v>0.74382820142966577</v>
      </c>
      <c r="AC598" s="116">
        <f t="shared" si="266"/>
        <v>0</v>
      </c>
      <c r="AD598" s="116">
        <f t="shared" si="267"/>
        <v>0</v>
      </c>
      <c r="AE598" s="118"/>
      <c r="AF598" s="119"/>
      <c r="AG598" s="120"/>
      <c r="AH598" s="118"/>
      <c r="AI598" s="119"/>
      <c r="AJ598" s="121"/>
    </row>
    <row r="599" spans="2:36" s="9" customFormat="1">
      <c r="B599" s="9">
        <v>486</v>
      </c>
      <c r="C599" s="9" t="s">
        <v>660</v>
      </c>
      <c r="E599" s="9">
        <v>107427</v>
      </c>
      <c r="G599" s="9">
        <v>2013</v>
      </c>
      <c r="H599" s="9">
        <v>9</v>
      </c>
      <c r="I599" s="9">
        <v>0</v>
      </c>
      <c r="J599" s="9" t="s">
        <v>78</v>
      </c>
      <c r="K599" s="158">
        <v>7</v>
      </c>
      <c r="L599" s="9">
        <f t="shared" si="251"/>
        <v>2020</v>
      </c>
      <c r="M599" s="127">
        <f t="shared" si="252"/>
        <v>2020.75</v>
      </c>
      <c r="N599" s="13">
        <v>26930.76</v>
      </c>
      <c r="O599" s="13">
        <f t="shared" si="253"/>
        <v>26930.76</v>
      </c>
      <c r="P599" s="13">
        <f t="shared" si="254"/>
        <v>320.60428571428571</v>
      </c>
      <c r="Q599" s="13">
        <f t="shared" si="255"/>
        <v>3847.2514285714287</v>
      </c>
      <c r="R599" s="13">
        <v>3847.2514285714287</v>
      </c>
      <c r="S599" s="13">
        <f t="shared" si="256"/>
        <v>0</v>
      </c>
      <c r="T599" s="13">
        <f t="shared" si="257"/>
        <v>26930.76</v>
      </c>
      <c r="U599" s="13">
        <f t="shared" si="258"/>
        <v>26930.76</v>
      </c>
      <c r="V599" s="13">
        <v>3847.2514285714278</v>
      </c>
      <c r="W599" s="13">
        <f t="shared" si="259"/>
        <v>0</v>
      </c>
      <c r="X599" s="115">
        <f t="shared" si="264"/>
        <v>0</v>
      </c>
      <c r="Y599" s="116">
        <f t="shared" si="265"/>
        <v>0</v>
      </c>
      <c r="Z599" s="116">
        <f t="shared" si="268"/>
        <v>-3847.2514285714287</v>
      </c>
      <c r="AA599" s="116">
        <f t="shared" si="269"/>
        <v>-3847.2514285714278</v>
      </c>
      <c r="AB599" s="117">
        <f>'Ratios (C)'!$C$29+'Ratios (C)'!$D$29</f>
        <v>0.74382820142966577</v>
      </c>
      <c r="AC599" s="116">
        <f t="shared" si="266"/>
        <v>0</v>
      </c>
      <c r="AD599" s="116">
        <f t="shared" si="267"/>
        <v>0</v>
      </c>
      <c r="AE599" s="118"/>
      <c r="AF599" s="119"/>
      <c r="AG599" s="120"/>
      <c r="AH599" s="118"/>
      <c r="AI599" s="119"/>
      <c r="AJ599" s="121"/>
    </row>
    <row r="600" spans="2:36" s="9" customFormat="1">
      <c r="B600" s="9">
        <v>486</v>
      </c>
      <c r="C600" s="9" t="s">
        <v>665</v>
      </c>
      <c r="E600" s="9">
        <v>111489</v>
      </c>
      <c r="G600" s="9">
        <v>2014</v>
      </c>
      <c r="H600" s="9">
        <v>3</v>
      </c>
      <c r="I600" s="9">
        <v>0</v>
      </c>
      <c r="J600" s="9" t="s">
        <v>78</v>
      </c>
      <c r="K600" s="158">
        <v>7</v>
      </c>
      <c r="L600" s="9">
        <f t="shared" si="251"/>
        <v>2021</v>
      </c>
      <c r="M600" s="127">
        <f t="shared" si="252"/>
        <v>2021.25</v>
      </c>
      <c r="N600" s="13">
        <v>26672.25</v>
      </c>
      <c r="O600" s="13">
        <f t="shared" si="253"/>
        <v>26672.25</v>
      </c>
      <c r="P600" s="13">
        <f t="shared" si="254"/>
        <v>317.52678571428572</v>
      </c>
      <c r="Q600" s="13">
        <f t="shared" si="255"/>
        <v>3810.3214285714284</v>
      </c>
      <c r="R600" s="13">
        <v>3810.3214285714284</v>
      </c>
      <c r="S600" s="13">
        <f t="shared" si="256"/>
        <v>0</v>
      </c>
      <c r="T600" s="13">
        <f t="shared" si="257"/>
        <v>26672.25</v>
      </c>
      <c r="U600" s="13">
        <f t="shared" si="258"/>
        <v>26672.25</v>
      </c>
      <c r="V600" s="13">
        <v>7620.6428571428587</v>
      </c>
      <c r="W600" s="13">
        <f t="shared" si="259"/>
        <v>0</v>
      </c>
      <c r="X600" s="115">
        <f t="shared" si="264"/>
        <v>0</v>
      </c>
      <c r="Y600" s="116">
        <f t="shared" si="265"/>
        <v>0</v>
      </c>
      <c r="Z600" s="116">
        <f t="shared" si="268"/>
        <v>-3810.3214285714284</v>
      </c>
      <c r="AA600" s="116">
        <f t="shared" si="269"/>
        <v>-7620.6428571428587</v>
      </c>
      <c r="AB600" s="117">
        <f>'Ratios (C)'!$C$29+'Ratios (C)'!$D$29</f>
        <v>0.74382820142966577</v>
      </c>
      <c r="AC600" s="116">
        <f t="shared" si="266"/>
        <v>0</v>
      </c>
      <c r="AD600" s="116">
        <f t="shared" si="267"/>
        <v>0</v>
      </c>
      <c r="AE600" s="118"/>
      <c r="AF600" s="119"/>
      <c r="AG600" s="120"/>
      <c r="AH600" s="118"/>
      <c r="AI600" s="119"/>
      <c r="AJ600" s="121"/>
    </row>
    <row r="601" spans="2:36" s="9" customFormat="1">
      <c r="B601" s="9">
        <f>486*2</f>
        <v>972</v>
      </c>
      <c r="C601" s="9" t="s">
        <v>665</v>
      </c>
      <c r="E601" s="9" t="s">
        <v>666</v>
      </c>
      <c r="G601" s="9">
        <v>2014</v>
      </c>
      <c r="H601" s="9">
        <v>7</v>
      </c>
      <c r="I601" s="9">
        <v>0</v>
      </c>
      <c r="J601" s="9" t="s">
        <v>78</v>
      </c>
      <c r="K601" s="158">
        <v>7</v>
      </c>
      <c r="L601" s="9">
        <f t="shared" si="251"/>
        <v>2021</v>
      </c>
      <c r="M601" s="127">
        <f t="shared" si="252"/>
        <v>2021.5833333333333</v>
      </c>
      <c r="N601" s="13">
        <f>28368.38*2</f>
        <v>56736.76</v>
      </c>
      <c r="O601" s="13">
        <f t="shared" si="253"/>
        <v>56736.76</v>
      </c>
      <c r="P601" s="13">
        <f t="shared" si="254"/>
        <v>675.43761904761902</v>
      </c>
      <c r="Q601" s="13">
        <f t="shared" si="255"/>
        <v>8105.2514285714278</v>
      </c>
      <c r="R601" s="13">
        <v>8105.2514285714278</v>
      </c>
      <c r="S601" s="13">
        <f t="shared" si="256"/>
        <v>0</v>
      </c>
      <c r="T601" s="13">
        <f t="shared" si="257"/>
        <v>56736.76</v>
      </c>
      <c r="U601" s="13">
        <f t="shared" si="258"/>
        <v>56736.76</v>
      </c>
      <c r="V601" s="13">
        <v>16210.502857142863</v>
      </c>
      <c r="W601" s="13">
        <f t="shared" si="259"/>
        <v>0</v>
      </c>
      <c r="X601" s="115">
        <f t="shared" si="264"/>
        <v>0</v>
      </c>
      <c r="Y601" s="116">
        <f t="shared" si="265"/>
        <v>0</v>
      </c>
      <c r="Z601" s="116">
        <f t="shared" si="268"/>
        <v>-8105.2514285714278</v>
      </c>
      <c r="AA601" s="116">
        <f t="shared" si="269"/>
        <v>-16210.502857142863</v>
      </c>
      <c r="AB601" s="117">
        <f>'Ratios (C)'!$C$29+'Ratios (C)'!$D$29</f>
        <v>0.74382820142966577</v>
      </c>
      <c r="AC601" s="116">
        <f t="shared" si="266"/>
        <v>0</v>
      </c>
      <c r="AD601" s="116">
        <f t="shared" si="267"/>
        <v>0</v>
      </c>
      <c r="AE601" s="118"/>
      <c r="AF601" s="119"/>
      <c r="AG601" s="120"/>
      <c r="AH601" s="118"/>
      <c r="AI601" s="119"/>
      <c r="AJ601" s="121"/>
    </row>
    <row r="602" spans="2:36" s="9" customFormat="1">
      <c r="B602" s="9">
        <v>486</v>
      </c>
      <c r="C602" s="9" t="s">
        <v>665</v>
      </c>
      <c r="E602" s="9">
        <v>116969</v>
      </c>
      <c r="G602" s="9">
        <v>2014</v>
      </c>
      <c r="H602" s="9">
        <v>10</v>
      </c>
      <c r="I602" s="9">
        <v>0</v>
      </c>
      <c r="J602" s="9" t="s">
        <v>78</v>
      </c>
      <c r="K602" s="158">
        <v>7</v>
      </c>
      <c r="L602" s="9">
        <f t="shared" si="251"/>
        <v>2021</v>
      </c>
      <c r="M602" s="127">
        <f t="shared" si="252"/>
        <v>2021.8333333333333</v>
      </c>
      <c r="N602" s="13">
        <v>27750.61</v>
      </c>
      <c r="O602" s="13">
        <f t="shared" si="253"/>
        <v>27750.61</v>
      </c>
      <c r="P602" s="13">
        <f t="shared" si="254"/>
        <v>330.36440476190478</v>
      </c>
      <c r="Q602" s="13">
        <f t="shared" si="255"/>
        <v>3964.3728571428574</v>
      </c>
      <c r="R602" s="13">
        <v>3964.3728571428574</v>
      </c>
      <c r="S602" s="13">
        <f t="shared" si="256"/>
        <v>0</v>
      </c>
      <c r="T602" s="13">
        <f t="shared" si="257"/>
        <v>27750.61</v>
      </c>
      <c r="U602" s="13">
        <f t="shared" si="258"/>
        <v>27750.61</v>
      </c>
      <c r="V602" s="13">
        <v>7928.7457142857129</v>
      </c>
      <c r="W602" s="13">
        <f t="shared" si="259"/>
        <v>0</v>
      </c>
      <c r="X602" s="115">
        <f t="shared" si="264"/>
        <v>0</v>
      </c>
      <c r="Y602" s="116">
        <f t="shared" si="265"/>
        <v>0</v>
      </c>
      <c r="Z602" s="116">
        <f t="shared" si="268"/>
        <v>-3964.3728571428574</v>
      </c>
      <c r="AA602" s="116">
        <f t="shared" si="269"/>
        <v>-7928.7457142857129</v>
      </c>
      <c r="AB602" s="117">
        <f>'Ratios (C)'!$C$29+'Ratios (C)'!$D$29</f>
        <v>0.74382820142966577</v>
      </c>
      <c r="AC602" s="116">
        <f t="shared" si="266"/>
        <v>0</v>
      </c>
      <c r="AD602" s="116">
        <f t="shared" si="267"/>
        <v>0</v>
      </c>
      <c r="AE602" s="118"/>
      <c r="AF602" s="119"/>
      <c r="AG602" s="120"/>
      <c r="AH602" s="118"/>
      <c r="AI602" s="119"/>
      <c r="AJ602" s="121"/>
    </row>
    <row r="603" spans="2:36" s="9" customFormat="1">
      <c r="B603" s="9">
        <v>486</v>
      </c>
      <c r="C603" s="9" t="s">
        <v>665</v>
      </c>
      <c r="E603" s="9">
        <v>122195</v>
      </c>
      <c r="G603" s="9">
        <v>2015</v>
      </c>
      <c r="H603" s="9">
        <v>1</v>
      </c>
      <c r="I603" s="9">
        <v>0</v>
      </c>
      <c r="J603" s="9" t="s">
        <v>78</v>
      </c>
      <c r="K603" s="158">
        <v>7</v>
      </c>
      <c r="L603" s="9">
        <f t="shared" si="251"/>
        <v>2022</v>
      </c>
      <c r="M603" s="127">
        <f t="shared" si="252"/>
        <v>2022.0833333333333</v>
      </c>
      <c r="N603" s="13">
        <v>27796.59</v>
      </c>
      <c r="O603" s="13">
        <f t="shared" si="253"/>
        <v>27796.59</v>
      </c>
      <c r="P603" s="13">
        <f t="shared" si="254"/>
        <v>330.91178571428571</v>
      </c>
      <c r="Q603" s="13">
        <f t="shared" si="255"/>
        <v>3970.9414285714283</v>
      </c>
      <c r="R603" s="13">
        <v>3970.9414285714283</v>
      </c>
      <c r="S603" s="13">
        <f t="shared" si="256"/>
        <v>0</v>
      </c>
      <c r="T603" s="13">
        <f t="shared" si="257"/>
        <v>27796.59</v>
      </c>
      <c r="U603" s="13">
        <f t="shared" si="258"/>
        <v>27796.59</v>
      </c>
      <c r="V603" s="13">
        <v>11912.824285714287</v>
      </c>
      <c r="W603" s="13">
        <f t="shared" si="259"/>
        <v>0</v>
      </c>
      <c r="X603" s="115">
        <f t="shared" si="264"/>
        <v>0</v>
      </c>
      <c r="Y603" s="116">
        <f t="shared" si="265"/>
        <v>0</v>
      </c>
      <c r="Z603" s="116">
        <f t="shared" si="268"/>
        <v>-3970.9414285714283</v>
      </c>
      <c r="AA603" s="116">
        <f t="shared" si="269"/>
        <v>-11912.824285714287</v>
      </c>
      <c r="AB603" s="117">
        <f>'Ratios (C)'!$C$29+'Ratios (C)'!$D$29</f>
        <v>0.74382820142966577</v>
      </c>
      <c r="AC603" s="116">
        <f t="shared" si="266"/>
        <v>0</v>
      </c>
      <c r="AD603" s="116">
        <f t="shared" si="267"/>
        <v>0</v>
      </c>
      <c r="AE603" s="118"/>
      <c r="AF603" s="119"/>
      <c r="AG603" s="120"/>
      <c r="AH603" s="118"/>
      <c r="AI603" s="119"/>
      <c r="AJ603" s="121"/>
    </row>
    <row r="604" spans="2:36" s="9" customFormat="1">
      <c r="B604" s="9">
        <v>486</v>
      </c>
      <c r="C604" s="9" t="s">
        <v>665</v>
      </c>
      <c r="E604" s="9">
        <v>122196</v>
      </c>
      <c r="G604" s="9">
        <v>2015</v>
      </c>
      <c r="H604" s="9">
        <v>1</v>
      </c>
      <c r="I604" s="9">
        <v>0</v>
      </c>
      <c r="J604" s="9" t="s">
        <v>78</v>
      </c>
      <c r="K604" s="158">
        <v>7</v>
      </c>
      <c r="L604" s="9">
        <f t="shared" si="251"/>
        <v>2022</v>
      </c>
      <c r="M604" s="127">
        <f t="shared" si="252"/>
        <v>2022.0833333333333</v>
      </c>
      <c r="N604" s="13">
        <v>27796.59</v>
      </c>
      <c r="O604" s="13">
        <f t="shared" si="253"/>
        <v>27796.59</v>
      </c>
      <c r="P604" s="13">
        <f t="shared" si="254"/>
        <v>330.91178571428571</v>
      </c>
      <c r="Q604" s="13">
        <f t="shared" si="255"/>
        <v>3970.9414285714283</v>
      </c>
      <c r="R604" s="13">
        <v>3970.9414285714283</v>
      </c>
      <c r="S604" s="13">
        <f t="shared" si="256"/>
        <v>0</v>
      </c>
      <c r="T604" s="13">
        <f t="shared" si="257"/>
        <v>27796.59</v>
      </c>
      <c r="U604" s="13">
        <f t="shared" si="258"/>
        <v>27796.59</v>
      </c>
      <c r="V604" s="13">
        <v>11912.824285714287</v>
      </c>
      <c r="W604" s="13">
        <f t="shared" si="259"/>
        <v>0</v>
      </c>
      <c r="X604" s="115">
        <f t="shared" si="264"/>
        <v>0</v>
      </c>
      <c r="Y604" s="116">
        <f t="shared" si="265"/>
        <v>0</v>
      </c>
      <c r="Z604" s="116">
        <f t="shared" si="268"/>
        <v>-3970.9414285714283</v>
      </c>
      <c r="AA604" s="116">
        <f t="shared" si="269"/>
        <v>-11912.824285714287</v>
      </c>
      <c r="AB604" s="117">
        <f>'Ratios (C)'!$C$29+'Ratios (C)'!$D$29</f>
        <v>0.74382820142966577</v>
      </c>
      <c r="AC604" s="116">
        <f t="shared" si="266"/>
        <v>0</v>
      </c>
      <c r="AD604" s="116">
        <f t="shared" si="267"/>
        <v>0</v>
      </c>
      <c r="AE604" s="118"/>
      <c r="AF604" s="119"/>
      <c r="AG604" s="120"/>
      <c r="AH604" s="118"/>
      <c r="AI604" s="119"/>
      <c r="AJ604" s="121"/>
    </row>
    <row r="605" spans="2:36" s="9" customFormat="1">
      <c r="B605" s="9">
        <v>624</v>
      </c>
      <c r="C605" s="9" t="s">
        <v>665</v>
      </c>
      <c r="E605" s="9">
        <v>122695</v>
      </c>
      <c r="G605" s="9">
        <v>2015</v>
      </c>
      <c r="H605" s="9">
        <v>5</v>
      </c>
      <c r="I605" s="9">
        <v>0</v>
      </c>
      <c r="J605" s="9" t="s">
        <v>78</v>
      </c>
      <c r="K605" s="158">
        <v>7</v>
      </c>
      <c r="L605" s="9">
        <f t="shared" si="251"/>
        <v>2022</v>
      </c>
      <c r="M605" s="127">
        <f t="shared" si="252"/>
        <v>2022.4166666666667</v>
      </c>
      <c r="N605" s="13">
        <v>32729.22</v>
      </c>
      <c r="O605" s="13">
        <f t="shared" si="253"/>
        <v>32729.22</v>
      </c>
      <c r="P605" s="13">
        <f t="shared" si="254"/>
        <v>389.63357142857143</v>
      </c>
      <c r="Q605" s="13">
        <f t="shared" si="255"/>
        <v>4675.6028571428569</v>
      </c>
      <c r="R605" s="13">
        <v>4675.6028571428569</v>
      </c>
      <c r="S605" s="13">
        <f t="shared" si="256"/>
        <v>0</v>
      </c>
      <c r="T605" s="13">
        <f t="shared" si="257"/>
        <v>32729.22</v>
      </c>
      <c r="U605" s="13">
        <f t="shared" si="258"/>
        <v>32729.22</v>
      </c>
      <c r="V605" s="13">
        <v>14026.808571428573</v>
      </c>
      <c r="W605" s="13">
        <f t="shared" si="259"/>
        <v>0</v>
      </c>
      <c r="X605" s="115">
        <f t="shared" si="264"/>
        <v>0</v>
      </c>
      <c r="Y605" s="116">
        <f t="shared" si="265"/>
        <v>0</v>
      </c>
      <c r="Z605" s="116">
        <f t="shared" si="268"/>
        <v>-4675.6028571428569</v>
      </c>
      <c r="AA605" s="116">
        <f t="shared" si="269"/>
        <v>-14026.808571428573</v>
      </c>
      <c r="AB605" s="117">
        <f>'Ratios (C)'!$C$29+'Ratios (C)'!$D$29</f>
        <v>0.74382820142966577</v>
      </c>
      <c r="AC605" s="116">
        <f t="shared" si="266"/>
        <v>0</v>
      </c>
      <c r="AD605" s="116">
        <f t="shared" si="267"/>
        <v>0</v>
      </c>
      <c r="AE605" s="118"/>
      <c r="AF605" s="119"/>
      <c r="AG605" s="120"/>
      <c r="AH605" s="118"/>
      <c r="AI605" s="119"/>
      <c r="AJ605" s="121"/>
    </row>
    <row r="606" spans="2:36" s="9" customFormat="1">
      <c r="B606" s="9">
        <v>624</v>
      </c>
      <c r="C606" s="9" t="s">
        <v>665</v>
      </c>
      <c r="E606" s="9">
        <v>123054</v>
      </c>
      <c r="G606" s="9">
        <v>2015</v>
      </c>
      <c r="H606" s="9">
        <v>5</v>
      </c>
      <c r="I606" s="9">
        <v>0</v>
      </c>
      <c r="J606" s="9" t="s">
        <v>78</v>
      </c>
      <c r="K606" s="158">
        <v>7</v>
      </c>
      <c r="L606" s="9">
        <f t="shared" si="251"/>
        <v>2022</v>
      </c>
      <c r="M606" s="127">
        <f t="shared" si="252"/>
        <v>2022.4166666666667</v>
      </c>
      <c r="N606" s="13">
        <v>32729.22</v>
      </c>
      <c r="O606" s="13">
        <f t="shared" si="253"/>
        <v>32729.22</v>
      </c>
      <c r="P606" s="13">
        <f t="shared" si="254"/>
        <v>389.63357142857143</v>
      </c>
      <c r="Q606" s="13">
        <f t="shared" si="255"/>
        <v>4675.6028571428569</v>
      </c>
      <c r="R606" s="13">
        <v>4675.6028571428569</v>
      </c>
      <c r="S606" s="13">
        <f t="shared" si="256"/>
        <v>0</v>
      </c>
      <c r="T606" s="13">
        <f t="shared" si="257"/>
        <v>32729.22</v>
      </c>
      <c r="U606" s="13">
        <f t="shared" si="258"/>
        <v>32729.22</v>
      </c>
      <c r="V606" s="13">
        <v>14026.808571428573</v>
      </c>
      <c r="W606" s="13">
        <f t="shared" si="259"/>
        <v>0</v>
      </c>
      <c r="X606" s="115">
        <f t="shared" si="264"/>
        <v>0</v>
      </c>
      <c r="Y606" s="116">
        <f t="shared" si="265"/>
        <v>0</v>
      </c>
      <c r="Z606" s="116">
        <f t="shared" si="268"/>
        <v>-4675.6028571428569</v>
      </c>
      <c r="AA606" s="116">
        <f t="shared" si="269"/>
        <v>-14026.808571428573</v>
      </c>
      <c r="AB606" s="117">
        <f>'Ratios (C)'!$C$29+'Ratios (C)'!$D$29</f>
        <v>0.74382820142966577</v>
      </c>
      <c r="AC606" s="116">
        <f t="shared" si="266"/>
        <v>0</v>
      </c>
      <c r="AD606" s="116">
        <f t="shared" si="267"/>
        <v>0</v>
      </c>
      <c r="AE606" s="118"/>
      <c r="AF606" s="119"/>
      <c r="AG606" s="120"/>
      <c r="AH606" s="118"/>
      <c r="AI606" s="119"/>
      <c r="AJ606" s="121"/>
    </row>
    <row r="607" spans="2:36" s="9" customFormat="1">
      <c r="B607" s="9">
        <f>624*2</f>
        <v>1248</v>
      </c>
      <c r="C607" s="9" t="s">
        <v>665</v>
      </c>
      <c r="E607" s="9" t="s">
        <v>667</v>
      </c>
      <c r="G607" s="9">
        <v>2015</v>
      </c>
      <c r="H607" s="9">
        <v>8</v>
      </c>
      <c r="I607" s="9">
        <v>0</v>
      </c>
      <c r="J607" s="9" t="s">
        <v>78</v>
      </c>
      <c r="K607" s="158">
        <v>7</v>
      </c>
      <c r="L607" s="9">
        <f t="shared" si="251"/>
        <v>2022</v>
      </c>
      <c r="M607" s="127">
        <f t="shared" si="252"/>
        <v>2022.6666666666667</v>
      </c>
      <c r="N607" s="13">
        <f>34841.59+30890.5</f>
        <v>65732.09</v>
      </c>
      <c r="O607" s="13">
        <f t="shared" si="253"/>
        <v>65732.09</v>
      </c>
      <c r="P607" s="13">
        <f t="shared" si="254"/>
        <v>782.52488095238095</v>
      </c>
      <c r="Q607" s="13">
        <f t="shared" si="255"/>
        <v>9390.2985714285714</v>
      </c>
      <c r="R607" s="13">
        <v>9390.2985714285714</v>
      </c>
      <c r="S607" s="13">
        <f t="shared" si="256"/>
        <v>0</v>
      </c>
      <c r="T607" s="13">
        <f t="shared" si="257"/>
        <v>65732.09</v>
      </c>
      <c r="U607" s="13">
        <f t="shared" si="258"/>
        <v>65732.09</v>
      </c>
      <c r="V607" s="13">
        <v>28170.895714285711</v>
      </c>
      <c r="W607" s="13">
        <f t="shared" si="259"/>
        <v>0</v>
      </c>
      <c r="X607" s="115">
        <f t="shared" si="264"/>
        <v>0</v>
      </c>
      <c r="Y607" s="116">
        <f t="shared" si="265"/>
        <v>0</v>
      </c>
      <c r="Z607" s="116">
        <f t="shared" si="268"/>
        <v>-9390.2985714285714</v>
      </c>
      <c r="AA607" s="116">
        <f t="shared" si="269"/>
        <v>-28170.895714285711</v>
      </c>
      <c r="AB607" s="117">
        <f>'Ratios (C)'!$C$29+'Ratios (C)'!$D$29</f>
        <v>0.74382820142966577</v>
      </c>
      <c r="AC607" s="116">
        <f t="shared" si="266"/>
        <v>0</v>
      </c>
      <c r="AD607" s="116">
        <f t="shared" si="267"/>
        <v>0</v>
      </c>
      <c r="AE607" s="118"/>
      <c r="AF607" s="119"/>
      <c r="AG607" s="120"/>
      <c r="AH607" s="118"/>
      <c r="AI607" s="119"/>
      <c r="AJ607" s="121"/>
    </row>
    <row r="608" spans="2:36" s="9" customFormat="1">
      <c r="B608" s="9">
        <v>624</v>
      </c>
      <c r="C608" s="9" t="s">
        <v>668</v>
      </c>
      <c r="E608" s="9">
        <v>128768</v>
      </c>
      <c r="G608" s="9">
        <v>2015</v>
      </c>
      <c r="H608" s="9">
        <v>5</v>
      </c>
      <c r="I608" s="9">
        <v>0</v>
      </c>
      <c r="J608" s="9" t="s">
        <v>78</v>
      </c>
      <c r="K608" s="158">
        <v>7</v>
      </c>
      <c r="L608" s="9">
        <f t="shared" si="251"/>
        <v>2022</v>
      </c>
      <c r="M608" s="127">
        <f t="shared" si="252"/>
        <v>2022.4166666666667</v>
      </c>
      <c r="N608" s="13">
        <v>32423.49</v>
      </c>
      <c r="O608" s="13">
        <f t="shared" si="253"/>
        <v>32423.49</v>
      </c>
      <c r="P608" s="13">
        <f t="shared" si="254"/>
        <v>385.99392857142857</v>
      </c>
      <c r="Q608" s="13">
        <f t="shared" si="255"/>
        <v>4631.9271428571428</v>
      </c>
      <c r="R608" s="13">
        <v>4631.9271428571428</v>
      </c>
      <c r="S608" s="13">
        <f t="shared" si="256"/>
        <v>0</v>
      </c>
      <c r="T608" s="13">
        <f t="shared" si="257"/>
        <v>32423.49</v>
      </c>
      <c r="U608" s="13">
        <f t="shared" si="258"/>
        <v>32423.49</v>
      </c>
      <c r="V608" s="13">
        <v>13895.78142857143</v>
      </c>
      <c r="W608" s="13">
        <f t="shared" si="259"/>
        <v>0</v>
      </c>
      <c r="X608" s="115">
        <f t="shared" si="264"/>
        <v>0</v>
      </c>
      <c r="Y608" s="116">
        <f t="shared" si="265"/>
        <v>0</v>
      </c>
      <c r="Z608" s="116">
        <f t="shared" si="268"/>
        <v>-4631.9271428571428</v>
      </c>
      <c r="AA608" s="116">
        <f t="shared" si="269"/>
        <v>-13895.78142857143</v>
      </c>
      <c r="AB608" s="117">
        <f>'Ratios (C)'!$C$29+'Ratios (C)'!$D$29</f>
        <v>0.74382820142966577</v>
      </c>
      <c r="AC608" s="116">
        <f t="shared" si="266"/>
        <v>0</v>
      </c>
      <c r="AD608" s="116">
        <f t="shared" si="267"/>
        <v>0</v>
      </c>
      <c r="AE608" s="118"/>
      <c r="AF608" s="119"/>
      <c r="AG608" s="120"/>
      <c r="AH608" s="118"/>
      <c r="AI608" s="119"/>
      <c r="AJ608" s="121"/>
    </row>
    <row r="609" spans="2:36" s="9" customFormat="1">
      <c r="B609" s="9">
        <v>624</v>
      </c>
      <c r="C609" s="9" t="s">
        <v>665</v>
      </c>
      <c r="E609" s="9">
        <v>130762</v>
      </c>
      <c r="G609" s="9">
        <v>2016</v>
      </c>
      <c r="H609" s="9">
        <v>2</v>
      </c>
      <c r="I609" s="9">
        <v>0</v>
      </c>
      <c r="J609" s="9" t="s">
        <v>78</v>
      </c>
      <c r="K609" s="158">
        <v>7</v>
      </c>
      <c r="L609" s="9">
        <f t="shared" si="251"/>
        <v>2023</v>
      </c>
      <c r="M609" s="127">
        <f t="shared" si="252"/>
        <v>2023.1666666666667</v>
      </c>
      <c r="N609" s="13">
        <v>31260.11</v>
      </c>
      <c r="O609" s="13">
        <f t="shared" si="253"/>
        <v>31260.11</v>
      </c>
      <c r="P609" s="13">
        <f t="shared" si="254"/>
        <v>372.14416666666671</v>
      </c>
      <c r="Q609" s="13">
        <f t="shared" si="255"/>
        <v>4465.7300000000005</v>
      </c>
      <c r="R609" s="13">
        <v>4465.7300000000005</v>
      </c>
      <c r="S609" s="13">
        <f t="shared" si="256"/>
        <v>4465.7300000000005</v>
      </c>
      <c r="T609" s="13">
        <f t="shared" si="257"/>
        <v>22328.65</v>
      </c>
      <c r="U609" s="13">
        <f t="shared" si="258"/>
        <v>26794.38</v>
      </c>
      <c r="V609" s="13">
        <v>17862.919999999998</v>
      </c>
      <c r="W609" s="13">
        <f t="shared" si="259"/>
        <v>4465.7299999999996</v>
      </c>
      <c r="X609" s="115">
        <f t="shared" si="264"/>
        <v>4465.7300000000005</v>
      </c>
      <c r="Y609" s="116">
        <f t="shared" si="265"/>
        <v>4465.7299999999996</v>
      </c>
      <c r="Z609" s="116">
        <f t="shared" si="268"/>
        <v>0</v>
      </c>
      <c r="AA609" s="116">
        <f t="shared" si="269"/>
        <v>-13397.189999999999</v>
      </c>
      <c r="AB609" s="117">
        <f>'Ratios (C)'!$C$29+'Ratios (C)'!$D$29</f>
        <v>0.74382820142966577</v>
      </c>
      <c r="AC609" s="116">
        <f t="shared" si="266"/>
        <v>3321.7359139705018</v>
      </c>
      <c r="AD609" s="116">
        <f t="shared" si="267"/>
        <v>3321.7359139705009</v>
      </c>
      <c r="AE609" s="118"/>
      <c r="AF609" s="119"/>
      <c r="AG609" s="120"/>
      <c r="AH609" s="118"/>
      <c r="AI609" s="119"/>
      <c r="AJ609" s="121"/>
    </row>
    <row r="610" spans="2:36" s="9" customFormat="1">
      <c r="B610" s="9">
        <v>624</v>
      </c>
      <c r="C610" s="9" t="s">
        <v>665</v>
      </c>
      <c r="E610" s="9">
        <v>131755</v>
      </c>
      <c r="G610" s="9">
        <v>2016</v>
      </c>
      <c r="H610" s="9">
        <v>2</v>
      </c>
      <c r="I610" s="9">
        <v>0</v>
      </c>
      <c r="J610" s="9" t="s">
        <v>78</v>
      </c>
      <c r="K610" s="158">
        <v>7</v>
      </c>
      <c r="L610" s="9">
        <f t="shared" si="251"/>
        <v>2023</v>
      </c>
      <c r="M610" s="127">
        <f t="shared" si="252"/>
        <v>2023.1666666666667</v>
      </c>
      <c r="N610" s="13">
        <v>31260.11</v>
      </c>
      <c r="O610" s="13">
        <f t="shared" si="253"/>
        <v>31260.11</v>
      </c>
      <c r="P610" s="13">
        <f t="shared" si="254"/>
        <v>372.14416666666671</v>
      </c>
      <c r="Q610" s="13">
        <f t="shared" si="255"/>
        <v>4465.7300000000005</v>
      </c>
      <c r="R610" s="13">
        <v>4465.7300000000005</v>
      </c>
      <c r="S610" s="13">
        <f t="shared" si="256"/>
        <v>4465.7300000000005</v>
      </c>
      <c r="T610" s="13">
        <f t="shared" si="257"/>
        <v>22328.65</v>
      </c>
      <c r="U610" s="13">
        <f t="shared" si="258"/>
        <v>26794.38</v>
      </c>
      <c r="V610" s="13">
        <v>17862.919999999998</v>
      </c>
      <c r="W610" s="13">
        <f t="shared" si="259"/>
        <v>4465.7299999999996</v>
      </c>
      <c r="X610" s="115">
        <f t="shared" si="264"/>
        <v>4465.7300000000005</v>
      </c>
      <c r="Y610" s="116">
        <f t="shared" si="265"/>
        <v>4465.7299999999996</v>
      </c>
      <c r="Z610" s="116">
        <f t="shared" si="268"/>
        <v>0</v>
      </c>
      <c r="AA610" s="116">
        <f t="shared" si="269"/>
        <v>-13397.189999999999</v>
      </c>
      <c r="AB610" s="117">
        <f>'Ratios (C)'!$C$29+'Ratios (C)'!$D$29</f>
        <v>0.74382820142966577</v>
      </c>
      <c r="AC610" s="116">
        <f t="shared" si="266"/>
        <v>3321.7359139705018</v>
      </c>
      <c r="AD610" s="116">
        <f t="shared" si="267"/>
        <v>3321.7359139705009</v>
      </c>
      <c r="AE610" s="118"/>
      <c r="AF610" s="119"/>
      <c r="AG610" s="120"/>
      <c r="AH610" s="118"/>
      <c r="AI610" s="119"/>
      <c r="AJ610" s="121"/>
    </row>
    <row r="611" spans="2:36" s="9" customFormat="1">
      <c r="B611" s="9">
        <v>864</v>
      </c>
      <c r="C611" s="9" t="s">
        <v>665</v>
      </c>
      <c r="E611" s="9">
        <v>131778</v>
      </c>
      <c r="G611" s="9">
        <v>2016</v>
      </c>
      <c r="H611" s="9">
        <v>2</v>
      </c>
      <c r="I611" s="9">
        <v>0</v>
      </c>
      <c r="J611" s="9" t="s">
        <v>78</v>
      </c>
      <c r="K611" s="158">
        <v>7</v>
      </c>
      <c r="L611" s="9">
        <f t="shared" si="251"/>
        <v>2023</v>
      </c>
      <c r="M611" s="127">
        <f t="shared" si="252"/>
        <v>2023.1666666666667</v>
      </c>
      <c r="N611" s="13">
        <v>36644.400000000001</v>
      </c>
      <c r="O611" s="13">
        <f t="shared" si="253"/>
        <v>36644.400000000001</v>
      </c>
      <c r="P611" s="13">
        <f t="shared" si="254"/>
        <v>436.24285714285719</v>
      </c>
      <c r="Q611" s="13">
        <f t="shared" si="255"/>
        <v>5234.9142857142861</v>
      </c>
      <c r="R611" s="13">
        <v>5234.9142857142861</v>
      </c>
      <c r="S611" s="13">
        <f t="shared" si="256"/>
        <v>5234.9142857142861</v>
      </c>
      <c r="T611" s="13">
        <f t="shared" si="257"/>
        <v>26174.571428571431</v>
      </c>
      <c r="U611" s="13">
        <f t="shared" si="258"/>
        <v>31409.485714285718</v>
      </c>
      <c r="V611" s="13">
        <v>20939.657142857144</v>
      </c>
      <c r="W611" s="13">
        <f t="shared" si="259"/>
        <v>5234.9142857142833</v>
      </c>
      <c r="X611" s="115">
        <f t="shared" si="264"/>
        <v>5234.9142857142861</v>
      </c>
      <c r="Y611" s="116">
        <f t="shared" si="265"/>
        <v>5234.9142857142833</v>
      </c>
      <c r="Z611" s="116">
        <f t="shared" si="268"/>
        <v>0</v>
      </c>
      <c r="AA611" s="116">
        <f t="shared" si="269"/>
        <v>-15704.742857142861</v>
      </c>
      <c r="AB611" s="117">
        <f>'Ratios (C)'!$C$29+'Ratios (C)'!$D$29</f>
        <v>0.74382820142966577</v>
      </c>
      <c r="AC611" s="116">
        <f t="shared" si="266"/>
        <v>3893.8768777813207</v>
      </c>
      <c r="AD611" s="116">
        <f t="shared" si="267"/>
        <v>3893.8768777813189</v>
      </c>
      <c r="AE611" s="118"/>
      <c r="AF611" s="119"/>
      <c r="AG611" s="120"/>
      <c r="AH611" s="118"/>
      <c r="AI611" s="119"/>
      <c r="AJ611" s="121"/>
    </row>
    <row r="612" spans="2:36" s="9" customFormat="1">
      <c r="B612" s="9">
        <v>1008</v>
      </c>
      <c r="C612" s="9" t="s">
        <v>665</v>
      </c>
      <c r="E612" s="9">
        <v>132892</v>
      </c>
      <c r="G612" s="9">
        <v>2016</v>
      </c>
      <c r="H612" s="9">
        <v>4</v>
      </c>
      <c r="I612" s="9">
        <v>0</v>
      </c>
      <c r="J612" s="9" t="s">
        <v>78</v>
      </c>
      <c r="K612" s="158">
        <v>7</v>
      </c>
      <c r="L612" s="9">
        <f t="shared" si="251"/>
        <v>2023</v>
      </c>
      <c r="M612" s="127">
        <f t="shared" si="252"/>
        <v>2023.3333333333333</v>
      </c>
      <c r="N612" s="13">
        <v>51665.81</v>
      </c>
      <c r="O612" s="13">
        <f t="shared" si="253"/>
        <v>51665.81</v>
      </c>
      <c r="P612" s="13">
        <f t="shared" si="254"/>
        <v>615.06916666666666</v>
      </c>
      <c r="Q612" s="13">
        <f t="shared" si="255"/>
        <v>7380.83</v>
      </c>
      <c r="R612" s="13">
        <v>7380.83</v>
      </c>
      <c r="S612" s="13">
        <f t="shared" si="256"/>
        <v>7380.83</v>
      </c>
      <c r="T612" s="13">
        <f t="shared" si="257"/>
        <v>36904.15</v>
      </c>
      <c r="U612" s="13">
        <f t="shared" si="258"/>
        <v>44284.98</v>
      </c>
      <c r="V612" s="13">
        <v>29523.32</v>
      </c>
      <c r="W612" s="13">
        <f t="shared" si="259"/>
        <v>7380.8299999999945</v>
      </c>
      <c r="X612" s="115">
        <f t="shared" si="264"/>
        <v>7380.83</v>
      </c>
      <c r="Y612" s="116">
        <f t="shared" si="265"/>
        <v>7380.8299999999945</v>
      </c>
      <c r="Z612" s="116">
        <f t="shared" si="268"/>
        <v>0</v>
      </c>
      <c r="AA612" s="116">
        <f t="shared" si="269"/>
        <v>-22142.490000000005</v>
      </c>
      <c r="AB612" s="117">
        <f>'Ratios (C)'!$C$29+'Ratios (C)'!$D$29</f>
        <v>0.74382820142966577</v>
      </c>
      <c r="AC612" s="116">
        <f t="shared" si="266"/>
        <v>5490.0695039581196</v>
      </c>
      <c r="AD612" s="116">
        <f t="shared" si="267"/>
        <v>5490.069503958116</v>
      </c>
      <c r="AE612" s="118"/>
      <c r="AF612" s="119"/>
      <c r="AG612" s="120"/>
      <c r="AH612" s="118"/>
      <c r="AI612" s="119"/>
      <c r="AJ612" s="121"/>
    </row>
    <row r="613" spans="2:36" s="9" customFormat="1">
      <c r="B613" s="9">
        <v>486</v>
      </c>
      <c r="C613" s="9" t="s">
        <v>665</v>
      </c>
      <c r="E613" s="9">
        <v>170189</v>
      </c>
      <c r="G613" s="9">
        <v>2016</v>
      </c>
      <c r="H613" s="9">
        <v>10</v>
      </c>
      <c r="I613" s="9">
        <v>0</v>
      </c>
      <c r="J613" s="9" t="s">
        <v>78</v>
      </c>
      <c r="K613" s="158">
        <v>7</v>
      </c>
      <c r="L613" s="9">
        <f t="shared" si="251"/>
        <v>2023</v>
      </c>
      <c r="M613" s="127">
        <f t="shared" si="252"/>
        <v>2023.8333333333333</v>
      </c>
      <c r="N613" s="13">
        <v>25718.36</v>
      </c>
      <c r="O613" s="13">
        <f t="shared" si="253"/>
        <v>25718.36</v>
      </c>
      <c r="P613" s="13">
        <f t="shared" si="254"/>
        <v>306.17095238095237</v>
      </c>
      <c r="Q613" s="13">
        <f t="shared" si="255"/>
        <v>3674.0514285714285</v>
      </c>
      <c r="R613" s="13">
        <v>3674.0514285714285</v>
      </c>
      <c r="S613" s="13">
        <f t="shared" si="256"/>
        <v>3674.0514285714285</v>
      </c>
      <c r="T613" s="13">
        <f t="shared" si="257"/>
        <v>18370.257142857143</v>
      </c>
      <c r="U613" s="13">
        <f t="shared" si="258"/>
        <v>22044.30857142857</v>
      </c>
      <c r="V613" s="13">
        <v>14696.205714285716</v>
      </c>
      <c r="W613" s="13">
        <f t="shared" si="259"/>
        <v>3674.0514285714307</v>
      </c>
      <c r="X613" s="115">
        <f t="shared" si="264"/>
        <v>3674.0514285714285</v>
      </c>
      <c r="Y613" s="116">
        <f t="shared" si="265"/>
        <v>3674.0514285714307</v>
      </c>
      <c r="Z613" s="116">
        <f t="shared" si="268"/>
        <v>0</v>
      </c>
      <c r="AA613" s="116">
        <f t="shared" si="269"/>
        <v>-11022.154285714285</v>
      </c>
      <c r="AB613" s="117">
        <f>'Ratios (C)'!$C$29+'Ratios (C)'!$D$29</f>
        <v>0.74382820142966577</v>
      </c>
      <c r="AC613" s="116">
        <f t="shared" si="266"/>
        <v>2732.8630660743797</v>
      </c>
      <c r="AD613" s="116">
        <f t="shared" si="267"/>
        <v>2732.8630660743815</v>
      </c>
      <c r="AE613" s="118"/>
      <c r="AF613" s="119"/>
      <c r="AG613" s="120"/>
      <c r="AH613" s="118"/>
      <c r="AI613" s="119"/>
      <c r="AJ613" s="121"/>
    </row>
    <row r="614" spans="2:36" s="9" customFormat="1">
      <c r="B614" s="9">
        <v>486</v>
      </c>
      <c r="C614" s="9" t="s">
        <v>665</v>
      </c>
      <c r="E614" s="9">
        <v>170190</v>
      </c>
      <c r="G614" s="9">
        <v>2016</v>
      </c>
      <c r="H614" s="9">
        <v>10</v>
      </c>
      <c r="I614" s="9">
        <v>0</v>
      </c>
      <c r="J614" s="9" t="s">
        <v>78</v>
      </c>
      <c r="K614" s="158">
        <v>7</v>
      </c>
      <c r="L614" s="9">
        <f t="shared" si="251"/>
        <v>2023</v>
      </c>
      <c r="M614" s="127">
        <f t="shared" si="252"/>
        <v>2023.8333333333333</v>
      </c>
      <c r="N614" s="13">
        <v>25718.36</v>
      </c>
      <c r="O614" s="13">
        <f t="shared" si="253"/>
        <v>25718.36</v>
      </c>
      <c r="P614" s="13">
        <f t="shared" si="254"/>
        <v>306.17095238095237</v>
      </c>
      <c r="Q614" s="13">
        <f t="shared" si="255"/>
        <v>3674.0514285714285</v>
      </c>
      <c r="R614" s="13">
        <v>3674.0514285714285</v>
      </c>
      <c r="S614" s="13">
        <f t="shared" si="256"/>
        <v>3674.0514285714285</v>
      </c>
      <c r="T614" s="13">
        <f t="shared" si="257"/>
        <v>18370.257142857143</v>
      </c>
      <c r="U614" s="13">
        <f t="shared" si="258"/>
        <v>22044.30857142857</v>
      </c>
      <c r="V614" s="13">
        <v>14696.205714285716</v>
      </c>
      <c r="W614" s="13">
        <f t="shared" si="259"/>
        <v>3674.0514285714307</v>
      </c>
      <c r="X614" s="115">
        <f t="shared" si="264"/>
        <v>3674.0514285714285</v>
      </c>
      <c r="Y614" s="116">
        <f t="shared" si="265"/>
        <v>3674.0514285714307</v>
      </c>
      <c r="Z614" s="116">
        <f t="shared" si="268"/>
        <v>0</v>
      </c>
      <c r="AA614" s="116">
        <f t="shared" si="269"/>
        <v>-11022.154285714285</v>
      </c>
      <c r="AB614" s="117">
        <f>'Ratios (C)'!$C$29+'Ratios (C)'!$D$29</f>
        <v>0.74382820142966577</v>
      </c>
      <c r="AC614" s="116">
        <f t="shared" si="266"/>
        <v>2732.8630660743797</v>
      </c>
      <c r="AD614" s="116">
        <f t="shared" si="267"/>
        <v>2732.8630660743815</v>
      </c>
      <c r="AE614" s="118"/>
      <c r="AF614" s="119"/>
      <c r="AG614" s="120"/>
      <c r="AH614" s="118"/>
      <c r="AI614" s="119"/>
      <c r="AJ614" s="121"/>
    </row>
    <row r="615" spans="2:36" s="9" customFormat="1">
      <c r="B615" s="9">
        <v>702</v>
      </c>
      <c r="C615" s="9" t="s">
        <v>665</v>
      </c>
      <c r="E615" s="9">
        <v>181675</v>
      </c>
      <c r="G615" s="9">
        <v>2017</v>
      </c>
      <c r="H615" s="9">
        <v>5</v>
      </c>
      <c r="I615" s="9">
        <v>0</v>
      </c>
      <c r="J615" s="9" t="s">
        <v>78</v>
      </c>
      <c r="K615" s="158">
        <v>7</v>
      </c>
      <c r="L615" s="9">
        <f t="shared" si="251"/>
        <v>2024</v>
      </c>
      <c r="M615" s="127">
        <f t="shared" si="252"/>
        <v>2024.4166666666667</v>
      </c>
      <c r="N615" s="13">
        <v>36215.9</v>
      </c>
      <c r="O615" s="13">
        <f t="shared" si="253"/>
        <v>36215.9</v>
      </c>
      <c r="P615" s="13">
        <f t="shared" si="254"/>
        <v>431.14166666666665</v>
      </c>
      <c r="Q615" s="13">
        <f t="shared" si="255"/>
        <v>5173.7</v>
      </c>
      <c r="R615" s="13">
        <v>5173.7</v>
      </c>
      <c r="S615" s="13">
        <f t="shared" si="256"/>
        <v>5173.7</v>
      </c>
      <c r="T615" s="13">
        <f t="shared" si="257"/>
        <v>20694.8</v>
      </c>
      <c r="U615" s="13">
        <f t="shared" si="258"/>
        <v>25868.5</v>
      </c>
      <c r="V615" s="13">
        <v>25868.5</v>
      </c>
      <c r="W615" s="13">
        <f t="shared" si="259"/>
        <v>10347.400000000001</v>
      </c>
      <c r="X615" s="115">
        <f t="shared" si="264"/>
        <v>5173.7</v>
      </c>
      <c r="Y615" s="116">
        <f t="shared" si="265"/>
        <v>10347.400000000001</v>
      </c>
      <c r="Z615" s="116">
        <f t="shared" si="268"/>
        <v>0</v>
      </c>
      <c r="AA615" s="116">
        <f t="shared" si="269"/>
        <v>-15521.099999999999</v>
      </c>
      <c r="AB615" s="117">
        <f>'Ratios (C)'!$C$29+'Ratios (C)'!$D$29</f>
        <v>0.74382820142966577</v>
      </c>
      <c r="AC615" s="116">
        <f t="shared" si="266"/>
        <v>3848.3439657366616</v>
      </c>
      <c r="AD615" s="116">
        <f t="shared" si="267"/>
        <v>7696.6879314733251</v>
      </c>
      <c r="AE615" s="118"/>
      <c r="AF615" s="119"/>
      <c r="AG615" s="120"/>
      <c r="AH615" s="118"/>
      <c r="AI615" s="119"/>
      <c r="AJ615" s="121"/>
    </row>
    <row r="616" spans="2:36" s="9" customFormat="1">
      <c r="B616" s="9">
        <v>702</v>
      </c>
      <c r="C616" s="9" t="s">
        <v>665</v>
      </c>
      <c r="E616" s="9">
        <v>183934</v>
      </c>
      <c r="G616" s="9">
        <v>2017</v>
      </c>
      <c r="H616" s="9">
        <v>6</v>
      </c>
      <c r="I616" s="9">
        <v>0</v>
      </c>
      <c r="J616" s="9" t="s">
        <v>78</v>
      </c>
      <c r="K616" s="158">
        <v>7</v>
      </c>
      <c r="L616" s="9">
        <f t="shared" si="251"/>
        <v>2024</v>
      </c>
      <c r="M616" s="127">
        <f t="shared" si="252"/>
        <v>2024.5</v>
      </c>
      <c r="N616" s="13">
        <v>38623.17</v>
      </c>
      <c r="O616" s="13">
        <f t="shared" si="253"/>
        <v>38623.17</v>
      </c>
      <c r="P616" s="13">
        <f t="shared" si="254"/>
        <v>459.79964285714283</v>
      </c>
      <c r="Q616" s="13">
        <f t="shared" si="255"/>
        <v>5517.5957142857142</v>
      </c>
      <c r="R616" s="13">
        <v>5517.5957142857142</v>
      </c>
      <c r="S616" s="13">
        <f t="shared" si="256"/>
        <v>5517.5957142857142</v>
      </c>
      <c r="T616" s="13">
        <f t="shared" si="257"/>
        <v>22070.382857142857</v>
      </c>
      <c r="U616" s="13">
        <f t="shared" si="258"/>
        <v>27587.978571428572</v>
      </c>
      <c r="V616" s="13">
        <v>27587.978571428568</v>
      </c>
      <c r="W616" s="13">
        <f t="shared" si="259"/>
        <v>11035.191428571427</v>
      </c>
      <c r="X616" s="115">
        <f t="shared" si="264"/>
        <v>5517.5957142857142</v>
      </c>
      <c r="Y616" s="116">
        <f t="shared" si="265"/>
        <v>11035.191428571427</v>
      </c>
      <c r="Z616" s="116">
        <f t="shared" si="268"/>
        <v>0</v>
      </c>
      <c r="AA616" s="116">
        <f t="shared" si="269"/>
        <v>-16552.787142857142</v>
      </c>
      <c r="AB616" s="117">
        <f>'Ratios (C)'!$C$29+'Ratios (C)'!$D$29</f>
        <v>0.74382820142966577</v>
      </c>
      <c r="AC616" s="116">
        <f t="shared" si="266"/>
        <v>4104.143296373175</v>
      </c>
      <c r="AD616" s="116">
        <f t="shared" si="267"/>
        <v>8208.2865927463481</v>
      </c>
      <c r="AE616" s="118"/>
      <c r="AF616" s="119"/>
      <c r="AG616" s="120"/>
      <c r="AH616" s="118"/>
      <c r="AI616" s="119"/>
      <c r="AJ616" s="121"/>
    </row>
    <row r="617" spans="2:36" s="9" customFormat="1">
      <c r="B617" s="9">
        <v>624</v>
      </c>
      <c r="C617" s="9" t="s">
        <v>669</v>
      </c>
      <c r="E617" s="9">
        <v>189892</v>
      </c>
      <c r="G617" s="9">
        <v>2017</v>
      </c>
      <c r="H617" s="9">
        <v>11</v>
      </c>
      <c r="I617" s="9">
        <v>0</v>
      </c>
      <c r="J617" s="9" t="s">
        <v>78</v>
      </c>
      <c r="K617" s="158">
        <v>7</v>
      </c>
      <c r="L617" s="9">
        <f t="shared" si="251"/>
        <v>2024</v>
      </c>
      <c r="M617" s="127">
        <f t="shared" si="252"/>
        <v>2024.9166666666667</v>
      </c>
      <c r="N617" s="13">
        <v>32816.879999999997</v>
      </c>
      <c r="O617" s="13">
        <f t="shared" si="253"/>
        <v>32816.879999999997</v>
      </c>
      <c r="P617" s="13">
        <f t="shared" si="254"/>
        <v>390.67714285714283</v>
      </c>
      <c r="Q617" s="13">
        <f t="shared" si="255"/>
        <v>4688.1257142857139</v>
      </c>
      <c r="R617" s="13">
        <v>4688.1257142857139</v>
      </c>
      <c r="S617" s="13">
        <f t="shared" si="256"/>
        <v>4688.1257142857139</v>
      </c>
      <c r="T617" s="13">
        <f t="shared" si="257"/>
        <v>18752.502857142856</v>
      </c>
      <c r="U617" s="13">
        <f t="shared" si="258"/>
        <v>23440.62857142857</v>
      </c>
      <c r="V617" s="13">
        <v>23440.62857142857</v>
      </c>
      <c r="W617" s="13">
        <f t="shared" si="259"/>
        <v>9376.2514285714278</v>
      </c>
      <c r="X617" s="115">
        <f t="shared" si="264"/>
        <v>4688.1257142857139</v>
      </c>
      <c r="Y617" s="116">
        <f t="shared" si="265"/>
        <v>9376.2514285714278</v>
      </c>
      <c r="Z617" s="116">
        <f t="shared" si="268"/>
        <v>0</v>
      </c>
      <c r="AA617" s="116">
        <f t="shared" si="269"/>
        <v>-14064.377142857142</v>
      </c>
      <c r="AB617" s="117">
        <f>'Ratios (C)'!$C$29+'Ratios (C)'!$D$29</f>
        <v>0.74382820142966577</v>
      </c>
      <c r="AC617" s="116">
        <f t="shared" si="266"/>
        <v>3487.1601181333099</v>
      </c>
      <c r="AD617" s="116">
        <f t="shared" si="267"/>
        <v>6974.3202362666198</v>
      </c>
      <c r="AE617" s="118"/>
      <c r="AF617" s="119"/>
      <c r="AG617" s="120"/>
      <c r="AH617" s="118"/>
      <c r="AI617" s="119"/>
      <c r="AJ617" s="121"/>
    </row>
    <row r="618" spans="2:36" s="9" customFormat="1">
      <c r="B618" s="9">
        <v>702</v>
      </c>
      <c r="C618" s="9" t="s">
        <v>670</v>
      </c>
      <c r="E618" s="9">
        <v>185869</v>
      </c>
      <c r="G618" s="9">
        <v>2017</v>
      </c>
      <c r="H618" s="9">
        <v>8</v>
      </c>
      <c r="I618" s="9">
        <v>0</v>
      </c>
      <c r="J618" s="9" t="s">
        <v>78</v>
      </c>
      <c r="K618" s="158">
        <v>7</v>
      </c>
      <c r="L618" s="9">
        <f t="shared" si="251"/>
        <v>2024</v>
      </c>
      <c r="M618" s="127">
        <f t="shared" si="252"/>
        <v>2024.6666666666667</v>
      </c>
      <c r="N618" s="13">
        <v>37840.54</v>
      </c>
      <c r="O618" s="13">
        <f t="shared" si="253"/>
        <v>37840.54</v>
      </c>
      <c r="P618" s="13">
        <f t="shared" si="254"/>
        <v>450.48261904761904</v>
      </c>
      <c r="Q618" s="13">
        <f t="shared" si="255"/>
        <v>5405.7914285714287</v>
      </c>
      <c r="R618" s="13">
        <v>5405.7914285714287</v>
      </c>
      <c r="S618" s="13">
        <f t="shared" si="256"/>
        <v>5405.7914285714287</v>
      </c>
      <c r="T618" s="13">
        <f t="shared" si="257"/>
        <v>21623.165714285715</v>
      </c>
      <c r="U618" s="13">
        <f t="shared" si="258"/>
        <v>27028.957142857143</v>
      </c>
      <c r="V618" s="13">
        <v>27028.957142857143</v>
      </c>
      <c r="W618" s="13">
        <f t="shared" si="259"/>
        <v>10811.582857142857</v>
      </c>
      <c r="X618" s="115">
        <f t="shared" si="264"/>
        <v>5405.7914285714287</v>
      </c>
      <c r="Y618" s="116">
        <f t="shared" si="265"/>
        <v>10811.582857142857</v>
      </c>
      <c r="Z618" s="116">
        <f t="shared" si="268"/>
        <v>0</v>
      </c>
      <c r="AA618" s="116">
        <f t="shared" si="269"/>
        <v>-16217.374285714286</v>
      </c>
      <c r="AB618" s="117">
        <f>'Ratios (C)'!$C$29+'Ratios (C)'!$D$29</f>
        <v>0.74382820142966577</v>
      </c>
      <c r="AC618" s="116">
        <f t="shared" si="266"/>
        <v>4020.9801156181893</v>
      </c>
      <c r="AD618" s="116">
        <f t="shared" si="267"/>
        <v>8041.9602312363786</v>
      </c>
      <c r="AE618" s="118"/>
      <c r="AF618" s="119"/>
      <c r="AG618" s="120"/>
      <c r="AH618" s="118"/>
      <c r="AI618" s="119"/>
      <c r="AJ618" s="121"/>
    </row>
    <row r="619" spans="2:36" s="9" customFormat="1">
      <c r="B619" s="9">
        <v>624</v>
      </c>
      <c r="C619" s="9" t="s">
        <v>671</v>
      </c>
      <c r="E619" s="9">
        <v>193318</v>
      </c>
      <c r="G619" s="9">
        <v>2018</v>
      </c>
      <c r="H619" s="9">
        <v>2</v>
      </c>
      <c r="I619" s="9">
        <v>0</v>
      </c>
      <c r="J619" s="9" t="s">
        <v>78</v>
      </c>
      <c r="K619" s="158">
        <v>7</v>
      </c>
      <c r="L619" s="9">
        <f t="shared" si="251"/>
        <v>2025</v>
      </c>
      <c r="M619" s="127">
        <f t="shared" si="252"/>
        <v>2025.1666666666667</v>
      </c>
      <c r="N619" s="13">
        <v>32824.15</v>
      </c>
      <c r="O619" s="13">
        <f t="shared" si="253"/>
        <v>32824.15</v>
      </c>
      <c r="P619" s="13">
        <f t="shared" si="254"/>
        <v>390.7636904761905</v>
      </c>
      <c r="Q619" s="13">
        <f t="shared" si="255"/>
        <v>4689.1642857142861</v>
      </c>
      <c r="R619" s="13">
        <v>4689.1642857142861</v>
      </c>
      <c r="S619" s="13">
        <f t="shared" si="256"/>
        <v>4689.1642857142861</v>
      </c>
      <c r="T619" s="13">
        <f t="shared" si="257"/>
        <v>14067.492857142857</v>
      </c>
      <c r="U619" s="13">
        <f t="shared" si="258"/>
        <v>18756.657142857144</v>
      </c>
      <c r="V619" s="13">
        <v>28134.985714285714</v>
      </c>
      <c r="W619" s="13">
        <f t="shared" si="259"/>
        <v>14067.492857142857</v>
      </c>
      <c r="X619" s="115">
        <f t="shared" si="264"/>
        <v>4689.1642857142861</v>
      </c>
      <c r="Y619" s="116">
        <f t="shared" si="265"/>
        <v>14067.492857142857</v>
      </c>
      <c r="Z619" s="116">
        <f t="shared" si="268"/>
        <v>0</v>
      </c>
      <c r="AA619" s="116">
        <f t="shared" si="269"/>
        <v>-14067.492857142857</v>
      </c>
      <c r="AB619" s="117">
        <f>'Ratios (C)'!$C$29+'Ratios (C)'!$D$29</f>
        <v>0.74382820142966577</v>
      </c>
      <c r="AC619" s="116">
        <f t="shared" si="266"/>
        <v>3487.9326368510806</v>
      </c>
      <c r="AD619" s="116">
        <f t="shared" si="267"/>
        <v>10463.797910553241</v>
      </c>
      <c r="AE619" s="118"/>
      <c r="AF619" s="119"/>
      <c r="AG619" s="120"/>
      <c r="AH619" s="118"/>
      <c r="AI619" s="119"/>
      <c r="AJ619" s="121"/>
    </row>
    <row r="620" spans="2:36" s="9" customFormat="1">
      <c r="B620" s="9">
        <v>624</v>
      </c>
      <c r="C620" s="9" t="s">
        <v>672</v>
      </c>
      <c r="E620" s="9">
        <v>196976</v>
      </c>
      <c r="G620" s="9">
        <v>2018</v>
      </c>
      <c r="H620" s="9">
        <v>4</v>
      </c>
      <c r="I620" s="9">
        <v>0</v>
      </c>
      <c r="J620" s="9" t="s">
        <v>78</v>
      </c>
      <c r="K620" s="158">
        <v>7</v>
      </c>
      <c r="L620" s="9">
        <f t="shared" si="251"/>
        <v>2025</v>
      </c>
      <c r="M620" s="127">
        <f t="shared" si="252"/>
        <v>2025.3333333333333</v>
      </c>
      <c r="N620" s="13">
        <v>33089.15</v>
      </c>
      <c r="O620" s="13">
        <f t="shared" si="253"/>
        <v>33089.15</v>
      </c>
      <c r="P620" s="13">
        <f t="shared" si="254"/>
        <v>393.91845238095243</v>
      </c>
      <c r="Q620" s="13">
        <f t="shared" si="255"/>
        <v>4727.0214285714292</v>
      </c>
      <c r="R620" s="13">
        <v>4727.0214285714292</v>
      </c>
      <c r="S620" s="13">
        <f t="shared" si="256"/>
        <v>4727.0214285714292</v>
      </c>
      <c r="T620" s="13">
        <f t="shared" si="257"/>
        <v>14181.064285714288</v>
      </c>
      <c r="U620" s="13">
        <f t="shared" si="258"/>
        <v>18908.085714285717</v>
      </c>
      <c r="V620" s="13">
        <v>28362.128571428573</v>
      </c>
      <c r="W620" s="13">
        <f t="shared" si="259"/>
        <v>14181.064285714285</v>
      </c>
      <c r="X620" s="115">
        <f t="shared" si="264"/>
        <v>4727.0214285714292</v>
      </c>
      <c r="Y620" s="116">
        <f t="shared" si="265"/>
        <v>14181.064285714285</v>
      </c>
      <c r="Z620" s="116">
        <f t="shared" si="268"/>
        <v>0</v>
      </c>
      <c r="AA620" s="116">
        <f t="shared" si="269"/>
        <v>-14181.064285714288</v>
      </c>
      <c r="AB620" s="117">
        <f>'Ratios (C)'!$C$29+'Ratios (C)'!$D$29</f>
        <v>0.74382820142966577</v>
      </c>
      <c r="AC620" s="116">
        <f t="shared" si="266"/>
        <v>3516.0918473337756</v>
      </c>
      <c r="AD620" s="116">
        <f t="shared" si="267"/>
        <v>10548.275542001324</v>
      </c>
      <c r="AE620" s="118"/>
      <c r="AF620" s="119"/>
      <c r="AG620" s="120"/>
      <c r="AH620" s="118"/>
      <c r="AI620" s="119"/>
      <c r="AJ620" s="121"/>
    </row>
    <row r="621" spans="2:36" s="9" customFormat="1">
      <c r="B621" s="9">
        <v>624</v>
      </c>
      <c r="C621" s="9" t="s">
        <v>672</v>
      </c>
      <c r="E621" s="9">
        <v>196977</v>
      </c>
      <c r="G621" s="9">
        <v>2018</v>
      </c>
      <c r="H621" s="9">
        <v>4</v>
      </c>
      <c r="I621" s="9">
        <v>0</v>
      </c>
      <c r="J621" s="9" t="s">
        <v>78</v>
      </c>
      <c r="K621" s="158">
        <v>7</v>
      </c>
      <c r="L621" s="9">
        <f t="shared" si="251"/>
        <v>2025</v>
      </c>
      <c r="M621" s="127">
        <f t="shared" si="252"/>
        <v>2025.3333333333333</v>
      </c>
      <c r="N621" s="13">
        <v>33089.15</v>
      </c>
      <c r="O621" s="13">
        <f t="shared" si="253"/>
        <v>33089.15</v>
      </c>
      <c r="P621" s="13">
        <f t="shared" si="254"/>
        <v>393.91845238095243</v>
      </c>
      <c r="Q621" s="13">
        <f t="shared" si="255"/>
        <v>4727.0214285714292</v>
      </c>
      <c r="R621" s="13">
        <v>4727.0214285714292</v>
      </c>
      <c r="S621" s="13">
        <f t="shared" si="256"/>
        <v>4727.0214285714292</v>
      </c>
      <c r="T621" s="13">
        <f t="shared" si="257"/>
        <v>14181.064285714288</v>
      </c>
      <c r="U621" s="13">
        <f t="shared" si="258"/>
        <v>18908.085714285717</v>
      </c>
      <c r="V621" s="13">
        <v>28362.128571428573</v>
      </c>
      <c r="W621" s="13">
        <f t="shared" si="259"/>
        <v>14181.064285714285</v>
      </c>
      <c r="X621" s="115">
        <f t="shared" si="264"/>
        <v>4727.0214285714292</v>
      </c>
      <c r="Y621" s="116">
        <f t="shared" si="265"/>
        <v>14181.064285714285</v>
      </c>
      <c r="Z621" s="116">
        <f t="shared" si="268"/>
        <v>0</v>
      </c>
      <c r="AA621" s="116">
        <f t="shared" si="269"/>
        <v>-14181.064285714288</v>
      </c>
      <c r="AB621" s="117">
        <f>'Ratios (C)'!$C$29+'Ratios (C)'!$D$29</f>
        <v>0.74382820142966577</v>
      </c>
      <c r="AC621" s="116">
        <f t="shared" si="266"/>
        <v>3516.0918473337756</v>
      </c>
      <c r="AD621" s="116">
        <f t="shared" si="267"/>
        <v>10548.275542001324</v>
      </c>
      <c r="AE621" s="118"/>
      <c r="AF621" s="119"/>
      <c r="AG621" s="120"/>
      <c r="AH621" s="118"/>
      <c r="AI621" s="119"/>
      <c r="AJ621" s="121"/>
    </row>
    <row r="622" spans="2:36" s="9" customFormat="1" ht="13.5" customHeight="1">
      <c r="B622" s="9">
        <v>702</v>
      </c>
      <c r="C622" s="9" t="s">
        <v>673</v>
      </c>
      <c r="E622" s="9">
        <v>204173</v>
      </c>
      <c r="G622" s="9">
        <v>2018</v>
      </c>
      <c r="H622" s="9">
        <v>9</v>
      </c>
      <c r="I622" s="9">
        <v>0</v>
      </c>
      <c r="J622" s="9" t="s">
        <v>78</v>
      </c>
      <c r="K622" s="158">
        <v>7</v>
      </c>
      <c r="L622" s="9">
        <f t="shared" ref="L622:L629" si="270">G622+K622</f>
        <v>2025</v>
      </c>
      <c r="M622" s="127">
        <f t="shared" ref="M622:M629" si="271">+L622+(H622/12)</f>
        <v>2025.75</v>
      </c>
      <c r="N622" s="13">
        <v>38279.9</v>
      </c>
      <c r="O622" s="13">
        <f t="shared" ref="O622:O629" si="272">N622-N622*I622</f>
        <v>38279.9</v>
      </c>
      <c r="P622" s="13">
        <f t="shared" ref="P622:P629" si="273">O622/K622/12</f>
        <v>455.71309523809526</v>
      </c>
      <c r="Q622" s="13">
        <f t="shared" ref="Q622:Q629" si="274">P622*12</f>
        <v>5468.5571428571429</v>
      </c>
      <c r="R622" s="13">
        <v>5468.5571428571429</v>
      </c>
      <c r="S622" s="13">
        <f t="shared" si="256"/>
        <v>5468.5571428571429</v>
      </c>
      <c r="T622" s="13">
        <f t="shared" si="257"/>
        <v>16405.67142857143</v>
      </c>
      <c r="U622" s="13">
        <f t="shared" si="258"/>
        <v>21874.228571428572</v>
      </c>
      <c r="V622" s="13">
        <v>32811.342857142859</v>
      </c>
      <c r="W622" s="13">
        <f t="shared" si="259"/>
        <v>16405.67142857143</v>
      </c>
      <c r="X622" s="115">
        <f t="shared" si="264"/>
        <v>5468.5571428571429</v>
      </c>
      <c r="Y622" s="116">
        <f t="shared" si="265"/>
        <v>16405.67142857143</v>
      </c>
      <c r="Z622" s="116">
        <f t="shared" si="268"/>
        <v>0</v>
      </c>
      <c r="AA622" s="116">
        <f t="shared" si="269"/>
        <v>-16405.67142857143</v>
      </c>
      <c r="AB622" s="117">
        <f>'Ratios (C)'!$C$29+'Ratios (C)'!$D$29</f>
        <v>0.74382820142966577</v>
      </c>
      <c r="AC622" s="116">
        <f t="shared" si="266"/>
        <v>4067.6670239867804</v>
      </c>
      <c r="AD622" s="116">
        <f t="shared" si="267"/>
        <v>12203.001071960342</v>
      </c>
      <c r="AE622" s="118"/>
      <c r="AF622" s="119"/>
      <c r="AG622" s="120"/>
      <c r="AH622" s="118"/>
      <c r="AI622" s="119"/>
      <c r="AJ622" s="121"/>
    </row>
    <row r="623" spans="2:36" s="9" customFormat="1">
      <c r="B623" s="9">
        <v>702</v>
      </c>
      <c r="C623" s="9" t="s">
        <v>674</v>
      </c>
      <c r="E623" s="9">
        <v>209134</v>
      </c>
      <c r="G623" s="9">
        <v>2019</v>
      </c>
      <c r="H623" s="9">
        <v>1</v>
      </c>
      <c r="I623" s="9">
        <v>0</v>
      </c>
      <c r="J623" s="9" t="s">
        <v>78</v>
      </c>
      <c r="K623" s="158">
        <v>6.08</v>
      </c>
      <c r="L623" s="9">
        <f t="shared" si="270"/>
        <v>2025.08</v>
      </c>
      <c r="M623" s="127">
        <f t="shared" si="271"/>
        <v>2025.1633333333332</v>
      </c>
      <c r="N623" s="13">
        <v>38279.9</v>
      </c>
      <c r="O623" s="13">
        <f t="shared" si="272"/>
        <v>38279.9</v>
      </c>
      <c r="P623" s="13">
        <f t="shared" si="273"/>
        <v>524.66968201754389</v>
      </c>
      <c r="Q623" s="13">
        <f t="shared" si="274"/>
        <v>6296.0361842105267</v>
      </c>
      <c r="R623" s="13">
        <v>6296.0361842105267</v>
      </c>
      <c r="S623" s="13">
        <f>+IF(M623&lt;=$O$5,0,IF(L623&gt;$O$4,Q623,(P623*H623)))</f>
        <v>6296.0361842105267</v>
      </c>
      <c r="T623" s="13">
        <f>+IF(S623=0,N623,IF($O$3-G623&lt;1,0,(($O$3-G623)*Q623)))</f>
        <v>12592.072368421053</v>
      </c>
      <c r="U623" s="13">
        <f>+IF(S623=0,T623,T623+S623)</f>
        <v>18888.10855263158</v>
      </c>
      <c r="V623" s="13">
        <v>31983.863815789475</v>
      </c>
      <c r="W623" s="13">
        <f>+N623-U623</f>
        <v>19391.791447368421</v>
      </c>
      <c r="X623" s="115">
        <f t="shared" si="264"/>
        <v>6296.0361842105267</v>
      </c>
      <c r="Y623" s="116">
        <f t="shared" si="265"/>
        <v>19391.791447368421</v>
      </c>
      <c r="Z623" s="116">
        <f t="shared" si="268"/>
        <v>0</v>
      </c>
      <c r="AA623" s="116">
        <f t="shared" si="269"/>
        <v>-12592.072368421053</v>
      </c>
      <c r="AB623" s="117">
        <f>'Ratios (C)'!$C$29+'Ratios (C)'!$D$29</f>
        <v>0.74382820142966577</v>
      </c>
      <c r="AC623" s="116">
        <f t="shared" si="266"/>
        <v>4683.1692710374118</v>
      </c>
      <c r="AD623" s="116">
        <f t="shared" si="267"/>
        <v>14424.161354795227</v>
      </c>
      <c r="AE623" s="118"/>
      <c r="AF623" s="119"/>
      <c r="AG623" s="120"/>
      <c r="AH623" s="118"/>
      <c r="AI623" s="119"/>
      <c r="AJ623" s="121"/>
    </row>
    <row r="624" spans="2:36" s="9" customFormat="1">
      <c r="B624" s="9">
        <v>432</v>
      </c>
      <c r="C624" s="9" t="s">
        <v>675</v>
      </c>
      <c r="E624" s="9">
        <v>216381</v>
      </c>
      <c r="G624" s="9">
        <v>2019</v>
      </c>
      <c r="H624" s="9">
        <v>6</v>
      </c>
      <c r="I624" s="9">
        <v>0</v>
      </c>
      <c r="J624" s="9" t="s">
        <v>78</v>
      </c>
      <c r="K624" s="158">
        <v>7</v>
      </c>
      <c r="L624" s="9">
        <f t="shared" si="270"/>
        <v>2026</v>
      </c>
      <c r="M624" s="127">
        <f t="shared" si="271"/>
        <v>2026.5</v>
      </c>
      <c r="N624" s="13">
        <v>19561.55</v>
      </c>
      <c r="O624" s="13">
        <f t="shared" si="272"/>
        <v>19561.55</v>
      </c>
      <c r="P624" s="13">
        <f t="shared" si="273"/>
        <v>232.87559523809523</v>
      </c>
      <c r="Q624" s="13">
        <f t="shared" si="274"/>
        <v>2794.5071428571428</v>
      </c>
      <c r="R624" s="13">
        <v>2794.5071428571428</v>
      </c>
      <c r="S624" s="13">
        <f>+IF(M624&lt;=$O$5,0,IF(L624&gt;$O$4,Q624,(P624*H624)))</f>
        <v>2794.5071428571428</v>
      </c>
      <c r="T624" s="13">
        <f>+IF(S624=0,N624,IF($O$3-G624&lt;1,0,(($O$3-G624)*Q624)))</f>
        <v>5589.0142857142855</v>
      </c>
      <c r="U624" s="13">
        <f>+IF(S624=0,T624,T624+S624)</f>
        <v>8383.5214285714283</v>
      </c>
      <c r="V624" s="13">
        <v>16767.042857142857</v>
      </c>
      <c r="W624" s="13">
        <f>+N624-U624</f>
        <v>11178.028571428571</v>
      </c>
      <c r="X624" s="115">
        <f t="shared" si="264"/>
        <v>2794.5071428571428</v>
      </c>
      <c r="Y624" s="116">
        <f t="shared" si="265"/>
        <v>11178.028571428571</v>
      </c>
      <c r="Z624" s="116">
        <f t="shared" si="268"/>
        <v>0</v>
      </c>
      <c r="AA624" s="116">
        <f t="shared" si="269"/>
        <v>-5589.0142857142855</v>
      </c>
      <c r="AB624" s="117">
        <f>'Ratios (C)'!$C$29+'Ratios (C)'!$D$29</f>
        <v>0.74382820142966577</v>
      </c>
      <c r="AC624" s="116">
        <f t="shared" si="266"/>
        <v>2078.6332219537826</v>
      </c>
      <c r="AD624" s="116">
        <f t="shared" si="267"/>
        <v>8314.5328878151304</v>
      </c>
      <c r="AE624" s="118"/>
      <c r="AF624" s="119"/>
      <c r="AG624" s="120"/>
      <c r="AH624" s="118"/>
      <c r="AI624" s="119"/>
      <c r="AJ624" s="121"/>
    </row>
    <row r="625" spans="1:36" s="9" customFormat="1">
      <c r="B625" s="9">
        <v>624</v>
      </c>
      <c r="C625" s="9" t="s">
        <v>676</v>
      </c>
      <c r="E625" s="9">
        <v>217278</v>
      </c>
      <c r="G625" s="9">
        <v>2019</v>
      </c>
      <c r="H625" s="9">
        <v>7</v>
      </c>
      <c r="I625" s="9">
        <v>0</v>
      </c>
      <c r="J625" s="9" t="s">
        <v>78</v>
      </c>
      <c r="K625" s="158">
        <v>7</v>
      </c>
      <c r="L625" s="9">
        <f t="shared" si="270"/>
        <v>2026</v>
      </c>
      <c r="M625" s="127">
        <f t="shared" si="271"/>
        <v>2026.5833333333333</v>
      </c>
      <c r="N625" s="13">
        <v>30698.34</v>
      </c>
      <c r="O625" s="13">
        <f t="shared" si="272"/>
        <v>30698.34</v>
      </c>
      <c r="P625" s="13">
        <f t="shared" si="273"/>
        <v>365.4564285714286</v>
      </c>
      <c r="Q625" s="13">
        <f t="shared" si="274"/>
        <v>4385.477142857143</v>
      </c>
      <c r="R625" s="13">
        <v>4385.477142857143</v>
      </c>
      <c r="S625" s="13">
        <f t="shared" si="256"/>
        <v>4385.477142857143</v>
      </c>
      <c r="T625" s="13">
        <f t="shared" si="257"/>
        <v>8770.954285714286</v>
      </c>
      <c r="U625" s="13">
        <f t="shared" si="258"/>
        <v>13156.431428571428</v>
      </c>
      <c r="V625" s="13">
        <v>26312.862857142856</v>
      </c>
      <c r="W625" s="13">
        <f t="shared" si="259"/>
        <v>17541.908571428572</v>
      </c>
      <c r="X625" s="115">
        <f t="shared" si="264"/>
        <v>4385.477142857143</v>
      </c>
      <c r="Y625" s="116">
        <f t="shared" si="265"/>
        <v>17541.908571428572</v>
      </c>
      <c r="Z625" s="116">
        <f t="shared" si="268"/>
        <v>0</v>
      </c>
      <c r="AA625" s="116">
        <f t="shared" si="269"/>
        <v>-8770.9542857142842</v>
      </c>
      <c r="AB625" s="117">
        <f>'Ratios (C)'!$C$29+'Ratios (C)'!$D$29</f>
        <v>0.74382820142966577</v>
      </c>
      <c r="AC625" s="116">
        <f t="shared" si="266"/>
        <v>3262.0415755823383</v>
      </c>
      <c r="AD625" s="116">
        <f t="shared" si="267"/>
        <v>13048.166302329353</v>
      </c>
      <c r="AE625" s="118"/>
      <c r="AF625" s="119"/>
      <c r="AG625" s="120"/>
      <c r="AH625" s="118"/>
      <c r="AI625" s="119"/>
      <c r="AJ625" s="121"/>
    </row>
    <row r="626" spans="1:36" s="9" customFormat="1">
      <c r="B626" s="9">
        <v>702</v>
      </c>
      <c r="C626" s="9" t="s">
        <v>676</v>
      </c>
      <c r="E626" s="9">
        <v>221426</v>
      </c>
      <c r="G626" s="9">
        <v>2019</v>
      </c>
      <c r="H626" s="9">
        <v>9</v>
      </c>
      <c r="I626" s="9">
        <v>0</v>
      </c>
      <c r="J626" s="9" t="s">
        <v>78</v>
      </c>
      <c r="K626" s="158">
        <v>7</v>
      </c>
      <c r="L626" s="9">
        <f t="shared" si="270"/>
        <v>2026</v>
      </c>
      <c r="M626" s="127">
        <f t="shared" si="271"/>
        <v>2026.75</v>
      </c>
      <c r="N626" s="13">
        <v>32333.43</v>
      </c>
      <c r="O626" s="13">
        <f t="shared" si="272"/>
        <v>32333.43</v>
      </c>
      <c r="P626" s="13">
        <f t="shared" si="273"/>
        <v>384.9217857142857</v>
      </c>
      <c r="Q626" s="13">
        <f t="shared" si="274"/>
        <v>4619.0614285714282</v>
      </c>
      <c r="R626" s="13">
        <v>4619.0614285714282</v>
      </c>
      <c r="S626" s="13">
        <f t="shared" si="256"/>
        <v>4619.0614285714282</v>
      </c>
      <c r="T626" s="13">
        <f t="shared" si="257"/>
        <v>9238.1228571428564</v>
      </c>
      <c r="U626" s="13">
        <f t="shared" si="258"/>
        <v>13857.184285714284</v>
      </c>
      <c r="V626" s="13">
        <v>27714.368571428571</v>
      </c>
      <c r="W626" s="13">
        <f t="shared" si="259"/>
        <v>18476.245714285717</v>
      </c>
      <c r="X626" s="115">
        <f t="shared" si="264"/>
        <v>4619.0614285714282</v>
      </c>
      <c r="Y626" s="116">
        <f t="shared" si="265"/>
        <v>18476.245714285717</v>
      </c>
      <c r="Z626" s="116">
        <f t="shared" si="268"/>
        <v>0</v>
      </c>
      <c r="AA626" s="116">
        <f t="shared" si="269"/>
        <v>-9238.1228571428546</v>
      </c>
      <c r="AB626" s="117">
        <f>'Ratios (C)'!$C$29+'Ratios (C)'!$D$29</f>
        <v>0.74382820142966577</v>
      </c>
      <c r="AC626" s="116">
        <f t="shared" si="266"/>
        <v>3435.788154707428</v>
      </c>
      <c r="AD626" s="116">
        <f t="shared" si="267"/>
        <v>13743.152618829716</v>
      </c>
      <c r="AE626" s="118"/>
      <c r="AF626" s="119"/>
      <c r="AG626" s="120"/>
      <c r="AH626" s="118"/>
      <c r="AI626" s="119"/>
      <c r="AJ626" s="121"/>
    </row>
    <row r="627" spans="1:36" s="9" customFormat="1">
      <c r="B627" s="9">
        <v>702</v>
      </c>
      <c r="C627" s="9" t="s">
        <v>672</v>
      </c>
      <c r="E627" s="9">
        <v>232775</v>
      </c>
      <c r="G627" s="9">
        <v>2020</v>
      </c>
      <c r="H627" s="9">
        <v>4</v>
      </c>
      <c r="I627" s="9">
        <v>0</v>
      </c>
      <c r="J627" s="9" t="s">
        <v>78</v>
      </c>
      <c r="K627" s="158">
        <v>7</v>
      </c>
      <c r="L627" s="9">
        <f t="shared" si="270"/>
        <v>2027</v>
      </c>
      <c r="M627" s="127">
        <f t="shared" si="271"/>
        <v>2027.3333333333333</v>
      </c>
      <c r="N627" s="13">
        <v>30039.24</v>
      </c>
      <c r="O627" s="13">
        <f t="shared" si="272"/>
        <v>30039.24</v>
      </c>
      <c r="P627" s="13">
        <f t="shared" si="273"/>
        <v>357.61000000000007</v>
      </c>
      <c r="Q627" s="13">
        <f t="shared" si="274"/>
        <v>4291.3200000000006</v>
      </c>
      <c r="R627" s="13"/>
      <c r="S627" s="13">
        <f t="shared" si="256"/>
        <v>4291.3200000000006</v>
      </c>
      <c r="T627" s="13">
        <f t="shared" si="257"/>
        <v>4291.3200000000006</v>
      </c>
      <c r="U627" s="13">
        <f t="shared" si="258"/>
        <v>8582.6400000000012</v>
      </c>
      <c r="V627" s="13"/>
      <c r="W627" s="13">
        <f t="shared" si="259"/>
        <v>21456.6</v>
      </c>
      <c r="X627" s="147">
        <f t="shared" si="264"/>
        <v>4291.3200000000006</v>
      </c>
      <c r="Y627" s="116">
        <f t="shared" si="265"/>
        <v>21456.6</v>
      </c>
      <c r="Z627" s="116"/>
      <c r="AA627" s="116"/>
      <c r="AB627" s="117"/>
      <c r="AC627" s="116"/>
      <c r="AD627" s="116"/>
      <c r="AE627" s="120"/>
      <c r="AF627" s="120"/>
      <c r="AG627" s="120"/>
      <c r="AH627" s="120"/>
      <c r="AI627" s="120"/>
      <c r="AJ627" s="120"/>
    </row>
    <row r="628" spans="1:36" s="9" customFormat="1">
      <c r="B628" s="9">
        <v>702</v>
      </c>
      <c r="C628" s="9" t="s">
        <v>1290</v>
      </c>
      <c r="E628" s="9">
        <v>237470</v>
      </c>
      <c r="G628" s="9">
        <v>2020</v>
      </c>
      <c r="H628" s="9">
        <v>8</v>
      </c>
      <c r="I628" s="9">
        <v>0</v>
      </c>
      <c r="J628" s="9" t="s">
        <v>78</v>
      </c>
      <c r="K628" s="158">
        <v>7</v>
      </c>
      <c r="L628" s="9">
        <f t="shared" si="270"/>
        <v>2027</v>
      </c>
      <c r="M628" s="127">
        <f t="shared" si="271"/>
        <v>2027.6666666666667</v>
      </c>
      <c r="N628" s="13">
        <v>30031.57</v>
      </c>
      <c r="O628" s="13">
        <f t="shared" si="272"/>
        <v>30031.57</v>
      </c>
      <c r="P628" s="13">
        <f t="shared" si="273"/>
        <v>357.51869047619044</v>
      </c>
      <c r="Q628" s="13">
        <f t="shared" si="274"/>
        <v>4290.2242857142855</v>
      </c>
      <c r="R628" s="13"/>
      <c r="S628" s="13">
        <f t="shared" si="256"/>
        <v>4290.2242857142855</v>
      </c>
      <c r="T628" s="13">
        <f t="shared" si="257"/>
        <v>4290.2242857142855</v>
      </c>
      <c r="U628" s="13">
        <f t="shared" si="258"/>
        <v>8580.4485714285711</v>
      </c>
      <c r="V628" s="13"/>
      <c r="W628" s="13">
        <f t="shared" si="259"/>
        <v>21451.12142857143</v>
      </c>
      <c r="X628" s="147">
        <f t="shared" si="264"/>
        <v>4290.2242857142855</v>
      </c>
      <c r="Y628" s="116">
        <f t="shared" si="265"/>
        <v>21451.12142857143</v>
      </c>
      <c r="Z628" s="116"/>
      <c r="AA628" s="116"/>
      <c r="AB628" s="117"/>
      <c r="AC628" s="116"/>
      <c r="AD628" s="116"/>
      <c r="AE628" s="120"/>
      <c r="AF628" s="120"/>
      <c r="AG628" s="120"/>
      <c r="AH628" s="120"/>
      <c r="AI628" s="120"/>
      <c r="AJ628" s="120"/>
    </row>
    <row r="629" spans="1:36" s="9" customFormat="1">
      <c r="B629" s="9">
        <v>702</v>
      </c>
      <c r="C629" s="9" t="s">
        <v>1294</v>
      </c>
      <c r="E629" s="9">
        <v>237474</v>
      </c>
      <c r="G629" s="9">
        <v>2020</v>
      </c>
      <c r="H629" s="9">
        <v>9</v>
      </c>
      <c r="I629" s="9">
        <v>0</v>
      </c>
      <c r="J629" s="9" t="s">
        <v>78</v>
      </c>
      <c r="K629" s="158">
        <v>7</v>
      </c>
      <c r="L629" s="9">
        <f t="shared" si="270"/>
        <v>2027</v>
      </c>
      <c r="M629" s="127">
        <f t="shared" si="271"/>
        <v>2027.75</v>
      </c>
      <c r="N629" s="13">
        <v>30338.48</v>
      </c>
      <c r="O629" s="13">
        <f t="shared" si="272"/>
        <v>30338.48</v>
      </c>
      <c r="P629" s="13">
        <f t="shared" si="273"/>
        <v>361.17238095238093</v>
      </c>
      <c r="Q629" s="13">
        <f t="shared" si="274"/>
        <v>4334.068571428571</v>
      </c>
      <c r="R629" s="13"/>
      <c r="S629" s="13">
        <f t="shared" si="256"/>
        <v>4334.068571428571</v>
      </c>
      <c r="T629" s="13">
        <f t="shared" si="257"/>
        <v>4334.068571428571</v>
      </c>
      <c r="U629" s="13">
        <f t="shared" si="258"/>
        <v>8668.137142857142</v>
      </c>
      <c r="V629" s="13"/>
      <c r="W629" s="13">
        <f t="shared" si="259"/>
        <v>21670.342857142859</v>
      </c>
      <c r="X629" s="147">
        <f t="shared" si="264"/>
        <v>4334.068571428571</v>
      </c>
      <c r="Y629" s="116">
        <f t="shared" si="265"/>
        <v>21670.342857142859</v>
      </c>
      <c r="Z629" s="116"/>
      <c r="AA629" s="116"/>
      <c r="AB629" s="117"/>
      <c r="AC629" s="116"/>
      <c r="AD629" s="116"/>
      <c r="AE629" s="120"/>
      <c r="AF629" s="120"/>
      <c r="AG629" s="120"/>
      <c r="AH629" s="120"/>
      <c r="AI629" s="120"/>
      <c r="AJ629" s="120"/>
    </row>
    <row r="630" spans="1:36" s="9" customFormat="1">
      <c r="B630" s="9">
        <v>676</v>
      </c>
      <c r="C630" s="9" t="s">
        <v>1345</v>
      </c>
      <c r="E630" s="9">
        <v>228615</v>
      </c>
      <c r="G630" s="9">
        <v>2020</v>
      </c>
      <c r="H630" s="9">
        <v>2</v>
      </c>
      <c r="I630" s="9">
        <v>0</v>
      </c>
      <c r="J630" s="9" t="s">
        <v>78</v>
      </c>
      <c r="K630" s="158">
        <v>7</v>
      </c>
      <c r="L630" s="9">
        <f>G630+K630</f>
        <v>2027</v>
      </c>
      <c r="M630" s="127">
        <f>+L630+(H630/12)</f>
        <v>2027.1666666666667</v>
      </c>
      <c r="N630" s="13">
        <v>31941.26</v>
      </c>
      <c r="O630" s="13">
        <f>N630-N630*I630</f>
        <v>31941.26</v>
      </c>
      <c r="P630" s="13">
        <f>O630/K630/12</f>
        <v>380.25309523809523</v>
      </c>
      <c r="Q630" s="13">
        <f>P630*12</f>
        <v>4563.0371428571425</v>
      </c>
      <c r="R630" s="13"/>
      <c r="S630" s="13">
        <f>+IF(M630&lt;=$O$5,0,IF(L630&gt;$O$4,Q630,(P630*H630)))</f>
        <v>4563.0371428571425</v>
      </c>
      <c r="T630" s="13">
        <f>+IF(S630=0,N630,IF($O$3-G630&lt;1,0,(($O$3-G630)*Q630)))</f>
        <v>4563.0371428571425</v>
      </c>
      <c r="U630" s="13">
        <f>+IF(S630=0,T630,T630+S630)</f>
        <v>9126.074285714285</v>
      </c>
      <c r="V630" s="13"/>
      <c r="W630" s="13">
        <f>+N630-U630</f>
        <v>22815.185714285712</v>
      </c>
      <c r="X630" s="147">
        <f>S630</f>
        <v>4563.0371428571425</v>
      </c>
      <c r="Y630" s="116">
        <f>W630</f>
        <v>22815.185714285712</v>
      </c>
      <c r="Z630" s="116"/>
      <c r="AA630" s="116"/>
      <c r="AB630" s="117"/>
      <c r="AC630" s="116"/>
      <c r="AD630" s="116"/>
      <c r="AE630" s="120"/>
      <c r="AF630" s="120"/>
      <c r="AG630" s="120"/>
      <c r="AH630" s="120"/>
      <c r="AI630" s="120"/>
      <c r="AJ630" s="120"/>
    </row>
    <row r="631" spans="1:36" s="181" customFormat="1">
      <c r="A631" s="9"/>
      <c r="B631" s="9">
        <v>702</v>
      </c>
      <c r="C631" s="9" t="s">
        <v>1372</v>
      </c>
      <c r="D631" s="9"/>
      <c r="E631" s="9">
        <v>256225</v>
      </c>
      <c r="F631" s="9"/>
      <c r="G631" s="9">
        <v>2021</v>
      </c>
      <c r="H631" s="9">
        <v>7</v>
      </c>
      <c r="I631" s="9">
        <v>0</v>
      </c>
      <c r="J631" s="9" t="s">
        <v>78</v>
      </c>
      <c r="K631" s="158">
        <v>7</v>
      </c>
      <c r="L631" s="9">
        <f>G631+K631</f>
        <v>2028</v>
      </c>
      <c r="M631" s="127">
        <f>+L631+(H631/12)</f>
        <v>2028.5833333333333</v>
      </c>
      <c r="N631" s="13">
        <v>42661.73</v>
      </c>
      <c r="O631" s="13">
        <f t="shared" ref="O631:O633" si="275">N631-N631*I631</f>
        <v>42661.73</v>
      </c>
      <c r="P631" s="13">
        <f t="shared" ref="P631:P633" si="276">O631/K631/12</f>
        <v>507.8777380952381</v>
      </c>
      <c r="Q631" s="13">
        <f t="shared" ref="Q631:Q633" si="277">P631*12</f>
        <v>6094.5328571428572</v>
      </c>
      <c r="R631" s="13"/>
      <c r="S631" s="13">
        <f t="shared" ref="S631:S633" si="278">+IF(M631&lt;=$O$5,0,IF(L631&gt;$O$4,Q631,(P631*H631)))</f>
        <v>6094.5328571428572</v>
      </c>
      <c r="T631" s="13">
        <f t="shared" ref="T631:T633" si="279">+IF(S631=0,N631,IF($O$3-G631&lt;1,0,(($O$3-G631)*Q631)))</f>
        <v>0</v>
      </c>
      <c r="U631" s="13">
        <f t="shared" ref="U631:U633" si="280">+IF(S631=0,T631,T631+S631)</f>
        <v>6094.5328571428572</v>
      </c>
      <c r="V631" s="13"/>
      <c r="W631" s="13">
        <f t="shared" ref="W631:W633" si="281">+N631-U631</f>
        <v>36567.197142857149</v>
      </c>
      <c r="X631" s="185">
        <f t="shared" ref="X631:X633" si="282">S631</f>
        <v>6094.5328571428572</v>
      </c>
      <c r="Y631" s="183">
        <f t="shared" ref="Y631:Y633" si="283">W631</f>
        <v>36567.197142857149</v>
      </c>
      <c r="Z631" s="183"/>
      <c r="AA631" s="183"/>
      <c r="AB631" s="184"/>
      <c r="AC631" s="183"/>
      <c r="AD631" s="183"/>
      <c r="AE631" s="187"/>
      <c r="AF631" s="187"/>
      <c r="AG631" s="187"/>
      <c r="AH631" s="187"/>
      <c r="AI631" s="187"/>
      <c r="AJ631" s="187"/>
    </row>
    <row r="632" spans="1:36" s="181" customFormat="1">
      <c r="A632" s="9"/>
      <c r="B632" s="9">
        <v>702</v>
      </c>
      <c r="C632" s="9" t="s">
        <v>1372</v>
      </c>
      <c r="D632" s="9"/>
      <c r="E632" s="9">
        <v>246796</v>
      </c>
      <c r="F632" s="9"/>
      <c r="G632" s="9">
        <v>2021</v>
      </c>
      <c r="H632" s="9">
        <v>1</v>
      </c>
      <c r="I632" s="9">
        <v>0</v>
      </c>
      <c r="J632" s="9" t="s">
        <v>78</v>
      </c>
      <c r="K632" s="158">
        <v>5</v>
      </c>
      <c r="L632" s="9">
        <f>G632+K632</f>
        <v>2026</v>
      </c>
      <c r="M632" s="127">
        <f>+L632+(H632/12)</f>
        <v>2026.0833333333333</v>
      </c>
      <c r="N632" s="13">
        <v>32640.35</v>
      </c>
      <c r="O632" s="13">
        <f t="shared" si="275"/>
        <v>32640.35</v>
      </c>
      <c r="P632" s="13">
        <f t="shared" si="276"/>
        <v>544.00583333333327</v>
      </c>
      <c r="Q632" s="13">
        <f t="shared" si="277"/>
        <v>6528.07</v>
      </c>
      <c r="R632" s="13"/>
      <c r="S632" s="13">
        <f t="shared" si="278"/>
        <v>6528.07</v>
      </c>
      <c r="T632" s="13">
        <f t="shared" si="279"/>
        <v>0</v>
      </c>
      <c r="U632" s="13">
        <f t="shared" si="280"/>
        <v>6528.07</v>
      </c>
      <c r="V632" s="13"/>
      <c r="W632" s="13">
        <f t="shared" si="281"/>
        <v>26112.28</v>
      </c>
      <c r="X632" s="185">
        <f t="shared" si="282"/>
        <v>6528.07</v>
      </c>
      <c r="Y632" s="183">
        <f t="shared" si="283"/>
        <v>26112.28</v>
      </c>
      <c r="Z632" s="183"/>
      <c r="AA632" s="183"/>
      <c r="AB632" s="184"/>
      <c r="AC632" s="183"/>
      <c r="AD632" s="183"/>
      <c r="AE632" s="187"/>
      <c r="AF632" s="187"/>
      <c r="AG632" s="187"/>
      <c r="AH632" s="187"/>
      <c r="AI632" s="187"/>
      <c r="AJ632" s="187"/>
    </row>
    <row r="633" spans="1:36" s="181" customFormat="1">
      <c r="A633" s="9"/>
      <c r="B633" s="9">
        <v>702</v>
      </c>
      <c r="C633" s="9" t="s">
        <v>1372</v>
      </c>
      <c r="D633" s="9"/>
      <c r="E633" s="9">
        <v>246132</v>
      </c>
      <c r="F633" s="9"/>
      <c r="G633" s="9">
        <v>2021</v>
      </c>
      <c r="H633" s="9">
        <v>1</v>
      </c>
      <c r="I633" s="9">
        <v>0</v>
      </c>
      <c r="J633" s="9" t="s">
        <v>78</v>
      </c>
      <c r="K633" s="158">
        <v>7</v>
      </c>
      <c r="L633" s="9">
        <f>G633+K633</f>
        <v>2028</v>
      </c>
      <c r="M633" s="127">
        <f>+L633+(H633/12)</f>
        <v>2028.0833333333333</v>
      </c>
      <c r="N633" s="13">
        <v>32640.34</v>
      </c>
      <c r="O633" s="13">
        <f t="shared" si="275"/>
        <v>32640.34</v>
      </c>
      <c r="P633" s="13">
        <f t="shared" si="276"/>
        <v>388.57547619047619</v>
      </c>
      <c r="Q633" s="13">
        <f t="shared" si="277"/>
        <v>4662.9057142857146</v>
      </c>
      <c r="R633" s="13"/>
      <c r="S633" s="13">
        <f t="shared" si="278"/>
        <v>4662.9057142857146</v>
      </c>
      <c r="T633" s="13">
        <f t="shared" si="279"/>
        <v>0</v>
      </c>
      <c r="U633" s="13">
        <f t="shared" si="280"/>
        <v>4662.9057142857146</v>
      </c>
      <c r="V633" s="13"/>
      <c r="W633" s="13">
        <f t="shared" si="281"/>
        <v>27977.434285714284</v>
      </c>
      <c r="X633" s="185">
        <f t="shared" si="282"/>
        <v>4662.9057142857146</v>
      </c>
      <c r="Y633" s="183">
        <f t="shared" si="283"/>
        <v>27977.434285714284</v>
      </c>
      <c r="Z633" s="183"/>
      <c r="AA633" s="183"/>
      <c r="AB633" s="184"/>
      <c r="AC633" s="183"/>
      <c r="AD633" s="183"/>
      <c r="AE633" s="187"/>
      <c r="AF633" s="187"/>
      <c r="AG633" s="187"/>
      <c r="AH633" s="187"/>
      <c r="AI633" s="187"/>
      <c r="AJ633" s="187"/>
    </row>
    <row r="634" spans="1:36" s="9" customFormat="1">
      <c r="K634" s="158"/>
      <c r="M634" s="127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Z634" s="116"/>
      <c r="AA634" s="116"/>
      <c r="AB634" s="117"/>
    </row>
    <row r="635" spans="1:36" s="9" customFormat="1">
      <c r="K635" s="158"/>
      <c r="L635" s="159" t="s">
        <v>677</v>
      </c>
      <c r="M635" s="160"/>
      <c r="N635" s="150">
        <f t="shared" ref="N635:AJ635" si="284">SUM(N565:N634)</f>
        <v>4125374.9199999971</v>
      </c>
      <c r="O635" s="150">
        <f t="shared" si="284"/>
        <v>4125374.9199999971</v>
      </c>
      <c r="P635" s="150">
        <f t="shared" si="284"/>
        <v>49335.993015350898</v>
      </c>
      <c r="Q635" s="150">
        <f t="shared" si="284"/>
        <v>592031.91618421045</v>
      </c>
      <c r="R635" s="150">
        <v>157752.72713659148</v>
      </c>
      <c r="S635" s="150">
        <f t="shared" si="284"/>
        <v>122151.5247556391</v>
      </c>
      <c r="T635" s="150">
        <f t="shared" si="284"/>
        <v>3629284.2337969909</v>
      </c>
      <c r="U635" s="150">
        <f t="shared" si="284"/>
        <v>3751435.7585526295</v>
      </c>
      <c r="V635" s="150">
        <v>587572.90429197997</v>
      </c>
      <c r="W635" s="150">
        <f t="shared" si="284"/>
        <v>373939.16144736833</v>
      </c>
      <c r="X635" s="150">
        <f t="shared" si="284"/>
        <v>122151.5247556391</v>
      </c>
      <c r="Y635" s="150">
        <f t="shared" si="284"/>
        <v>373939.16144736833</v>
      </c>
      <c r="Z635" s="150">
        <f t="shared" si="284"/>
        <v>-70365.360952380943</v>
      </c>
      <c r="AA635" s="150">
        <f t="shared" si="284"/>
        <v>-391683.90427318314</v>
      </c>
      <c r="AB635" s="150">
        <f t="shared" si="284"/>
        <v>46.117348488639237</v>
      </c>
      <c r="AC635" s="150">
        <f t="shared" si="284"/>
        <v>65001.187416476911</v>
      </c>
      <c r="AD635" s="150">
        <f t="shared" si="284"/>
        <v>145707.76256383755</v>
      </c>
      <c r="AE635" s="150">
        <f t="shared" si="284"/>
        <v>0</v>
      </c>
      <c r="AF635" s="150">
        <f>AC635</f>
        <v>65001.187416476911</v>
      </c>
      <c r="AG635" s="150">
        <f t="shared" si="284"/>
        <v>0</v>
      </c>
      <c r="AH635" s="150">
        <f t="shared" si="284"/>
        <v>0</v>
      </c>
      <c r="AI635" s="150">
        <f>AD635</f>
        <v>145707.76256383755</v>
      </c>
      <c r="AJ635" s="150">
        <f t="shared" si="284"/>
        <v>0</v>
      </c>
    </row>
    <row r="636" spans="1:36" s="9" customFormat="1">
      <c r="K636" s="158"/>
      <c r="M636" s="127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Z636" s="116"/>
      <c r="AA636" s="116"/>
    </row>
    <row r="637" spans="1:36" s="9" customFormat="1">
      <c r="A637" s="142" t="s">
        <v>678</v>
      </c>
      <c r="K637" s="158"/>
      <c r="M637" s="127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Z637" s="116"/>
      <c r="AA637" s="116"/>
    </row>
    <row r="638" spans="1:36" s="9" customFormat="1">
      <c r="B638" s="9">
        <v>399</v>
      </c>
      <c r="C638" s="9" t="s">
        <v>679</v>
      </c>
      <c r="G638" s="9">
        <v>2001</v>
      </c>
      <c r="H638" s="9">
        <v>5</v>
      </c>
      <c r="I638" s="9">
        <v>0</v>
      </c>
      <c r="J638" s="9" t="s">
        <v>78</v>
      </c>
      <c r="K638" s="158">
        <v>7</v>
      </c>
      <c r="L638" s="9">
        <f t="shared" ref="L638:L701" si="285">G638+K638</f>
        <v>2008</v>
      </c>
      <c r="M638" s="127">
        <f t="shared" ref="M638:M701" si="286">+L638+(H638/12)</f>
        <v>2008.4166666666667</v>
      </c>
      <c r="N638" s="13">
        <v>19129.669999999998</v>
      </c>
      <c r="O638" s="13">
        <f t="shared" ref="O638:O701" si="287">N638-N638*I638</f>
        <v>19129.669999999998</v>
      </c>
      <c r="P638" s="13">
        <f t="shared" ref="P638:P701" si="288">O638/K638/12</f>
        <v>227.73416666666665</v>
      </c>
      <c r="Q638" s="13">
        <f t="shared" ref="Q638:Q701" si="289">P638*12</f>
        <v>2732.81</v>
      </c>
      <c r="R638" s="13">
        <v>0</v>
      </c>
      <c r="S638" s="13">
        <f t="shared" ref="S638:S701" si="290">+IF(M638&lt;=$O$5,0,IF(L638&gt;$O$4,Q638,(P638*H638)))</f>
        <v>0</v>
      </c>
      <c r="T638" s="13">
        <f t="shared" ref="T638:T701" si="291">+IF(S638=0,N638,IF($O$3-G638&lt;1,0,(($O$3-G638)*Q638)))</f>
        <v>19129.669999999998</v>
      </c>
      <c r="U638" s="13">
        <f t="shared" ref="U638:U701" si="292">+IF(S638=0,T638,T638+S638)</f>
        <v>19129.669999999998</v>
      </c>
      <c r="V638" s="13">
        <v>0</v>
      </c>
      <c r="W638" s="13">
        <f t="shared" ref="W638:W701" si="293">+N638-U638</f>
        <v>0</v>
      </c>
      <c r="X638" s="115">
        <f t="shared" ref="X638" si="294">S638</f>
        <v>0</v>
      </c>
      <c r="Y638" s="116">
        <f t="shared" ref="Y638" si="295">W638</f>
        <v>0</v>
      </c>
      <c r="Z638" s="116">
        <f t="shared" si="268"/>
        <v>0</v>
      </c>
      <c r="AA638" s="116">
        <f t="shared" si="269"/>
        <v>0</v>
      </c>
      <c r="AB638" s="117">
        <f>'Ratios (C)'!$C$24+'Ratios (C)'!$D$24</f>
        <v>0.69982242504454684</v>
      </c>
      <c r="AC638" s="116">
        <f t="shared" ref="AC638" si="296">X638*AB638</f>
        <v>0</v>
      </c>
      <c r="AD638" s="116">
        <f t="shared" ref="AD638" si="297">Y638*AB638</f>
        <v>0</v>
      </c>
      <c r="AE638" s="118"/>
      <c r="AF638" s="119"/>
      <c r="AG638" s="120"/>
      <c r="AH638" s="118"/>
      <c r="AI638" s="119"/>
      <c r="AJ638" s="121"/>
    </row>
    <row r="639" spans="1:36" s="9" customFormat="1">
      <c r="B639" s="9">
        <v>203</v>
      </c>
      <c r="C639" s="9" t="s">
        <v>679</v>
      </c>
      <c r="G639" s="9">
        <v>2001</v>
      </c>
      <c r="H639" s="9">
        <v>5</v>
      </c>
      <c r="I639" s="9">
        <v>0</v>
      </c>
      <c r="J639" s="9" t="s">
        <v>78</v>
      </c>
      <c r="K639" s="158">
        <v>7</v>
      </c>
      <c r="L639" s="9">
        <f t="shared" si="285"/>
        <v>2008</v>
      </c>
      <c r="M639" s="127">
        <f t="shared" si="286"/>
        <v>2008.4166666666667</v>
      </c>
      <c r="N639" s="13">
        <v>9725.94</v>
      </c>
      <c r="O639" s="13">
        <f t="shared" si="287"/>
        <v>9725.94</v>
      </c>
      <c r="P639" s="13">
        <f t="shared" si="288"/>
        <v>115.78500000000001</v>
      </c>
      <c r="Q639" s="13">
        <f t="shared" si="289"/>
        <v>1389.42</v>
      </c>
      <c r="R639" s="13">
        <v>0</v>
      </c>
      <c r="S639" s="13">
        <f t="shared" si="290"/>
        <v>0</v>
      </c>
      <c r="T639" s="13">
        <f t="shared" si="291"/>
        <v>9725.94</v>
      </c>
      <c r="U639" s="13">
        <f t="shared" si="292"/>
        <v>9725.94</v>
      </c>
      <c r="V639" s="13">
        <v>0</v>
      </c>
      <c r="W639" s="13">
        <f t="shared" si="293"/>
        <v>0</v>
      </c>
      <c r="X639" s="115">
        <f t="shared" ref="X639:X702" si="298">S639</f>
        <v>0</v>
      </c>
      <c r="Y639" s="116">
        <f t="shared" ref="Y639:Y702" si="299">W639</f>
        <v>0</v>
      </c>
      <c r="Z639" s="116">
        <f t="shared" si="268"/>
        <v>0</v>
      </c>
      <c r="AA639" s="116">
        <f t="shared" si="269"/>
        <v>0</v>
      </c>
      <c r="AB639" s="117">
        <f>'Ratios (C)'!$C$24+'Ratios (C)'!$D$24</f>
        <v>0.69982242504454684</v>
      </c>
      <c r="AC639" s="116">
        <f t="shared" ref="AC639:AC702" si="300">X639*AB639</f>
        <v>0</v>
      </c>
      <c r="AD639" s="116">
        <f t="shared" ref="AD639:AD702" si="301">Y639*AB639</f>
        <v>0</v>
      </c>
      <c r="AE639" s="118"/>
      <c r="AF639" s="119"/>
      <c r="AG639" s="120"/>
      <c r="AH639" s="118"/>
      <c r="AI639" s="119"/>
      <c r="AJ639" s="121"/>
    </row>
    <row r="640" spans="1:36" s="9" customFormat="1">
      <c r="B640" s="9">
        <v>400</v>
      </c>
      <c r="C640" s="9" t="s">
        <v>679</v>
      </c>
      <c r="G640" s="9">
        <v>2001</v>
      </c>
      <c r="H640" s="9">
        <v>7</v>
      </c>
      <c r="I640" s="9">
        <v>0</v>
      </c>
      <c r="J640" s="9" t="s">
        <v>78</v>
      </c>
      <c r="K640" s="158">
        <v>7</v>
      </c>
      <c r="L640" s="9">
        <f t="shared" si="285"/>
        <v>2008</v>
      </c>
      <c r="M640" s="127">
        <f t="shared" si="286"/>
        <v>2008.5833333333333</v>
      </c>
      <c r="N640" s="13">
        <v>19217.52</v>
      </c>
      <c r="O640" s="13">
        <f t="shared" si="287"/>
        <v>19217.52</v>
      </c>
      <c r="P640" s="13">
        <f t="shared" si="288"/>
        <v>228.78</v>
      </c>
      <c r="Q640" s="13">
        <f t="shared" si="289"/>
        <v>2745.36</v>
      </c>
      <c r="R640" s="13">
        <v>0</v>
      </c>
      <c r="S640" s="13">
        <f t="shared" si="290"/>
        <v>0</v>
      </c>
      <c r="T640" s="13">
        <f t="shared" si="291"/>
        <v>19217.52</v>
      </c>
      <c r="U640" s="13">
        <f t="shared" si="292"/>
        <v>19217.52</v>
      </c>
      <c r="V640" s="13">
        <v>0</v>
      </c>
      <c r="W640" s="13">
        <f t="shared" si="293"/>
        <v>0</v>
      </c>
      <c r="X640" s="115">
        <f t="shared" si="298"/>
        <v>0</v>
      </c>
      <c r="Y640" s="116">
        <f t="shared" si="299"/>
        <v>0</v>
      </c>
      <c r="Z640" s="116">
        <f t="shared" si="268"/>
        <v>0</v>
      </c>
      <c r="AA640" s="116">
        <f t="shared" si="269"/>
        <v>0</v>
      </c>
      <c r="AB640" s="117">
        <f>'Ratios (C)'!$C$24+'Ratios (C)'!$D$24</f>
        <v>0.69982242504454684</v>
      </c>
      <c r="AC640" s="116">
        <f t="shared" si="300"/>
        <v>0</v>
      </c>
      <c r="AD640" s="116">
        <f t="shared" si="301"/>
        <v>0</v>
      </c>
      <c r="AE640" s="118"/>
      <c r="AF640" s="119"/>
      <c r="AG640" s="120"/>
      <c r="AH640" s="118"/>
      <c r="AI640" s="119"/>
      <c r="AJ640" s="121"/>
    </row>
    <row r="641" spans="2:36" s="9" customFormat="1">
      <c r="B641" s="9">
        <v>405</v>
      </c>
      <c r="C641" s="9" t="s">
        <v>679</v>
      </c>
      <c r="G641" s="9">
        <v>2002</v>
      </c>
      <c r="H641" s="9">
        <v>4</v>
      </c>
      <c r="I641" s="9">
        <v>0</v>
      </c>
      <c r="J641" s="9" t="s">
        <v>78</v>
      </c>
      <c r="K641" s="158">
        <v>7</v>
      </c>
      <c r="L641" s="9">
        <f t="shared" si="285"/>
        <v>2009</v>
      </c>
      <c r="M641" s="127">
        <f t="shared" si="286"/>
        <v>2009.3333333333333</v>
      </c>
      <c r="N641" s="13">
        <v>19451.88</v>
      </c>
      <c r="O641" s="13">
        <f t="shared" si="287"/>
        <v>19451.88</v>
      </c>
      <c r="P641" s="13">
        <f t="shared" si="288"/>
        <v>231.57000000000002</v>
      </c>
      <c r="Q641" s="13">
        <f t="shared" si="289"/>
        <v>2778.84</v>
      </c>
      <c r="R641" s="13">
        <v>0</v>
      </c>
      <c r="S641" s="13">
        <f t="shared" si="290"/>
        <v>0</v>
      </c>
      <c r="T641" s="13">
        <f t="shared" si="291"/>
        <v>19451.88</v>
      </c>
      <c r="U641" s="13">
        <f t="shared" si="292"/>
        <v>19451.88</v>
      </c>
      <c r="V641" s="13">
        <v>0</v>
      </c>
      <c r="W641" s="13">
        <f t="shared" si="293"/>
        <v>0</v>
      </c>
      <c r="X641" s="115">
        <f t="shared" si="298"/>
        <v>0</v>
      </c>
      <c r="Y641" s="116">
        <f t="shared" si="299"/>
        <v>0</v>
      </c>
      <c r="Z641" s="116">
        <f t="shared" si="268"/>
        <v>0</v>
      </c>
      <c r="AA641" s="116">
        <f t="shared" si="269"/>
        <v>0</v>
      </c>
      <c r="AB641" s="117">
        <f>'Ratios (C)'!$C$24+'Ratios (C)'!$D$24</f>
        <v>0.69982242504454684</v>
      </c>
      <c r="AC641" s="116">
        <f t="shared" si="300"/>
        <v>0</v>
      </c>
      <c r="AD641" s="116">
        <f t="shared" si="301"/>
        <v>0</v>
      </c>
      <c r="AE641" s="118"/>
      <c r="AF641" s="119"/>
      <c r="AG641" s="120"/>
      <c r="AH641" s="118"/>
      <c r="AI641" s="119"/>
      <c r="AJ641" s="121"/>
    </row>
    <row r="642" spans="2:36" s="9" customFormat="1">
      <c r="B642" s="9">
        <v>405</v>
      </c>
      <c r="C642" s="9" t="s">
        <v>679</v>
      </c>
      <c r="G642" s="9">
        <v>2002</v>
      </c>
      <c r="H642" s="9">
        <v>4</v>
      </c>
      <c r="I642" s="9">
        <v>0</v>
      </c>
      <c r="J642" s="9" t="s">
        <v>78</v>
      </c>
      <c r="K642" s="158">
        <v>7</v>
      </c>
      <c r="L642" s="9">
        <f t="shared" si="285"/>
        <v>2009</v>
      </c>
      <c r="M642" s="127">
        <f t="shared" si="286"/>
        <v>2009.3333333333333</v>
      </c>
      <c r="N642" s="13">
        <v>19451.88</v>
      </c>
      <c r="O642" s="13">
        <f t="shared" si="287"/>
        <v>19451.88</v>
      </c>
      <c r="P642" s="13">
        <f t="shared" si="288"/>
        <v>231.57000000000002</v>
      </c>
      <c r="Q642" s="13">
        <f t="shared" si="289"/>
        <v>2778.84</v>
      </c>
      <c r="R642" s="13">
        <v>0</v>
      </c>
      <c r="S642" s="13">
        <f t="shared" si="290"/>
        <v>0</v>
      </c>
      <c r="T642" s="13">
        <f t="shared" si="291"/>
        <v>19451.88</v>
      </c>
      <c r="U642" s="13">
        <f t="shared" si="292"/>
        <v>19451.88</v>
      </c>
      <c r="V642" s="13">
        <v>0</v>
      </c>
      <c r="W642" s="13">
        <f t="shared" si="293"/>
        <v>0</v>
      </c>
      <c r="X642" s="115">
        <f t="shared" si="298"/>
        <v>0</v>
      </c>
      <c r="Y642" s="116">
        <f t="shared" si="299"/>
        <v>0</v>
      </c>
      <c r="Z642" s="116">
        <f t="shared" si="268"/>
        <v>0</v>
      </c>
      <c r="AA642" s="116">
        <f t="shared" si="269"/>
        <v>0</v>
      </c>
      <c r="AB642" s="117">
        <f>'Ratios (C)'!$C$24+'Ratios (C)'!$D$24</f>
        <v>0.69982242504454684</v>
      </c>
      <c r="AC642" s="116">
        <f t="shared" si="300"/>
        <v>0</v>
      </c>
      <c r="AD642" s="116">
        <f t="shared" si="301"/>
        <v>0</v>
      </c>
      <c r="AE642" s="118"/>
      <c r="AF642" s="119"/>
      <c r="AG642" s="120"/>
      <c r="AH642" s="118"/>
      <c r="AI642" s="119"/>
      <c r="AJ642" s="121"/>
    </row>
    <row r="643" spans="2:36" s="9" customFormat="1">
      <c r="B643" s="9">
        <v>438</v>
      </c>
      <c r="C643" s="9" t="s">
        <v>679</v>
      </c>
      <c r="G643" s="9">
        <v>2002</v>
      </c>
      <c r="H643" s="9">
        <v>7</v>
      </c>
      <c r="I643" s="9">
        <v>0</v>
      </c>
      <c r="J643" s="9" t="s">
        <v>78</v>
      </c>
      <c r="K643" s="158">
        <v>7</v>
      </c>
      <c r="L643" s="9">
        <f t="shared" si="285"/>
        <v>2009</v>
      </c>
      <c r="M643" s="127">
        <f t="shared" si="286"/>
        <v>2009.5833333333333</v>
      </c>
      <c r="N643" s="13">
        <v>21005.63</v>
      </c>
      <c r="O643" s="13">
        <f t="shared" si="287"/>
        <v>21005.63</v>
      </c>
      <c r="P643" s="13">
        <f t="shared" si="288"/>
        <v>250.06702380952382</v>
      </c>
      <c r="Q643" s="13">
        <f t="shared" si="289"/>
        <v>3000.8042857142859</v>
      </c>
      <c r="R643" s="13">
        <v>0</v>
      </c>
      <c r="S643" s="13">
        <f t="shared" si="290"/>
        <v>0</v>
      </c>
      <c r="T643" s="13">
        <f t="shared" si="291"/>
        <v>21005.63</v>
      </c>
      <c r="U643" s="13">
        <f t="shared" si="292"/>
        <v>21005.63</v>
      </c>
      <c r="V643" s="13">
        <v>0</v>
      </c>
      <c r="W643" s="13">
        <f t="shared" si="293"/>
        <v>0</v>
      </c>
      <c r="X643" s="115">
        <f t="shared" si="298"/>
        <v>0</v>
      </c>
      <c r="Y643" s="116">
        <f t="shared" si="299"/>
        <v>0</v>
      </c>
      <c r="Z643" s="116">
        <f t="shared" si="268"/>
        <v>0</v>
      </c>
      <c r="AA643" s="116">
        <f t="shared" si="269"/>
        <v>0</v>
      </c>
      <c r="AB643" s="117">
        <f>'Ratios (C)'!$C$24+'Ratios (C)'!$D$24</f>
        <v>0.69982242504454684</v>
      </c>
      <c r="AC643" s="116">
        <f t="shared" si="300"/>
        <v>0</v>
      </c>
      <c r="AD643" s="116">
        <f t="shared" si="301"/>
        <v>0</v>
      </c>
      <c r="AE643" s="118"/>
      <c r="AF643" s="119"/>
      <c r="AG643" s="120"/>
      <c r="AH643" s="118"/>
      <c r="AI643" s="119"/>
      <c r="AJ643" s="121"/>
    </row>
    <row r="644" spans="2:36" s="9" customFormat="1">
      <c r="B644" s="9">
        <v>406</v>
      </c>
      <c r="C644" s="9" t="s">
        <v>679</v>
      </c>
      <c r="G644" s="9">
        <v>2002</v>
      </c>
      <c r="H644" s="9">
        <v>7</v>
      </c>
      <c r="I644" s="9">
        <v>0</v>
      </c>
      <c r="J644" s="9" t="s">
        <v>78</v>
      </c>
      <c r="K644" s="158">
        <v>7</v>
      </c>
      <c r="L644" s="9">
        <f t="shared" si="285"/>
        <v>2009</v>
      </c>
      <c r="M644" s="127">
        <f t="shared" si="286"/>
        <v>2009.5833333333333</v>
      </c>
      <c r="N644" s="13">
        <v>19505.66</v>
      </c>
      <c r="O644" s="13">
        <f t="shared" si="287"/>
        <v>19505.66</v>
      </c>
      <c r="P644" s="13">
        <f t="shared" si="288"/>
        <v>232.21023809523808</v>
      </c>
      <c r="Q644" s="13">
        <f t="shared" si="289"/>
        <v>2786.522857142857</v>
      </c>
      <c r="R644" s="13">
        <v>0</v>
      </c>
      <c r="S644" s="13">
        <f t="shared" si="290"/>
        <v>0</v>
      </c>
      <c r="T644" s="13">
        <f t="shared" si="291"/>
        <v>19505.66</v>
      </c>
      <c r="U644" s="13">
        <f t="shared" si="292"/>
        <v>19505.66</v>
      </c>
      <c r="V644" s="13">
        <v>0</v>
      </c>
      <c r="W644" s="13">
        <f t="shared" si="293"/>
        <v>0</v>
      </c>
      <c r="X644" s="115">
        <f t="shared" si="298"/>
        <v>0</v>
      </c>
      <c r="Y644" s="116">
        <f t="shared" si="299"/>
        <v>0</v>
      </c>
      <c r="Z644" s="116">
        <f t="shared" si="268"/>
        <v>0</v>
      </c>
      <c r="AA644" s="116">
        <f t="shared" si="269"/>
        <v>0</v>
      </c>
      <c r="AB644" s="117">
        <f>'Ratios (C)'!$C$24+'Ratios (C)'!$D$24</f>
        <v>0.69982242504454684</v>
      </c>
      <c r="AC644" s="116">
        <f t="shared" si="300"/>
        <v>0</v>
      </c>
      <c r="AD644" s="116">
        <f t="shared" si="301"/>
        <v>0</v>
      </c>
      <c r="AE644" s="118"/>
      <c r="AF644" s="119"/>
      <c r="AG644" s="120"/>
      <c r="AH644" s="118"/>
      <c r="AI644" s="119"/>
      <c r="AJ644" s="121"/>
    </row>
    <row r="645" spans="2:36" s="9" customFormat="1">
      <c r="B645" s="9">
        <v>406</v>
      </c>
      <c r="C645" s="9" t="s">
        <v>679</v>
      </c>
      <c r="G645" s="9">
        <v>2002</v>
      </c>
      <c r="H645" s="9">
        <v>7</v>
      </c>
      <c r="I645" s="9">
        <v>0</v>
      </c>
      <c r="J645" s="9" t="s">
        <v>78</v>
      </c>
      <c r="K645" s="158">
        <v>7</v>
      </c>
      <c r="L645" s="9">
        <f t="shared" si="285"/>
        <v>2009</v>
      </c>
      <c r="M645" s="127">
        <f t="shared" si="286"/>
        <v>2009.5833333333333</v>
      </c>
      <c r="N645" s="13">
        <v>19505.66</v>
      </c>
      <c r="O645" s="13">
        <f t="shared" si="287"/>
        <v>19505.66</v>
      </c>
      <c r="P645" s="13">
        <f t="shared" si="288"/>
        <v>232.21023809523808</v>
      </c>
      <c r="Q645" s="13">
        <f t="shared" si="289"/>
        <v>2786.522857142857</v>
      </c>
      <c r="R645" s="13">
        <v>0</v>
      </c>
      <c r="S645" s="13">
        <f t="shared" si="290"/>
        <v>0</v>
      </c>
      <c r="T645" s="13">
        <f t="shared" si="291"/>
        <v>19505.66</v>
      </c>
      <c r="U645" s="13">
        <f t="shared" si="292"/>
        <v>19505.66</v>
      </c>
      <c r="V645" s="13">
        <v>0</v>
      </c>
      <c r="W645" s="13">
        <f t="shared" si="293"/>
        <v>0</v>
      </c>
      <c r="X645" s="115">
        <f t="shared" si="298"/>
        <v>0</v>
      </c>
      <c r="Y645" s="116">
        <f t="shared" si="299"/>
        <v>0</v>
      </c>
      <c r="Z645" s="116">
        <f t="shared" si="268"/>
        <v>0</v>
      </c>
      <c r="AA645" s="116">
        <f t="shared" si="269"/>
        <v>0</v>
      </c>
      <c r="AB645" s="117">
        <f>'Ratios (C)'!$C$24+'Ratios (C)'!$D$24</f>
        <v>0.69982242504454684</v>
      </c>
      <c r="AC645" s="116">
        <f t="shared" si="300"/>
        <v>0</v>
      </c>
      <c r="AD645" s="116">
        <f t="shared" si="301"/>
        <v>0</v>
      </c>
      <c r="AE645" s="118"/>
      <c r="AF645" s="119"/>
      <c r="AG645" s="120"/>
      <c r="AH645" s="118"/>
      <c r="AI645" s="119"/>
      <c r="AJ645" s="121"/>
    </row>
    <row r="646" spans="2:36" s="9" customFormat="1">
      <c r="B646" s="9">
        <v>419</v>
      </c>
      <c r="C646" s="9" t="s">
        <v>680</v>
      </c>
      <c r="G646" s="9">
        <v>2003</v>
      </c>
      <c r="H646" s="9">
        <v>4</v>
      </c>
      <c r="I646" s="9">
        <v>0</v>
      </c>
      <c r="J646" s="9" t="s">
        <v>78</v>
      </c>
      <c r="K646" s="158">
        <v>7</v>
      </c>
      <c r="L646" s="9">
        <f t="shared" si="285"/>
        <v>2010</v>
      </c>
      <c r="M646" s="127">
        <f t="shared" si="286"/>
        <v>2010.3333333333333</v>
      </c>
      <c r="N646" s="13">
        <v>20093.03</v>
      </c>
      <c r="O646" s="13">
        <f t="shared" si="287"/>
        <v>20093.03</v>
      </c>
      <c r="P646" s="13">
        <f t="shared" si="288"/>
        <v>239.20273809523806</v>
      </c>
      <c r="Q646" s="13">
        <f t="shared" si="289"/>
        <v>2870.4328571428568</v>
      </c>
      <c r="R646" s="13">
        <v>0</v>
      </c>
      <c r="S646" s="13">
        <f t="shared" si="290"/>
        <v>0</v>
      </c>
      <c r="T646" s="13">
        <f t="shared" si="291"/>
        <v>20093.03</v>
      </c>
      <c r="U646" s="13">
        <f t="shared" si="292"/>
        <v>20093.03</v>
      </c>
      <c r="V646" s="13">
        <v>0</v>
      </c>
      <c r="W646" s="13">
        <f t="shared" si="293"/>
        <v>0</v>
      </c>
      <c r="X646" s="115">
        <f t="shared" si="298"/>
        <v>0</v>
      </c>
      <c r="Y646" s="116">
        <f t="shared" si="299"/>
        <v>0</v>
      </c>
      <c r="Z646" s="116">
        <f t="shared" si="268"/>
        <v>0</v>
      </c>
      <c r="AA646" s="116">
        <f t="shared" si="269"/>
        <v>0</v>
      </c>
      <c r="AB646" s="117">
        <f>'Ratios (C)'!$C$24+'Ratios (C)'!$D$24</f>
        <v>0.69982242504454684</v>
      </c>
      <c r="AC646" s="116">
        <f t="shared" si="300"/>
        <v>0</v>
      </c>
      <c r="AD646" s="116">
        <f t="shared" si="301"/>
        <v>0</v>
      </c>
      <c r="AE646" s="118"/>
      <c r="AF646" s="119"/>
      <c r="AG646" s="120"/>
      <c r="AH646" s="118"/>
      <c r="AI646" s="119"/>
      <c r="AJ646" s="121"/>
    </row>
    <row r="647" spans="2:36" s="9" customFormat="1">
      <c r="B647" s="9">
        <v>440</v>
      </c>
      <c r="C647" s="9" t="s">
        <v>679</v>
      </c>
      <c r="G647" s="9">
        <v>2003</v>
      </c>
      <c r="H647" s="9">
        <v>5</v>
      </c>
      <c r="I647" s="9">
        <v>0</v>
      </c>
      <c r="J647" s="9" t="s">
        <v>78</v>
      </c>
      <c r="K647" s="158">
        <v>7</v>
      </c>
      <c r="L647" s="9">
        <f t="shared" si="285"/>
        <v>2010</v>
      </c>
      <c r="M647" s="127">
        <f t="shared" si="286"/>
        <v>2010.4166666666667</v>
      </c>
      <c r="N647" s="13">
        <v>21126.78</v>
      </c>
      <c r="O647" s="13">
        <f t="shared" si="287"/>
        <v>21126.78</v>
      </c>
      <c r="P647" s="13">
        <f t="shared" si="288"/>
        <v>251.50928571428571</v>
      </c>
      <c r="Q647" s="13">
        <f t="shared" si="289"/>
        <v>3018.1114285714284</v>
      </c>
      <c r="R647" s="13">
        <v>0</v>
      </c>
      <c r="S647" s="13">
        <f t="shared" si="290"/>
        <v>0</v>
      </c>
      <c r="T647" s="13">
        <f t="shared" si="291"/>
        <v>21126.78</v>
      </c>
      <c r="U647" s="13">
        <f t="shared" si="292"/>
        <v>21126.78</v>
      </c>
      <c r="V647" s="13">
        <v>0</v>
      </c>
      <c r="W647" s="13">
        <f t="shared" si="293"/>
        <v>0</v>
      </c>
      <c r="X647" s="115">
        <f t="shared" si="298"/>
        <v>0</v>
      </c>
      <c r="Y647" s="116">
        <f t="shared" si="299"/>
        <v>0</v>
      </c>
      <c r="Z647" s="116">
        <f t="shared" si="268"/>
        <v>0</v>
      </c>
      <c r="AA647" s="116">
        <f t="shared" si="269"/>
        <v>0</v>
      </c>
      <c r="AB647" s="117">
        <f>'Ratios (C)'!$C$24+'Ratios (C)'!$D$24</f>
        <v>0.69982242504454684</v>
      </c>
      <c r="AC647" s="116">
        <f t="shared" si="300"/>
        <v>0</v>
      </c>
      <c r="AD647" s="116">
        <f t="shared" si="301"/>
        <v>0</v>
      </c>
      <c r="AE647" s="118"/>
      <c r="AF647" s="119"/>
      <c r="AG647" s="120"/>
      <c r="AH647" s="118"/>
      <c r="AI647" s="119"/>
      <c r="AJ647" s="121"/>
    </row>
    <row r="648" spans="2:36" s="9" customFormat="1">
      <c r="B648" s="9">
        <v>382</v>
      </c>
      <c r="C648" s="9" t="s">
        <v>679</v>
      </c>
      <c r="G648" s="9">
        <v>2004</v>
      </c>
      <c r="H648" s="9">
        <v>2</v>
      </c>
      <c r="I648" s="9">
        <v>0</v>
      </c>
      <c r="J648" s="9" t="s">
        <v>78</v>
      </c>
      <c r="K648" s="158">
        <v>7</v>
      </c>
      <c r="L648" s="9">
        <f t="shared" si="285"/>
        <v>2011</v>
      </c>
      <c r="M648" s="127">
        <f t="shared" si="286"/>
        <v>2011.1666666666667</v>
      </c>
      <c r="N648" s="13">
        <v>18330.62</v>
      </c>
      <c r="O648" s="13">
        <f t="shared" si="287"/>
        <v>18330.62</v>
      </c>
      <c r="P648" s="13">
        <f t="shared" si="288"/>
        <v>218.22166666666666</v>
      </c>
      <c r="Q648" s="13">
        <f t="shared" si="289"/>
        <v>2618.66</v>
      </c>
      <c r="R648" s="13">
        <v>0</v>
      </c>
      <c r="S648" s="13">
        <f t="shared" si="290"/>
        <v>0</v>
      </c>
      <c r="T648" s="13">
        <f t="shared" si="291"/>
        <v>18330.62</v>
      </c>
      <c r="U648" s="13">
        <f t="shared" si="292"/>
        <v>18330.62</v>
      </c>
      <c r="V648" s="13">
        <v>0</v>
      </c>
      <c r="W648" s="13">
        <f t="shared" si="293"/>
        <v>0</v>
      </c>
      <c r="X648" s="115">
        <f t="shared" si="298"/>
        <v>0</v>
      </c>
      <c r="Y648" s="116">
        <f t="shared" si="299"/>
        <v>0</v>
      </c>
      <c r="Z648" s="116">
        <f t="shared" si="268"/>
        <v>0</v>
      </c>
      <c r="AA648" s="116">
        <f t="shared" si="269"/>
        <v>0</v>
      </c>
      <c r="AB648" s="117">
        <f>'Ratios (C)'!$C$24+'Ratios (C)'!$D$24</f>
        <v>0.69982242504454684</v>
      </c>
      <c r="AC648" s="116">
        <f t="shared" si="300"/>
        <v>0</v>
      </c>
      <c r="AD648" s="116">
        <f t="shared" si="301"/>
        <v>0</v>
      </c>
      <c r="AE648" s="118"/>
      <c r="AF648" s="119"/>
      <c r="AG648" s="120"/>
      <c r="AH648" s="118"/>
      <c r="AI648" s="119"/>
      <c r="AJ648" s="121"/>
    </row>
    <row r="649" spans="2:36" s="9" customFormat="1">
      <c r="B649" s="9">
        <v>439</v>
      </c>
      <c r="C649" s="9" t="s">
        <v>681</v>
      </c>
      <c r="G649" s="9">
        <v>2004</v>
      </c>
      <c r="H649" s="9">
        <v>4</v>
      </c>
      <c r="I649" s="9">
        <v>0</v>
      </c>
      <c r="J649" s="9" t="s">
        <v>78</v>
      </c>
      <c r="K649" s="158">
        <v>7</v>
      </c>
      <c r="L649" s="9">
        <f t="shared" si="285"/>
        <v>2011</v>
      </c>
      <c r="M649" s="127">
        <f t="shared" si="286"/>
        <v>2011.3333333333333</v>
      </c>
      <c r="N649" s="13">
        <v>21077.599999999999</v>
      </c>
      <c r="O649" s="13">
        <f t="shared" si="287"/>
        <v>21077.599999999999</v>
      </c>
      <c r="P649" s="13">
        <f t="shared" si="288"/>
        <v>250.9238095238095</v>
      </c>
      <c r="Q649" s="13">
        <f t="shared" si="289"/>
        <v>3011.0857142857139</v>
      </c>
      <c r="R649" s="13">
        <v>0</v>
      </c>
      <c r="S649" s="13">
        <f t="shared" si="290"/>
        <v>0</v>
      </c>
      <c r="T649" s="13">
        <f t="shared" si="291"/>
        <v>21077.599999999999</v>
      </c>
      <c r="U649" s="13">
        <f t="shared" si="292"/>
        <v>21077.599999999999</v>
      </c>
      <c r="V649" s="13">
        <v>0</v>
      </c>
      <c r="W649" s="13">
        <f t="shared" si="293"/>
        <v>0</v>
      </c>
      <c r="X649" s="115">
        <f t="shared" si="298"/>
        <v>0</v>
      </c>
      <c r="Y649" s="116">
        <f t="shared" si="299"/>
        <v>0</v>
      </c>
      <c r="Z649" s="116">
        <f t="shared" si="268"/>
        <v>0</v>
      </c>
      <c r="AA649" s="116">
        <f t="shared" si="269"/>
        <v>0</v>
      </c>
      <c r="AB649" s="117">
        <f>'Ratios (C)'!$C$24+'Ratios (C)'!$D$24</f>
        <v>0.69982242504454684</v>
      </c>
      <c r="AC649" s="116">
        <f t="shared" si="300"/>
        <v>0</v>
      </c>
      <c r="AD649" s="116">
        <f t="shared" si="301"/>
        <v>0</v>
      </c>
      <c r="AE649" s="118"/>
      <c r="AF649" s="119"/>
      <c r="AG649" s="120"/>
      <c r="AH649" s="118"/>
      <c r="AI649" s="119"/>
      <c r="AJ649" s="121"/>
    </row>
    <row r="650" spans="2:36" s="9" customFormat="1">
      <c r="B650" s="9">
        <v>407</v>
      </c>
      <c r="C650" s="9" t="s">
        <v>679</v>
      </c>
      <c r="G650" s="9">
        <v>2004</v>
      </c>
      <c r="H650" s="9">
        <v>7</v>
      </c>
      <c r="I650" s="9">
        <v>0</v>
      </c>
      <c r="J650" s="9" t="s">
        <v>78</v>
      </c>
      <c r="K650" s="158">
        <v>7</v>
      </c>
      <c r="L650" s="9">
        <f t="shared" si="285"/>
        <v>2011</v>
      </c>
      <c r="M650" s="127">
        <f t="shared" si="286"/>
        <v>2011.5833333333333</v>
      </c>
      <c r="N650" s="13">
        <v>19515.57</v>
      </c>
      <c r="O650" s="13">
        <f t="shared" si="287"/>
        <v>19515.57</v>
      </c>
      <c r="P650" s="13">
        <f t="shared" si="288"/>
        <v>232.32821428571427</v>
      </c>
      <c r="Q650" s="13">
        <f t="shared" si="289"/>
        <v>2787.9385714285713</v>
      </c>
      <c r="R650" s="13">
        <v>0</v>
      </c>
      <c r="S650" s="13">
        <f t="shared" si="290"/>
        <v>0</v>
      </c>
      <c r="T650" s="13">
        <f t="shared" si="291"/>
        <v>19515.57</v>
      </c>
      <c r="U650" s="13">
        <f t="shared" si="292"/>
        <v>19515.57</v>
      </c>
      <c r="V650" s="13">
        <v>0</v>
      </c>
      <c r="W650" s="13">
        <f t="shared" si="293"/>
        <v>0</v>
      </c>
      <c r="X650" s="115">
        <f t="shared" si="298"/>
        <v>0</v>
      </c>
      <c r="Y650" s="116">
        <f t="shared" si="299"/>
        <v>0</v>
      </c>
      <c r="Z650" s="116">
        <f t="shared" si="268"/>
        <v>0</v>
      </c>
      <c r="AA650" s="116">
        <f t="shared" si="269"/>
        <v>0</v>
      </c>
      <c r="AB650" s="117">
        <f>'Ratios (C)'!$C$24+'Ratios (C)'!$D$24</f>
        <v>0.69982242504454684</v>
      </c>
      <c r="AC650" s="116">
        <f t="shared" si="300"/>
        <v>0</v>
      </c>
      <c r="AD650" s="116">
        <f t="shared" si="301"/>
        <v>0</v>
      </c>
      <c r="AE650" s="118"/>
      <c r="AF650" s="119"/>
      <c r="AG650" s="120"/>
      <c r="AH650" s="118"/>
      <c r="AI650" s="119"/>
      <c r="AJ650" s="121"/>
    </row>
    <row r="651" spans="2:36" s="9" customFormat="1">
      <c r="B651" s="9">
        <v>55</v>
      </c>
      <c r="C651" s="9" t="s">
        <v>680</v>
      </c>
      <c r="G651" s="9">
        <v>2004</v>
      </c>
      <c r="H651" s="9">
        <v>7</v>
      </c>
      <c r="I651" s="9">
        <v>0</v>
      </c>
      <c r="J651" s="9" t="s">
        <v>78</v>
      </c>
      <c r="K651" s="158">
        <v>7</v>
      </c>
      <c r="L651" s="9">
        <f t="shared" si="285"/>
        <v>2011</v>
      </c>
      <c r="M651" s="127">
        <f t="shared" si="286"/>
        <v>2011.5833333333333</v>
      </c>
      <c r="N651" s="13">
        <v>2636.29</v>
      </c>
      <c r="O651" s="13">
        <f t="shared" si="287"/>
        <v>2636.29</v>
      </c>
      <c r="P651" s="13">
        <f t="shared" si="288"/>
        <v>31.384404761904761</v>
      </c>
      <c r="Q651" s="13">
        <f t="shared" si="289"/>
        <v>376.61285714285714</v>
      </c>
      <c r="R651" s="13">
        <v>0</v>
      </c>
      <c r="S651" s="13">
        <f t="shared" si="290"/>
        <v>0</v>
      </c>
      <c r="T651" s="13">
        <f t="shared" si="291"/>
        <v>2636.29</v>
      </c>
      <c r="U651" s="13">
        <f t="shared" si="292"/>
        <v>2636.29</v>
      </c>
      <c r="V651" s="13">
        <v>0</v>
      </c>
      <c r="W651" s="13">
        <f t="shared" si="293"/>
        <v>0</v>
      </c>
      <c r="X651" s="115">
        <f t="shared" si="298"/>
        <v>0</v>
      </c>
      <c r="Y651" s="116">
        <f t="shared" si="299"/>
        <v>0</v>
      </c>
      <c r="Z651" s="116">
        <f t="shared" si="268"/>
        <v>0</v>
      </c>
      <c r="AA651" s="116">
        <f t="shared" si="269"/>
        <v>0</v>
      </c>
      <c r="AB651" s="117">
        <f>'Ratios (C)'!$C$24+'Ratios (C)'!$D$24</f>
        <v>0.69982242504454684</v>
      </c>
      <c r="AC651" s="116">
        <f t="shared" si="300"/>
        <v>0</v>
      </c>
      <c r="AD651" s="116">
        <f t="shared" si="301"/>
        <v>0</v>
      </c>
      <c r="AE651" s="118"/>
      <c r="AF651" s="119"/>
      <c r="AG651" s="120"/>
      <c r="AH651" s="118"/>
      <c r="AI651" s="119"/>
      <c r="AJ651" s="121"/>
    </row>
    <row r="652" spans="2:36" s="9" customFormat="1">
      <c r="B652" s="9">
        <v>376</v>
      </c>
      <c r="C652" s="9" t="s">
        <v>679</v>
      </c>
      <c r="G652" s="9">
        <v>2004</v>
      </c>
      <c r="H652" s="9">
        <v>12</v>
      </c>
      <c r="I652" s="9">
        <v>0</v>
      </c>
      <c r="J652" s="9" t="s">
        <v>78</v>
      </c>
      <c r="K652" s="158">
        <v>7</v>
      </c>
      <c r="L652" s="9">
        <f t="shared" si="285"/>
        <v>2011</v>
      </c>
      <c r="M652" s="127">
        <f t="shared" si="286"/>
        <v>2012</v>
      </c>
      <c r="N652" s="13">
        <v>18050.64</v>
      </c>
      <c r="O652" s="13">
        <f t="shared" si="287"/>
        <v>18050.64</v>
      </c>
      <c r="P652" s="13">
        <f t="shared" si="288"/>
        <v>214.8885714285714</v>
      </c>
      <c r="Q652" s="13">
        <f t="shared" si="289"/>
        <v>2578.6628571428569</v>
      </c>
      <c r="R652" s="13">
        <v>0</v>
      </c>
      <c r="S652" s="13">
        <f t="shared" si="290"/>
        <v>0</v>
      </c>
      <c r="T652" s="13">
        <f t="shared" si="291"/>
        <v>18050.64</v>
      </c>
      <c r="U652" s="13">
        <f t="shared" si="292"/>
        <v>18050.64</v>
      </c>
      <c r="V652" s="13">
        <v>0</v>
      </c>
      <c r="W652" s="13">
        <f t="shared" si="293"/>
        <v>0</v>
      </c>
      <c r="X652" s="115">
        <f t="shared" si="298"/>
        <v>0</v>
      </c>
      <c r="Y652" s="116">
        <f t="shared" si="299"/>
        <v>0</v>
      </c>
      <c r="Z652" s="116">
        <f t="shared" si="268"/>
        <v>0</v>
      </c>
      <c r="AA652" s="116">
        <f t="shared" si="269"/>
        <v>0</v>
      </c>
      <c r="AB652" s="117">
        <f>'Ratios (C)'!$C$24+'Ratios (C)'!$D$24</f>
        <v>0.69982242504454684</v>
      </c>
      <c r="AC652" s="116">
        <f t="shared" si="300"/>
        <v>0</v>
      </c>
      <c r="AD652" s="116">
        <f t="shared" si="301"/>
        <v>0</v>
      </c>
      <c r="AE652" s="118"/>
      <c r="AF652" s="119"/>
      <c r="AG652" s="120"/>
      <c r="AH652" s="118"/>
      <c r="AI652" s="119"/>
      <c r="AJ652" s="121"/>
    </row>
    <row r="653" spans="2:36" s="9" customFormat="1">
      <c r="B653" s="9">
        <v>412</v>
      </c>
      <c r="C653" s="9" t="s">
        <v>679</v>
      </c>
      <c r="G653" s="9">
        <v>2005</v>
      </c>
      <c r="H653" s="9">
        <v>1</v>
      </c>
      <c r="I653" s="9">
        <v>0</v>
      </c>
      <c r="J653" s="9" t="s">
        <v>78</v>
      </c>
      <c r="K653" s="158">
        <v>7</v>
      </c>
      <c r="L653" s="9">
        <f t="shared" si="285"/>
        <v>2012</v>
      </c>
      <c r="M653" s="127">
        <f t="shared" si="286"/>
        <v>2012.0833333333333</v>
      </c>
      <c r="N653" s="13">
        <v>19764.61</v>
      </c>
      <c r="O653" s="13">
        <f t="shared" si="287"/>
        <v>19764.61</v>
      </c>
      <c r="P653" s="13">
        <f t="shared" si="288"/>
        <v>235.2929761904762</v>
      </c>
      <c r="Q653" s="13">
        <f t="shared" si="289"/>
        <v>2823.5157142857142</v>
      </c>
      <c r="R653" s="13">
        <v>0</v>
      </c>
      <c r="S653" s="13">
        <f t="shared" si="290"/>
        <v>0</v>
      </c>
      <c r="T653" s="13">
        <f t="shared" si="291"/>
        <v>19764.61</v>
      </c>
      <c r="U653" s="13">
        <f t="shared" si="292"/>
        <v>19764.61</v>
      </c>
      <c r="V653" s="13">
        <v>0</v>
      </c>
      <c r="W653" s="13">
        <f t="shared" si="293"/>
        <v>0</v>
      </c>
      <c r="X653" s="115">
        <f t="shared" si="298"/>
        <v>0</v>
      </c>
      <c r="Y653" s="116">
        <f t="shared" si="299"/>
        <v>0</v>
      </c>
      <c r="Z653" s="116">
        <f t="shared" si="268"/>
        <v>0</v>
      </c>
      <c r="AA653" s="116">
        <f t="shared" si="269"/>
        <v>0</v>
      </c>
      <c r="AB653" s="117">
        <f>'Ratios (C)'!$C$24+'Ratios (C)'!$D$24</f>
        <v>0.69982242504454684</v>
      </c>
      <c r="AC653" s="116">
        <f t="shared" si="300"/>
        <v>0</v>
      </c>
      <c r="AD653" s="116">
        <f t="shared" si="301"/>
        <v>0</v>
      </c>
      <c r="AE653" s="118"/>
      <c r="AF653" s="119"/>
      <c r="AG653" s="120"/>
      <c r="AH653" s="118"/>
      <c r="AI653" s="119"/>
      <c r="AJ653" s="121"/>
    </row>
    <row r="654" spans="2:36" s="9" customFormat="1">
      <c r="B654" s="9">
        <v>437</v>
      </c>
      <c r="C654" s="9" t="s">
        <v>679</v>
      </c>
      <c r="G654" s="9">
        <v>2005</v>
      </c>
      <c r="H654" s="9">
        <v>3</v>
      </c>
      <c r="I654" s="9">
        <v>0</v>
      </c>
      <c r="J654" s="9" t="s">
        <v>78</v>
      </c>
      <c r="K654" s="158">
        <v>7</v>
      </c>
      <c r="L654" s="9">
        <f t="shared" si="285"/>
        <v>2012</v>
      </c>
      <c r="M654" s="127">
        <f t="shared" si="286"/>
        <v>2012.25</v>
      </c>
      <c r="N654" s="13">
        <v>20997.08</v>
      </c>
      <c r="O654" s="13">
        <f t="shared" si="287"/>
        <v>20997.08</v>
      </c>
      <c r="P654" s="13">
        <f t="shared" si="288"/>
        <v>249.96523809523811</v>
      </c>
      <c r="Q654" s="13">
        <f t="shared" si="289"/>
        <v>2999.5828571428574</v>
      </c>
      <c r="R654" s="13">
        <v>0</v>
      </c>
      <c r="S654" s="13">
        <f t="shared" si="290"/>
        <v>0</v>
      </c>
      <c r="T654" s="13">
        <f t="shared" si="291"/>
        <v>20997.08</v>
      </c>
      <c r="U654" s="13">
        <f t="shared" si="292"/>
        <v>20997.08</v>
      </c>
      <c r="V654" s="13">
        <v>0</v>
      </c>
      <c r="W654" s="13">
        <f t="shared" si="293"/>
        <v>0</v>
      </c>
      <c r="X654" s="115">
        <f t="shared" si="298"/>
        <v>0</v>
      </c>
      <c r="Y654" s="116">
        <f t="shared" si="299"/>
        <v>0</v>
      </c>
      <c r="Z654" s="116">
        <f t="shared" si="268"/>
        <v>0</v>
      </c>
      <c r="AA654" s="116">
        <f t="shared" si="269"/>
        <v>0</v>
      </c>
      <c r="AB654" s="117">
        <f>'Ratios (C)'!$C$24+'Ratios (C)'!$D$24</f>
        <v>0.69982242504454684</v>
      </c>
      <c r="AC654" s="116">
        <f t="shared" si="300"/>
        <v>0</v>
      </c>
      <c r="AD654" s="116">
        <f t="shared" si="301"/>
        <v>0</v>
      </c>
      <c r="AE654" s="118"/>
      <c r="AF654" s="119"/>
      <c r="AG654" s="120"/>
      <c r="AH654" s="118"/>
      <c r="AI654" s="119"/>
      <c r="AJ654" s="121"/>
    </row>
    <row r="655" spans="2:36" s="9" customFormat="1">
      <c r="B655" s="9">
        <v>424</v>
      </c>
      <c r="C655" s="9" t="s">
        <v>679</v>
      </c>
      <c r="G655" s="9">
        <v>2005</v>
      </c>
      <c r="H655" s="9">
        <v>3</v>
      </c>
      <c r="I655" s="9">
        <v>0</v>
      </c>
      <c r="J655" s="9" t="s">
        <v>78</v>
      </c>
      <c r="K655" s="158">
        <v>7</v>
      </c>
      <c r="L655" s="9">
        <f t="shared" si="285"/>
        <v>2012</v>
      </c>
      <c r="M655" s="127">
        <f t="shared" si="286"/>
        <v>2012.25</v>
      </c>
      <c r="N655" s="13">
        <v>20349.169999999998</v>
      </c>
      <c r="O655" s="13">
        <f t="shared" si="287"/>
        <v>20349.169999999998</v>
      </c>
      <c r="P655" s="13">
        <f t="shared" si="288"/>
        <v>242.25202380952376</v>
      </c>
      <c r="Q655" s="13">
        <f t="shared" si="289"/>
        <v>2907.0242857142853</v>
      </c>
      <c r="R655" s="13">
        <v>0</v>
      </c>
      <c r="S655" s="13">
        <f t="shared" si="290"/>
        <v>0</v>
      </c>
      <c r="T655" s="13">
        <f t="shared" si="291"/>
        <v>20349.169999999998</v>
      </c>
      <c r="U655" s="13">
        <f t="shared" si="292"/>
        <v>20349.169999999998</v>
      </c>
      <c r="V655" s="13">
        <v>0</v>
      </c>
      <c r="W655" s="13">
        <f t="shared" si="293"/>
        <v>0</v>
      </c>
      <c r="X655" s="115">
        <f t="shared" si="298"/>
        <v>0</v>
      </c>
      <c r="Y655" s="116">
        <f t="shared" si="299"/>
        <v>0</v>
      </c>
      <c r="Z655" s="116">
        <f t="shared" si="268"/>
        <v>0</v>
      </c>
      <c r="AA655" s="116">
        <f t="shared" si="269"/>
        <v>0</v>
      </c>
      <c r="AB655" s="117">
        <f>'Ratios (C)'!$C$24+'Ratios (C)'!$D$24</f>
        <v>0.69982242504454684</v>
      </c>
      <c r="AC655" s="116">
        <f t="shared" si="300"/>
        <v>0</v>
      </c>
      <c r="AD655" s="116">
        <f t="shared" si="301"/>
        <v>0</v>
      </c>
      <c r="AE655" s="118"/>
      <c r="AF655" s="119"/>
      <c r="AG655" s="120"/>
      <c r="AH655" s="118"/>
      <c r="AI655" s="119"/>
      <c r="AJ655" s="121"/>
    </row>
    <row r="656" spans="2:36" s="9" customFormat="1">
      <c r="B656" s="9">
        <v>417</v>
      </c>
      <c r="C656" s="9" t="s">
        <v>679</v>
      </c>
      <c r="G656" s="9">
        <v>2005</v>
      </c>
      <c r="H656" s="9">
        <v>5</v>
      </c>
      <c r="I656" s="9">
        <v>0</v>
      </c>
      <c r="J656" s="9" t="s">
        <v>78</v>
      </c>
      <c r="K656" s="158">
        <v>7</v>
      </c>
      <c r="L656" s="9">
        <f t="shared" si="285"/>
        <v>2012</v>
      </c>
      <c r="M656" s="127">
        <f t="shared" si="286"/>
        <v>2012.4166666666667</v>
      </c>
      <c r="N656" s="13">
        <v>19994.419999999998</v>
      </c>
      <c r="O656" s="13">
        <f t="shared" si="287"/>
        <v>19994.419999999998</v>
      </c>
      <c r="P656" s="13">
        <f t="shared" si="288"/>
        <v>238.02880952380951</v>
      </c>
      <c r="Q656" s="13">
        <f t="shared" si="289"/>
        <v>2856.3457142857142</v>
      </c>
      <c r="R656" s="13">
        <v>0</v>
      </c>
      <c r="S656" s="13">
        <f t="shared" si="290"/>
        <v>0</v>
      </c>
      <c r="T656" s="13">
        <f t="shared" si="291"/>
        <v>19994.419999999998</v>
      </c>
      <c r="U656" s="13">
        <f t="shared" si="292"/>
        <v>19994.419999999998</v>
      </c>
      <c r="V656" s="13">
        <v>0</v>
      </c>
      <c r="W656" s="13">
        <f t="shared" si="293"/>
        <v>0</v>
      </c>
      <c r="X656" s="115">
        <f t="shared" si="298"/>
        <v>0</v>
      </c>
      <c r="Y656" s="116">
        <f t="shared" si="299"/>
        <v>0</v>
      </c>
      <c r="Z656" s="116">
        <f t="shared" si="268"/>
        <v>0</v>
      </c>
      <c r="AA656" s="116">
        <f t="shared" si="269"/>
        <v>0</v>
      </c>
      <c r="AB656" s="117">
        <f>'Ratios (C)'!$C$24+'Ratios (C)'!$D$24</f>
        <v>0.69982242504454684</v>
      </c>
      <c r="AC656" s="116">
        <f t="shared" si="300"/>
        <v>0</v>
      </c>
      <c r="AD656" s="116">
        <f t="shared" si="301"/>
        <v>0</v>
      </c>
      <c r="AE656" s="118"/>
      <c r="AF656" s="119"/>
      <c r="AG656" s="120"/>
      <c r="AH656" s="118"/>
      <c r="AI656" s="119"/>
      <c r="AJ656" s="121"/>
    </row>
    <row r="657" spans="2:36" s="9" customFormat="1">
      <c r="B657" s="9">
        <v>417</v>
      </c>
      <c r="C657" s="9" t="s">
        <v>679</v>
      </c>
      <c r="G657" s="9">
        <v>2005</v>
      </c>
      <c r="H657" s="9">
        <v>5</v>
      </c>
      <c r="I657" s="9">
        <v>0</v>
      </c>
      <c r="J657" s="9" t="s">
        <v>78</v>
      </c>
      <c r="K657" s="158">
        <v>7</v>
      </c>
      <c r="L657" s="9">
        <f t="shared" si="285"/>
        <v>2012</v>
      </c>
      <c r="M657" s="127">
        <f t="shared" si="286"/>
        <v>2012.4166666666667</v>
      </c>
      <c r="N657" s="13">
        <v>19994.419999999998</v>
      </c>
      <c r="O657" s="13">
        <f t="shared" si="287"/>
        <v>19994.419999999998</v>
      </c>
      <c r="P657" s="13">
        <f t="shared" si="288"/>
        <v>238.02880952380951</v>
      </c>
      <c r="Q657" s="13">
        <f t="shared" si="289"/>
        <v>2856.3457142857142</v>
      </c>
      <c r="R657" s="13">
        <v>0</v>
      </c>
      <c r="S657" s="13">
        <f t="shared" si="290"/>
        <v>0</v>
      </c>
      <c r="T657" s="13">
        <f t="shared" si="291"/>
        <v>19994.419999999998</v>
      </c>
      <c r="U657" s="13">
        <f t="shared" si="292"/>
        <v>19994.419999999998</v>
      </c>
      <c r="V657" s="13">
        <v>0</v>
      </c>
      <c r="W657" s="13">
        <f t="shared" si="293"/>
        <v>0</v>
      </c>
      <c r="X657" s="115">
        <f t="shared" si="298"/>
        <v>0</v>
      </c>
      <c r="Y657" s="116">
        <f t="shared" si="299"/>
        <v>0</v>
      </c>
      <c r="Z657" s="116">
        <f t="shared" si="268"/>
        <v>0</v>
      </c>
      <c r="AA657" s="116">
        <f t="shared" si="269"/>
        <v>0</v>
      </c>
      <c r="AB657" s="117">
        <f>'Ratios (C)'!$C$24+'Ratios (C)'!$D$24</f>
        <v>0.69982242504454684</v>
      </c>
      <c r="AC657" s="116">
        <f t="shared" si="300"/>
        <v>0</v>
      </c>
      <c r="AD657" s="116">
        <f t="shared" si="301"/>
        <v>0</v>
      </c>
      <c r="AE657" s="118"/>
      <c r="AF657" s="119"/>
      <c r="AG657" s="120"/>
      <c r="AH657" s="118"/>
      <c r="AI657" s="119"/>
      <c r="AJ657" s="121"/>
    </row>
    <row r="658" spans="2:36" s="9" customFormat="1">
      <c r="B658" s="9">
        <v>465</v>
      </c>
      <c r="C658" s="9" t="s">
        <v>679</v>
      </c>
      <c r="G658" s="9">
        <v>2005</v>
      </c>
      <c r="H658" s="9">
        <v>6</v>
      </c>
      <c r="I658" s="9">
        <v>0</v>
      </c>
      <c r="J658" s="9" t="s">
        <v>78</v>
      </c>
      <c r="K658" s="158">
        <v>7</v>
      </c>
      <c r="L658" s="9">
        <f t="shared" si="285"/>
        <v>2012</v>
      </c>
      <c r="M658" s="127">
        <f t="shared" si="286"/>
        <v>2012.5</v>
      </c>
      <c r="N658" s="13">
        <v>22310.54</v>
      </c>
      <c r="O658" s="13">
        <f t="shared" si="287"/>
        <v>22310.54</v>
      </c>
      <c r="P658" s="13">
        <f t="shared" si="288"/>
        <v>265.60166666666669</v>
      </c>
      <c r="Q658" s="13">
        <f t="shared" si="289"/>
        <v>3187.2200000000003</v>
      </c>
      <c r="R658" s="13">
        <v>0</v>
      </c>
      <c r="S658" s="13">
        <f t="shared" si="290"/>
        <v>0</v>
      </c>
      <c r="T658" s="13">
        <f t="shared" si="291"/>
        <v>22310.54</v>
      </c>
      <c r="U658" s="13">
        <f t="shared" si="292"/>
        <v>22310.54</v>
      </c>
      <c r="V658" s="13">
        <v>0</v>
      </c>
      <c r="W658" s="13">
        <f t="shared" si="293"/>
        <v>0</v>
      </c>
      <c r="X658" s="115">
        <f t="shared" si="298"/>
        <v>0</v>
      </c>
      <c r="Y658" s="116">
        <f t="shared" si="299"/>
        <v>0</v>
      </c>
      <c r="Z658" s="116">
        <f t="shared" si="268"/>
        <v>0</v>
      </c>
      <c r="AA658" s="116">
        <f t="shared" si="269"/>
        <v>0</v>
      </c>
      <c r="AB658" s="117">
        <f>'Ratios (C)'!$C$24+'Ratios (C)'!$D$24</f>
        <v>0.69982242504454684</v>
      </c>
      <c r="AC658" s="116">
        <f t="shared" si="300"/>
        <v>0</v>
      </c>
      <c r="AD658" s="116">
        <f t="shared" si="301"/>
        <v>0</v>
      </c>
      <c r="AE658" s="118"/>
      <c r="AF658" s="119"/>
      <c r="AG658" s="120"/>
      <c r="AH658" s="118"/>
      <c r="AI658" s="119"/>
      <c r="AJ658" s="121"/>
    </row>
    <row r="659" spans="2:36" s="9" customFormat="1">
      <c r="B659" s="9">
        <v>444</v>
      </c>
      <c r="C659" s="9" t="s">
        <v>680</v>
      </c>
      <c r="G659" s="9">
        <v>2005</v>
      </c>
      <c r="H659" s="9">
        <v>6</v>
      </c>
      <c r="I659" s="9">
        <v>0</v>
      </c>
      <c r="J659" s="9" t="s">
        <v>78</v>
      </c>
      <c r="K659" s="158">
        <v>7</v>
      </c>
      <c r="L659" s="9">
        <f t="shared" si="285"/>
        <v>2012</v>
      </c>
      <c r="M659" s="127">
        <f t="shared" si="286"/>
        <v>2012.5</v>
      </c>
      <c r="N659" s="13">
        <v>21311.439999999999</v>
      </c>
      <c r="O659" s="13">
        <f t="shared" si="287"/>
        <v>21311.439999999999</v>
      </c>
      <c r="P659" s="13">
        <f t="shared" si="288"/>
        <v>253.70761904761903</v>
      </c>
      <c r="Q659" s="13">
        <f t="shared" si="289"/>
        <v>3044.4914285714285</v>
      </c>
      <c r="R659" s="13">
        <v>0</v>
      </c>
      <c r="S659" s="13">
        <f t="shared" si="290"/>
        <v>0</v>
      </c>
      <c r="T659" s="13">
        <f t="shared" si="291"/>
        <v>21311.439999999999</v>
      </c>
      <c r="U659" s="13">
        <f t="shared" si="292"/>
        <v>21311.439999999999</v>
      </c>
      <c r="V659" s="13">
        <v>0</v>
      </c>
      <c r="W659" s="13">
        <f t="shared" si="293"/>
        <v>0</v>
      </c>
      <c r="X659" s="115">
        <f t="shared" si="298"/>
        <v>0</v>
      </c>
      <c r="Y659" s="116">
        <f t="shared" si="299"/>
        <v>0</v>
      </c>
      <c r="Z659" s="116">
        <f t="shared" ref="Z659:Z732" si="302">X659-R659</f>
        <v>0</v>
      </c>
      <c r="AA659" s="116">
        <f t="shared" ref="AA659:AA732" si="303">Y659-V659</f>
        <v>0</v>
      </c>
      <c r="AB659" s="117">
        <f>'Ratios (C)'!$C$24+'Ratios (C)'!$D$24</f>
        <v>0.69982242504454684</v>
      </c>
      <c r="AC659" s="116">
        <f t="shared" si="300"/>
        <v>0</v>
      </c>
      <c r="AD659" s="116">
        <f t="shared" si="301"/>
        <v>0</v>
      </c>
      <c r="AE659" s="118"/>
      <c r="AF659" s="119"/>
      <c r="AG659" s="120"/>
      <c r="AH659" s="118"/>
      <c r="AI659" s="119"/>
      <c r="AJ659" s="121"/>
    </row>
    <row r="660" spans="2:36" s="9" customFormat="1">
      <c r="B660" s="9">
        <v>436</v>
      </c>
      <c r="C660" s="9" t="s">
        <v>679</v>
      </c>
      <c r="G660" s="9">
        <v>2005</v>
      </c>
      <c r="H660" s="9">
        <v>7</v>
      </c>
      <c r="I660" s="9">
        <v>0</v>
      </c>
      <c r="J660" s="9" t="s">
        <v>78</v>
      </c>
      <c r="K660" s="158">
        <v>7</v>
      </c>
      <c r="L660" s="9">
        <f t="shared" si="285"/>
        <v>2012</v>
      </c>
      <c r="M660" s="127">
        <f t="shared" si="286"/>
        <v>2012.5833333333333</v>
      </c>
      <c r="N660" s="13">
        <v>20919.810000000001</v>
      </c>
      <c r="O660" s="13">
        <f t="shared" si="287"/>
        <v>20919.810000000001</v>
      </c>
      <c r="P660" s="13">
        <f t="shared" si="288"/>
        <v>249.04535714285714</v>
      </c>
      <c r="Q660" s="13">
        <f t="shared" si="289"/>
        <v>2988.5442857142857</v>
      </c>
      <c r="R660" s="13">
        <v>0</v>
      </c>
      <c r="S660" s="13">
        <f t="shared" si="290"/>
        <v>0</v>
      </c>
      <c r="T660" s="13">
        <f t="shared" si="291"/>
        <v>20919.810000000001</v>
      </c>
      <c r="U660" s="13">
        <f t="shared" si="292"/>
        <v>20919.810000000001</v>
      </c>
      <c r="V660" s="13">
        <v>0</v>
      </c>
      <c r="W660" s="13">
        <f t="shared" si="293"/>
        <v>0</v>
      </c>
      <c r="X660" s="115">
        <f t="shared" si="298"/>
        <v>0</v>
      </c>
      <c r="Y660" s="116">
        <f t="shared" si="299"/>
        <v>0</v>
      </c>
      <c r="Z660" s="116">
        <f t="shared" si="302"/>
        <v>0</v>
      </c>
      <c r="AA660" s="116">
        <f t="shared" si="303"/>
        <v>0</v>
      </c>
      <c r="AB660" s="117">
        <f>'Ratios (C)'!$C$24+'Ratios (C)'!$D$24</f>
        <v>0.69982242504454684</v>
      </c>
      <c r="AC660" s="116">
        <f t="shared" si="300"/>
        <v>0</v>
      </c>
      <c r="AD660" s="116">
        <f t="shared" si="301"/>
        <v>0</v>
      </c>
      <c r="AE660" s="118"/>
      <c r="AF660" s="119"/>
      <c r="AG660" s="120"/>
      <c r="AH660" s="118"/>
      <c r="AI660" s="119"/>
      <c r="AJ660" s="121"/>
    </row>
    <row r="661" spans="2:36" s="9" customFormat="1">
      <c r="B661" s="9">
        <v>508</v>
      </c>
      <c r="C661" s="9" t="s">
        <v>679</v>
      </c>
      <c r="G661" s="9">
        <v>2005</v>
      </c>
      <c r="H661" s="9">
        <v>9</v>
      </c>
      <c r="I661" s="9">
        <v>0</v>
      </c>
      <c r="J661" s="9" t="s">
        <v>78</v>
      </c>
      <c r="K661" s="158">
        <v>7</v>
      </c>
      <c r="L661" s="9">
        <f t="shared" si="285"/>
        <v>2012</v>
      </c>
      <c r="M661" s="127">
        <f t="shared" si="286"/>
        <v>2012.75</v>
      </c>
      <c r="N661" s="13">
        <v>24364.94</v>
      </c>
      <c r="O661" s="13">
        <f t="shared" si="287"/>
        <v>24364.94</v>
      </c>
      <c r="P661" s="13">
        <f t="shared" si="288"/>
        <v>290.05880952380954</v>
      </c>
      <c r="Q661" s="13">
        <f t="shared" si="289"/>
        <v>3480.7057142857147</v>
      </c>
      <c r="R661" s="13">
        <v>0</v>
      </c>
      <c r="S661" s="13">
        <f t="shared" si="290"/>
        <v>0</v>
      </c>
      <c r="T661" s="13">
        <f t="shared" si="291"/>
        <v>24364.94</v>
      </c>
      <c r="U661" s="13">
        <f t="shared" si="292"/>
        <v>24364.94</v>
      </c>
      <c r="V661" s="13">
        <v>0</v>
      </c>
      <c r="W661" s="13">
        <f t="shared" si="293"/>
        <v>0</v>
      </c>
      <c r="X661" s="115">
        <f t="shared" si="298"/>
        <v>0</v>
      </c>
      <c r="Y661" s="116">
        <f t="shared" si="299"/>
        <v>0</v>
      </c>
      <c r="Z661" s="116">
        <f t="shared" si="302"/>
        <v>0</v>
      </c>
      <c r="AA661" s="116">
        <f t="shared" si="303"/>
        <v>0</v>
      </c>
      <c r="AB661" s="117">
        <f>'Ratios (C)'!$C$24+'Ratios (C)'!$D$24</f>
        <v>0.69982242504454684</v>
      </c>
      <c r="AC661" s="116">
        <f t="shared" si="300"/>
        <v>0</v>
      </c>
      <c r="AD661" s="116">
        <f t="shared" si="301"/>
        <v>0</v>
      </c>
      <c r="AE661" s="118"/>
      <c r="AF661" s="119"/>
      <c r="AG661" s="120"/>
      <c r="AH661" s="118"/>
      <c r="AI661" s="119"/>
      <c r="AJ661" s="121"/>
    </row>
    <row r="662" spans="2:36" s="9" customFormat="1">
      <c r="B662" s="9">
        <v>477</v>
      </c>
      <c r="C662" s="9" t="s">
        <v>679</v>
      </c>
      <c r="G662" s="9">
        <v>2005</v>
      </c>
      <c r="H662" s="9">
        <v>10</v>
      </c>
      <c r="I662" s="9">
        <v>0</v>
      </c>
      <c r="J662" s="9" t="s">
        <v>78</v>
      </c>
      <c r="K662" s="158">
        <v>7</v>
      </c>
      <c r="L662" s="9">
        <f t="shared" si="285"/>
        <v>2012</v>
      </c>
      <c r="M662" s="127">
        <f t="shared" si="286"/>
        <v>2012.8333333333333</v>
      </c>
      <c r="N662" s="13">
        <v>22905.05</v>
      </c>
      <c r="O662" s="13">
        <f t="shared" si="287"/>
        <v>22905.05</v>
      </c>
      <c r="P662" s="13">
        <f t="shared" si="288"/>
        <v>272.67916666666667</v>
      </c>
      <c r="Q662" s="13">
        <f t="shared" si="289"/>
        <v>3272.15</v>
      </c>
      <c r="R662" s="13">
        <v>0</v>
      </c>
      <c r="S662" s="13">
        <f t="shared" si="290"/>
        <v>0</v>
      </c>
      <c r="T662" s="13">
        <f t="shared" si="291"/>
        <v>22905.05</v>
      </c>
      <c r="U662" s="13">
        <f t="shared" si="292"/>
        <v>22905.05</v>
      </c>
      <c r="V662" s="13">
        <v>0</v>
      </c>
      <c r="W662" s="13">
        <f t="shared" si="293"/>
        <v>0</v>
      </c>
      <c r="X662" s="115">
        <f t="shared" si="298"/>
        <v>0</v>
      </c>
      <c r="Y662" s="116">
        <f t="shared" si="299"/>
        <v>0</v>
      </c>
      <c r="Z662" s="116">
        <f t="shared" si="302"/>
        <v>0</v>
      </c>
      <c r="AA662" s="116">
        <f t="shared" si="303"/>
        <v>0</v>
      </c>
      <c r="AB662" s="117">
        <f>'Ratios (C)'!$C$24+'Ratios (C)'!$D$24</f>
        <v>0.69982242504454684</v>
      </c>
      <c r="AC662" s="116">
        <f t="shared" si="300"/>
        <v>0</v>
      </c>
      <c r="AD662" s="116">
        <f t="shared" si="301"/>
        <v>0</v>
      </c>
      <c r="AE662" s="118"/>
      <c r="AF662" s="119"/>
      <c r="AG662" s="120"/>
      <c r="AH662" s="118"/>
      <c r="AI662" s="119"/>
      <c r="AJ662" s="121"/>
    </row>
    <row r="663" spans="2:36" s="9" customFormat="1">
      <c r="B663" s="9">
        <v>514</v>
      </c>
      <c r="C663" s="9" t="s">
        <v>680</v>
      </c>
      <c r="G663" s="9">
        <v>2006</v>
      </c>
      <c r="H663" s="9">
        <v>5</v>
      </c>
      <c r="I663" s="9">
        <v>0</v>
      </c>
      <c r="J663" s="9" t="s">
        <v>78</v>
      </c>
      <c r="K663" s="158">
        <v>7</v>
      </c>
      <c r="L663" s="9">
        <f t="shared" si="285"/>
        <v>2013</v>
      </c>
      <c r="M663" s="127">
        <f t="shared" si="286"/>
        <v>2013.4166666666667</v>
      </c>
      <c r="N663" s="13">
        <v>24666.23</v>
      </c>
      <c r="O663" s="13">
        <f t="shared" si="287"/>
        <v>24666.23</v>
      </c>
      <c r="P663" s="13">
        <f t="shared" si="288"/>
        <v>293.64559523809527</v>
      </c>
      <c r="Q663" s="13">
        <f t="shared" si="289"/>
        <v>3523.7471428571434</v>
      </c>
      <c r="R663" s="13">
        <v>0</v>
      </c>
      <c r="S663" s="13">
        <f t="shared" si="290"/>
        <v>0</v>
      </c>
      <c r="T663" s="13">
        <f t="shared" si="291"/>
        <v>24666.23</v>
      </c>
      <c r="U663" s="13">
        <f t="shared" si="292"/>
        <v>24666.23</v>
      </c>
      <c r="V663" s="13">
        <v>0</v>
      </c>
      <c r="W663" s="13">
        <f t="shared" si="293"/>
        <v>0</v>
      </c>
      <c r="X663" s="115">
        <f t="shared" si="298"/>
        <v>0</v>
      </c>
      <c r="Y663" s="116">
        <f t="shared" si="299"/>
        <v>0</v>
      </c>
      <c r="Z663" s="116">
        <f t="shared" si="302"/>
        <v>0</v>
      </c>
      <c r="AA663" s="116">
        <f t="shared" si="303"/>
        <v>0</v>
      </c>
      <c r="AB663" s="117">
        <f>'Ratios (C)'!$C$24+'Ratios (C)'!$D$24</f>
        <v>0.69982242504454684</v>
      </c>
      <c r="AC663" s="116">
        <f t="shared" si="300"/>
        <v>0</v>
      </c>
      <c r="AD663" s="116">
        <f t="shared" si="301"/>
        <v>0</v>
      </c>
      <c r="AE663" s="118"/>
      <c r="AF663" s="119"/>
      <c r="AG663" s="120"/>
      <c r="AH663" s="118"/>
      <c r="AI663" s="119"/>
      <c r="AJ663" s="121"/>
    </row>
    <row r="664" spans="2:36" s="9" customFormat="1">
      <c r="B664" s="9">
        <v>523</v>
      </c>
      <c r="C664" s="9" t="s">
        <v>680</v>
      </c>
      <c r="G664" s="9">
        <v>2006</v>
      </c>
      <c r="H664" s="9">
        <v>7</v>
      </c>
      <c r="I664" s="9">
        <v>0</v>
      </c>
      <c r="J664" s="9" t="s">
        <v>78</v>
      </c>
      <c r="K664" s="158">
        <v>7</v>
      </c>
      <c r="L664" s="9">
        <f t="shared" si="285"/>
        <v>2013</v>
      </c>
      <c r="M664" s="127">
        <f t="shared" si="286"/>
        <v>2013.5833333333333</v>
      </c>
      <c r="N664" s="13">
        <v>25094.53</v>
      </c>
      <c r="O664" s="13">
        <f t="shared" si="287"/>
        <v>25094.53</v>
      </c>
      <c r="P664" s="13">
        <f t="shared" si="288"/>
        <v>298.74440476190472</v>
      </c>
      <c r="Q664" s="13">
        <f t="shared" si="289"/>
        <v>3584.9328571428568</v>
      </c>
      <c r="R664" s="13">
        <v>0</v>
      </c>
      <c r="S664" s="13">
        <f t="shared" si="290"/>
        <v>0</v>
      </c>
      <c r="T664" s="13">
        <f t="shared" si="291"/>
        <v>25094.53</v>
      </c>
      <c r="U664" s="13">
        <f t="shared" si="292"/>
        <v>25094.53</v>
      </c>
      <c r="V664" s="13">
        <v>0</v>
      </c>
      <c r="W664" s="13">
        <f t="shared" si="293"/>
        <v>0</v>
      </c>
      <c r="X664" s="115">
        <f t="shared" si="298"/>
        <v>0</v>
      </c>
      <c r="Y664" s="116">
        <f t="shared" si="299"/>
        <v>0</v>
      </c>
      <c r="Z664" s="116">
        <f t="shared" si="302"/>
        <v>0</v>
      </c>
      <c r="AA664" s="116">
        <f t="shared" si="303"/>
        <v>0</v>
      </c>
      <c r="AB664" s="117">
        <f>'Ratios (C)'!$C$24+'Ratios (C)'!$D$24</f>
        <v>0.69982242504454684</v>
      </c>
      <c r="AC664" s="116">
        <f t="shared" si="300"/>
        <v>0</v>
      </c>
      <c r="AD664" s="116">
        <f t="shared" si="301"/>
        <v>0</v>
      </c>
      <c r="AE664" s="118"/>
      <c r="AF664" s="119"/>
      <c r="AG664" s="120"/>
      <c r="AH664" s="118"/>
      <c r="AI664" s="119"/>
      <c r="AJ664" s="121"/>
    </row>
    <row r="665" spans="2:36" s="9" customFormat="1">
      <c r="B665" s="9">
        <v>512</v>
      </c>
      <c r="C665" s="9" t="s">
        <v>680</v>
      </c>
      <c r="G665" s="9">
        <v>2006</v>
      </c>
      <c r="H665" s="9">
        <v>7</v>
      </c>
      <c r="I665" s="9">
        <v>0</v>
      </c>
      <c r="J665" s="9" t="s">
        <v>78</v>
      </c>
      <c r="K665" s="158">
        <v>7</v>
      </c>
      <c r="L665" s="9">
        <f t="shared" si="285"/>
        <v>2013</v>
      </c>
      <c r="M665" s="127">
        <f t="shared" si="286"/>
        <v>2013.5833333333333</v>
      </c>
      <c r="N665" s="13">
        <v>24596.23</v>
      </c>
      <c r="O665" s="13">
        <f t="shared" si="287"/>
        <v>24596.23</v>
      </c>
      <c r="P665" s="13">
        <f t="shared" si="288"/>
        <v>292.8122619047619</v>
      </c>
      <c r="Q665" s="13">
        <f t="shared" si="289"/>
        <v>3513.7471428571425</v>
      </c>
      <c r="R665" s="13">
        <v>0</v>
      </c>
      <c r="S665" s="13">
        <f t="shared" si="290"/>
        <v>0</v>
      </c>
      <c r="T665" s="13">
        <f t="shared" si="291"/>
        <v>24596.23</v>
      </c>
      <c r="U665" s="13">
        <f t="shared" si="292"/>
        <v>24596.23</v>
      </c>
      <c r="V665" s="13">
        <v>0</v>
      </c>
      <c r="W665" s="13">
        <f t="shared" si="293"/>
        <v>0</v>
      </c>
      <c r="X665" s="115">
        <f t="shared" si="298"/>
        <v>0</v>
      </c>
      <c r="Y665" s="116">
        <f t="shared" si="299"/>
        <v>0</v>
      </c>
      <c r="Z665" s="116">
        <f t="shared" si="302"/>
        <v>0</v>
      </c>
      <c r="AA665" s="116">
        <f t="shared" si="303"/>
        <v>0</v>
      </c>
      <c r="AB665" s="117">
        <f>'Ratios (C)'!$C$24+'Ratios (C)'!$D$24</f>
        <v>0.69982242504454684</v>
      </c>
      <c r="AC665" s="116">
        <f t="shared" si="300"/>
        <v>0</v>
      </c>
      <c r="AD665" s="116">
        <f t="shared" si="301"/>
        <v>0</v>
      </c>
      <c r="AE665" s="118"/>
      <c r="AF665" s="119"/>
      <c r="AG665" s="120"/>
      <c r="AH665" s="118"/>
      <c r="AI665" s="119"/>
      <c r="AJ665" s="121"/>
    </row>
    <row r="666" spans="2:36" s="9" customFormat="1">
      <c r="B666" s="9">
        <v>272</v>
      </c>
      <c r="C666" s="9" t="s">
        <v>679</v>
      </c>
      <c r="G666" s="9">
        <v>2006</v>
      </c>
      <c r="H666" s="9">
        <v>10</v>
      </c>
      <c r="I666" s="9">
        <v>0</v>
      </c>
      <c r="J666" s="9" t="s">
        <v>78</v>
      </c>
      <c r="K666" s="158">
        <v>7</v>
      </c>
      <c r="L666" s="9">
        <f t="shared" si="285"/>
        <v>2013</v>
      </c>
      <c r="M666" s="127">
        <f t="shared" si="286"/>
        <v>2013.8333333333333</v>
      </c>
      <c r="N666" s="13">
        <v>13057.61</v>
      </c>
      <c r="O666" s="13">
        <f t="shared" si="287"/>
        <v>13057.61</v>
      </c>
      <c r="P666" s="13">
        <f t="shared" si="288"/>
        <v>155.44773809523809</v>
      </c>
      <c r="Q666" s="13">
        <f t="shared" si="289"/>
        <v>1865.3728571428571</v>
      </c>
      <c r="R666" s="13">
        <v>0</v>
      </c>
      <c r="S666" s="13">
        <f t="shared" si="290"/>
        <v>0</v>
      </c>
      <c r="T666" s="13">
        <f t="shared" si="291"/>
        <v>13057.61</v>
      </c>
      <c r="U666" s="13">
        <f t="shared" si="292"/>
        <v>13057.61</v>
      </c>
      <c r="V666" s="13">
        <v>0</v>
      </c>
      <c r="W666" s="13">
        <f t="shared" si="293"/>
        <v>0</v>
      </c>
      <c r="X666" s="115">
        <f t="shared" si="298"/>
        <v>0</v>
      </c>
      <c r="Y666" s="116">
        <f t="shared" si="299"/>
        <v>0</v>
      </c>
      <c r="Z666" s="116">
        <f t="shared" si="302"/>
        <v>0</v>
      </c>
      <c r="AA666" s="116">
        <f t="shared" si="303"/>
        <v>0</v>
      </c>
      <c r="AB666" s="117">
        <f>'Ratios (C)'!$C$24+'Ratios (C)'!$D$24</f>
        <v>0.69982242504454684</v>
      </c>
      <c r="AC666" s="116">
        <f t="shared" si="300"/>
        <v>0</v>
      </c>
      <c r="AD666" s="116">
        <f t="shared" si="301"/>
        <v>0</v>
      </c>
      <c r="AE666" s="118"/>
      <c r="AF666" s="119"/>
      <c r="AG666" s="120"/>
      <c r="AH666" s="118"/>
      <c r="AI666" s="119"/>
      <c r="AJ666" s="121"/>
    </row>
    <row r="667" spans="2:36" s="9" customFormat="1">
      <c r="B667" s="9">
        <v>244</v>
      </c>
      <c r="C667" s="9" t="s">
        <v>680</v>
      </c>
      <c r="G667" s="9">
        <v>2006</v>
      </c>
      <c r="H667" s="9">
        <v>10</v>
      </c>
      <c r="I667" s="9">
        <v>0</v>
      </c>
      <c r="J667" s="9" t="s">
        <v>78</v>
      </c>
      <c r="K667" s="158">
        <v>7</v>
      </c>
      <c r="L667" s="9">
        <f t="shared" si="285"/>
        <v>2013</v>
      </c>
      <c r="M667" s="127">
        <f t="shared" si="286"/>
        <v>2013.8333333333333</v>
      </c>
      <c r="N667" s="13">
        <v>11700.28</v>
      </c>
      <c r="O667" s="13">
        <f t="shared" si="287"/>
        <v>11700.28</v>
      </c>
      <c r="P667" s="13">
        <f t="shared" si="288"/>
        <v>139.28904761904764</v>
      </c>
      <c r="Q667" s="13">
        <f t="shared" si="289"/>
        <v>1671.4685714285715</v>
      </c>
      <c r="R667" s="13">
        <v>0</v>
      </c>
      <c r="S667" s="13">
        <f t="shared" si="290"/>
        <v>0</v>
      </c>
      <c r="T667" s="13">
        <f t="shared" si="291"/>
        <v>11700.28</v>
      </c>
      <c r="U667" s="13">
        <f t="shared" si="292"/>
        <v>11700.28</v>
      </c>
      <c r="V667" s="13">
        <v>0</v>
      </c>
      <c r="W667" s="13">
        <f t="shared" si="293"/>
        <v>0</v>
      </c>
      <c r="X667" s="115">
        <f t="shared" si="298"/>
        <v>0</v>
      </c>
      <c r="Y667" s="116">
        <f t="shared" si="299"/>
        <v>0</v>
      </c>
      <c r="Z667" s="116">
        <f t="shared" si="302"/>
        <v>0</v>
      </c>
      <c r="AA667" s="116">
        <f t="shared" si="303"/>
        <v>0</v>
      </c>
      <c r="AB667" s="117">
        <f>'Ratios (C)'!$C$24+'Ratios (C)'!$D$24</f>
        <v>0.69982242504454684</v>
      </c>
      <c r="AC667" s="116">
        <f t="shared" si="300"/>
        <v>0</v>
      </c>
      <c r="AD667" s="116">
        <f t="shared" si="301"/>
        <v>0</v>
      </c>
      <c r="AE667" s="118"/>
      <c r="AF667" s="119"/>
      <c r="AG667" s="120"/>
      <c r="AH667" s="118"/>
      <c r="AI667" s="119"/>
      <c r="AJ667" s="121"/>
    </row>
    <row r="668" spans="2:36" s="9" customFormat="1">
      <c r="B668" s="9">
        <v>486</v>
      </c>
      <c r="C668" s="9" t="s">
        <v>682</v>
      </c>
      <c r="D668" s="9">
        <v>2181</v>
      </c>
      <c r="E668" s="9">
        <v>65542</v>
      </c>
      <c r="G668" s="9">
        <v>2009</v>
      </c>
      <c r="H668" s="9">
        <v>6</v>
      </c>
      <c r="I668" s="9">
        <v>0</v>
      </c>
      <c r="J668" s="9" t="s">
        <v>78</v>
      </c>
      <c r="K668" s="158">
        <v>7</v>
      </c>
      <c r="L668" s="9">
        <f t="shared" si="285"/>
        <v>2016</v>
      </c>
      <c r="M668" s="127">
        <f t="shared" si="286"/>
        <v>2016.5</v>
      </c>
      <c r="N668" s="13">
        <v>22586.55</v>
      </c>
      <c r="O668" s="13">
        <f t="shared" si="287"/>
        <v>22586.55</v>
      </c>
      <c r="P668" s="13">
        <f t="shared" si="288"/>
        <v>268.88749999999999</v>
      </c>
      <c r="Q668" s="13">
        <f t="shared" si="289"/>
        <v>3226.6499999999996</v>
      </c>
      <c r="R668" s="13">
        <v>0</v>
      </c>
      <c r="S668" s="13">
        <f t="shared" si="290"/>
        <v>0</v>
      </c>
      <c r="T668" s="13">
        <f t="shared" si="291"/>
        <v>22586.55</v>
      </c>
      <c r="U668" s="13">
        <f t="shared" si="292"/>
        <v>22586.55</v>
      </c>
      <c r="V668" s="13">
        <v>0</v>
      </c>
      <c r="W668" s="13">
        <f t="shared" si="293"/>
        <v>0</v>
      </c>
      <c r="X668" s="115">
        <f t="shared" si="298"/>
        <v>0</v>
      </c>
      <c r="Y668" s="116">
        <f t="shared" si="299"/>
        <v>0</v>
      </c>
      <c r="Z668" s="116">
        <f t="shared" si="302"/>
        <v>0</v>
      </c>
      <c r="AA668" s="116">
        <f t="shared" si="303"/>
        <v>0</v>
      </c>
      <c r="AB668" s="117">
        <f>'Ratios (C)'!$C$24+'Ratios (C)'!$D$24</f>
        <v>0.69982242504454684</v>
      </c>
      <c r="AC668" s="116">
        <f t="shared" si="300"/>
        <v>0</v>
      </c>
      <c r="AD668" s="116">
        <f t="shared" si="301"/>
        <v>0</v>
      </c>
      <c r="AE668" s="118"/>
      <c r="AF668" s="119"/>
      <c r="AG668" s="120"/>
      <c r="AH668" s="118"/>
      <c r="AI668" s="119"/>
      <c r="AJ668" s="121"/>
    </row>
    <row r="669" spans="2:36" s="9" customFormat="1">
      <c r="B669" s="9">
        <v>486</v>
      </c>
      <c r="C669" s="9" t="s">
        <v>683</v>
      </c>
      <c r="D669" s="9">
        <v>2181</v>
      </c>
      <c r="E669" s="9">
        <v>66257</v>
      </c>
      <c r="G669" s="9">
        <v>2009</v>
      </c>
      <c r="H669" s="9">
        <v>7</v>
      </c>
      <c r="I669" s="9">
        <v>0</v>
      </c>
      <c r="J669" s="9" t="s">
        <v>78</v>
      </c>
      <c r="K669" s="158">
        <v>7</v>
      </c>
      <c r="L669" s="9">
        <f t="shared" si="285"/>
        <v>2016</v>
      </c>
      <c r="M669" s="127">
        <f t="shared" si="286"/>
        <v>2016.5833333333333</v>
      </c>
      <c r="N669" s="13">
        <v>22586.55</v>
      </c>
      <c r="O669" s="13">
        <f t="shared" si="287"/>
        <v>22586.55</v>
      </c>
      <c r="P669" s="13">
        <f t="shared" si="288"/>
        <v>268.88749999999999</v>
      </c>
      <c r="Q669" s="13">
        <f t="shared" si="289"/>
        <v>3226.6499999999996</v>
      </c>
      <c r="R669" s="13">
        <v>0</v>
      </c>
      <c r="S669" s="13">
        <f t="shared" si="290"/>
        <v>0</v>
      </c>
      <c r="T669" s="13">
        <f t="shared" si="291"/>
        <v>22586.55</v>
      </c>
      <c r="U669" s="13">
        <f t="shared" si="292"/>
        <v>22586.55</v>
      </c>
      <c r="V669" s="13">
        <v>0</v>
      </c>
      <c r="W669" s="13">
        <f t="shared" si="293"/>
        <v>0</v>
      </c>
      <c r="X669" s="115">
        <f t="shared" si="298"/>
        <v>0</v>
      </c>
      <c r="Y669" s="116">
        <f t="shared" si="299"/>
        <v>0</v>
      </c>
      <c r="Z669" s="116">
        <f t="shared" si="302"/>
        <v>0</v>
      </c>
      <c r="AA669" s="116">
        <f t="shared" si="303"/>
        <v>0</v>
      </c>
      <c r="AB669" s="117">
        <f>'Ratios (C)'!$C$24+'Ratios (C)'!$D$24</f>
        <v>0.69982242504454684</v>
      </c>
      <c r="AC669" s="116">
        <f t="shared" si="300"/>
        <v>0</v>
      </c>
      <c r="AD669" s="116">
        <f t="shared" si="301"/>
        <v>0</v>
      </c>
      <c r="AE669" s="118"/>
      <c r="AF669" s="119"/>
      <c r="AG669" s="120"/>
      <c r="AH669" s="118"/>
      <c r="AI669" s="119"/>
      <c r="AJ669" s="121"/>
    </row>
    <row r="670" spans="2:36" s="9" customFormat="1">
      <c r="B670" s="9">
        <v>486</v>
      </c>
      <c r="C670" s="9" t="s">
        <v>683</v>
      </c>
      <c r="D670" s="9">
        <v>2181</v>
      </c>
      <c r="E670" s="9">
        <v>66256</v>
      </c>
      <c r="G670" s="9">
        <v>2009</v>
      </c>
      <c r="H670" s="9">
        <v>7</v>
      </c>
      <c r="I670" s="9">
        <v>0</v>
      </c>
      <c r="J670" s="9" t="s">
        <v>78</v>
      </c>
      <c r="K670" s="158">
        <v>7</v>
      </c>
      <c r="L670" s="9">
        <f t="shared" si="285"/>
        <v>2016</v>
      </c>
      <c r="M670" s="127">
        <f t="shared" si="286"/>
        <v>2016.5833333333333</v>
      </c>
      <c r="N670" s="13">
        <v>22586.55</v>
      </c>
      <c r="O670" s="13">
        <f t="shared" si="287"/>
        <v>22586.55</v>
      </c>
      <c r="P670" s="13">
        <f t="shared" si="288"/>
        <v>268.88749999999999</v>
      </c>
      <c r="Q670" s="13">
        <f t="shared" si="289"/>
        <v>3226.6499999999996</v>
      </c>
      <c r="R670" s="13">
        <v>0</v>
      </c>
      <c r="S670" s="13">
        <f t="shared" si="290"/>
        <v>0</v>
      </c>
      <c r="T670" s="13">
        <f t="shared" si="291"/>
        <v>22586.55</v>
      </c>
      <c r="U670" s="13">
        <f t="shared" si="292"/>
        <v>22586.55</v>
      </c>
      <c r="V670" s="13">
        <v>0</v>
      </c>
      <c r="W670" s="13">
        <f t="shared" si="293"/>
        <v>0</v>
      </c>
      <c r="X670" s="115">
        <f t="shared" si="298"/>
        <v>0</v>
      </c>
      <c r="Y670" s="116">
        <f t="shared" si="299"/>
        <v>0</v>
      </c>
      <c r="Z670" s="116">
        <f t="shared" si="302"/>
        <v>0</v>
      </c>
      <c r="AA670" s="116">
        <f t="shared" si="303"/>
        <v>0</v>
      </c>
      <c r="AB670" s="117">
        <f>'Ratios (C)'!$C$24+'Ratios (C)'!$D$24</f>
        <v>0.69982242504454684</v>
      </c>
      <c r="AC670" s="116">
        <f t="shared" si="300"/>
        <v>0</v>
      </c>
      <c r="AD670" s="116">
        <f t="shared" si="301"/>
        <v>0</v>
      </c>
      <c r="AE670" s="118"/>
      <c r="AF670" s="119"/>
      <c r="AG670" s="120"/>
      <c r="AH670" s="118"/>
      <c r="AI670" s="119"/>
      <c r="AJ670" s="121"/>
    </row>
    <row r="671" spans="2:36" s="9" customFormat="1">
      <c r="B671" s="9">
        <v>437</v>
      </c>
      <c r="C671" s="9" t="s">
        <v>684</v>
      </c>
      <c r="E671" s="9">
        <v>82069</v>
      </c>
      <c r="G671" s="9">
        <v>2011</v>
      </c>
      <c r="H671" s="9">
        <v>5</v>
      </c>
      <c r="I671" s="9">
        <v>0</v>
      </c>
      <c r="J671" s="9" t="s">
        <v>78</v>
      </c>
      <c r="K671" s="158">
        <v>7</v>
      </c>
      <c r="L671" s="9">
        <f t="shared" si="285"/>
        <v>2018</v>
      </c>
      <c r="M671" s="127">
        <f t="shared" si="286"/>
        <v>2018.4166666666667</v>
      </c>
      <c r="N671" s="13">
        <v>22668.84</v>
      </c>
      <c r="O671" s="13">
        <f t="shared" si="287"/>
        <v>22668.84</v>
      </c>
      <c r="P671" s="13">
        <f t="shared" si="288"/>
        <v>269.86714285714282</v>
      </c>
      <c r="Q671" s="13">
        <f t="shared" si="289"/>
        <v>3238.4057142857137</v>
      </c>
      <c r="R671" s="13">
        <v>0</v>
      </c>
      <c r="S671" s="13">
        <f t="shared" si="290"/>
        <v>0</v>
      </c>
      <c r="T671" s="13">
        <f t="shared" si="291"/>
        <v>22668.84</v>
      </c>
      <c r="U671" s="13">
        <f t="shared" si="292"/>
        <v>22668.84</v>
      </c>
      <c r="V671" s="13">
        <v>0</v>
      </c>
      <c r="W671" s="13">
        <f t="shared" si="293"/>
        <v>0</v>
      </c>
      <c r="X671" s="115">
        <f t="shared" si="298"/>
        <v>0</v>
      </c>
      <c r="Y671" s="116">
        <f t="shared" si="299"/>
        <v>0</v>
      </c>
      <c r="Z671" s="116">
        <f t="shared" si="302"/>
        <v>0</v>
      </c>
      <c r="AA671" s="116">
        <f t="shared" si="303"/>
        <v>0</v>
      </c>
      <c r="AB671" s="117">
        <f>'Ratios (C)'!$C$24+'Ratios (C)'!$D$24</f>
        <v>0.69982242504454684</v>
      </c>
      <c r="AC671" s="116">
        <f t="shared" si="300"/>
        <v>0</v>
      </c>
      <c r="AD671" s="116">
        <f t="shared" si="301"/>
        <v>0</v>
      </c>
      <c r="AE671" s="118"/>
      <c r="AF671" s="119"/>
      <c r="AG671" s="120"/>
      <c r="AH671" s="118"/>
      <c r="AI671" s="119"/>
      <c r="AJ671" s="121"/>
    </row>
    <row r="672" spans="2:36" s="9" customFormat="1">
      <c r="B672" s="9">
        <v>486</v>
      </c>
      <c r="C672" s="9" t="s">
        <v>685</v>
      </c>
      <c r="E672" s="9">
        <v>82073</v>
      </c>
      <c r="G672" s="9">
        <v>2011</v>
      </c>
      <c r="H672" s="9">
        <v>5</v>
      </c>
      <c r="I672" s="9">
        <v>0</v>
      </c>
      <c r="J672" s="9" t="s">
        <v>78</v>
      </c>
      <c r="K672" s="158">
        <v>7</v>
      </c>
      <c r="L672" s="9">
        <f t="shared" si="285"/>
        <v>2018</v>
      </c>
      <c r="M672" s="127">
        <f t="shared" si="286"/>
        <v>2018.4166666666667</v>
      </c>
      <c r="N672" s="13">
        <v>25210.65</v>
      </c>
      <c r="O672" s="13">
        <f t="shared" si="287"/>
        <v>25210.65</v>
      </c>
      <c r="P672" s="13">
        <f t="shared" si="288"/>
        <v>300.12678571428575</v>
      </c>
      <c r="Q672" s="13">
        <f t="shared" si="289"/>
        <v>3601.5214285714292</v>
      </c>
      <c r="R672" s="13">
        <v>0</v>
      </c>
      <c r="S672" s="13">
        <f t="shared" si="290"/>
        <v>0</v>
      </c>
      <c r="T672" s="13">
        <f t="shared" si="291"/>
        <v>25210.65</v>
      </c>
      <c r="U672" s="13">
        <f t="shared" si="292"/>
        <v>25210.65</v>
      </c>
      <c r="V672" s="13">
        <v>0</v>
      </c>
      <c r="W672" s="13">
        <f t="shared" si="293"/>
        <v>0</v>
      </c>
      <c r="X672" s="115">
        <f t="shared" si="298"/>
        <v>0</v>
      </c>
      <c r="Y672" s="116">
        <f t="shared" si="299"/>
        <v>0</v>
      </c>
      <c r="Z672" s="116">
        <f t="shared" si="302"/>
        <v>0</v>
      </c>
      <c r="AA672" s="116">
        <f t="shared" si="303"/>
        <v>0</v>
      </c>
      <c r="AB672" s="117">
        <f>'Ratios (C)'!$C$24+'Ratios (C)'!$D$24</f>
        <v>0.69982242504454684</v>
      </c>
      <c r="AC672" s="116">
        <f t="shared" si="300"/>
        <v>0</v>
      </c>
      <c r="AD672" s="116">
        <f t="shared" si="301"/>
        <v>0</v>
      </c>
      <c r="AE672" s="118"/>
      <c r="AF672" s="119"/>
      <c r="AG672" s="120"/>
      <c r="AH672" s="118"/>
      <c r="AI672" s="119"/>
      <c r="AJ672" s="121"/>
    </row>
    <row r="673" spans="2:36" s="9" customFormat="1">
      <c r="B673" s="9">
        <v>49</v>
      </c>
      <c r="C673" s="9" t="s">
        <v>685</v>
      </c>
      <c r="E673" s="9">
        <v>86152</v>
      </c>
      <c r="G673" s="9">
        <v>2011</v>
      </c>
      <c r="H673" s="9">
        <v>5</v>
      </c>
      <c r="I673" s="9">
        <v>0</v>
      </c>
      <c r="J673" s="9" t="s">
        <v>78</v>
      </c>
      <c r="K673" s="158">
        <v>7</v>
      </c>
      <c r="L673" s="9">
        <f t="shared" si="285"/>
        <v>2018</v>
      </c>
      <c r="M673" s="127">
        <f t="shared" si="286"/>
        <v>2018.4166666666667</v>
      </c>
      <c r="N673" s="13">
        <v>2541.8200000000002</v>
      </c>
      <c r="O673" s="13">
        <f t="shared" si="287"/>
        <v>2541.8200000000002</v>
      </c>
      <c r="P673" s="13">
        <f t="shared" si="288"/>
        <v>30.259761904761906</v>
      </c>
      <c r="Q673" s="13">
        <f t="shared" si="289"/>
        <v>363.11714285714288</v>
      </c>
      <c r="R673" s="13">
        <v>0</v>
      </c>
      <c r="S673" s="13">
        <f t="shared" si="290"/>
        <v>0</v>
      </c>
      <c r="T673" s="13">
        <f t="shared" si="291"/>
        <v>2541.8200000000002</v>
      </c>
      <c r="U673" s="13">
        <f t="shared" si="292"/>
        <v>2541.8200000000002</v>
      </c>
      <c r="V673" s="13">
        <v>0</v>
      </c>
      <c r="W673" s="13">
        <f t="shared" si="293"/>
        <v>0</v>
      </c>
      <c r="X673" s="115">
        <f t="shared" si="298"/>
        <v>0</v>
      </c>
      <c r="Y673" s="116">
        <f t="shared" si="299"/>
        <v>0</v>
      </c>
      <c r="Z673" s="116">
        <f t="shared" si="302"/>
        <v>0</v>
      </c>
      <c r="AA673" s="116">
        <f t="shared" si="303"/>
        <v>0</v>
      </c>
      <c r="AB673" s="117">
        <f>'Ratios (C)'!$C$24+'Ratios (C)'!$D$24</f>
        <v>0.69982242504454684</v>
      </c>
      <c r="AC673" s="116">
        <f t="shared" si="300"/>
        <v>0</v>
      </c>
      <c r="AD673" s="116">
        <f t="shared" si="301"/>
        <v>0</v>
      </c>
      <c r="AE673" s="118"/>
      <c r="AF673" s="119"/>
      <c r="AG673" s="120"/>
      <c r="AH673" s="118"/>
      <c r="AI673" s="119"/>
      <c r="AJ673" s="121"/>
    </row>
    <row r="674" spans="2:36" s="9" customFormat="1">
      <c r="B674" s="9">
        <v>418</v>
      </c>
      <c r="C674" s="9" t="s">
        <v>685</v>
      </c>
      <c r="E674" s="9">
        <v>88133</v>
      </c>
      <c r="G674" s="9">
        <v>2011</v>
      </c>
      <c r="H674" s="9">
        <v>8</v>
      </c>
      <c r="I674" s="9">
        <v>0</v>
      </c>
      <c r="J674" s="9" t="s">
        <v>78</v>
      </c>
      <c r="K674" s="158">
        <v>7</v>
      </c>
      <c r="L674" s="9">
        <f t="shared" si="285"/>
        <v>2018</v>
      </c>
      <c r="M674" s="127">
        <f t="shared" si="286"/>
        <v>2018.6666666666667</v>
      </c>
      <c r="N674" s="13">
        <v>23780.3</v>
      </c>
      <c r="O674" s="13">
        <f t="shared" si="287"/>
        <v>23780.3</v>
      </c>
      <c r="P674" s="13">
        <f t="shared" si="288"/>
        <v>283.09880952380951</v>
      </c>
      <c r="Q674" s="13">
        <f t="shared" si="289"/>
        <v>3397.1857142857143</v>
      </c>
      <c r="R674" s="13">
        <v>0</v>
      </c>
      <c r="S674" s="13">
        <f t="shared" si="290"/>
        <v>0</v>
      </c>
      <c r="T674" s="13">
        <f t="shared" si="291"/>
        <v>23780.3</v>
      </c>
      <c r="U674" s="13">
        <f t="shared" si="292"/>
        <v>23780.3</v>
      </c>
      <c r="V674" s="13">
        <v>0</v>
      </c>
      <c r="W674" s="13">
        <f t="shared" si="293"/>
        <v>0</v>
      </c>
      <c r="X674" s="115">
        <f t="shared" si="298"/>
        <v>0</v>
      </c>
      <c r="Y674" s="116">
        <f t="shared" si="299"/>
        <v>0</v>
      </c>
      <c r="Z674" s="116">
        <f t="shared" si="302"/>
        <v>0</v>
      </c>
      <c r="AA674" s="116">
        <f t="shared" si="303"/>
        <v>0</v>
      </c>
      <c r="AB674" s="117">
        <f>'Ratios (C)'!$C$24+'Ratios (C)'!$D$24</f>
        <v>0.69982242504454684</v>
      </c>
      <c r="AC674" s="116">
        <f t="shared" si="300"/>
        <v>0</v>
      </c>
      <c r="AD674" s="116">
        <f t="shared" si="301"/>
        <v>0</v>
      </c>
      <c r="AE674" s="118"/>
      <c r="AF674" s="119"/>
      <c r="AG674" s="120"/>
      <c r="AH674" s="118"/>
      <c r="AI674" s="119"/>
      <c r="AJ674" s="121"/>
    </row>
    <row r="675" spans="2:36" s="9" customFormat="1">
      <c r="B675" s="9">
        <v>554</v>
      </c>
      <c r="C675" s="9" t="s">
        <v>683</v>
      </c>
      <c r="E675" s="9" t="s">
        <v>686</v>
      </c>
      <c r="G675" s="9">
        <v>2011</v>
      </c>
      <c r="H675" s="9">
        <v>9</v>
      </c>
      <c r="I675" s="9">
        <v>0</v>
      </c>
      <c r="J675" s="9" t="s">
        <v>78</v>
      </c>
      <c r="K675" s="158">
        <v>7</v>
      </c>
      <c r="L675" s="9">
        <f t="shared" si="285"/>
        <v>2018</v>
      </c>
      <c r="M675" s="127">
        <f t="shared" si="286"/>
        <v>2018.75</v>
      </c>
      <c r="N675" s="13">
        <f>27648.85+3868.85</f>
        <v>31517.699999999997</v>
      </c>
      <c r="O675" s="13">
        <f t="shared" si="287"/>
        <v>31517.699999999997</v>
      </c>
      <c r="P675" s="13">
        <f t="shared" si="288"/>
        <v>375.21071428571423</v>
      </c>
      <c r="Q675" s="13">
        <f t="shared" si="289"/>
        <v>4502.528571428571</v>
      </c>
      <c r="R675" s="13">
        <v>0</v>
      </c>
      <c r="S675" s="13">
        <f t="shared" si="290"/>
        <v>0</v>
      </c>
      <c r="T675" s="13">
        <f t="shared" si="291"/>
        <v>31517.699999999997</v>
      </c>
      <c r="U675" s="13">
        <f t="shared" si="292"/>
        <v>31517.699999999997</v>
      </c>
      <c r="V675" s="13">
        <v>0</v>
      </c>
      <c r="W675" s="13">
        <f t="shared" si="293"/>
        <v>0</v>
      </c>
      <c r="X675" s="115">
        <f t="shared" si="298"/>
        <v>0</v>
      </c>
      <c r="Y675" s="116">
        <f t="shared" si="299"/>
        <v>0</v>
      </c>
      <c r="Z675" s="116">
        <f t="shared" si="302"/>
        <v>0</v>
      </c>
      <c r="AA675" s="116">
        <f t="shared" si="303"/>
        <v>0</v>
      </c>
      <c r="AB675" s="117">
        <f>'Ratios (C)'!$C$24+'Ratios (C)'!$D$24</f>
        <v>0.69982242504454684</v>
      </c>
      <c r="AC675" s="116">
        <f t="shared" si="300"/>
        <v>0</v>
      </c>
      <c r="AD675" s="116">
        <f t="shared" si="301"/>
        <v>0</v>
      </c>
      <c r="AE675" s="118"/>
      <c r="AF675" s="119"/>
      <c r="AG675" s="120"/>
      <c r="AH675" s="118"/>
      <c r="AI675" s="119"/>
      <c r="AJ675" s="121"/>
    </row>
    <row r="676" spans="2:36" s="9" customFormat="1">
      <c r="B676" s="9">
        <v>68</v>
      </c>
      <c r="C676" s="9" t="s">
        <v>683</v>
      </c>
      <c r="E676" s="9" t="s">
        <v>687</v>
      </c>
      <c r="G676" s="9">
        <v>2011</v>
      </c>
      <c r="H676" s="9">
        <v>9</v>
      </c>
      <c r="I676" s="9">
        <v>0</v>
      </c>
      <c r="J676" s="9" t="s">
        <v>78</v>
      </c>
      <c r="K676" s="158">
        <v>7</v>
      </c>
      <c r="L676" s="9">
        <f t="shared" si="285"/>
        <v>2018</v>
      </c>
      <c r="M676" s="127">
        <f t="shared" si="286"/>
        <v>2018.75</v>
      </c>
      <c r="N676" s="13">
        <f>23780+3868.57+3868.57</f>
        <v>31517.14</v>
      </c>
      <c r="O676" s="13">
        <f t="shared" si="287"/>
        <v>31517.14</v>
      </c>
      <c r="P676" s="13">
        <f t="shared" si="288"/>
        <v>375.20404761904757</v>
      </c>
      <c r="Q676" s="13">
        <f t="shared" si="289"/>
        <v>4502.4485714285711</v>
      </c>
      <c r="R676" s="13">
        <v>0</v>
      </c>
      <c r="S676" s="13">
        <f t="shared" si="290"/>
        <v>0</v>
      </c>
      <c r="T676" s="13">
        <f t="shared" si="291"/>
        <v>31517.14</v>
      </c>
      <c r="U676" s="13">
        <f t="shared" si="292"/>
        <v>31517.14</v>
      </c>
      <c r="V676" s="13">
        <v>0</v>
      </c>
      <c r="W676" s="13">
        <f t="shared" si="293"/>
        <v>0</v>
      </c>
      <c r="X676" s="115">
        <f t="shared" si="298"/>
        <v>0</v>
      </c>
      <c r="Y676" s="116">
        <f t="shared" si="299"/>
        <v>0</v>
      </c>
      <c r="Z676" s="116">
        <f t="shared" si="302"/>
        <v>0</v>
      </c>
      <c r="AA676" s="116">
        <f t="shared" si="303"/>
        <v>0</v>
      </c>
      <c r="AB676" s="117">
        <f>'Ratios (C)'!$C$24+'Ratios (C)'!$D$24</f>
        <v>0.69982242504454684</v>
      </c>
      <c r="AC676" s="116">
        <f t="shared" si="300"/>
        <v>0</v>
      </c>
      <c r="AD676" s="116">
        <f t="shared" si="301"/>
        <v>0</v>
      </c>
      <c r="AE676" s="118"/>
      <c r="AF676" s="119"/>
      <c r="AG676" s="120"/>
      <c r="AH676" s="118"/>
      <c r="AI676" s="119"/>
      <c r="AJ676" s="121"/>
    </row>
    <row r="677" spans="2:36" s="9" customFormat="1">
      <c r="B677" s="9">
        <v>418</v>
      </c>
      <c r="C677" s="9" t="s">
        <v>685</v>
      </c>
      <c r="E677" s="9">
        <v>86803</v>
      </c>
      <c r="G677" s="9">
        <v>2011</v>
      </c>
      <c r="H677" s="9">
        <v>9</v>
      </c>
      <c r="I677" s="9">
        <v>0</v>
      </c>
      <c r="J677" s="9" t="s">
        <v>78</v>
      </c>
      <c r="K677" s="158">
        <v>7</v>
      </c>
      <c r="L677" s="9">
        <f t="shared" si="285"/>
        <v>2018</v>
      </c>
      <c r="M677" s="127">
        <f t="shared" si="286"/>
        <v>2018.75</v>
      </c>
      <c r="N677" s="13">
        <v>23780.3</v>
      </c>
      <c r="O677" s="13">
        <f t="shared" si="287"/>
        <v>23780.3</v>
      </c>
      <c r="P677" s="13">
        <f t="shared" si="288"/>
        <v>283.09880952380951</v>
      </c>
      <c r="Q677" s="13">
        <f t="shared" si="289"/>
        <v>3397.1857142857143</v>
      </c>
      <c r="R677" s="13">
        <v>0</v>
      </c>
      <c r="S677" s="13">
        <f t="shared" si="290"/>
        <v>0</v>
      </c>
      <c r="T677" s="13">
        <f t="shared" si="291"/>
        <v>23780.3</v>
      </c>
      <c r="U677" s="13">
        <f t="shared" si="292"/>
        <v>23780.3</v>
      </c>
      <c r="V677" s="13">
        <v>0</v>
      </c>
      <c r="W677" s="13">
        <f t="shared" si="293"/>
        <v>0</v>
      </c>
      <c r="X677" s="115">
        <f t="shared" si="298"/>
        <v>0</v>
      </c>
      <c r="Y677" s="116">
        <f t="shared" si="299"/>
        <v>0</v>
      </c>
      <c r="Z677" s="116">
        <f t="shared" si="302"/>
        <v>0</v>
      </c>
      <c r="AA677" s="116">
        <f t="shared" si="303"/>
        <v>0</v>
      </c>
      <c r="AB677" s="117">
        <f>'Ratios (C)'!$C$24+'Ratios (C)'!$D$24</f>
        <v>0.69982242504454684</v>
      </c>
      <c r="AC677" s="116">
        <f t="shared" si="300"/>
        <v>0</v>
      </c>
      <c r="AD677" s="116">
        <f t="shared" si="301"/>
        <v>0</v>
      </c>
      <c r="AE677" s="118"/>
      <c r="AF677" s="119"/>
      <c r="AG677" s="120"/>
      <c r="AH677" s="118"/>
      <c r="AI677" s="119"/>
      <c r="AJ677" s="121"/>
    </row>
    <row r="678" spans="2:36" s="9" customFormat="1">
      <c r="B678" s="9">
        <v>423</v>
      </c>
      <c r="C678" s="9" t="s">
        <v>685</v>
      </c>
      <c r="E678" s="9">
        <v>86802</v>
      </c>
      <c r="G678" s="9">
        <v>2011</v>
      </c>
      <c r="H678" s="9">
        <v>9</v>
      </c>
      <c r="I678" s="9">
        <v>0</v>
      </c>
      <c r="J678" s="9" t="s">
        <v>78</v>
      </c>
      <c r="K678" s="158">
        <v>7</v>
      </c>
      <c r="L678" s="9">
        <f t="shared" si="285"/>
        <v>2018</v>
      </c>
      <c r="M678" s="127">
        <f t="shared" si="286"/>
        <v>2018.75</v>
      </c>
      <c r="N678" s="13">
        <v>24527.09</v>
      </c>
      <c r="O678" s="13">
        <f t="shared" si="287"/>
        <v>24527.09</v>
      </c>
      <c r="P678" s="13">
        <f t="shared" si="288"/>
        <v>291.98916666666668</v>
      </c>
      <c r="Q678" s="13">
        <f t="shared" si="289"/>
        <v>3503.87</v>
      </c>
      <c r="R678" s="13">
        <v>0</v>
      </c>
      <c r="S678" s="13">
        <f t="shared" si="290"/>
        <v>0</v>
      </c>
      <c r="T678" s="13">
        <f t="shared" si="291"/>
        <v>24527.09</v>
      </c>
      <c r="U678" s="13">
        <f t="shared" si="292"/>
        <v>24527.09</v>
      </c>
      <c r="V678" s="13">
        <v>0</v>
      </c>
      <c r="W678" s="13">
        <f t="shared" si="293"/>
        <v>0</v>
      </c>
      <c r="X678" s="115">
        <f t="shared" si="298"/>
        <v>0</v>
      </c>
      <c r="Y678" s="116">
        <f t="shared" si="299"/>
        <v>0</v>
      </c>
      <c r="Z678" s="116">
        <f t="shared" si="302"/>
        <v>0</v>
      </c>
      <c r="AA678" s="116">
        <f t="shared" si="303"/>
        <v>0</v>
      </c>
      <c r="AB678" s="117">
        <f>'Ratios (C)'!$C$24+'Ratios (C)'!$D$24</f>
        <v>0.69982242504454684</v>
      </c>
      <c r="AC678" s="116">
        <f t="shared" si="300"/>
        <v>0</v>
      </c>
      <c r="AD678" s="116">
        <f t="shared" si="301"/>
        <v>0</v>
      </c>
      <c r="AE678" s="118"/>
      <c r="AF678" s="119"/>
      <c r="AG678" s="120"/>
      <c r="AH678" s="118"/>
      <c r="AI678" s="119"/>
      <c r="AJ678" s="121"/>
    </row>
    <row r="679" spans="2:36" s="9" customFormat="1">
      <c r="B679" s="9">
        <v>624</v>
      </c>
      <c r="C679" s="9" t="s">
        <v>682</v>
      </c>
      <c r="E679" s="9">
        <v>104869</v>
      </c>
      <c r="G679" s="9">
        <v>2013</v>
      </c>
      <c r="H679" s="9">
        <v>6</v>
      </c>
      <c r="I679" s="9">
        <v>0</v>
      </c>
      <c r="J679" s="9" t="s">
        <v>78</v>
      </c>
      <c r="K679" s="158">
        <v>7</v>
      </c>
      <c r="L679" s="9">
        <f t="shared" si="285"/>
        <v>2020</v>
      </c>
      <c r="M679" s="127">
        <f t="shared" si="286"/>
        <v>2020.5</v>
      </c>
      <c r="N679" s="13">
        <v>33271.040000000001</v>
      </c>
      <c r="O679" s="13">
        <f t="shared" si="287"/>
        <v>33271.040000000001</v>
      </c>
      <c r="P679" s="13">
        <f t="shared" si="288"/>
        <v>396.08380952380952</v>
      </c>
      <c r="Q679" s="13">
        <f t="shared" si="289"/>
        <v>4753.005714285714</v>
      </c>
      <c r="R679" s="13">
        <v>4753.005714285714</v>
      </c>
      <c r="S679" s="13">
        <f t="shared" si="290"/>
        <v>0</v>
      </c>
      <c r="T679" s="13">
        <f t="shared" si="291"/>
        <v>33271.040000000001</v>
      </c>
      <c r="U679" s="13">
        <f t="shared" si="292"/>
        <v>33271.040000000001</v>
      </c>
      <c r="V679" s="13">
        <v>4753.0057142857149</v>
      </c>
      <c r="W679" s="13">
        <f t="shared" si="293"/>
        <v>0</v>
      </c>
      <c r="X679" s="115">
        <f t="shared" si="298"/>
        <v>0</v>
      </c>
      <c r="Y679" s="116">
        <f t="shared" si="299"/>
        <v>0</v>
      </c>
      <c r="Z679" s="116">
        <f t="shared" si="302"/>
        <v>-4753.005714285714</v>
      </c>
      <c r="AA679" s="116">
        <f t="shared" si="303"/>
        <v>-4753.0057142857149</v>
      </c>
      <c r="AB679" s="117">
        <f>'Ratios (C)'!$C$24+'Ratios (C)'!$D$24</f>
        <v>0.69982242504454684</v>
      </c>
      <c r="AC679" s="116">
        <f t="shared" si="300"/>
        <v>0</v>
      </c>
      <c r="AD679" s="116">
        <f t="shared" si="301"/>
        <v>0</v>
      </c>
      <c r="AE679" s="118"/>
      <c r="AF679" s="119"/>
      <c r="AG679" s="120"/>
      <c r="AH679" s="118"/>
      <c r="AI679" s="119"/>
      <c r="AJ679" s="121"/>
    </row>
    <row r="680" spans="2:36" s="9" customFormat="1">
      <c r="B680" s="9">
        <v>486</v>
      </c>
      <c r="C680" s="9" t="s">
        <v>682</v>
      </c>
      <c r="E680" s="9">
        <v>105519</v>
      </c>
      <c r="G680" s="9">
        <v>2013</v>
      </c>
      <c r="H680" s="9">
        <v>6</v>
      </c>
      <c r="I680" s="9">
        <v>0</v>
      </c>
      <c r="J680" s="9" t="s">
        <v>78</v>
      </c>
      <c r="K680" s="158">
        <v>7</v>
      </c>
      <c r="L680" s="9">
        <f t="shared" si="285"/>
        <v>2020</v>
      </c>
      <c r="M680" s="127">
        <f t="shared" si="286"/>
        <v>2020.5</v>
      </c>
      <c r="N680" s="13">
        <v>26401</v>
      </c>
      <c r="O680" s="13">
        <f t="shared" si="287"/>
        <v>26401</v>
      </c>
      <c r="P680" s="13">
        <f t="shared" si="288"/>
        <v>314.29761904761904</v>
      </c>
      <c r="Q680" s="13">
        <f t="shared" si="289"/>
        <v>3771.5714285714284</v>
      </c>
      <c r="R680" s="13">
        <v>3771.5714285714284</v>
      </c>
      <c r="S680" s="13">
        <f t="shared" si="290"/>
        <v>0</v>
      </c>
      <c r="T680" s="13">
        <f t="shared" si="291"/>
        <v>26401</v>
      </c>
      <c r="U680" s="13">
        <f t="shared" si="292"/>
        <v>26401</v>
      </c>
      <c r="V680" s="13">
        <v>3771.5714285714312</v>
      </c>
      <c r="W680" s="13">
        <f t="shared" si="293"/>
        <v>0</v>
      </c>
      <c r="X680" s="115">
        <f t="shared" si="298"/>
        <v>0</v>
      </c>
      <c r="Y680" s="116">
        <f t="shared" si="299"/>
        <v>0</v>
      </c>
      <c r="Z680" s="116">
        <f t="shared" si="302"/>
        <v>-3771.5714285714284</v>
      </c>
      <c r="AA680" s="116">
        <f t="shared" si="303"/>
        <v>-3771.5714285714312</v>
      </c>
      <c r="AB680" s="117">
        <f>'Ratios (C)'!$C$24+'Ratios (C)'!$D$24</f>
        <v>0.69982242504454684</v>
      </c>
      <c r="AC680" s="116">
        <f t="shared" si="300"/>
        <v>0</v>
      </c>
      <c r="AD680" s="116">
        <f t="shared" si="301"/>
        <v>0</v>
      </c>
      <c r="AE680" s="118"/>
      <c r="AF680" s="119"/>
      <c r="AG680" s="120"/>
      <c r="AH680" s="118"/>
      <c r="AI680" s="119"/>
      <c r="AJ680" s="121"/>
    </row>
    <row r="681" spans="2:36" s="9" customFormat="1">
      <c r="B681" s="9">
        <v>400</v>
      </c>
      <c r="C681" s="9" t="s">
        <v>682</v>
      </c>
      <c r="E681" s="9">
        <v>106804</v>
      </c>
      <c r="G681" s="9">
        <v>2013</v>
      </c>
      <c r="H681" s="9">
        <v>8</v>
      </c>
      <c r="I681" s="9">
        <v>0</v>
      </c>
      <c r="J681" s="9" t="s">
        <v>78</v>
      </c>
      <c r="K681" s="158">
        <v>7</v>
      </c>
      <c r="L681" s="9">
        <f t="shared" si="285"/>
        <v>2020</v>
      </c>
      <c r="M681" s="127">
        <f t="shared" si="286"/>
        <v>2020.6666666666667</v>
      </c>
      <c r="N681" s="13">
        <v>22636.93</v>
      </c>
      <c r="O681" s="13">
        <f t="shared" si="287"/>
        <v>22636.93</v>
      </c>
      <c r="P681" s="13">
        <f t="shared" si="288"/>
        <v>269.48726190476191</v>
      </c>
      <c r="Q681" s="13">
        <f t="shared" si="289"/>
        <v>3233.8471428571429</v>
      </c>
      <c r="R681" s="13">
        <v>3233.8471428571429</v>
      </c>
      <c r="S681" s="13">
        <f t="shared" si="290"/>
        <v>0</v>
      </c>
      <c r="T681" s="13">
        <f t="shared" si="291"/>
        <v>22636.93</v>
      </c>
      <c r="U681" s="13">
        <f t="shared" si="292"/>
        <v>22636.93</v>
      </c>
      <c r="V681" s="13">
        <v>3233.8471428571429</v>
      </c>
      <c r="W681" s="13">
        <f t="shared" si="293"/>
        <v>0</v>
      </c>
      <c r="X681" s="115">
        <f t="shared" si="298"/>
        <v>0</v>
      </c>
      <c r="Y681" s="116">
        <f t="shared" si="299"/>
        <v>0</v>
      </c>
      <c r="Z681" s="116">
        <f t="shared" si="302"/>
        <v>-3233.8471428571429</v>
      </c>
      <c r="AA681" s="116">
        <f t="shared" si="303"/>
        <v>-3233.8471428571429</v>
      </c>
      <c r="AB681" s="117">
        <f>'Ratios (C)'!$C$24+'Ratios (C)'!$D$24</f>
        <v>0.69982242504454684</v>
      </c>
      <c r="AC681" s="116">
        <f t="shared" si="300"/>
        <v>0</v>
      </c>
      <c r="AD681" s="116">
        <f t="shared" si="301"/>
        <v>0</v>
      </c>
      <c r="AE681" s="118"/>
      <c r="AF681" s="119"/>
      <c r="AG681" s="120"/>
      <c r="AH681" s="118"/>
      <c r="AI681" s="119"/>
      <c r="AJ681" s="121"/>
    </row>
    <row r="682" spans="2:36" s="9" customFormat="1">
      <c r="B682" s="9">
        <f>549*2</f>
        <v>1098</v>
      </c>
      <c r="C682" s="9" t="s">
        <v>688</v>
      </c>
      <c r="E682" s="9" t="s">
        <v>689</v>
      </c>
      <c r="G682" s="9">
        <v>2014</v>
      </c>
      <c r="H682" s="9">
        <v>7</v>
      </c>
      <c r="I682" s="9">
        <v>0</v>
      </c>
      <c r="J682" s="9" t="s">
        <v>78</v>
      </c>
      <c r="K682" s="158">
        <v>7</v>
      </c>
      <c r="L682" s="9">
        <f t="shared" si="285"/>
        <v>2021</v>
      </c>
      <c r="M682" s="127">
        <f t="shared" si="286"/>
        <v>2021.5833333333333</v>
      </c>
      <c r="N682" s="13">
        <f>30193.63*2</f>
        <v>60387.26</v>
      </c>
      <c r="O682" s="13">
        <f t="shared" si="287"/>
        <v>60387.26</v>
      </c>
      <c r="P682" s="13">
        <f t="shared" si="288"/>
        <v>718.89595238095251</v>
      </c>
      <c r="Q682" s="13">
        <f t="shared" si="289"/>
        <v>8626.7514285714296</v>
      </c>
      <c r="R682" s="13">
        <v>8626.7514285714296</v>
      </c>
      <c r="S682" s="13">
        <f t="shared" si="290"/>
        <v>0</v>
      </c>
      <c r="T682" s="13">
        <f t="shared" si="291"/>
        <v>60387.26</v>
      </c>
      <c r="U682" s="13">
        <f t="shared" si="292"/>
        <v>60387.26</v>
      </c>
      <c r="V682" s="13">
        <v>17253.502857142856</v>
      </c>
      <c r="W682" s="13">
        <f t="shared" si="293"/>
        <v>0</v>
      </c>
      <c r="X682" s="115">
        <f t="shared" si="298"/>
        <v>0</v>
      </c>
      <c r="Y682" s="116">
        <f t="shared" si="299"/>
        <v>0</v>
      </c>
      <c r="Z682" s="116">
        <f t="shared" si="302"/>
        <v>-8626.7514285714296</v>
      </c>
      <c r="AA682" s="116">
        <f t="shared" si="303"/>
        <v>-17253.502857142856</v>
      </c>
      <c r="AB682" s="117">
        <f>'Ratios (C)'!$C$24+'Ratios (C)'!$D$24</f>
        <v>0.69982242504454684</v>
      </c>
      <c r="AC682" s="116">
        <f t="shared" si="300"/>
        <v>0</v>
      </c>
      <c r="AD682" s="116">
        <f t="shared" si="301"/>
        <v>0</v>
      </c>
      <c r="AE682" s="118"/>
      <c r="AF682" s="119"/>
      <c r="AG682" s="120"/>
      <c r="AH682" s="118"/>
      <c r="AI682" s="119"/>
      <c r="AJ682" s="121"/>
    </row>
    <row r="683" spans="2:36" s="9" customFormat="1">
      <c r="B683" s="9">
        <v>1098</v>
      </c>
      <c r="C683" s="9" t="s">
        <v>688</v>
      </c>
      <c r="E683" s="9">
        <v>112495</v>
      </c>
      <c r="G683" s="9">
        <v>2014</v>
      </c>
      <c r="H683" s="9">
        <v>4</v>
      </c>
      <c r="I683" s="9">
        <v>0</v>
      </c>
      <c r="J683" s="9" t="s">
        <v>78</v>
      </c>
      <c r="K683" s="158">
        <v>7</v>
      </c>
      <c r="L683" s="9">
        <f t="shared" si="285"/>
        <v>2021</v>
      </c>
      <c r="M683" s="127">
        <f t="shared" si="286"/>
        <v>2021.3333333333333</v>
      </c>
      <c r="N683" s="13">
        <v>58237.919999999998</v>
      </c>
      <c r="O683" s="13">
        <f t="shared" si="287"/>
        <v>58237.919999999998</v>
      </c>
      <c r="P683" s="13">
        <f t="shared" si="288"/>
        <v>693.30857142857133</v>
      </c>
      <c r="Q683" s="13">
        <f t="shared" si="289"/>
        <v>8319.7028571428564</v>
      </c>
      <c r="R683" s="13">
        <v>8319.7028571428564</v>
      </c>
      <c r="S683" s="13">
        <f t="shared" si="290"/>
        <v>0</v>
      </c>
      <c r="T683" s="13">
        <f t="shared" si="291"/>
        <v>58237.919999999998</v>
      </c>
      <c r="U683" s="13">
        <f t="shared" si="292"/>
        <v>58237.919999999998</v>
      </c>
      <c r="V683" s="13">
        <v>16639.40571428572</v>
      </c>
      <c r="W683" s="13">
        <f t="shared" si="293"/>
        <v>0</v>
      </c>
      <c r="X683" s="115">
        <f t="shared" si="298"/>
        <v>0</v>
      </c>
      <c r="Y683" s="116">
        <f t="shared" si="299"/>
        <v>0</v>
      </c>
      <c r="Z683" s="116">
        <f t="shared" si="302"/>
        <v>-8319.7028571428564</v>
      </c>
      <c r="AA683" s="116">
        <f t="shared" si="303"/>
        <v>-16639.40571428572</v>
      </c>
      <c r="AB683" s="117">
        <f>'Ratios (C)'!$C$24+'Ratios (C)'!$D$24</f>
        <v>0.69982242504454684</v>
      </c>
      <c r="AC683" s="116">
        <f t="shared" si="300"/>
        <v>0</v>
      </c>
      <c r="AD683" s="116">
        <f t="shared" si="301"/>
        <v>0</v>
      </c>
      <c r="AE683" s="118"/>
      <c r="AF683" s="119"/>
      <c r="AG683" s="120"/>
      <c r="AH683" s="118"/>
      <c r="AI683" s="119"/>
      <c r="AJ683" s="121"/>
    </row>
    <row r="684" spans="2:36" s="9" customFormat="1">
      <c r="B684" s="9">
        <v>549</v>
      </c>
      <c r="C684" s="9" t="s">
        <v>688</v>
      </c>
      <c r="E684" s="9">
        <v>116970</v>
      </c>
      <c r="G684" s="9">
        <v>2014</v>
      </c>
      <c r="H684" s="9">
        <v>9</v>
      </c>
      <c r="I684" s="9">
        <v>0</v>
      </c>
      <c r="J684" s="9" t="s">
        <v>78</v>
      </c>
      <c r="K684" s="158">
        <v>7</v>
      </c>
      <c r="L684" s="9">
        <f t="shared" si="285"/>
        <v>2021</v>
      </c>
      <c r="M684" s="127">
        <f t="shared" si="286"/>
        <v>2021.75</v>
      </c>
      <c r="N684" s="13">
        <v>30794.2</v>
      </c>
      <c r="O684" s="13">
        <f t="shared" si="287"/>
        <v>30794.2</v>
      </c>
      <c r="P684" s="13">
        <f t="shared" si="288"/>
        <v>366.59761904761905</v>
      </c>
      <c r="Q684" s="13">
        <f t="shared" si="289"/>
        <v>4399.1714285714288</v>
      </c>
      <c r="R684" s="13">
        <v>4399.1714285714288</v>
      </c>
      <c r="S684" s="13">
        <f t="shared" si="290"/>
        <v>0</v>
      </c>
      <c r="T684" s="13">
        <f t="shared" si="291"/>
        <v>30794.2</v>
      </c>
      <c r="U684" s="13">
        <f t="shared" si="292"/>
        <v>30794.2</v>
      </c>
      <c r="V684" s="13">
        <v>8798.3428571428558</v>
      </c>
      <c r="W684" s="13">
        <f t="shared" si="293"/>
        <v>0</v>
      </c>
      <c r="X684" s="115">
        <f t="shared" si="298"/>
        <v>0</v>
      </c>
      <c r="Y684" s="116">
        <f t="shared" si="299"/>
        <v>0</v>
      </c>
      <c r="Z684" s="116">
        <f t="shared" si="302"/>
        <v>-4399.1714285714288</v>
      </c>
      <c r="AA684" s="116">
        <f t="shared" si="303"/>
        <v>-8798.3428571428558</v>
      </c>
      <c r="AB684" s="117">
        <f>'Ratios (C)'!$C$24+'Ratios (C)'!$D$24</f>
        <v>0.69982242504454684</v>
      </c>
      <c r="AC684" s="116">
        <f t="shared" si="300"/>
        <v>0</v>
      </c>
      <c r="AD684" s="116">
        <f t="shared" si="301"/>
        <v>0</v>
      </c>
      <c r="AE684" s="118"/>
      <c r="AF684" s="119"/>
      <c r="AG684" s="120"/>
      <c r="AH684" s="118"/>
      <c r="AI684" s="119"/>
      <c r="AJ684" s="121"/>
    </row>
    <row r="685" spans="2:36" s="9" customFormat="1">
      <c r="B685" s="9">
        <v>624</v>
      </c>
      <c r="C685" s="9" t="s">
        <v>690</v>
      </c>
      <c r="E685" s="9">
        <v>117837</v>
      </c>
      <c r="G685" s="9">
        <v>2014</v>
      </c>
      <c r="H685" s="9">
        <v>10</v>
      </c>
      <c r="I685" s="9">
        <v>0</v>
      </c>
      <c r="J685" s="9" t="s">
        <v>78</v>
      </c>
      <c r="K685" s="158">
        <v>7</v>
      </c>
      <c r="L685" s="9">
        <f t="shared" si="285"/>
        <v>2021</v>
      </c>
      <c r="M685" s="127">
        <f t="shared" si="286"/>
        <v>2021.8333333333333</v>
      </c>
      <c r="N685" s="13">
        <v>26546.799999999999</v>
      </c>
      <c r="O685" s="13">
        <f t="shared" si="287"/>
        <v>26546.799999999999</v>
      </c>
      <c r="P685" s="13">
        <f t="shared" si="288"/>
        <v>316.03333333333336</v>
      </c>
      <c r="Q685" s="13">
        <f t="shared" si="289"/>
        <v>3792.4000000000005</v>
      </c>
      <c r="R685" s="13">
        <v>3792.4000000000005</v>
      </c>
      <c r="S685" s="13">
        <f t="shared" si="290"/>
        <v>0</v>
      </c>
      <c r="T685" s="13">
        <f t="shared" si="291"/>
        <v>26546.799999999999</v>
      </c>
      <c r="U685" s="13">
        <f t="shared" si="292"/>
        <v>26546.799999999999</v>
      </c>
      <c r="V685" s="13">
        <v>7584.7999999999956</v>
      </c>
      <c r="W685" s="13">
        <f t="shared" si="293"/>
        <v>0</v>
      </c>
      <c r="X685" s="115">
        <f t="shared" si="298"/>
        <v>0</v>
      </c>
      <c r="Y685" s="116">
        <f t="shared" si="299"/>
        <v>0</v>
      </c>
      <c r="Z685" s="116">
        <f t="shared" si="302"/>
        <v>-3792.4000000000005</v>
      </c>
      <c r="AA685" s="116">
        <f t="shared" si="303"/>
        <v>-7584.7999999999956</v>
      </c>
      <c r="AB685" s="117">
        <f>'Ratios (C)'!$C$24+'Ratios (C)'!$D$24</f>
        <v>0.69982242504454684</v>
      </c>
      <c r="AC685" s="116">
        <f t="shared" si="300"/>
        <v>0</v>
      </c>
      <c r="AD685" s="116">
        <f t="shared" si="301"/>
        <v>0</v>
      </c>
      <c r="AE685" s="118"/>
      <c r="AF685" s="119"/>
      <c r="AG685" s="120"/>
      <c r="AH685" s="118"/>
      <c r="AI685" s="119"/>
      <c r="AJ685" s="121"/>
    </row>
    <row r="686" spans="2:36" s="9" customFormat="1">
      <c r="B686" s="9">
        <v>624</v>
      </c>
      <c r="C686" s="9" t="s">
        <v>691</v>
      </c>
      <c r="E686" s="9">
        <v>123052</v>
      </c>
      <c r="G686" s="9">
        <v>2015</v>
      </c>
      <c r="H686" s="9">
        <v>4</v>
      </c>
      <c r="I686" s="9">
        <v>0</v>
      </c>
      <c r="J686" s="9" t="s">
        <v>78</v>
      </c>
      <c r="K686" s="158">
        <v>7</v>
      </c>
      <c r="L686" s="9">
        <f t="shared" si="285"/>
        <v>2022</v>
      </c>
      <c r="M686" s="127">
        <f t="shared" si="286"/>
        <v>2022.3333333333333</v>
      </c>
      <c r="N686" s="13">
        <v>32729.22</v>
      </c>
      <c r="O686" s="13">
        <f t="shared" si="287"/>
        <v>32729.22</v>
      </c>
      <c r="P686" s="13">
        <f t="shared" si="288"/>
        <v>389.63357142857143</v>
      </c>
      <c r="Q686" s="13">
        <f t="shared" si="289"/>
        <v>4675.6028571428569</v>
      </c>
      <c r="R686" s="13">
        <v>4675.6028571428569</v>
      </c>
      <c r="S686" s="13">
        <f t="shared" si="290"/>
        <v>0</v>
      </c>
      <c r="T686" s="13">
        <f t="shared" si="291"/>
        <v>32729.22</v>
      </c>
      <c r="U686" s="13">
        <f t="shared" si="292"/>
        <v>32729.22</v>
      </c>
      <c r="V686" s="13">
        <v>14026.808571428573</v>
      </c>
      <c r="W686" s="13">
        <f t="shared" si="293"/>
        <v>0</v>
      </c>
      <c r="X686" s="115">
        <f t="shared" si="298"/>
        <v>0</v>
      </c>
      <c r="Y686" s="116">
        <f t="shared" si="299"/>
        <v>0</v>
      </c>
      <c r="Z686" s="116">
        <f t="shared" si="302"/>
        <v>-4675.6028571428569</v>
      </c>
      <c r="AA686" s="116">
        <f t="shared" si="303"/>
        <v>-14026.808571428573</v>
      </c>
      <c r="AB686" s="117">
        <f>'Ratios (C)'!$C$24+'Ratios (C)'!$D$24</f>
        <v>0.69982242504454684</v>
      </c>
      <c r="AC686" s="116">
        <f t="shared" si="300"/>
        <v>0</v>
      </c>
      <c r="AD686" s="116">
        <f t="shared" si="301"/>
        <v>0</v>
      </c>
      <c r="AE686" s="118"/>
      <c r="AF686" s="119"/>
      <c r="AG686" s="120"/>
      <c r="AH686" s="118"/>
      <c r="AI686" s="119"/>
      <c r="AJ686" s="121"/>
    </row>
    <row r="687" spans="2:36" s="9" customFormat="1">
      <c r="B687" s="9">
        <v>624</v>
      </c>
      <c r="C687" s="9" t="s">
        <v>691</v>
      </c>
      <c r="E687" s="9">
        <v>123053</v>
      </c>
      <c r="G687" s="9">
        <v>2015</v>
      </c>
      <c r="H687" s="9">
        <v>4</v>
      </c>
      <c r="I687" s="9">
        <v>0</v>
      </c>
      <c r="J687" s="9" t="s">
        <v>78</v>
      </c>
      <c r="K687" s="158">
        <v>7</v>
      </c>
      <c r="L687" s="9">
        <f t="shared" si="285"/>
        <v>2022</v>
      </c>
      <c r="M687" s="127">
        <f t="shared" si="286"/>
        <v>2022.3333333333333</v>
      </c>
      <c r="N687" s="13">
        <v>32729.22</v>
      </c>
      <c r="O687" s="13">
        <f t="shared" si="287"/>
        <v>32729.22</v>
      </c>
      <c r="P687" s="13">
        <f t="shared" si="288"/>
        <v>389.63357142857143</v>
      </c>
      <c r="Q687" s="13">
        <f t="shared" si="289"/>
        <v>4675.6028571428569</v>
      </c>
      <c r="R687" s="13">
        <v>4675.6028571428569</v>
      </c>
      <c r="S687" s="13">
        <f t="shared" si="290"/>
        <v>0</v>
      </c>
      <c r="T687" s="13">
        <f t="shared" si="291"/>
        <v>32729.22</v>
      </c>
      <c r="U687" s="13">
        <f t="shared" si="292"/>
        <v>32729.22</v>
      </c>
      <c r="V687" s="13">
        <v>14026.808571428573</v>
      </c>
      <c r="W687" s="13">
        <f t="shared" si="293"/>
        <v>0</v>
      </c>
      <c r="X687" s="115">
        <f t="shared" si="298"/>
        <v>0</v>
      </c>
      <c r="Y687" s="116">
        <f t="shared" si="299"/>
        <v>0</v>
      </c>
      <c r="Z687" s="116">
        <f t="shared" si="302"/>
        <v>-4675.6028571428569</v>
      </c>
      <c r="AA687" s="116">
        <f t="shared" si="303"/>
        <v>-14026.808571428573</v>
      </c>
      <c r="AB687" s="117">
        <f>'Ratios (C)'!$C$24+'Ratios (C)'!$D$24</f>
        <v>0.69982242504454684</v>
      </c>
      <c r="AC687" s="116">
        <f t="shared" si="300"/>
        <v>0</v>
      </c>
      <c r="AD687" s="116">
        <f t="shared" si="301"/>
        <v>0</v>
      </c>
      <c r="AE687" s="118"/>
      <c r="AF687" s="119"/>
      <c r="AG687" s="120"/>
      <c r="AH687" s="118"/>
      <c r="AI687" s="119"/>
      <c r="AJ687" s="121"/>
    </row>
    <row r="688" spans="2:36" s="9" customFormat="1">
      <c r="B688" s="9">
        <v>624</v>
      </c>
      <c r="C688" s="9" t="s">
        <v>691</v>
      </c>
      <c r="E688" s="9">
        <v>123055</v>
      </c>
      <c r="G688" s="9">
        <v>2015</v>
      </c>
      <c r="H688" s="9">
        <v>6</v>
      </c>
      <c r="I688" s="9">
        <v>0</v>
      </c>
      <c r="J688" s="9" t="s">
        <v>78</v>
      </c>
      <c r="K688" s="158">
        <v>7</v>
      </c>
      <c r="L688" s="9">
        <f t="shared" si="285"/>
        <v>2022</v>
      </c>
      <c r="M688" s="127">
        <f t="shared" si="286"/>
        <v>2022.5</v>
      </c>
      <c r="N688" s="13">
        <v>32479.15</v>
      </c>
      <c r="O688" s="13">
        <f t="shared" si="287"/>
        <v>32479.15</v>
      </c>
      <c r="P688" s="13">
        <f t="shared" si="288"/>
        <v>386.65654761904761</v>
      </c>
      <c r="Q688" s="13">
        <f t="shared" si="289"/>
        <v>4639.8785714285714</v>
      </c>
      <c r="R688" s="13">
        <v>4639.8785714285714</v>
      </c>
      <c r="S688" s="13">
        <f t="shared" si="290"/>
        <v>0</v>
      </c>
      <c r="T688" s="13">
        <f t="shared" si="291"/>
        <v>32479.15</v>
      </c>
      <c r="U688" s="13">
        <f t="shared" si="292"/>
        <v>32479.15</v>
      </c>
      <c r="V688" s="13">
        <v>13919.635714285716</v>
      </c>
      <c r="W688" s="13">
        <f t="shared" si="293"/>
        <v>0</v>
      </c>
      <c r="X688" s="115">
        <f t="shared" si="298"/>
        <v>0</v>
      </c>
      <c r="Y688" s="116">
        <f t="shared" si="299"/>
        <v>0</v>
      </c>
      <c r="Z688" s="116">
        <f t="shared" si="302"/>
        <v>-4639.8785714285714</v>
      </c>
      <c r="AA688" s="116">
        <f t="shared" si="303"/>
        <v>-13919.635714285716</v>
      </c>
      <c r="AB688" s="117">
        <f>'Ratios (C)'!$C$24+'Ratios (C)'!$D$24</f>
        <v>0.69982242504454684</v>
      </c>
      <c r="AC688" s="116">
        <f t="shared" si="300"/>
        <v>0</v>
      </c>
      <c r="AD688" s="116">
        <f t="shared" si="301"/>
        <v>0</v>
      </c>
      <c r="AE688" s="118"/>
      <c r="AF688" s="119"/>
      <c r="AG688" s="120"/>
      <c r="AH688" s="118"/>
      <c r="AI688" s="119"/>
      <c r="AJ688" s="121"/>
    </row>
    <row r="689" spans="2:36" s="9" customFormat="1">
      <c r="B689" s="9">
        <v>624</v>
      </c>
      <c r="C689" s="9" t="s">
        <v>691</v>
      </c>
      <c r="E689" s="9">
        <v>123056</v>
      </c>
      <c r="G689" s="9">
        <v>2015</v>
      </c>
      <c r="H689" s="9">
        <v>6</v>
      </c>
      <c r="I689" s="9">
        <v>0</v>
      </c>
      <c r="J689" s="9" t="s">
        <v>78</v>
      </c>
      <c r="K689" s="158">
        <v>7</v>
      </c>
      <c r="L689" s="9">
        <f t="shared" si="285"/>
        <v>2022</v>
      </c>
      <c r="M689" s="127">
        <f t="shared" si="286"/>
        <v>2022.5</v>
      </c>
      <c r="N689" s="13">
        <v>32479.15</v>
      </c>
      <c r="O689" s="13">
        <f t="shared" si="287"/>
        <v>32479.15</v>
      </c>
      <c r="P689" s="13">
        <f t="shared" si="288"/>
        <v>386.65654761904761</v>
      </c>
      <c r="Q689" s="13">
        <f t="shared" si="289"/>
        <v>4639.8785714285714</v>
      </c>
      <c r="R689" s="13">
        <v>4639.8785714285714</v>
      </c>
      <c r="S689" s="13">
        <f t="shared" si="290"/>
        <v>0</v>
      </c>
      <c r="T689" s="13">
        <f t="shared" si="291"/>
        <v>32479.15</v>
      </c>
      <c r="U689" s="13">
        <f t="shared" si="292"/>
        <v>32479.15</v>
      </c>
      <c r="V689" s="13">
        <v>13919.635714285716</v>
      </c>
      <c r="W689" s="13">
        <f t="shared" si="293"/>
        <v>0</v>
      </c>
      <c r="X689" s="115">
        <f t="shared" si="298"/>
        <v>0</v>
      </c>
      <c r="Y689" s="116">
        <f t="shared" si="299"/>
        <v>0</v>
      </c>
      <c r="Z689" s="116">
        <f t="shared" si="302"/>
        <v>-4639.8785714285714</v>
      </c>
      <c r="AA689" s="116">
        <f t="shared" si="303"/>
        <v>-13919.635714285716</v>
      </c>
      <c r="AB689" s="117">
        <f>'Ratios (C)'!$C$24+'Ratios (C)'!$D$24</f>
        <v>0.69982242504454684</v>
      </c>
      <c r="AC689" s="116">
        <f t="shared" si="300"/>
        <v>0</v>
      </c>
      <c r="AD689" s="116">
        <f t="shared" si="301"/>
        <v>0</v>
      </c>
      <c r="AE689" s="118"/>
      <c r="AF689" s="119"/>
      <c r="AG689" s="120"/>
      <c r="AH689" s="118"/>
      <c r="AI689" s="119"/>
      <c r="AJ689" s="121"/>
    </row>
    <row r="690" spans="2:36" s="9" customFormat="1">
      <c r="B690" s="9">
        <f>624*2</f>
        <v>1248</v>
      </c>
      <c r="C690" s="9" t="s">
        <v>691</v>
      </c>
      <c r="E690" s="9" t="s">
        <v>692</v>
      </c>
      <c r="G690" s="9">
        <v>2015</v>
      </c>
      <c r="H690" s="9">
        <v>10</v>
      </c>
      <c r="I690" s="9">
        <v>0</v>
      </c>
      <c r="J690" s="9" t="s">
        <v>78</v>
      </c>
      <c r="K690" s="158">
        <v>7</v>
      </c>
      <c r="L690" s="9">
        <f t="shared" si="285"/>
        <v>2022</v>
      </c>
      <c r="M690" s="127">
        <f t="shared" si="286"/>
        <v>2022.8333333333333</v>
      </c>
      <c r="N690" s="13">
        <f>32121.15*2</f>
        <v>64242.3</v>
      </c>
      <c r="O690" s="13">
        <f t="shared" si="287"/>
        <v>64242.3</v>
      </c>
      <c r="P690" s="13">
        <f t="shared" si="288"/>
        <v>764.78928571428571</v>
      </c>
      <c r="Q690" s="13">
        <f t="shared" si="289"/>
        <v>9177.471428571429</v>
      </c>
      <c r="R690" s="13">
        <v>9177.471428571429</v>
      </c>
      <c r="S690" s="13">
        <f t="shared" si="290"/>
        <v>7647.8928571428569</v>
      </c>
      <c r="T690" s="13">
        <f t="shared" si="291"/>
        <v>55064.828571428574</v>
      </c>
      <c r="U690" s="13">
        <f t="shared" si="292"/>
        <v>62712.721428571429</v>
      </c>
      <c r="V690" s="13">
        <v>27532.414285714287</v>
      </c>
      <c r="W690" s="13">
        <f t="shared" si="293"/>
        <v>1529.5785714285739</v>
      </c>
      <c r="X690" s="115">
        <f t="shared" si="298"/>
        <v>7647.8928571428569</v>
      </c>
      <c r="Y690" s="116">
        <f t="shared" si="299"/>
        <v>1529.5785714285739</v>
      </c>
      <c r="Z690" s="116">
        <f t="shared" si="302"/>
        <v>-1529.5785714285721</v>
      </c>
      <c r="AA690" s="116">
        <f t="shared" si="303"/>
        <v>-26002.835714285713</v>
      </c>
      <c r="AB690" s="117">
        <f>'Ratios (C)'!$C$24+'Ratios (C)'!$D$24</f>
        <v>0.69982242504454684</v>
      </c>
      <c r="AC690" s="116">
        <f t="shared" si="300"/>
        <v>5352.1669257665817</v>
      </c>
      <c r="AD690" s="116">
        <f t="shared" si="301"/>
        <v>1070.4333851533181</v>
      </c>
      <c r="AE690" s="118"/>
      <c r="AF690" s="119"/>
      <c r="AG690" s="120"/>
      <c r="AH690" s="118"/>
      <c r="AI690" s="119"/>
      <c r="AJ690" s="121"/>
    </row>
    <row r="691" spans="2:36" s="9" customFormat="1">
      <c r="B691" s="9">
        <v>504</v>
      </c>
      <c r="C691" s="9" t="s">
        <v>693</v>
      </c>
      <c r="E691" s="9">
        <v>132007</v>
      </c>
      <c r="G691" s="9">
        <v>2016</v>
      </c>
      <c r="H691" s="9">
        <v>4</v>
      </c>
      <c r="I691" s="9">
        <v>0</v>
      </c>
      <c r="J691" s="9" t="s">
        <v>78</v>
      </c>
      <c r="K691" s="158">
        <v>7</v>
      </c>
      <c r="L691" s="9">
        <f t="shared" si="285"/>
        <v>2023</v>
      </c>
      <c r="M691" s="127">
        <f t="shared" si="286"/>
        <v>2023.3333333333333</v>
      </c>
      <c r="N691" s="13">
        <v>25010.39</v>
      </c>
      <c r="O691" s="13">
        <f t="shared" si="287"/>
        <v>25010.39</v>
      </c>
      <c r="P691" s="13">
        <f t="shared" si="288"/>
        <v>297.74273809523805</v>
      </c>
      <c r="Q691" s="13">
        <f t="shared" si="289"/>
        <v>3572.9128571428564</v>
      </c>
      <c r="R691" s="13">
        <v>3572.9128571428564</v>
      </c>
      <c r="S691" s="13">
        <f t="shared" si="290"/>
        <v>3572.9128571428564</v>
      </c>
      <c r="T691" s="13">
        <f t="shared" si="291"/>
        <v>17864.564285714281</v>
      </c>
      <c r="U691" s="13">
        <f t="shared" si="292"/>
        <v>21437.477142857137</v>
      </c>
      <c r="V691" s="13">
        <v>14291.651428571429</v>
      </c>
      <c r="W691" s="13">
        <f t="shared" si="293"/>
        <v>3572.9128571428628</v>
      </c>
      <c r="X691" s="115">
        <f t="shared" si="298"/>
        <v>3572.9128571428564</v>
      </c>
      <c r="Y691" s="116">
        <f t="shared" si="299"/>
        <v>3572.9128571428628</v>
      </c>
      <c r="Z691" s="116">
        <f t="shared" si="302"/>
        <v>0</v>
      </c>
      <c r="AA691" s="116">
        <f t="shared" si="303"/>
        <v>-10718.738571428567</v>
      </c>
      <c r="AB691" s="117">
        <f>'Ratios (C)'!$C$24+'Ratios (C)'!$D$24</f>
        <v>0.69982242504454684</v>
      </c>
      <c r="AC691" s="116">
        <f t="shared" si="300"/>
        <v>2500.4045401585545</v>
      </c>
      <c r="AD691" s="116">
        <f t="shared" si="301"/>
        <v>2500.4045401585586</v>
      </c>
      <c r="AE691" s="118"/>
      <c r="AF691" s="119"/>
      <c r="AG691" s="120"/>
      <c r="AH691" s="118"/>
      <c r="AI691" s="119"/>
      <c r="AJ691" s="121"/>
    </row>
    <row r="692" spans="2:36" s="9" customFormat="1">
      <c r="B692" s="9">
        <v>504</v>
      </c>
      <c r="C692" s="9" t="s">
        <v>693</v>
      </c>
      <c r="E692" s="9">
        <v>132008</v>
      </c>
      <c r="G692" s="9">
        <v>2016</v>
      </c>
      <c r="H692" s="9">
        <v>3</v>
      </c>
      <c r="I692" s="9">
        <v>0</v>
      </c>
      <c r="J692" s="9" t="s">
        <v>78</v>
      </c>
      <c r="K692" s="158">
        <v>7</v>
      </c>
      <c r="L692" s="9">
        <f t="shared" si="285"/>
        <v>2023</v>
      </c>
      <c r="M692" s="127">
        <f t="shared" si="286"/>
        <v>2023.25</v>
      </c>
      <c r="N692" s="13">
        <v>25010.38</v>
      </c>
      <c r="O692" s="13">
        <f t="shared" si="287"/>
        <v>25010.38</v>
      </c>
      <c r="P692" s="13">
        <f t="shared" si="288"/>
        <v>297.74261904761903</v>
      </c>
      <c r="Q692" s="13">
        <f t="shared" si="289"/>
        <v>3572.9114285714286</v>
      </c>
      <c r="R692" s="13">
        <v>3572.9114285714286</v>
      </c>
      <c r="S692" s="13">
        <f t="shared" si="290"/>
        <v>3572.9114285714286</v>
      </c>
      <c r="T692" s="13">
        <f t="shared" si="291"/>
        <v>17864.557142857142</v>
      </c>
      <c r="U692" s="13">
        <f t="shared" si="292"/>
        <v>21437.46857142857</v>
      </c>
      <c r="V692" s="13">
        <v>14291.645714285714</v>
      </c>
      <c r="W692" s="13">
        <f t="shared" si="293"/>
        <v>3572.9114285714313</v>
      </c>
      <c r="X692" s="115">
        <f t="shared" si="298"/>
        <v>3572.9114285714286</v>
      </c>
      <c r="Y692" s="116">
        <f t="shared" si="299"/>
        <v>3572.9114285714313</v>
      </c>
      <c r="Z692" s="116">
        <f t="shared" si="302"/>
        <v>0</v>
      </c>
      <c r="AA692" s="116">
        <f t="shared" si="303"/>
        <v>-10718.734285714283</v>
      </c>
      <c r="AB692" s="117">
        <f>'Ratios (C)'!$C$24+'Ratios (C)'!$D$24</f>
        <v>0.69982242504454684</v>
      </c>
      <c r="AC692" s="116">
        <f t="shared" si="300"/>
        <v>2500.4035404122333</v>
      </c>
      <c r="AD692" s="116">
        <f t="shared" si="301"/>
        <v>2500.4035404122351</v>
      </c>
      <c r="AE692" s="118"/>
      <c r="AF692" s="119"/>
      <c r="AG692" s="120"/>
      <c r="AH692" s="118"/>
      <c r="AI692" s="119"/>
      <c r="AJ692" s="121"/>
    </row>
    <row r="693" spans="2:36" s="9" customFormat="1">
      <c r="B693" s="9">
        <v>549</v>
      </c>
      <c r="C693" s="9" t="s">
        <v>693</v>
      </c>
      <c r="E693" s="9">
        <v>133409</v>
      </c>
      <c r="G693" s="9">
        <v>2016</v>
      </c>
      <c r="H693" s="9">
        <v>6</v>
      </c>
      <c r="I693" s="9">
        <v>0</v>
      </c>
      <c r="J693" s="9" t="s">
        <v>78</v>
      </c>
      <c r="K693" s="158">
        <v>7</v>
      </c>
      <c r="L693" s="9">
        <f t="shared" si="285"/>
        <v>2023</v>
      </c>
      <c r="M693" s="127">
        <f t="shared" si="286"/>
        <v>2023.5</v>
      </c>
      <c r="N693" s="13">
        <v>27028.37</v>
      </c>
      <c r="O693" s="13">
        <f t="shared" si="287"/>
        <v>27028.37</v>
      </c>
      <c r="P693" s="13">
        <f t="shared" si="288"/>
        <v>321.76630952380953</v>
      </c>
      <c r="Q693" s="13">
        <f t="shared" si="289"/>
        <v>3861.1957142857145</v>
      </c>
      <c r="R693" s="13">
        <v>3861.1957142857145</v>
      </c>
      <c r="S693" s="13">
        <f t="shared" si="290"/>
        <v>3861.1957142857145</v>
      </c>
      <c r="T693" s="13">
        <f t="shared" si="291"/>
        <v>19305.978571428572</v>
      </c>
      <c r="U693" s="13">
        <f t="shared" si="292"/>
        <v>23167.174285714285</v>
      </c>
      <c r="V693" s="13">
        <v>15444.782857142854</v>
      </c>
      <c r="W693" s="13">
        <f t="shared" si="293"/>
        <v>3861.1957142857136</v>
      </c>
      <c r="X693" s="115">
        <f t="shared" si="298"/>
        <v>3861.1957142857145</v>
      </c>
      <c r="Y693" s="116">
        <f t="shared" si="299"/>
        <v>3861.1957142857136</v>
      </c>
      <c r="Z693" s="116">
        <f t="shared" si="302"/>
        <v>0</v>
      </c>
      <c r="AA693" s="116">
        <f t="shared" si="303"/>
        <v>-11583.587142857141</v>
      </c>
      <c r="AB693" s="117">
        <f>'Ratios (C)'!$C$24+'Ratios (C)'!$D$24</f>
        <v>0.69982242504454684</v>
      </c>
      <c r="AC693" s="116">
        <f t="shared" si="300"/>
        <v>2702.1513483430399</v>
      </c>
      <c r="AD693" s="116">
        <f t="shared" si="301"/>
        <v>2702.1513483430394</v>
      </c>
      <c r="AE693" s="118"/>
      <c r="AF693" s="119"/>
      <c r="AG693" s="120"/>
      <c r="AH693" s="118"/>
      <c r="AI693" s="119"/>
      <c r="AJ693" s="121"/>
    </row>
    <row r="694" spans="2:36" s="9" customFormat="1">
      <c r="B694" s="9">
        <v>549</v>
      </c>
      <c r="C694" s="9" t="s">
        <v>693</v>
      </c>
      <c r="E694" s="9">
        <v>166068</v>
      </c>
      <c r="G694" s="9">
        <v>2016</v>
      </c>
      <c r="H694" s="9">
        <v>7</v>
      </c>
      <c r="I694" s="9">
        <v>0</v>
      </c>
      <c r="J694" s="9" t="s">
        <v>78</v>
      </c>
      <c r="K694" s="158">
        <v>7</v>
      </c>
      <c r="L694" s="9">
        <f t="shared" si="285"/>
        <v>2023</v>
      </c>
      <c r="M694" s="127">
        <f t="shared" si="286"/>
        <v>2023.5833333333333</v>
      </c>
      <c r="N694" s="13">
        <v>26801.4</v>
      </c>
      <c r="O694" s="13">
        <f t="shared" si="287"/>
        <v>26801.4</v>
      </c>
      <c r="P694" s="13">
        <f t="shared" si="288"/>
        <v>319.06428571428575</v>
      </c>
      <c r="Q694" s="13">
        <f t="shared" si="289"/>
        <v>3828.7714285714292</v>
      </c>
      <c r="R694" s="13">
        <v>3828.7714285714292</v>
      </c>
      <c r="S694" s="13">
        <f t="shared" si="290"/>
        <v>3828.7714285714292</v>
      </c>
      <c r="T694" s="13">
        <f t="shared" si="291"/>
        <v>19143.857142857145</v>
      </c>
      <c r="U694" s="13">
        <f t="shared" si="292"/>
        <v>22972.628571428573</v>
      </c>
      <c r="V694" s="13">
        <v>15315.085714285713</v>
      </c>
      <c r="W694" s="13">
        <f t="shared" si="293"/>
        <v>3828.7714285714283</v>
      </c>
      <c r="X694" s="115">
        <f t="shared" si="298"/>
        <v>3828.7714285714292</v>
      </c>
      <c r="Y694" s="116">
        <f t="shared" si="299"/>
        <v>3828.7714285714283</v>
      </c>
      <c r="Z694" s="116">
        <f t="shared" si="302"/>
        <v>0</v>
      </c>
      <c r="AA694" s="116">
        <f t="shared" si="303"/>
        <v>-11486.314285714285</v>
      </c>
      <c r="AB694" s="117">
        <f>'Ratios (C)'!$C$24+'Ratios (C)'!$D$24</f>
        <v>0.69982242504454684</v>
      </c>
      <c r="AC694" s="116">
        <f t="shared" si="300"/>
        <v>2679.4601060841314</v>
      </c>
      <c r="AD694" s="116">
        <f t="shared" si="301"/>
        <v>2679.460106084131</v>
      </c>
      <c r="AE694" s="118"/>
      <c r="AF694" s="119"/>
      <c r="AG694" s="120"/>
      <c r="AH694" s="118"/>
      <c r="AI694" s="119"/>
      <c r="AJ694" s="121"/>
    </row>
    <row r="695" spans="2:36" s="9" customFormat="1">
      <c r="B695" s="9">
        <v>486</v>
      </c>
      <c r="C695" s="9" t="s">
        <v>693</v>
      </c>
      <c r="E695" s="9">
        <v>168665</v>
      </c>
      <c r="G695" s="9">
        <v>2016</v>
      </c>
      <c r="H695" s="9">
        <v>9</v>
      </c>
      <c r="I695" s="9">
        <v>0</v>
      </c>
      <c r="J695" s="9" t="s">
        <v>78</v>
      </c>
      <c r="K695" s="158">
        <v>7</v>
      </c>
      <c r="L695" s="9">
        <f t="shared" si="285"/>
        <v>2023</v>
      </c>
      <c r="M695" s="127">
        <f t="shared" si="286"/>
        <v>2023.75</v>
      </c>
      <c r="N695" s="13">
        <v>26240.6</v>
      </c>
      <c r="O695" s="13">
        <f t="shared" si="287"/>
        <v>26240.6</v>
      </c>
      <c r="P695" s="13">
        <f t="shared" si="288"/>
        <v>312.38809523809522</v>
      </c>
      <c r="Q695" s="13">
        <f t="shared" si="289"/>
        <v>3748.6571428571424</v>
      </c>
      <c r="R695" s="13">
        <v>3748.6571428571424</v>
      </c>
      <c r="S695" s="13">
        <f t="shared" si="290"/>
        <v>3748.6571428571424</v>
      </c>
      <c r="T695" s="13">
        <f t="shared" si="291"/>
        <v>18743.28571428571</v>
      </c>
      <c r="U695" s="13">
        <f t="shared" si="292"/>
        <v>22491.942857142851</v>
      </c>
      <c r="V695" s="13">
        <v>14994.628571428571</v>
      </c>
      <c r="W695" s="13">
        <f t="shared" si="293"/>
        <v>3748.6571428571478</v>
      </c>
      <c r="X695" s="115">
        <f t="shared" si="298"/>
        <v>3748.6571428571424</v>
      </c>
      <c r="Y695" s="116">
        <f t="shared" si="299"/>
        <v>3748.6571428571478</v>
      </c>
      <c r="Z695" s="116">
        <f t="shared" si="302"/>
        <v>0</v>
      </c>
      <c r="AA695" s="116">
        <f t="shared" si="303"/>
        <v>-11245.971428571424</v>
      </c>
      <c r="AB695" s="117">
        <f>'Ratios (C)'!$C$24+'Ratios (C)'!$D$24</f>
        <v>0.69982242504454684</v>
      </c>
      <c r="AC695" s="116">
        <f t="shared" si="300"/>
        <v>2623.3943323748476</v>
      </c>
      <c r="AD695" s="116">
        <f t="shared" si="301"/>
        <v>2623.3943323748513</v>
      </c>
      <c r="AE695" s="118"/>
      <c r="AF695" s="119"/>
      <c r="AG695" s="120"/>
      <c r="AH695" s="118"/>
      <c r="AI695" s="119"/>
      <c r="AJ695" s="121"/>
    </row>
    <row r="696" spans="2:36" s="9" customFormat="1">
      <c r="B696" s="9">
        <v>486</v>
      </c>
      <c r="C696" s="9" t="s">
        <v>693</v>
      </c>
      <c r="E696" s="9">
        <v>168984</v>
      </c>
      <c r="G696" s="9">
        <v>2016</v>
      </c>
      <c r="H696" s="9">
        <v>10</v>
      </c>
      <c r="I696" s="9">
        <v>0</v>
      </c>
      <c r="J696" s="9" t="s">
        <v>78</v>
      </c>
      <c r="K696" s="158">
        <v>7</v>
      </c>
      <c r="L696" s="9">
        <f t="shared" si="285"/>
        <v>2023</v>
      </c>
      <c r="M696" s="127">
        <f t="shared" si="286"/>
        <v>2023.8333333333333</v>
      </c>
      <c r="N696" s="13">
        <v>26099.16</v>
      </c>
      <c r="O696" s="13">
        <f t="shared" si="287"/>
        <v>26099.16</v>
      </c>
      <c r="P696" s="13">
        <f t="shared" si="288"/>
        <v>310.70428571428573</v>
      </c>
      <c r="Q696" s="13">
        <f t="shared" si="289"/>
        <v>3728.4514285714286</v>
      </c>
      <c r="R696" s="13">
        <v>3728.4514285714286</v>
      </c>
      <c r="S696" s="13">
        <f t="shared" si="290"/>
        <v>3728.4514285714286</v>
      </c>
      <c r="T696" s="13">
        <f t="shared" si="291"/>
        <v>18642.257142857143</v>
      </c>
      <c r="U696" s="13">
        <f t="shared" si="292"/>
        <v>22370.708571428571</v>
      </c>
      <c r="V696" s="13">
        <v>14913.805714285714</v>
      </c>
      <c r="W696" s="13">
        <f t="shared" si="293"/>
        <v>3728.4514285714286</v>
      </c>
      <c r="X696" s="115">
        <f t="shared" si="298"/>
        <v>3728.4514285714286</v>
      </c>
      <c r="Y696" s="116">
        <f t="shared" si="299"/>
        <v>3728.4514285714286</v>
      </c>
      <c r="Z696" s="116">
        <f t="shared" si="302"/>
        <v>0</v>
      </c>
      <c r="AA696" s="116">
        <f t="shared" si="303"/>
        <v>-11185.354285714286</v>
      </c>
      <c r="AB696" s="117">
        <f>'Ratios (C)'!$C$24+'Ratios (C)'!$D$24</f>
        <v>0.69982242504454684</v>
      </c>
      <c r="AC696" s="116">
        <f t="shared" si="300"/>
        <v>2609.2539204036621</v>
      </c>
      <c r="AD696" s="116">
        <f t="shared" si="301"/>
        <v>2609.2539204036621</v>
      </c>
      <c r="AE696" s="118"/>
      <c r="AF696" s="119"/>
      <c r="AG696" s="120"/>
      <c r="AH696" s="118"/>
      <c r="AI696" s="119"/>
      <c r="AJ696" s="121"/>
    </row>
    <row r="697" spans="2:36" s="9" customFormat="1">
      <c r="B697" s="9">
        <v>486</v>
      </c>
      <c r="C697" s="9" t="s">
        <v>693</v>
      </c>
      <c r="E697" s="9">
        <v>168985</v>
      </c>
      <c r="G697" s="9">
        <v>2016</v>
      </c>
      <c r="H697" s="9">
        <v>10</v>
      </c>
      <c r="I697" s="9">
        <v>0</v>
      </c>
      <c r="J697" s="9" t="s">
        <v>78</v>
      </c>
      <c r="K697" s="158">
        <v>7</v>
      </c>
      <c r="L697" s="9">
        <f t="shared" si="285"/>
        <v>2023</v>
      </c>
      <c r="M697" s="127">
        <f t="shared" si="286"/>
        <v>2023.8333333333333</v>
      </c>
      <c r="N697" s="13">
        <v>26099.16</v>
      </c>
      <c r="O697" s="13">
        <f t="shared" si="287"/>
        <v>26099.16</v>
      </c>
      <c r="P697" s="13">
        <f t="shared" si="288"/>
        <v>310.70428571428573</v>
      </c>
      <c r="Q697" s="13">
        <f t="shared" si="289"/>
        <v>3728.4514285714286</v>
      </c>
      <c r="R697" s="13">
        <v>3728.4514285714286</v>
      </c>
      <c r="S697" s="13">
        <f t="shared" si="290"/>
        <v>3728.4514285714286</v>
      </c>
      <c r="T697" s="13">
        <f t="shared" si="291"/>
        <v>18642.257142857143</v>
      </c>
      <c r="U697" s="13">
        <f t="shared" si="292"/>
        <v>22370.708571428571</v>
      </c>
      <c r="V697" s="13">
        <v>14913.805714285714</v>
      </c>
      <c r="W697" s="13">
        <f t="shared" si="293"/>
        <v>3728.4514285714286</v>
      </c>
      <c r="X697" s="115">
        <f t="shared" si="298"/>
        <v>3728.4514285714286</v>
      </c>
      <c r="Y697" s="116">
        <f t="shared" si="299"/>
        <v>3728.4514285714286</v>
      </c>
      <c r="Z697" s="116">
        <f t="shared" si="302"/>
        <v>0</v>
      </c>
      <c r="AA697" s="116">
        <f t="shared" si="303"/>
        <v>-11185.354285714286</v>
      </c>
      <c r="AB697" s="117">
        <f>'Ratios (C)'!$C$24+'Ratios (C)'!$D$24</f>
        <v>0.69982242504454684</v>
      </c>
      <c r="AC697" s="116">
        <f t="shared" si="300"/>
        <v>2609.2539204036621</v>
      </c>
      <c r="AD697" s="116">
        <f t="shared" si="301"/>
        <v>2609.2539204036621</v>
      </c>
      <c r="AE697" s="118"/>
      <c r="AF697" s="119"/>
      <c r="AG697" s="120"/>
      <c r="AH697" s="118"/>
      <c r="AI697" s="119"/>
      <c r="AJ697" s="121"/>
    </row>
    <row r="698" spans="2:36" s="9" customFormat="1">
      <c r="B698" s="9">
        <v>702</v>
      </c>
      <c r="C698" s="9" t="s">
        <v>693</v>
      </c>
      <c r="E698" s="9">
        <v>177914</v>
      </c>
      <c r="G698" s="9">
        <v>2017</v>
      </c>
      <c r="H698" s="9">
        <v>3</v>
      </c>
      <c r="I698" s="9">
        <v>0</v>
      </c>
      <c r="J698" s="9" t="s">
        <v>78</v>
      </c>
      <c r="K698" s="158">
        <v>7</v>
      </c>
      <c r="L698" s="9">
        <f t="shared" si="285"/>
        <v>2024</v>
      </c>
      <c r="M698" s="127">
        <f t="shared" si="286"/>
        <v>2024.25</v>
      </c>
      <c r="N698" s="13">
        <v>37138.620000000003</v>
      </c>
      <c r="O698" s="13">
        <f t="shared" si="287"/>
        <v>37138.620000000003</v>
      </c>
      <c r="P698" s="13">
        <f t="shared" si="288"/>
        <v>442.12642857142856</v>
      </c>
      <c r="Q698" s="13">
        <f t="shared" si="289"/>
        <v>5305.517142857143</v>
      </c>
      <c r="R698" s="13">
        <v>5305.517142857143</v>
      </c>
      <c r="S698" s="13">
        <f t="shared" si="290"/>
        <v>5305.517142857143</v>
      </c>
      <c r="T698" s="13">
        <f t="shared" si="291"/>
        <v>21222.068571428572</v>
      </c>
      <c r="U698" s="13">
        <f t="shared" si="292"/>
        <v>26527.585714285713</v>
      </c>
      <c r="V698" s="13">
        <v>26527.585714285717</v>
      </c>
      <c r="W698" s="13">
        <f t="shared" si="293"/>
        <v>10611.03428571429</v>
      </c>
      <c r="X698" s="115">
        <f t="shared" si="298"/>
        <v>5305.517142857143</v>
      </c>
      <c r="Y698" s="116">
        <f t="shared" si="299"/>
        <v>10611.03428571429</v>
      </c>
      <c r="Z698" s="116">
        <f t="shared" si="302"/>
        <v>0</v>
      </c>
      <c r="AA698" s="116">
        <f t="shared" si="303"/>
        <v>-15916.551428571427</v>
      </c>
      <c r="AB698" s="117">
        <f>'Ratios (C)'!$C$24+'Ratios (C)'!$D$24</f>
        <v>0.69982242504454684</v>
      </c>
      <c r="AC698" s="116">
        <f t="shared" si="300"/>
        <v>3712.9198730297012</v>
      </c>
      <c r="AD698" s="116">
        <f t="shared" si="301"/>
        <v>7425.8397460594051</v>
      </c>
      <c r="AE698" s="118"/>
      <c r="AF698" s="119"/>
      <c r="AG698" s="120"/>
      <c r="AH698" s="118"/>
      <c r="AI698" s="119"/>
      <c r="AJ698" s="121"/>
    </row>
    <row r="699" spans="2:36" s="9" customFormat="1">
      <c r="B699" s="9">
        <v>624</v>
      </c>
      <c r="C699" s="9" t="s">
        <v>693</v>
      </c>
      <c r="E699" s="9">
        <v>183931</v>
      </c>
      <c r="G699" s="9">
        <v>2017</v>
      </c>
      <c r="H699" s="9">
        <v>6</v>
      </c>
      <c r="I699" s="9">
        <v>0</v>
      </c>
      <c r="J699" s="9" t="s">
        <v>78</v>
      </c>
      <c r="K699" s="158">
        <v>7</v>
      </c>
      <c r="L699" s="9">
        <f t="shared" si="285"/>
        <v>2024</v>
      </c>
      <c r="M699" s="127">
        <f t="shared" si="286"/>
        <v>2024.5</v>
      </c>
      <c r="N699" s="13">
        <v>32784.07</v>
      </c>
      <c r="O699" s="13">
        <f t="shared" si="287"/>
        <v>32784.07</v>
      </c>
      <c r="P699" s="13">
        <f t="shared" si="288"/>
        <v>390.28654761904767</v>
      </c>
      <c r="Q699" s="13">
        <f t="shared" si="289"/>
        <v>4683.4385714285718</v>
      </c>
      <c r="R699" s="13">
        <v>4683.4385714285718</v>
      </c>
      <c r="S699" s="13">
        <f t="shared" si="290"/>
        <v>4683.4385714285718</v>
      </c>
      <c r="T699" s="13">
        <f t="shared" si="291"/>
        <v>18733.754285714287</v>
      </c>
      <c r="U699" s="13">
        <f t="shared" si="292"/>
        <v>23417.192857142858</v>
      </c>
      <c r="V699" s="13">
        <v>23417.192857142858</v>
      </c>
      <c r="W699" s="13">
        <f t="shared" si="293"/>
        <v>9366.8771428571417</v>
      </c>
      <c r="X699" s="115">
        <f t="shared" si="298"/>
        <v>4683.4385714285718</v>
      </c>
      <c r="Y699" s="116">
        <f t="shared" si="299"/>
        <v>9366.8771428571417</v>
      </c>
      <c r="Z699" s="116">
        <f t="shared" si="302"/>
        <v>0</v>
      </c>
      <c r="AA699" s="116">
        <f t="shared" si="303"/>
        <v>-14050.315714285716</v>
      </c>
      <c r="AB699" s="117">
        <f>'Ratios (C)'!$C$24+'Ratios (C)'!$D$24</f>
        <v>0.69982242504454684</v>
      </c>
      <c r="AC699" s="116">
        <f t="shared" si="300"/>
        <v>3277.5753386043111</v>
      </c>
      <c r="AD699" s="116">
        <f t="shared" si="301"/>
        <v>6555.1506772086213</v>
      </c>
      <c r="AE699" s="118"/>
      <c r="AF699" s="119"/>
      <c r="AG699" s="120"/>
      <c r="AH699" s="118"/>
      <c r="AI699" s="119"/>
      <c r="AJ699" s="121"/>
    </row>
    <row r="700" spans="2:36" s="9" customFormat="1">
      <c r="B700" s="9">
        <v>624</v>
      </c>
      <c r="C700" s="9" t="s">
        <v>693</v>
      </c>
      <c r="E700" s="9">
        <v>183932</v>
      </c>
      <c r="G700" s="9">
        <v>2017</v>
      </c>
      <c r="H700" s="9">
        <v>6</v>
      </c>
      <c r="I700" s="9">
        <v>0</v>
      </c>
      <c r="J700" s="9" t="s">
        <v>78</v>
      </c>
      <c r="K700" s="158">
        <v>7</v>
      </c>
      <c r="L700" s="9">
        <f t="shared" si="285"/>
        <v>2024</v>
      </c>
      <c r="M700" s="127">
        <f t="shared" si="286"/>
        <v>2024.5</v>
      </c>
      <c r="N700" s="13">
        <v>32784.07</v>
      </c>
      <c r="O700" s="13">
        <f t="shared" si="287"/>
        <v>32784.07</v>
      </c>
      <c r="P700" s="13">
        <f t="shared" si="288"/>
        <v>390.28654761904767</v>
      </c>
      <c r="Q700" s="13">
        <f t="shared" si="289"/>
        <v>4683.4385714285718</v>
      </c>
      <c r="R700" s="13">
        <v>4683.4385714285718</v>
      </c>
      <c r="S700" s="13">
        <f t="shared" si="290"/>
        <v>4683.4385714285718</v>
      </c>
      <c r="T700" s="13">
        <f t="shared" si="291"/>
        <v>18733.754285714287</v>
      </c>
      <c r="U700" s="13">
        <f t="shared" si="292"/>
        <v>23417.192857142858</v>
      </c>
      <c r="V700" s="13">
        <v>23417.192857142858</v>
      </c>
      <c r="W700" s="13">
        <f t="shared" si="293"/>
        <v>9366.8771428571417</v>
      </c>
      <c r="X700" s="115">
        <f t="shared" si="298"/>
        <v>4683.4385714285718</v>
      </c>
      <c r="Y700" s="116">
        <f t="shared" si="299"/>
        <v>9366.8771428571417</v>
      </c>
      <c r="Z700" s="116">
        <f t="shared" si="302"/>
        <v>0</v>
      </c>
      <c r="AA700" s="116">
        <f t="shared" si="303"/>
        <v>-14050.315714285716</v>
      </c>
      <c r="AB700" s="117">
        <f>'Ratios (C)'!$C$24+'Ratios (C)'!$D$24</f>
        <v>0.69982242504454684</v>
      </c>
      <c r="AC700" s="116">
        <f t="shared" si="300"/>
        <v>3277.5753386043111</v>
      </c>
      <c r="AD700" s="116">
        <f t="shared" si="301"/>
        <v>6555.1506772086213</v>
      </c>
      <c r="AE700" s="118"/>
      <c r="AF700" s="119"/>
      <c r="AG700" s="120"/>
      <c r="AH700" s="118"/>
      <c r="AI700" s="119"/>
      <c r="AJ700" s="121"/>
    </row>
    <row r="701" spans="2:36" s="9" customFormat="1">
      <c r="B701" s="9">
        <v>624</v>
      </c>
      <c r="C701" s="9" t="s">
        <v>693</v>
      </c>
      <c r="E701" s="9">
        <v>189891</v>
      </c>
      <c r="G701" s="9">
        <v>2017</v>
      </c>
      <c r="H701" s="9">
        <v>11</v>
      </c>
      <c r="I701" s="9">
        <v>0</v>
      </c>
      <c r="J701" s="9" t="s">
        <v>78</v>
      </c>
      <c r="K701" s="158">
        <v>7</v>
      </c>
      <c r="L701" s="9">
        <f t="shared" si="285"/>
        <v>2024</v>
      </c>
      <c r="M701" s="127">
        <f t="shared" si="286"/>
        <v>2024.9166666666667</v>
      </c>
      <c r="N701" s="13">
        <v>32816.879999999997</v>
      </c>
      <c r="O701" s="13">
        <f t="shared" si="287"/>
        <v>32816.879999999997</v>
      </c>
      <c r="P701" s="13">
        <f t="shared" si="288"/>
        <v>390.67714285714283</v>
      </c>
      <c r="Q701" s="13">
        <f t="shared" si="289"/>
        <v>4688.1257142857139</v>
      </c>
      <c r="R701" s="13">
        <v>4688.1257142857139</v>
      </c>
      <c r="S701" s="13">
        <f t="shared" si="290"/>
        <v>4688.1257142857139</v>
      </c>
      <c r="T701" s="13">
        <f t="shared" si="291"/>
        <v>18752.502857142856</v>
      </c>
      <c r="U701" s="13">
        <f t="shared" si="292"/>
        <v>23440.62857142857</v>
      </c>
      <c r="V701" s="13">
        <v>23440.62857142857</v>
      </c>
      <c r="W701" s="13">
        <f t="shared" si="293"/>
        <v>9376.2514285714278</v>
      </c>
      <c r="X701" s="115">
        <f t="shared" si="298"/>
        <v>4688.1257142857139</v>
      </c>
      <c r="Y701" s="116">
        <f t="shared" si="299"/>
        <v>9376.2514285714278</v>
      </c>
      <c r="Z701" s="116">
        <f t="shared" si="302"/>
        <v>0</v>
      </c>
      <c r="AA701" s="116">
        <f t="shared" si="303"/>
        <v>-14064.377142857142</v>
      </c>
      <c r="AB701" s="117">
        <f>'Ratios (C)'!$C$24+'Ratios (C)'!$D$24</f>
        <v>0.69982242504454684</v>
      </c>
      <c r="AC701" s="116">
        <f t="shared" si="300"/>
        <v>3280.8555062851265</v>
      </c>
      <c r="AD701" s="116">
        <f t="shared" si="301"/>
        <v>6561.7110125702529</v>
      </c>
      <c r="AE701" s="118"/>
      <c r="AF701" s="119"/>
      <c r="AG701" s="120"/>
      <c r="AH701" s="118"/>
      <c r="AI701" s="119"/>
      <c r="AJ701" s="121"/>
    </row>
    <row r="702" spans="2:36" s="9" customFormat="1">
      <c r="B702" s="9">
        <v>600</v>
      </c>
      <c r="C702" s="9" t="s">
        <v>694</v>
      </c>
      <c r="E702" s="9">
        <v>187203</v>
      </c>
      <c r="G702" s="9">
        <v>2017</v>
      </c>
      <c r="H702" s="9">
        <v>8</v>
      </c>
      <c r="I702" s="9">
        <v>0</v>
      </c>
      <c r="J702" s="9" t="s">
        <v>78</v>
      </c>
      <c r="K702" s="158">
        <v>7</v>
      </c>
      <c r="L702" s="9">
        <f t="shared" ref="L702:L706" si="304">G702+K702</f>
        <v>2024</v>
      </c>
      <c r="M702" s="127">
        <f t="shared" ref="M702:M706" si="305">+L702+(H702/12)</f>
        <v>2024.6666666666667</v>
      </c>
      <c r="N702" s="13">
        <v>31542.89</v>
      </c>
      <c r="O702" s="13">
        <f t="shared" ref="O702:O706" si="306">N702-N702*I702</f>
        <v>31542.89</v>
      </c>
      <c r="P702" s="13">
        <f t="shared" ref="P702:P706" si="307">O702/K702/12</f>
        <v>375.51059523809522</v>
      </c>
      <c r="Q702" s="13">
        <f t="shared" ref="Q702:Q706" si="308">P702*12</f>
        <v>4506.1271428571426</v>
      </c>
      <c r="R702" s="13">
        <v>4506.1271428571426</v>
      </c>
      <c r="S702" s="13">
        <f t="shared" ref="S702:S710" si="309">+IF(M702&lt;=$O$5,0,IF(L702&gt;$O$4,Q702,(P702*H702)))</f>
        <v>4506.1271428571426</v>
      </c>
      <c r="T702" s="13">
        <f t="shared" ref="T702:T710" si="310">+IF(S702=0,N702,IF($O$3-G702&lt;1,0,(($O$3-G702)*Q702)))</f>
        <v>18024.508571428571</v>
      </c>
      <c r="U702" s="13">
        <f t="shared" ref="U702:U710" si="311">+IF(S702=0,T702,T702+S702)</f>
        <v>22530.635714285712</v>
      </c>
      <c r="V702" s="13">
        <v>22530.635714285716</v>
      </c>
      <c r="W702" s="13">
        <f t="shared" ref="W702:W710" si="312">+N702-U702</f>
        <v>9012.2542857142871</v>
      </c>
      <c r="X702" s="115">
        <f t="shared" si="298"/>
        <v>4506.1271428571426</v>
      </c>
      <c r="Y702" s="116">
        <f t="shared" si="299"/>
        <v>9012.2542857142871</v>
      </c>
      <c r="Z702" s="116">
        <f t="shared" si="302"/>
        <v>0</v>
      </c>
      <c r="AA702" s="116">
        <f t="shared" si="303"/>
        <v>-13518.381428571429</v>
      </c>
      <c r="AB702" s="117">
        <f>'Ratios (C)'!$C$24+'Ratios (C)'!$D$24</f>
        <v>0.69982242504454684</v>
      </c>
      <c r="AC702" s="116">
        <f t="shared" si="300"/>
        <v>3153.4888246733408</v>
      </c>
      <c r="AD702" s="116">
        <f t="shared" si="301"/>
        <v>6306.9776493466825</v>
      </c>
      <c r="AE702" s="118"/>
      <c r="AF702" s="119"/>
      <c r="AG702" s="120"/>
      <c r="AH702" s="118"/>
      <c r="AI702" s="119"/>
      <c r="AJ702" s="121"/>
    </row>
    <row r="703" spans="2:36" s="9" customFormat="1" ht="12.75" customHeight="1">
      <c r="B703" s="9">
        <v>624</v>
      </c>
      <c r="C703" s="9" t="s">
        <v>695</v>
      </c>
      <c r="E703" s="9">
        <v>193678</v>
      </c>
      <c r="G703" s="9">
        <v>2018</v>
      </c>
      <c r="H703" s="9">
        <v>2</v>
      </c>
      <c r="I703" s="9">
        <v>0</v>
      </c>
      <c r="J703" s="9" t="s">
        <v>78</v>
      </c>
      <c r="K703" s="158">
        <v>7</v>
      </c>
      <c r="L703" s="9">
        <f t="shared" si="304"/>
        <v>2025</v>
      </c>
      <c r="M703" s="127">
        <f t="shared" si="305"/>
        <v>2025.1666666666667</v>
      </c>
      <c r="N703" s="13">
        <v>33628.550000000003</v>
      </c>
      <c r="O703" s="13">
        <f t="shared" si="306"/>
        <v>33628.550000000003</v>
      </c>
      <c r="P703" s="13">
        <f t="shared" si="307"/>
        <v>400.33988095238101</v>
      </c>
      <c r="Q703" s="13">
        <f t="shared" si="308"/>
        <v>4804.0785714285721</v>
      </c>
      <c r="R703" s="13">
        <v>4804.0785714285721</v>
      </c>
      <c r="S703" s="13">
        <f t="shared" si="309"/>
        <v>4804.0785714285721</v>
      </c>
      <c r="T703" s="13">
        <f t="shared" si="310"/>
        <v>14412.235714285716</v>
      </c>
      <c r="U703" s="13">
        <f t="shared" si="311"/>
        <v>19216.314285714288</v>
      </c>
      <c r="V703" s="13">
        <v>28824.471428571429</v>
      </c>
      <c r="W703" s="13">
        <f t="shared" si="312"/>
        <v>14412.235714285714</v>
      </c>
      <c r="X703" s="115">
        <f t="shared" ref="X703:X714" si="313">S703</f>
        <v>4804.0785714285721</v>
      </c>
      <c r="Y703" s="116">
        <f t="shared" ref="Y703:Y714" si="314">W703</f>
        <v>14412.235714285714</v>
      </c>
      <c r="Z703" s="116">
        <f t="shared" si="302"/>
        <v>0</v>
      </c>
      <c r="AA703" s="116">
        <f t="shared" si="303"/>
        <v>-14412.235714285714</v>
      </c>
      <c r="AB703" s="117">
        <f>'Ratios (C)'!$C$24+'Ratios (C)'!$D$24</f>
        <v>0.69982242504454684</v>
      </c>
      <c r="AC703" s="116">
        <f t="shared" ref="AC703:AC711" si="315">X703*AB703</f>
        <v>3362.0019159616854</v>
      </c>
      <c r="AD703" s="116">
        <f t="shared" ref="AD703:AD711" si="316">Y703*AB703</f>
        <v>10086.005747885056</v>
      </c>
      <c r="AE703" s="118"/>
      <c r="AF703" s="119"/>
      <c r="AG703" s="120"/>
      <c r="AH703" s="118"/>
      <c r="AI703" s="119"/>
      <c r="AJ703" s="121"/>
    </row>
    <row r="704" spans="2:36" s="9" customFormat="1">
      <c r="B704" s="9">
        <v>624</v>
      </c>
      <c r="C704" s="9" t="s">
        <v>695</v>
      </c>
      <c r="E704" s="9">
        <v>193679</v>
      </c>
      <c r="G704" s="9">
        <v>2018</v>
      </c>
      <c r="H704" s="9">
        <v>2</v>
      </c>
      <c r="I704" s="9">
        <v>0</v>
      </c>
      <c r="J704" s="9" t="s">
        <v>78</v>
      </c>
      <c r="K704" s="158">
        <v>7</v>
      </c>
      <c r="L704" s="9">
        <f t="shared" si="304"/>
        <v>2025</v>
      </c>
      <c r="M704" s="127">
        <f t="shared" si="305"/>
        <v>2025.1666666666667</v>
      </c>
      <c r="N704" s="13">
        <v>33628.550000000003</v>
      </c>
      <c r="O704" s="13">
        <f t="shared" si="306"/>
        <v>33628.550000000003</v>
      </c>
      <c r="P704" s="13">
        <f t="shared" si="307"/>
        <v>400.33988095238101</v>
      </c>
      <c r="Q704" s="13">
        <f t="shared" si="308"/>
        <v>4804.0785714285721</v>
      </c>
      <c r="R704" s="13">
        <v>4804.0785714285721</v>
      </c>
      <c r="S704" s="13">
        <f t="shared" si="309"/>
        <v>4804.0785714285721</v>
      </c>
      <c r="T704" s="13">
        <f t="shared" si="310"/>
        <v>14412.235714285716</v>
      </c>
      <c r="U704" s="13">
        <f t="shared" si="311"/>
        <v>19216.314285714288</v>
      </c>
      <c r="V704" s="13">
        <v>28824.471428571429</v>
      </c>
      <c r="W704" s="13">
        <f t="shared" si="312"/>
        <v>14412.235714285714</v>
      </c>
      <c r="X704" s="115">
        <f t="shared" si="313"/>
        <v>4804.0785714285721</v>
      </c>
      <c r="Y704" s="116">
        <f t="shared" si="314"/>
        <v>14412.235714285714</v>
      </c>
      <c r="Z704" s="116">
        <f t="shared" si="302"/>
        <v>0</v>
      </c>
      <c r="AA704" s="116">
        <f t="shared" si="303"/>
        <v>-14412.235714285714</v>
      </c>
      <c r="AB704" s="117">
        <f>'Ratios (C)'!$C$24+'Ratios (C)'!$D$24</f>
        <v>0.69982242504454684</v>
      </c>
      <c r="AC704" s="116">
        <f t="shared" si="315"/>
        <v>3362.0019159616854</v>
      </c>
      <c r="AD704" s="116">
        <f t="shared" si="316"/>
        <v>10086.005747885056</v>
      </c>
      <c r="AE704" s="118"/>
      <c r="AF704" s="119"/>
      <c r="AG704" s="120"/>
      <c r="AH704" s="118"/>
      <c r="AI704" s="119"/>
      <c r="AJ704" s="121"/>
    </row>
    <row r="705" spans="1:36" s="9" customFormat="1">
      <c r="B705" s="9">
        <v>624</v>
      </c>
      <c r="C705" s="9" t="s">
        <v>696</v>
      </c>
      <c r="E705" s="9">
        <v>198691</v>
      </c>
      <c r="G705" s="9">
        <v>2018</v>
      </c>
      <c r="H705" s="9">
        <v>6</v>
      </c>
      <c r="I705" s="9">
        <v>0</v>
      </c>
      <c r="J705" s="9" t="s">
        <v>78</v>
      </c>
      <c r="K705" s="158">
        <v>7</v>
      </c>
      <c r="L705" s="9">
        <f t="shared" si="304"/>
        <v>2025</v>
      </c>
      <c r="M705" s="127">
        <f t="shared" si="305"/>
        <v>2025.5</v>
      </c>
      <c r="N705" s="13">
        <v>33402.910000000003</v>
      </c>
      <c r="O705" s="13">
        <f t="shared" si="306"/>
        <v>33402.910000000003</v>
      </c>
      <c r="P705" s="13">
        <f t="shared" si="307"/>
        <v>397.65369047619055</v>
      </c>
      <c r="Q705" s="13">
        <f t="shared" si="308"/>
        <v>4771.8442857142863</v>
      </c>
      <c r="R705" s="13">
        <v>4771.8442857142863</v>
      </c>
      <c r="S705" s="13">
        <f t="shared" si="309"/>
        <v>4771.8442857142863</v>
      </c>
      <c r="T705" s="13">
        <f t="shared" si="310"/>
        <v>14315.532857142858</v>
      </c>
      <c r="U705" s="13">
        <f t="shared" si="311"/>
        <v>19087.377142857145</v>
      </c>
      <c r="V705" s="13">
        <v>28631.065714285716</v>
      </c>
      <c r="W705" s="13">
        <f t="shared" si="312"/>
        <v>14315.532857142858</v>
      </c>
      <c r="X705" s="115">
        <f t="shared" si="313"/>
        <v>4771.8442857142863</v>
      </c>
      <c r="Y705" s="116">
        <f t="shared" si="314"/>
        <v>14315.532857142858</v>
      </c>
      <c r="Z705" s="116">
        <f t="shared" si="302"/>
        <v>0</v>
      </c>
      <c r="AA705" s="116">
        <f t="shared" si="303"/>
        <v>-14315.532857142858</v>
      </c>
      <c r="AB705" s="117">
        <f>'Ratios (C)'!$C$24+'Ratios (C)'!$D$24</f>
        <v>0.69982242504454684</v>
      </c>
      <c r="AC705" s="116">
        <f t="shared" si="315"/>
        <v>3339.4436399635351</v>
      </c>
      <c r="AD705" s="116">
        <f t="shared" si="316"/>
        <v>10018.330919890604</v>
      </c>
      <c r="AE705" s="118"/>
      <c r="AF705" s="119"/>
      <c r="AG705" s="120"/>
      <c r="AH705" s="118"/>
      <c r="AI705" s="119"/>
      <c r="AJ705" s="121"/>
    </row>
    <row r="706" spans="1:36" s="9" customFormat="1">
      <c r="B706" s="9">
        <v>624</v>
      </c>
      <c r="C706" s="9" t="s">
        <v>696</v>
      </c>
      <c r="E706" s="9">
        <v>200357</v>
      </c>
      <c r="G706" s="9">
        <v>2018</v>
      </c>
      <c r="H706" s="9">
        <v>6</v>
      </c>
      <c r="I706" s="9">
        <v>0</v>
      </c>
      <c r="J706" s="9" t="s">
        <v>78</v>
      </c>
      <c r="K706" s="158">
        <v>7</v>
      </c>
      <c r="L706" s="9">
        <f t="shared" si="304"/>
        <v>2025</v>
      </c>
      <c r="M706" s="127">
        <f t="shared" si="305"/>
        <v>2025.5</v>
      </c>
      <c r="N706" s="13">
        <v>33402.910000000003</v>
      </c>
      <c r="O706" s="13">
        <f t="shared" si="306"/>
        <v>33402.910000000003</v>
      </c>
      <c r="P706" s="13">
        <f t="shared" si="307"/>
        <v>397.65369047619055</v>
      </c>
      <c r="Q706" s="13">
        <f t="shared" si="308"/>
        <v>4771.8442857142863</v>
      </c>
      <c r="R706" s="13">
        <v>4771.8442857142863</v>
      </c>
      <c r="S706" s="13">
        <f t="shared" si="309"/>
        <v>4771.8442857142863</v>
      </c>
      <c r="T706" s="13">
        <f t="shared" si="310"/>
        <v>14315.532857142858</v>
      </c>
      <c r="U706" s="13">
        <f t="shared" si="311"/>
        <v>19087.377142857145</v>
      </c>
      <c r="V706" s="13">
        <v>28631.065714285716</v>
      </c>
      <c r="W706" s="13">
        <f t="shared" si="312"/>
        <v>14315.532857142858</v>
      </c>
      <c r="X706" s="115">
        <f t="shared" si="313"/>
        <v>4771.8442857142863</v>
      </c>
      <c r="Y706" s="116">
        <f t="shared" si="314"/>
        <v>14315.532857142858</v>
      </c>
      <c r="Z706" s="116">
        <f t="shared" si="302"/>
        <v>0</v>
      </c>
      <c r="AA706" s="116">
        <f t="shared" si="303"/>
        <v>-14315.532857142858</v>
      </c>
      <c r="AB706" s="117">
        <f>'Ratios (C)'!$C$24+'Ratios (C)'!$D$24</f>
        <v>0.69982242504454684</v>
      </c>
      <c r="AC706" s="116">
        <f t="shared" si="315"/>
        <v>3339.4436399635351</v>
      </c>
      <c r="AD706" s="116">
        <f t="shared" si="316"/>
        <v>10018.330919890604</v>
      </c>
      <c r="AE706" s="118"/>
      <c r="AF706" s="119"/>
      <c r="AG706" s="120"/>
      <c r="AH706" s="118"/>
      <c r="AI706" s="119"/>
      <c r="AJ706" s="121"/>
    </row>
    <row r="707" spans="1:36" s="9" customFormat="1">
      <c r="B707" s="9">
        <v>624</v>
      </c>
      <c r="C707" s="9" t="s">
        <v>697</v>
      </c>
      <c r="E707" s="9">
        <v>202237</v>
      </c>
      <c r="G707" s="9">
        <v>2018</v>
      </c>
      <c r="H707" s="9">
        <v>8</v>
      </c>
      <c r="I707" s="9">
        <v>0</v>
      </c>
      <c r="J707" s="9" t="s">
        <v>78</v>
      </c>
      <c r="K707" s="158">
        <v>7</v>
      </c>
      <c r="L707" s="9">
        <f t="shared" ref="L707:L722" si="317">G707+K707</f>
        <v>2025</v>
      </c>
      <c r="M707" s="127">
        <f t="shared" ref="M707:M722" si="318">+L707+(H707/12)</f>
        <v>2025.6666666666667</v>
      </c>
      <c r="N707" s="13">
        <v>34064.42</v>
      </c>
      <c r="O707" s="13">
        <f t="shared" ref="O707:O718" si="319">N707-N707*I707</f>
        <v>34064.42</v>
      </c>
      <c r="P707" s="13">
        <f t="shared" ref="P707:P718" si="320">O707/K707/12</f>
        <v>405.52880952380951</v>
      </c>
      <c r="Q707" s="13">
        <f t="shared" ref="Q707:Q718" si="321">P707*12</f>
        <v>4866.3457142857142</v>
      </c>
      <c r="R707" s="13">
        <v>4866.3457142857142</v>
      </c>
      <c r="S707" s="13">
        <f t="shared" si="309"/>
        <v>4866.3457142857142</v>
      </c>
      <c r="T707" s="13">
        <f t="shared" si="310"/>
        <v>14599.037142857142</v>
      </c>
      <c r="U707" s="13">
        <f t="shared" si="311"/>
        <v>19465.382857142857</v>
      </c>
      <c r="V707" s="13">
        <v>29198.074285714283</v>
      </c>
      <c r="W707" s="13">
        <f t="shared" si="312"/>
        <v>14599.037142857142</v>
      </c>
      <c r="X707" s="115">
        <f t="shared" si="313"/>
        <v>4866.3457142857142</v>
      </c>
      <c r="Y707" s="116">
        <f t="shared" si="314"/>
        <v>14599.037142857142</v>
      </c>
      <c r="Z707" s="116">
        <f t="shared" si="302"/>
        <v>0</v>
      </c>
      <c r="AA707" s="116">
        <f t="shared" si="303"/>
        <v>-14599.037142857142</v>
      </c>
      <c r="AB707" s="117">
        <f>'Ratios (C)'!$C$24+'Ratios (C)'!$D$24</f>
        <v>0.69982242504454684</v>
      </c>
      <c r="AC707" s="116">
        <f t="shared" si="315"/>
        <v>3405.5778588765661</v>
      </c>
      <c r="AD707" s="116">
        <f t="shared" si="316"/>
        <v>10216.733576629696</v>
      </c>
      <c r="AE707" s="118"/>
      <c r="AF707" s="119"/>
      <c r="AG707" s="120"/>
      <c r="AH707" s="118"/>
      <c r="AI707" s="119"/>
      <c r="AJ707" s="121"/>
    </row>
    <row r="708" spans="1:36" s="9" customFormat="1">
      <c r="B708" s="9">
        <v>624</v>
      </c>
      <c r="C708" s="9" t="s">
        <v>697</v>
      </c>
      <c r="E708" s="9">
        <v>202238</v>
      </c>
      <c r="G708" s="9">
        <v>2018</v>
      </c>
      <c r="H708" s="9">
        <v>8</v>
      </c>
      <c r="I708" s="9">
        <v>0</v>
      </c>
      <c r="J708" s="9" t="s">
        <v>78</v>
      </c>
      <c r="K708" s="158">
        <v>7</v>
      </c>
      <c r="L708" s="9">
        <f t="shared" si="317"/>
        <v>2025</v>
      </c>
      <c r="M708" s="127">
        <f t="shared" si="318"/>
        <v>2025.6666666666667</v>
      </c>
      <c r="N708" s="13">
        <v>34064.42</v>
      </c>
      <c r="O708" s="13">
        <f t="shared" si="319"/>
        <v>34064.42</v>
      </c>
      <c r="P708" s="13">
        <f t="shared" si="320"/>
        <v>405.52880952380951</v>
      </c>
      <c r="Q708" s="13">
        <f t="shared" si="321"/>
        <v>4866.3457142857142</v>
      </c>
      <c r="R708" s="13">
        <v>4866.3457142857142</v>
      </c>
      <c r="S708" s="13">
        <f t="shared" si="309"/>
        <v>4866.3457142857142</v>
      </c>
      <c r="T708" s="13">
        <f t="shared" si="310"/>
        <v>14599.037142857142</v>
      </c>
      <c r="U708" s="13">
        <f t="shared" si="311"/>
        <v>19465.382857142857</v>
      </c>
      <c r="V708" s="13">
        <v>29198.074285714283</v>
      </c>
      <c r="W708" s="13">
        <f t="shared" si="312"/>
        <v>14599.037142857142</v>
      </c>
      <c r="X708" s="115">
        <f t="shared" si="313"/>
        <v>4866.3457142857142</v>
      </c>
      <c r="Y708" s="116">
        <f t="shared" si="314"/>
        <v>14599.037142857142</v>
      </c>
      <c r="Z708" s="116">
        <f t="shared" si="302"/>
        <v>0</v>
      </c>
      <c r="AA708" s="116">
        <f t="shared" si="303"/>
        <v>-14599.037142857142</v>
      </c>
      <c r="AB708" s="117">
        <f>'Ratios (C)'!$C$24+'Ratios (C)'!$D$24</f>
        <v>0.69982242504454684</v>
      </c>
      <c r="AC708" s="116">
        <f t="shared" si="315"/>
        <v>3405.5778588765661</v>
      </c>
      <c r="AD708" s="116">
        <f t="shared" si="316"/>
        <v>10216.733576629696</v>
      </c>
      <c r="AE708" s="118"/>
      <c r="AF708" s="119"/>
      <c r="AG708" s="120"/>
      <c r="AH708" s="118"/>
      <c r="AI708" s="119"/>
      <c r="AJ708" s="121"/>
    </row>
    <row r="709" spans="1:36" s="9" customFormat="1">
      <c r="B709" s="9">
        <v>624</v>
      </c>
      <c r="C709" s="9" t="s">
        <v>698</v>
      </c>
      <c r="E709" s="9">
        <v>212308</v>
      </c>
      <c r="G709" s="9">
        <v>2019</v>
      </c>
      <c r="H709" s="9">
        <v>3</v>
      </c>
      <c r="I709" s="9">
        <v>0</v>
      </c>
      <c r="J709" s="9" t="s">
        <v>78</v>
      </c>
      <c r="K709" s="158">
        <v>7</v>
      </c>
      <c r="L709" s="9">
        <f t="shared" si="317"/>
        <v>2026</v>
      </c>
      <c r="M709" s="127">
        <f t="shared" si="318"/>
        <v>2026.25</v>
      </c>
      <c r="N709" s="13">
        <v>31901.46</v>
      </c>
      <c r="O709" s="13">
        <f t="shared" si="319"/>
        <v>31901.46</v>
      </c>
      <c r="P709" s="13">
        <f t="shared" si="320"/>
        <v>379.77928571428566</v>
      </c>
      <c r="Q709" s="13">
        <f t="shared" si="321"/>
        <v>4557.3514285714282</v>
      </c>
      <c r="R709" s="13">
        <v>4557.3514285714282</v>
      </c>
      <c r="S709" s="13">
        <f t="shared" si="309"/>
        <v>4557.3514285714282</v>
      </c>
      <c r="T709" s="13">
        <f t="shared" si="310"/>
        <v>9114.7028571428564</v>
      </c>
      <c r="U709" s="13">
        <f t="shared" si="311"/>
        <v>13672.054285714285</v>
      </c>
      <c r="V709" s="13">
        <v>27344.108571428573</v>
      </c>
      <c r="W709" s="13">
        <f t="shared" si="312"/>
        <v>18229.405714285713</v>
      </c>
      <c r="X709" s="115">
        <f t="shared" si="313"/>
        <v>4557.3514285714282</v>
      </c>
      <c r="Y709" s="116">
        <f t="shared" si="314"/>
        <v>18229.405714285713</v>
      </c>
      <c r="Z709" s="116">
        <f t="shared" si="302"/>
        <v>0</v>
      </c>
      <c r="AA709" s="116">
        <f t="shared" si="303"/>
        <v>-9114.70285714286</v>
      </c>
      <c r="AB709" s="117">
        <f>'Ratios (C)'!$C$24+'Ratios (C)'!$D$24</f>
        <v>0.69982242504454684</v>
      </c>
      <c r="AC709" s="116">
        <f t="shared" si="315"/>
        <v>3189.3367285230865</v>
      </c>
      <c r="AD709" s="116">
        <f t="shared" si="316"/>
        <v>12757.346914092346</v>
      </c>
      <c r="AE709" s="118"/>
      <c r="AF709" s="119"/>
      <c r="AG709" s="120"/>
      <c r="AH709" s="118"/>
      <c r="AI709" s="119"/>
      <c r="AJ709" s="121"/>
    </row>
    <row r="710" spans="1:36" s="9" customFormat="1">
      <c r="B710" s="9">
        <f>936+1248</f>
        <v>2184</v>
      </c>
      <c r="C710" s="9" t="s">
        <v>696</v>
      </c>
      <c r="E710" s="9" t="s">
        <v>699</v>
      </c>
      <c r="G710" s="9">
        <v>2019</v>
      </c>
      <c r="H710" s="9">
        <v>6</v>
      </c>
      <c r="I710" s="9">
        <v>0</v>
      </c>
      <c r="J710" s="9" t="s">
        <v>78</v>
      </c>
      <c r="K710" s="158">
        <v>7</v>
      </c>
      <c r="L710" s="9">
        <f t="shared" si="317"/>
        <v>2026</v>
      </c>
      <c r="M710" s="127">
        <f t="shared" si="318"/>
        <v>2026.5</v>
      </c>
      <c r="N710" s="13">
        <f>46475.57+61397</f>
        <v>107872.57</v>
      </c>
      <c r="O710" s="13">
        <f t="shared" si="319"/>
        <v>107872.57</v>
      </c>
      <c r="P710" s="13">
        <f t="shared" si="320"/>
        <v>1284.1972619047619</v>
      </c>
      <c r="Q710" s="13">
        <f t="shared" si="321"/>
        <v>15410.367142857143</v>
      </c>
      <c r="R710" s="13">
        <v>15410.367142857143</v>
      </c>
      <c r="S710" s="13">
        <f t="shared" si="309"/>
        <v>15410.367142857143</v>
      </c>
      <c r="T710" s="13">
        <f t="shared" si="310"/>
        <v>30820.734285714287</v>
      </c>
      <c r="U710" s="13">
        <f t="shared" si="311"/>
        <v>46231.101428571434</v>
      </c>
      <c r="V710" s="13">
        <v>92462.202857142867</v>
      </c>
      <c r="W710" s="13">
        <f t="shared" si="312"/>
        <v>61641.468571428573</v>
      </c>
      <c r="X710" s="115">
        <f t="shared" si="313"/>
        <v>15410.367142857143</v>
      </c>
      <c r="Y710" s="116">
        <f t="shared" si="314"/>
        <v>61641.468571428573</v>
      </c>
      <c r="Z710" s="116">
        <f t="shared" si="302"/>
        <v>0</v>
      </c>
      <c r="AA710" s="116">
        <f t="shared" si="303"/>
        <v>-30820.734285714294</v>
      </c>
      <c r="AB710" s="117">
        <f>'Ratios (C)'!$C$24+'Ratios (C)'!$D$24</f>
        <v>0.69982242504454684</v>
      </c>
      <c r="AC710" s="116">
        <f t="shared" si="315"/>
        <v>10784.520504741091</v>
      </c>
      <c r="AD710" s="116">
        <f t="shared" si="316"/>
        <v>43138.082018964364</v>
      </c>
      <c r="AE710" s="118"/>
      <c r="AF710" s="119"/>
      <c r="AG710" s="120"/>
      <c r="AH710" s="118"/>
      <c r="AI710" s="119"/>
      <c r="AJ710" s="121"/>
    </row>
    <row r="711" spans="1:36" s="9" customFormat="1">
      <c r="B711" s="9">
        <v>1404</v>
      </c>
      <c r="C711" s="9" t="s">
        <v>696</v>
      </c>
      <c r="E711" s="9">
        <v>221708</v>
      </c>
      <c r="G711" s="9">
        <v>2019</v>
      </c>
      <c r="H711" s="9">
        <v>9</v>
      </c>
      <c r="I711" s="9">
        <v>0</v>
      </c>
      <c r="J711" s="9" t="s">
        <v>78</v>
      </c>
      <c r="K711" s="158">
        <v>7</v>
      </c>
      <c r="L711" s="9">
        <f t="shared" si="317"/>
        <v>2026</v>
      </c>
      <c r="M711" s="127">
        <f t="shared" si="318"/>
        <v>2026.75</v>
      </c>
      <c r="N711" s="13">
        <v>64666.87</v>
      </c>
      <c r="O711" s="13">
        <f t="shared" si="319"/>
        <v>64666.87</v>
      </c>
      <c r="P711" s="13">
        <f t="shared" si="320"/>
        <v>769.84369047619055</v>
      </c>
      <c r="Q711" s="13">
        <f t="shared" si="321"/>
        <v>9238.1242857142861</v>
      </c>
      <c r="R711" s="13">
        <v>9238.1242857142861</v>
      </c>
      <c r="S711" s="13">
        <f t="shared" ref="S711:S718" si="322">+IF(M711&lt;=$O$5,0,IF(L711&gt;$O$4,Q711,(P711*H711)))</f>
        <v>9238.1242857142861</v>
      </c>
      <c r="T711" s="13">
        <f t="shared" ref="T711:T718" si="323">+IF(S711=0,N711,IF($O$3-G711&lt;1,0,(($O$3-G711)*Q711)))</f>
        <v>18476.248571428572</v>
      </c>
      <c r="U711" s="13">
        <f t="shared" ref="U711:U718" si="324">+IF(S711=0,T711,T711+S711)</f>
        <v>27714.372857142858</v>
      </c>
      <c r="V711" s="13">
        <v>55428.745714285717</v>
      </c>
      <c r="W711" s="13">
        <f t="shared" ref="W711:W718" si="325">+N711-U711</f>
        <v>36952.497142857144</v>
      </c>
      <c r="X711" s="115">
        <f t="shared" si="313"/>
        <v>9238.1242857142861</v>
      </c>
      <c r="Y711" s="116">
        <f t="shared" si="314"/>
        <v>36952.497142857144</v>
      </c>
      <c r="Z711" s="116">
        <f t="shared" si="302"/>
        <v>0</v>
      </c>
      <c r="AA711" s="116">
        <f t="shared" si="303"/>
        <v>-18476.248571428572</v>
      </c>
      <c r="AB711" s="117">
        <f>'Ratios (C)'!$C$24+'Ratios (C)'!$D$24</f>
        <v>0.69982242504454684</v>
      </c>
      <c r="AC711" s="116">
        <f t="shared" si="315"/>
        <v>6465.0465404914939</v>
      </c>
      <c r="AD711" s="116">
        <f t="shared" si="316"/>
        <v>25860.186161965976</v>
      </c>
      <c r="AE711" s="118"/>
      <c r="AF711" s="119"/>
      <c r="AG711" s="120"/>
      <c r="AH711" s="118"/>
      <c r="AI711" s="119"/>
      <c r="AJ711" s="121"/>
    </row>
    <row r="712" spans="1:36" s="9" customFormat="1">
      <c r="B712" s="9">
        <v>676</v>
      </c>
      <c r="C712" s="9" t="s">
        <v>1262</v>
      </c>
      <c r="E712" s="9">
        <v>228614</v>
      </c>
      <c r="G712" s="9">
        <v>2020</v>
      </c>
      <c r="H712" s="9">
        <v>2</v>
      </c>
      <c r="I712" s="9">
        <v>0</v>
      </c>
      <c r="J712" s="9" t="s">
        <v>78</v>
      </c>
      <c r="K712" s="158">
        <v>7</v>
      </c>
      <c r="L712" s="9">
        <f t="shared" si="317"/>
        <v>2027</v>
      </c>
      <c r="M712" s="127">
        <f t="shared" si="318"/>
        <v>2027.1666666666667</v>
      </c>
      <c r="N712" s="13">
        <v>31941.26</v>
      </c>
      <c r="O712" s="13">
        <f t="shared" si="319"/>
        <v>31941.26</v>
      </c>
      <c r="P712" s="13">
        <f t="shared" si="320"/>
        <v>380.25309523809523</v>
      </c>
      <c r="Q712" s="13">
        <f t="shared" si="321"/>
        <v>4563.0371428571425</v>
      </c>
      <c r="R712" s="13"/>
      <c r="S712" s="13">
        <f t="shared" si="322"/>
        <v>4563.0371428571425</v>
      </c>
      <c r="T712" s="13">
        <f t="shared" si="323"/>
        <v>4563.0371428571425</v>
      </c>
      <c r="U712" s="13">
        <f t="shared" si="324"/>
        <v>9126.074285714285</v>
      </c>
      <c r="V712" s="13"/>
      <c r="W712" s="13">
        <f t="shared" si="325"/>
        <v>22815.185714285712</v>
      </c>
      <c r="X712" s="147">
        <f t="shared" si="313"/>
        <v>4563.0371428571425</v>
      </c>
      <c r="Y712" s="116">
        <f t="shared" si="314"/>
        <v>22815.185714285712</v>
      </c>
      <c r="Z712" s="116"/>
      <c r="AA712" s="116"/>
      <c r="AB712" s="117"/>
      <c r="AC712" s="116"/>
      <c r="AD712" s="116"/>
      <c r="AE712" s="120"/>
      <c r="AF712" s="120"/>
      <c r="AG712" s="120"/>
      <c r="AH712" s="120"/>
      <c r="AI712" s="120"/>
      <c r="AJ712" s="120"/>
    </row>
    <row r="713" spans="1:36" s="9" customFormat="1">
      <c r="B713" s="9">
        <v>702</v>
      </c>
      <c r="C713" s="9" t="s">
        <v>1273</v>
      </c>
      <c r="E713" s="9">
        <v>232862</v>
      </c>
      <c r="G713" s="9">
        <v>2020</v>
      </c>
      <c r="H713" s="9">
        <v>4</v>
      </c>
      <c r="I713" s="9">
        <v>0</v>
      </c>
      <c r="J713" s="9" t="s">
        <v>78</v>
      </c>
      <c r="K713" s="158">
        <v>7</v>
      </c>
      <c r="L713" s="9">
        <f t="shared" si="317"/>
        <v>2027</v>
      </c>
      <c r="M713" s="127">
        <f t="shared" si="318"/>
        <v>2027.3333333333333</v>
      </c>
      <c r="N713" s="13">
        <v>27791.1</v>
      </c>
      <c r="O713" s="13">
        <f t="shared" si="319"/>
        <v>27791.1</v>
      </c>
      <c r="P713" s="13">
        <f t="shared" si="320"/>
        <v>330.84642857142859</v>
      </c>
      <c r="Q713" s="13">
        <f t="shared" si="321"/>
        <v>3970.1571428571433</v>
      </c>
      <c r="R713" s="13"/>
      <c r="S713" s="13">
        <f t="shared" si="322"/>
        <v>3970.1571428571433</v>
      </c>
      <c r="T713" s="13">
        <f t="shared" si="323"/>
        <v>3970.1571428571433</v>
      </c>
      <c r="U713" s="13">
        <f t="shared" si="324"/>
        <v>7940.3142857142866</v>
      </c>
      <c r="V713" s="13"/>
      <c r="W713" s="13">
        <f t="shared" si="325"/>
        <v>19850.78571428571</v>
      </c>
      <c r="X713" s="147">
        <f t="shared" si="313"/>
        <v>3970.1571428571433</v>
      </c>
      <c r="Y713" s="116">
        <f t="shared" si="314"/>
        <v>19850.78571428571</v>
      </c>
      <c r="Z713" s="116"/>
      <c r="AA713" s="116"/>
      <c r="AB713" s="117"/>
      <c r="AC713" s="116"/>
      <c r="AD713" s="116"/>
      <c r="AE713" s="120"/>
      <c r="AF713" s="120"/>
      <c r="AG713" s="120"/>
      <c r="AH713" s="120"/>
      <c r="AI713" s="120"/>
      <c r="AJ713" s="120"/>
    </row>
    <row r="714" spans="1:36" s="9" customFormat="1">
      <c r="B714" s="9">
        <v>702</v>
      </c>
      <c r="C714" s="9" t="s">
        <v>1273</v>
      </c>
      <c r="E714" s="9">
        <v>232863</v>
      </c>
      <c r="G714" s="9">
        <v>2020</v>
      </c>
      <c r="H714" s="9">
        <v>4</v>
      </c>
      <c r="I714" s="9">
        <v>0</v>
      </c>
      <c r="J714" s="9" t="s">
        <v>78</v>
      </c>
      <c r="K714" s="158">
        <v>7</v>
      </c>
      <c r="L714" s="9">
        <f t="shared" si="317"/>
        <v>2027</v>
      </c>
      <c r="M714" s="127">
        <f t="shared" si="318"/>
        <v>2027.3333333333333</v>
      </c>
      <c r="N714" s="13">
        <v>27791.1</v>
      </c>
      <c r="O714" s="13">
        <f t="shared" si="319"/>
        <v>27791.1</v>
      </c>
      <c r="P714" s="13">
        <f t="shared" si="320"/>
        <v>330.84642857142859</v>
      </c>
      <c r="Q714" s="13">
        <f t="shared" si="321"/>
        <v>3970.1571428571433</v>
      </c>
      <c r="R714" s="13"/>
      <c r="S714" s="13">
        <f t="shared" si="322"/>
        <v>3970.1571428571433</v>
      </c>
      <c r="T714" s="13">
        <f t="shared" si="323"/>
        <v>3970.1571428571433</v>
      </c>
      <c r="U714" s="13">
        <f t="shared" si="324"/>
        <v>7940.3142857142866</v>
      </c>
      <c r="V714" s="13"/>
      <c r="W714" s="13">
        <f t="shared" si="325"/>
        <v>19850.78571428571</v>
      </c>
      <c r="X714" s="9">
        <f t="shared" si="313"/>
        <v>3970.1571428571433</v>
      </c>
      <c r="Y714" s="9">
        <f t="shared" si="314"/>
        <v>19850.78571428571</v>
      </c>
      <c r="Z714" s="116"/>
      <c r="AA714" s="116"/>
      <c r="AB714" s="117"/>
    </row>
    <row r="715" spans="1:36" s="9" customFormat="1">
      <c r="B715" s="9">
        <v>351</v>
      </c>
      <c r="C715" s="9" t="s">
        <v>1284</v>
      </c>
      <c r="E715" s="9">
        <v>236850</v>
      </c>
      <c r="G715" s="9">
        <v>2020</v>
      </c>
      <c r="H715" s="9">
        <v>8</v>
      </c>
      <c r="I715" s="9">
        <v>0</v>
      </c>
      <c r="J715" s="9" t="s">
        <v>78</v>
      </c>
      <c r="K715" s="158">
        <v>7</v>
      </c>
      <c r="L715" s="9">
        <f t="shared" si="317"/>
        <v>2027</v>
      </c>
      <c r="M715" s="127">
        <f t="shared" si="318"/>
        <v>2027.6666666666667</v>
      </c>
      <c r="N715" s="13">
        <v>15015.3</v>
      </c>
      <c r="O715" s="13">
        <f t="shared" si="319"/>
        <v>15015.3</v>
      </c>
      <c r="P715" s="13">
        <f t="shared" si="320"/>
        <v>178.75357142857141</v>
      </c>
      <c r="Q715" s="13">
        <f t="shared" si="321"/>
        <v>2145.042857142857</v>
      </c>
      <c r="R715" s="13"/>
      <c r="S715" s="13">
        <f t="shared" si="322"/>
        <v>2145.042857142857</v>
      </c>
      <c r="T715" s="13">
        <f t="shared" si="323"/>
        <v>2145.042857142857</v>
      </c>
      <c r="U715" s="13">
        <f t="shared" si="324"/>
        <v>4290.0857142857139</v>
      </c>
      <c r="V715" s="13"/>
      <c r="W715" s="13">
        <f t="shared" si="325"/>
        <v>10725.214285714286</v>
      </c>
      <c r="Z715" s="116"/>
      <c r="AA715" s="116"/>
      <c r="AB715" s="117"/>
    </row>
    <row r="716" spans="1:36" s="9" customFormat="1">
      <c r="B716" s="9">
        <v>702</v>
      </c>
      <c r="C716" s="9" t="s">
        <v>1288</v>
      </c>
      <c r="E716" s="9">
        <v>237326</v>
      </c>
      <c r="G716" s="9">
        <v>2020</v>
      </c>
      <c r="H716" s="9">
        <v>8</v>
      </c>
      <c r="I716" s="9">
        <v>0</v>
      </c>
      <c r="J716" s="9" t="s">
        <v>78</v>
      </c>
      <c r="K716" s="158">
        <v>7</v>
      </c>
      <c r="L716" s="9">
        <f t="shared" si="317"/>
        <v>2027</v>
      </c>
      <c r="M716" s="127">
        <f t="shared" si="318"/>
        <v>2027.6666666666667</v>
      </c>
      <c r="N716" s="13">
        <v>30031.57</v>
      </c>
      <c r="O716" s="13">
        <f t="shared" si="319"/>
        <v>30031.57</v>
      </c>
      <c r="P716" s="13">
        <f t="shared" si="320"/>
        <v>357.51869047619044</v>
      </c>
      <c r="Q716" s="13">
        <f t="shared" si="321"/>
        <v>4290.2242857142855</v>
      </c>
      <c r="R716" s="13"/>
      <c r="S716" s="13">
        <f t="shared" si="322"/>
        <v>4290.2242857142855</v>
      </c>
      <c r="T716" s="13">
        <f t="shared" si="323"/>
        <v>4290.2242857142855</v>
      </c>
      <c r="U716" s="13">
        <f t="shared" si="324"/>
        <v>8580.4485714285711</v>
      </c>
      <c r="V716" s="13"/>
      <c r="W716" s="13">
        <f t="shared" si="325"/>
        <v>21451.12142857143</v>
      </c>
      <c r="Z716" s="116"/>
      <c r="AA716" s="116"/>
      <c r="AB716" s="117"/>
    </row>
    <row r="717" spans="1:36" s="9" customFormat="1">
      <c r="B717" s="9">
        <v>702</v>
      </c>
      <c r="C717" s="9" t="s">
        <v>1295</v>
      </c>
      <c r="E717" s="9">
        <v>237475</v>
      </c>
      <c r="G717" s="9">
        <v>2020</v>
      </c>
      <c r="H717" s="9">
        <v>9</v>
      </c>
      <c r="I717" s="9">
        <v>0</v>
      </c>
      <c r="J717" s="9" t="s">
        <v>78</v>
      </c>
      <c r="K717" s="158">
        <v>7</v>
      </c>
      <c r="L717" s="9">
        <f t="shared" si="317"/>
        <v>2027</v>
      </c>
      <c r="M717" s="127">
        <f t="shared" si="318"/>
        <v>2027.75</v>
      </c>
      <c r="N717" s="13">
        <v>30338.49</v>
      </c>
      <c r="O717" s="13">
        <f t="shared" si="319"/>
        <v>30338.49</v>
      </c>
      <c r="P717" s="13">
        <f t="shared" si="320"/>
        <v>361.17250000000007</v>
      </c>
      <c r="Q717" s="13">
        <f t="shared" si="321"/>
        <v>4334.0700000000006</v>
      </c>
      <c r="R717" s="13"/>
      <c r="S717" s="13">
        <f t="shared" si="322"/>
        <v>4334.0700000000006</v>
      </c>
      <c r="T717" s="13">
        <f t="shared" si="323"/>
        <v>4334.0700000000006</v>
      </c>
      <c r="U717" s="13">
        <f t="shared" si="324"/>
        <v>8668.1400000000012</v>
      </c>
      <c r="V717" s="13"/>
      <c r="W717" s="13">
        <f t="shared" si="325"/>
        <v>21670.35</v>
      </c>
      <c r="Z717" s="116"/>
      <c r="AA717" s="116"/>
      <c r="AB717" s="117"/>
    </row>
    <row r="718" spans="1:36" s="9" customFormat="1">
      <c r="B718" s="9">
        <v>702</v>
      </c>
      <c r="C718" s="9" t="s">
        <v>1295</v>
      </c>
      <c r="E718" s="9">
        <v>237476</v>
      </c>
      <c r="G718" s="9">
        <v>2020</v>
      </c>
      <c r="H718" s="9">
        <v>9</v>
      </c>
      <c r="I718" s="9">
        <v>0</v>
      </c>
      <c r="J718" s="9" t="s">
        <v>78</v>
      </c>
      <c r="K718" s="158">
        <v>7</v>
      </c>
      <c r="L718" s="9">
        <f t="shared" si="317"/>
        <v>2027</v>
      </c>
      <c r="M718" s="127">
        <f t="shared" si="318"/>
        <v>2027.75</v>
      </c>
      <c r="N718" s="13">
        <v>30338.49</v>
      </c>
      <c r="O718" s="13">
        <f t="shared" si="319"/>
        <v>30338.49</v>
      </c>
      <c r="P718" s="13">
        <f t="shared" si="320"/>
        <v>361.17250000000007</v>
      </c>
      <c r="Q718" s="13">
        <f t="shared" si="321"/>
        <v>4334.0700000000006</v>
      </c>
      <c r="R718" s="13"/>
      <c r="S718" s="13">
        <f t="shared" si="322"/>
        <v>4334.0700000000006</v>
      </c>
      <c r="T718" s="13">
        <f t="shared" si="323"/>
        <v>4334.0700000000006</v>
      </c>
      <c r="U718" s="13">
        <f t="shared" si="324"/>
        <v>8668.1400000000012</v>
      </c>
      <c r="V718" s="13"/>
      <c r="W718" s="13">
        <f t="shared" si="325"/>
        <v>21670.35</v>
      </c>
      <c r="Z718" s="116"/>
      <c r="AA718" s="116"/>
      <c r="AB718" s="117"/>
    </row>
    <row r="719" spans="1:36" s="181" customFormat="1">
      <c r="A719" s="9"/>
      <c r="B719" s="9">
        <v>702</v>
      </c>
      <c r="C719" s="9" t="s">
        <v>1370</v>
      </c>
      <c r="D719" s="9"/>
      <c r="E719" s="9">
        <v>256222</v>
      </c>
      <c r="F719" s="9"/>
      <c r="G719" s="9">
        <v>2021</v>
      </c>
      <c r="H719" s="9">
        <v>7</v>
      </c>
      <c r="I719" s="9">
        <v>0</v>
      </c>
      <c r="J719" s="9" t="s">
        <v>78</v>
      </c>
      <c r="K719" s="158">
        <v>7</v>
      </c>
      <c r="L719" s="9">
        <f t="shared" si="317"/>
        <v>2028</v>
      </c>
      <c r="M719" s="127">
        <f t="shared" si="318"/>
        <v>2028.5833333333333</v>
      </c>
      <c r="N719" s="13">
        <v>42661.73</v>
      </c>
      <c r="O719" s="13">
        <f t="shared" ref="O719:O720" si="326">N719-N719*I719</f>
        <v>42661.73</v>
      </c>
      <c r="P719" s="13">
        <f t="shared" ref="P719:P720" si="327">O719/K719/12</f>
        <v>507.8777380952381</v>
      </c>
      <c r="Q719" s="13">
        <f t="shared" ref="Q719:Q720" si="328">P719*12</f>
        <v>6094.5328571428572</v>
      </c>
      <c r="R719" s="13"/>
      <c r="S719" s="13">
        <f t="shared" ref="S719:S720" si="329">+IF(M719&lt;=$O$5,0,IF(L719&gt;$O$4,Q719,(P719*H719)))</f>
        <v>6094.5328571428572</v>
      </c>
      <c r="T719" s="13">
        <f t="shared" ref="T719:T720" si="330">+IF(S719=0,N719,IF($O$3-G719&lt;1,0,(($O$3-G719)*Q719)))</f>
        <v>0</v>
      </c>
      <c r="U719" s="13">
        <f t="shared" ref="U719:U720" si="331">+IF(S719=0,T719,T719+S719)</f>
        <v>6094.5328571428572</v>
      </c>
      <c r="V719" s="13"/>
      <c r="W719" s="13">
        <f t="shared" ref="W719:W720" si="332">+N719-U719</f>
        <v>36567.197142857149</v>
      </c>
      <c r="Z719" s="183"/>
      <c r="AA719" s="183"/>
      <c r="AB719" s="184"/>
    </row>
    <row r="720" spans="1:36" s="181" customFormat="1">
      <c r="A720" s="9"/>
      <c r="B720" s="9">
        <v>702</v>
      </c>
      <c r="C720" s="9" t="s">
        <v>1370</v>
      </c>
      <c r="D720" s="9"/>
      <c r="E720" s="9">
        <v>256221</v>
      </c>
      <c r="F720" s="9"/>
      <c r="G720" s="9">
        <v>2021</v>
      </c>
      <c r="H720" s="9">
        <v>7</v>
      </c>
      <c r="I720" s="9">
        <v>0</v>
      </c>
      <c r="J720" s="9" t="s">
        <v>78</v>
      </c>
      <c r="K720" s="158">
        <v>7</v>
      </c>
      <c r="L720" s="9">
        <f t="shared" si="317"/>
        <v>2028</v>
      </c>
      <c r="M720" s="127">
        <f t="shared" si="318"/>
        <v>2028.5833333333333</v>
      </c>
      <c r="N720" s="13">
        <v>42661.74</v>
      </c>
      <c r="O720" s="13">
        <f t="shared" si="326"/>
        <v>42661.74</v>
      </c>
      <c r="P720" s="13">
        <f t="shared" si="327"/>
        <v>507.87785714285707</v>
      </c>
      <c r="Q720" s="13">
        <f t="shared" si="328"/>
        <v>6094.534285714285</v>
      </c>
      <c r="R720" s="13"/>
      <c r="S720" s="13">
        <f t="shared" si="329"/>
        <v>6094.534285714285</v>
      </c>
      <c r="T720" s="13">
        <f t="shared" si="330"/>
        <v>0</v>
      </c>
      <c r="U720" s="13">
        <f t="shared" si="331"/>
        <v>6094.534285714285</v>
      </c>
      <c r="V720" s="13"/>
      <c r="W720" s="13">
        <f t="shared" si="332"/>
        <v>36567.205714285716</v>
      </c>
      <c r="Z720" s="183"/>
      <c r="AA720" s="183"/>
      <c r="AB720" s="184"/>
    </row>
    <row r="721" spans="1:36" s="181" customFormat="1">
      <c r="A721" s="9"/>
      <c r="B721" s="9">
        <v>702</v>
      </c>
      <c r="C721" s="9" t="s">
        <v>1370</v>
      </c>
      <c r="D721" s="9"/>
      <c r="E721" s="9">
        <v>246133</v>
      </c>
      <c r="F721" s="9"/>
      <c r="G721" s="9">
        <v>2021</v>
      </c>
      <c r="H721" s="9">
        <v>1</v>
      </c>
      <c r="I721" s="9">
        <v>0</v>
      </c>
      <c r="J721" s="9" t="s">
        <v>78</v>
      </c>
      <c r="K721" s="158">
        <v>7</v>
      </c>
      <c r="L721" s="9">
        <f t="shared" si="317"/>
        <v>2028</v>
      </c>
      <c r="M721" s="127">
        <f t="shared" si="318"/>
        <v>2028.0833333333333</v>
      </c>
      <c r="N721" s="13">
        <v>32640.34</v>
      </c>
      <c r="O721" s="13">
        <f t="shared" ref="O721" si="333">N721-N721*I721</f>
        <v>32640.34</v>
      </c>
      <c r="P721" s="13">
        <f t="shared" ref="P721" si="334">O721/K721/12</f>
        <v>388.57547619047619</v>
      </c>
      <c r="Q721" s="13">
        <f t="shared" ref="Q721" si="335">P721*12</f>
        <v>4662.9057142857146</v>
      </c>
      <c r="R721" s="13"/>
      <c r="S721" s="13">
        <f t="shared" ref="S721" si="336">+IF(M721&lt;=$O$5,0,IF(L721&gt;$O$4,Q721,(P721*H721)))</f>
        <v>4662.9057142857146</v>
      </c>
      <c r="T721" s="13">
        <f t="shared" ref="T721" si="337">+IF(S721=0,N721,IF($O$3-G721&lt;1,0,(($O$3-G721)*Q721)))</f>
        <v>0</v>
      </c>
      <c r="U721" s="13">
        <f t="shared" ref="U721" si="338">+IF(S721=0,T721,T721+S721)</f>
        <v>4662.9057142857146</v>
      </c>
      <c r="V721" s="13"/>
      <c r="W721" s="13">
        <f t="shared" ref="W721" si="339">+N721-U721</f>
        <v>27977.434285714284</v>
      </c>
      <c r="Z721" s="183"/>
      <c r="AA721" s="183"/>
      <c r="AB721" s="184"/>
    </row>
    <row r="722" spans="1:36" s="181" customFormat="1">
      <c r="A722" s="9"/>
      <c r="B722" s="9">
        <v>702</v>
      </c>
      <c r="C722" s="9" t="s">
        <v>1371</v>
      </c>
      <c r="D722" s="9"/>
      <c r="E722" s="9">
        <v>246797</v>
      </c>
      <c r="F722" s="9"/>
      <c r="G722" s="9">
        <v>2021</v>
      </c>
      <c r="H722" s="9">
        <v>1</v>
      </c>
      <c r="I722" s="9">
        <v>0</v>
      </c>
      <c r="J722" s="9" t="s">
        <v>78</v>
      </c>
      <c r="K722" s="158">
        <v>7</v>
      </c>
      <c r="L722" s="9">
        <f t="shared" si="317"/>
        <v>2028</v>
      </c>
      <c r="M722" s="127">
        <f t="shared" si="318"/>
        <v>2028.0833333333333</v>
      </c>
      <c r="N722" s="13">
        <v>32640.34</v>
      </c>
      <c r="O722" s="13">
        <f t="shared" ref="O722" si="340">N722-N722*I722</f>
        <v>32640.34</v>
      </c>
      <c r="P722" s="13">
        <f t="shared" ref="P722" si="341">O722/K722/12</f>
        <v>388.57547619047619</v>
      </c>
      <c r="Q722" s="13">
        <f t="shared" ref="Q722" si="342">P722*12</f>
        <v>4662.9057142857146</v>
      </c>
      <c r="R722" s="13"/>
      <c r="S722" s="13">
        <f t="shared" ref="S722" si="343">+IF(M722&lt;=$O$5,0,IF(L722&gt;$O$4,Q722,(P722*H722)))</f>
        <v>4662.9057142857146</v>
      </c>
      <c r="T722" s="13">
        <f t="shared" ref="T722" si="344">+IF(S722=0,N722,IF($O$3-G722&lt;1,0,(($O$3-G722)*Q722)))</f>
        <v>0</v>
      </c>
      <c r="U722" s="13">
        <f t="shared" ref="U722" si="345">+IF(S722=0,T722,T722+S722)</f>
        <v>4662.9057142857146</v>
      </c>
      <c r="V722" s="13"/>
      <c r="W722" s="13">
        <f t="shared" ref="W722" si="346">+N722-U722</f>
        <v>27977.434285714284</v>
      </c>
      <c r="Z722" s="183"/>
      <c r="AA722" s="183"/>
      <c r="AB722" s="184"/>
    </row>
    <row r="723" spans="1:36" s="9" customFormat="1">
      <c r="K723" s="158"/>
      <c r="M723" s="127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Z723" s="116"/>
      <c r="AA723" s="116"/>
      <c r="AB723" s="117"/>
    </row>
    <row r="724" spans="1:36" s="9" customFormat="1">
      <c r="K724" s="158"/>
      <c r="L724" s="159" t="s">
        <v>700</v>
      </c>
      <c r="M724" s="160"/>
      <c r="N724" s="150">
        <f>SUM(N638:N723)</f>
        <v>2385928.52</v>
      </c>
      <c r="O724" s="150">
        <f>SUM(O638:O723)</f>
        <v>2385928.52</v>
      </c>
      <c r="P724" s="150">
        <f>SUM(P638:P723)</f>
        <v>28403.910952380949</v>
      </c>
      <c r="Q724" s="150">
        <f>SUM(Q638:Q723)</f>
        <v>340846.93142857152</v>
      </c>
      <c r="R724" s="150">
        <v>172703.26285714284</v>
      </c>
      <c r="S724" s="150">
        <f>SUM(S638:S723)</f>
        <v>164767.90857142856</v>
      </c>
      <c r="T724" s="150">
        <f>SUM(T638:T723)</f>
        <v>1675256.34</v>
      </c>
      <c r="U724" s="150">
        <f>SUM(U638:U723)</f>
        <v>1840024.2485714285</v>
      </c>
      <c r="V724" s="150">
        <v>717500.70000000019</v>
      </c>
      <c r="W724" s="150">
        <f t="shared" ref="W724:AF724" si="347">SUM(W638:W723)</f>
        <v>545904.2714285712</v>
      </c>
      <c r="X724" s="150">
        <f t="shared" si="347"/>
        <v>128149.62285714284</v>
      </c>
      <c r="Y724" s="150">
        <f t="shared" si="347"/>
        <v>341297.9642857142</v>
      </c>
      <c r="Z724" s="150">
        <f t="shared" si="347"/>
        <v>-57056.991428571426</v>
      </c>
      <c r="AA724" s="150">
        <f t="shared" si="347"/>
        <v>-438719.49285714276</v>
      </c>
      <c r="AB724" s="150">
        <f t="shared" si="347"/>
        <v>51.786859453296429</v>
      </c>
      <c r="AC724" s="150">
        <f t="shared" si="347"/>
        <v>80931.854118502757</v>
      </c>
      <c r="AD724" s="150">
        <f t="shared" si="347"/>
        <v>195097.34043956044</v>
      </c>
      <c r="AE724" s="150">
        <f t="shared" si="347"/>
        <v>0</v>
      </c>
      <c r="AF724" s="150">
        <f t="shared" si="347"/>
        <v>0</v>
      </c>
      <c r="AG724" s="150">
        <f>AC724</f>
        <v>80931.854118502757</v>
      </c>
      <c r="AH724" s="150">
        <f>SUM(AH638:AH723)</f>
        <v>0</v>
      </c>
      <c r="AI724" s="150">
        <f>SUM(AI638:AI723)</f>
        <v>0</v>
      </c>
      <c r="AJ724" s="150">
        <f>AD724</f>
        <v>195097.34043956044</v>
      </c>
    </row>
    <row r="725" spans="1:36" s="9" customFormat="1">
      <c r="K725" s="158"/>
      <c r="M725" s="127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Z725" s="116"/>
      <c r="AA725" s="116"/>
    </row>
    <row r="726" spans="1:36" s="9" customFormat="1">
      <c r="A726" s="142" t="s">
        <v>701</v>
      </c>
      <c r="K726" s="158"/>
      <c r="M726" s="127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Z726" s="116"/>
      <c r="AA726" s="116"/>
    </row>
    <row r="727" spans="1:36" s="9" customFormat="1">
      <c r="B727" s="9">
        <v>19</v>
      </c>
      <c r="C727" s="9" t="s">
        <v>702</v>
      </c>
      <c r="G727" s="9">
        <v>2000</v>
      </c>
      <c r="H727" s="9">
        <v>6</v>
      </c>
      <c r="I727" s="9">
        <v>0</v>
      </c>
      <c r="J727" s="9" t="s">
        <v>78</v>
      </c>
      <c r="K727" s="158" t="s">
        <v>449</v>
      </c>
      <c r="L727" s="9">
        <f t="shared" ref="L727:L758" si="348">G727+K727</f>
        <v>2010</v>
      </c>
      <c r="M727" s="127">
        <f t="shared" ref="M727:M758" si="349">+L727+(H727/12)</f>
        <v>2010.5</v>
      </c>
      <c r="N727" s="13">
        <v>8292.6</v>
      </c>
      <c r="O727" s="13">
        <f t="shared" ref="O727:O758" si="350">N727-N727*I727</f>
        <v>8292.6</v>
      </c>
      <c r="P727" s="13">
        <f t="shared" ref="P727:P758" si="351">O727/K727/12</f>
        <v>69.105000000000004</v>
      </c>
      <c r="Q727" s="13">
        <f t="shared" ref="Q727:Q758" si="352">P727*12</f>
        <v>829.26</v>
      </c>
      <c r="R727" s="13">
        <v>0</v>
      </c>
      <c r="S727" s="13">
        <f>+IF(M727&lt;=$O$5,0,IF(L727&gt;$O$4,Q727,(P727*H727)))</f>
        <v>0</v>
      </c>
      <c r="T727" s="13">
        <f>+IF(S727=0,N727,IF($O$3-G727&lt;1,0,(($O$3-G727)*Q727)))</f>
        <v>8292.6</v>
      </c>
      <c r="U727" s="13">
        <f>+IF(S727=0,T727,T727+S727)</f>
        <v>8292.6</v>
      </c>
      <c r="V727" s="13">
        <v>0</v>
      </c>
      <c r="W727" s="13">
        <f>+N727-U727</f>
        <v>0</v>
      </c>
      <c r="X727" s="115">
        <f t="shared" ref="X727" si="353">S727</f>
        <v>0</v>
      </c>
      <c r="Y727" s="116">
        <f t="shared" ref="Y727" si="354">W727</f>
        <v>0</v>
      </c>
      <c r="Z727" s="116">
        <f t="shared" si="302"/>
        <v>0</v>
      </c>
      <c r="AA727" s="116">
        <f t="shared" si="303"/>
        <v>0</v>
      </c>
      <c r="AB727" s="117">
        <v>0</v>
      </c>
      <c r="AC727" s="116">
        <f t="shared" ref="AC727" si="355">X727*AB727</f>
        <v>0</v>
      </c>
      <c r="AD727" s="116">
        <f t="shared" ref="AD727" si="356">Y727*AB727</f>
        <v>0</v>
      </c>
      <c r="AE727" s="118"/>
      <c r="AF727" s="119"/>
      <c r="AG727" s="120"/>
      <c r="AH727" s="118"/>
      <c r="AI727" s="119"/>
      <c r="AJ727" s="121"/>
    </row>
    <row r="728" spans="1:36" s="9" customFormat="1">
      <c r="B728" s="9">
        <v>19</v>
      </c>
      <c r="C728" s="9" t="s">
        <v>703</v>
      </c>
      <c r="G728" s="9">
        <v>2000</v>
      </c>
      <c r="H728" s="9">
        <v>7</v>
      </c>
      <c r="I728" s="9">
        <v>0</v>
      </c>
      <c r="J728" s="9" t="s">
        <v>78</v>
      </c>
      <c r="K728" s="158" t="s">
        <v>449</v>
      </c>
      <c r="L728" s="9">
        <f t="shared" si="348"/>
        <v>2010</v>
      </c>
      <c r="M728" s="127">
        <f t="shared" si="349"/>
        <v>2010.5833333333333</v>
      </c>
      <c r="N728" s="13">
        <v>8292.6</v>
      </c>
      <c r="O728" s="13">
        <f t="shared" si="350"/>
        <v>8292.6</v>
      </c>
      <c r="P728" s="13">
        <f t="shared" si="351"/>
        <v>69.105000000000004</v>
      </c>
      <c r="Q728" s="13">
        <f t="shared" si="352"/>
        <v>829.26</v>
      </c>
      <c r="R728" s="13">
        <v>0</v>
      </c>
      <c r="S728" s="13">
        <f t="shared" ref="S728:S758" si="357">+IF(M728&lt;=$O$5,0,IF(L728&gt;$O$4,Q728,(P728*H728)))</f>
        <v>0</v>
      </c>
      <c r="T728" s="13">
        <f t="shared" ref="T728:T758" si="358">+IF(S728=0,N728,IF($O$3-G728&lt;1,0,(($O$3-G728)*Q728)))</f>
        <v>8292.6</v>
      </c>
      <c r="U728" s="13">
        <f t="shared" ref="U728:U758" si="359">+IF(S728=0,T728,T728+S728)</f>
        <v>8292.6</v>
      </c>
      <c r="V728" s="13">
        <v>0</v>
      </c>
      <c r="W728" s="13">
        <f t="shared" ref="W728:W758" si="360">+N728-U728</f>
        <v>0</v>
      </c>
      <c r="X728" s="115">
        <f t="shared" ref="X728:X758" si="361">S728</f>
        <v>0</v>
      </c>
      <c r="Y728" s="116">
        <f t="shared" ref="Y728:Y758" si="362">W728</f>
        <v>0</v>
      </c>
      <c r="Z728" s="116">
        <f t="shared" si="302"/>
        <v>0</v>
      </c>
      <c r="AA728" s="116">
        <f t="shared" si="303"/>
        <v>0</v>
      </c>
      <c r="AB728" s="117">
        <v>0</v>
      </c>
      <c r="AC728" s="116">
        <f t="shared" ref="AC728:AC758" si="363">X728*AB728</f>
        <v>0</v>
      </c>
      <c r="AD728" s="116">
        <f t="shared" ref="AD728:AD758" si="364">Y728*AB728</f>
        <v>0</v>
      </c>
      <c r="AE728" s="118"/>
      <c r="AF728" s="119"/>
      <c r="AG728" s="120"/>
      <c r="AH728" s="118"/>
      <c r="AI728" s="119"/>
      <c r="AJ728" s="121"/>
    </row>
    <row r="729" spans="1:36" s="9" customFormat="1">
      <c r="B729" s="9">
        <v>18</v>
      </c>
      <c r="C729" s="9" t="s">
        <v>704</v>
      </c>
      <c r="G729" s="9">
        <v>2000</v>
      </c>
      <c r="H729" s="9">
        <v>9</v>
      </c>
      <c r="I729" s="9">
        <v>0</v>
      </c>
      <c r="J729" s="9" t="s">
        <v>78</v>
      </c>
      <c r="K729" s="158" t="s">
        <v>449</v>
      </c>
      <c r="L729" s="9">
        <f t="shared" si="348"/>
        <v>2010</v>
      </c>
      <c r="M729" s="127">
        <f t="shared" si="349"/>
        <v>2010.75</v>
      </c>
      <c r="N729" s="13">
        <v>7831.9</v>
      </c>
      <c r="O729" s="13">
        <f t="shared" si="350"/>
        <v>7831.9</v>
      </c>
      <c r="P729" s="13">
        <f t="shared" si="351"/>
        <v>65.265833333333333</v>
      </c>
      <c r="Q729" s="13">
        <f t="shared" si="352"/>
        <v>783.19</v>
      </c>
      <c r="R729" s="13">
        <v>0</v>
      </c>
      <c r="S729" s="13">
        <f t="shared" si="357"/>
        <v>0</v>
      </c>
      <c r="T729" s="13">
        <f t="shared" si="358"/>
        <v>7831.9</v>
      </c>
      <c r="U729" s="13">
        <f t="shared" si="359"/>
        <v>7831.9</v>
      </c>
      <c r="V729" s="13">
        <v>0</v>
      </c>
      <c r="W729" s="13">
        <f t="shared" si="360"/>
        <v>0</v>
      </c>
      <c r="X729" s="115">
        <f t="shared" si="361"/>
        <v>0</v>
      </c>
      <c r="Y729" s="116">
        <f t="shared" si="362"/>
        <v>0</v>
      </c>
      <c r="Z729" s="116">
        <f t="shared" si="302"/>
        <v>0</v>
      </c>
      <c r="AA729" s="116">
        <f t="shared" si="303"/>
        <v>0</v>
      </c>
      <c r="AB729" s="117">
        <v>0</v>
      </c>
      <c r="AC729" s="116">
        <f t="shared" si="363"/>
        <v>0</v>
      </c>
      <c r="AD729" s="116">
        <f t="shared" si="364"/>
        <v>0</v>
      </c>
      <c r="AE729" s="118"/>
      <c r="AF729" s="119"/>
      <c r="AG729" s="120"/>
      <c r="AH729" s="118"/>
      <c r="AI729" s="119"/>
      <c r="AJ729" s="121"/>
    </row>
    <row r="730" spans="1:36" s="9" customFormat="1">
      <c r="B730" s="9">
        <v>93</v>
      </c>
      <c r="C730" s="9" t="s">
        <v>705</v>
      </c>
      <c r="G730" s="9">
        <v>2000</v>
      </c>
      <c r="H730" s="9">
        <v>9</v>
      </c>
      <c r="I730" s="9">
        <v>0</v>
      </c>
      <c r="J730" s="9" t="s">
        <v>78</v>
      </c>
      <c r="K730" s="158" t="s">
        <v>449</v>
      </c>
      <c r="L730" s="9">
        <f t="shared" si="348"/>
        <v>2010</v>
      </c>
      <c r="M730" s="127">
        <f t="shared" si="349"/>
        <v>2010.75</v>
      </c>
      <c r="N730" s="13">
        <v>42321.52</v>
      </c>
      <c r="O730" s="13">
        <f t="shared" si="350"/>
        <v>42321.52</v>
      </c>
      <c r="P730" s="13">
        <f t="shared" si="351"/>
        <v>352.67933333333332</v>
      </c>
      <c r="Q730" s="13">
        <f t="shared" si="352"/>
        <v>4232.152</v>
      </c>
      <c r="R730" s="13">
        <v>0</v>
      </c>
      <c r="S730" s="13">
        <f t="shared" si="357"/>
        <v>0</v>
      </c>
      <c r="T730" s="13">
        <f t="shared" si="358"/>
        <v>42321.52</v>
      </c>
      <c r="U730" s="13">
        <f t="shared" si="359"/>
        <v>42321.52</v>
      </c>
      <c r="V730" s="13">
        <v>0</v>
      </c>
      <c r="W730" s="13">
        <f t="shared" si="360"/>
        <v>0</v>
      </c>
      <c r="X730" s="115">
        <f t="shared" si="361"/>
        <v>0</v>
      </c>
      <c r="Y730" s="116">
        <f t="shared" si="362"/>
        <v>0</v>
      </c>
      <c r="Z730" s="116">
        <f t="shared" si="302"/>
        <v>0</v>
      </c>
      <c r="AA730" s="116">
        <f t="shared" si="303"/>
        <v>0</v>
      </c>
      <c r="AB730" s="117">
        <v>0</v>
      </c>
      <c r="AC730" s="116">
        <f t="shared" si="363"/>
        <v>0</v>
      </c>
      <c r="AD730" s="116">
        <f t="shared" si="364"/>
        <v>0</v>
      </c>
      <c r="AE730" s="118"/>
      <c r="AF730" s="119"/>
      <c r="AG730" s="120"/>
      <c r="AH730" s="118"/>
      <c r="AI730" s="119"/>
      <c r="AJ730" s="121"/>
    </row>
    <row r="731" spans="1:36" s="9" customFormat="1">
      <c r="B731" s="9">
        <v>0</v>
      </c>
      <c r="C731" s="9" t="s">
        <v>706</v>
      </c>
      <c r="G731" s="9">
        <v>2003</v>
      </c>
      <c r="H731" s="9">
        <v>1</v>
      </c>
      <c r="I731" s="9">
        <v>0</v>
      </c>
      <c r="J731" s="9" t="s">
        <v>78</v>
      </c>
      <c r="K731" s="158" t="s">
        <v>449</v>
      </c>
      <c r="L731" s="9">
        <f t="shared" si="348"/>
        <v>2013</v>
      </c>
      <c r="M731" s="127">
        <f t="shared" si="349"/>
        <v>2013.0833333333333</v>
      </c>
      <c r="N731" s="13">
        <v>4220.37</v>
      </c>
      <c r="O731" s="13">
        <f t="shared" si="350"/>
        <v>4220.37</v>
      </c>
      <c r="P731" s="13">
        <f t="shared" si="351"/>
        <v>35.169750000000001</v>
      </c>
      <c r="Q731" s="13">
        <f t="shared" si="352"/>
        <v>422.03700000000003</v>
      </c>
      <c r="R731" s="13">
        <v>0</v>
      </c>
      <c r="S731" s="13">
        <f t="shared" si="357"/>
        <v>0</v>
      </c>
      <c r="T731" s="13">
        <f t="shared" si="358"/>
        <v>4220.37</v>
      </c>
      <c r="U731" s="13">
        <f t="shared" si="359"/>
        <v>4220.37</v>
      </c>
      <c r="V731" s="13">
        <v>0</v>
      </c>
      <c r="W731" s="13">
        <f t="shared" si="360"/>
        <v>0</v>
      </c>
      <c r="X731" s="115">
        <f t="shared" si="361"/>
        <v>0</v>
      </c>
      <c r="Y731" s="116">
        <f t="shared" si="362"/>
        <v>0</v>
      </c>
      <c r="Z731" s="116">
        <f t="shared" si="302"/>
        <v>0</v>
      </c>
      <c r="AA731" s="116">
        <f t="shared" si="303"/>
        <v>0</v>
      </c>
      <c r="AB731" s="117">
        <v>0</v>
      </c>
      <c r="AC731" s="116">
        <f t="shared" si="363"/>
        <v>0</v>
      </c>
      <c r="AD731" s="116">
        <f t="shared" si="364"/>
        <v>0</v>
      </c>
      <c r="AE731" s="118"/>
      <c r="AF731" s="119"/>
      <c r="AG731" s="120"/>
      <c r="AH731" s="118"/>
      <c r="AI731" s="119"/>
      <c r="AJ731" s="121"/>
    </row>
    <row r="732" spans="1:36" s="9" customFormat="1">
      <c r="B732" s="9">
        <v>19</v>
      </c>
      <c r="C732" s="9" t="s">
        <v>707</v>
      </c>
      <c r="G732" s="9">
        <v>2003</v>
      </c>
      <c r="H732" s="9">
        <v>11</v>
      </c>
      <c r="I732" s="9">
        <v>0</v>
      </c>
      <c r="J732" s="9" t="s">
        <v>78</v>
      </c>
      <c r="K732" s="158" t="s">
        <v>449</v>
      </c>
      <c r="L732" s="9">
        <f t="shared" si="348"/>
        <v>2013</v>
      </c>
      <c r="M732" s="127">
        <f t="shared" si="349"/>
        <v>2013.9166666666667</v>
      </c>
      <c r="N732" s="13">
        <v>8292.6</v>
      </c>
      <c r="O732" s="13">
        <f t="shared" si="350"/>
        <v>8292.6</v>
      </c>
      <c r="P732" s="13">
        <f t="shared" si="351"/>
        <v>69.105000000000004</v>
      </c>
      <c r="Q732" s="13">
        <f t="shared" si="352"/>
        <v>829.26</v>
      </c>
      <c r="R732" s="13">
        <v>0</v>
      </c>
      <c r="S732" s="13">
        <f t="shared" si="357"/>
        <v>0</v>
      </c>
      <c r="T732" s="13">
        <f t="shared" si="358"/>
        <v>8292.6</v>
      </c>
      <c r="U732" s="13">
        <f t="shared" si="359"/>
        <v>8292.6</v>
      </c>
      <c r="V732" s="13">
        <v>0</v>
      </c>
      <c r="W732" s="13">
        <f t="shared" si="360"/>
        <v>0</v>
      </c>
      <c r="X732" s="115">
        <f t="shared" si="361"/>
        <v>0</v>
      </c>
      <c r="Y732" s="116">
        <f t="shared" si="362"/>
        <v>0</v>
      </c>
      <c r="Z732" s="116">
        <f t="shared" si="302"/>
        <v>0</v>
      </c>
      <c r="AA732" s="116">
        <f t="shared" si="303"/>
        <v>0</v>
      </c>
      <c r="AB732" s="117">
        <v>0</v>
      </c>
      <c r="AC732" s="116">
        <f t="shared" si="363"/>
        <v>0</v>
      </c>
      <c r="AD732" s="116">
        <f t="shared" si="364"/>
        <v>0</v>
      </c>
      <c r="AE732" s="118"/>
      <c r="AF732" s="119"/>
      <c r="AG732" s="120"/>
      <c r="AH732" s="118"/>
      <c r="AI732" s="119"/>
      <c r="AJ732" s="121"/>
    </row>
    <row r="733" spans="1:36" s="9" customFormat="1">
      <c r="B733" s="9">
        <v>45</v>
      </c>
      <c r="C733" s="9" t="s">
        <v>708</v>
      </c>
      <c r="G733" s="9">
        <v>2004</v>
      </c>
      <c r="H733" s="9">
        <v>3</v>
      </c>
      <c r="I733" s="9">
        <v>0</v>
      </c>
      <c r="J733" s="9" t="s">
        <v>78</v>
      </c>
      <c r="K733" s="158" t="s">
        <v>449</v>
      </c>
      <c r="L733" s="9">
        <f t="shared" si="348"/>
        <v>2014</v>
      </c>
      <c r="M733" s="127">
        <f t="shared" si="349"/>
        <v>2014.25</v>
      </c>
      <c r="N733" s="13">
        <v>19544.830000000002</v>
      </c>
      <c r="O733" s="13">
        <f t="shared" si="350"/>
        <v>19544.830000000002</v>
      </c>
      <c r="P733" s="13">
        <f t="shared" si="351"/>
        <v>162.87358333333336</v>
      </c>
      <c r="Q733" s="13">
        <f t="shared" si="352"/>
        <v>1954.4830000000002</v>
      </c>
      <c r="R733" s="13">
        <v>0</v>
      </c>
      <c r="S733" s="13">
        <f t="shared" si="357"/>
        <v>0</v>
      </c>
      <c r="T733" s="13">
        <f t="shared" si="358"/>
        <v>19544.830000000002</v>
      </c>
      <c r="U733" s="13">
        <f t="shared" si="359"/>
        <v>19544.830000000002</v>
      </c>
      <c r="V733" s="13">
        <v>0</v>
      </c>
      <c r="W733" s="13">
        <f t="shared" si="360"/>
        <v>0</v>
      </c>
      <c r="X733" s="115">
        <f t="shared" si="361"/>
        <v>0</v>
      </c>
      <c r="Y733" s="116">
        <f t="shared" si="362"/>
        <v>0</v>
      </c>
      <c r="Z733" s="116">
        <f t="shared" ref="Z733:Z774" si="365">X733-R733</f>
        <v>0</v>
      </c>
      <c r="AA733" s="116">
        <f t="shared" ref="AA733:AA774" si="366">Y733-V733</f>
        <v>0</v>
      </c>
      <c r="AB733" s="117">
        <v>0</v>
      </c>
      <c r="AC733" s="116">
        <f t="shared" si="363"/>
        <v>0</v>
      </c>
      <c r="AD733" s="116">
        <f t="shared" si="364"/>
        <v>0</v>
      </c>
      <c r="AE733" s="118"/>
      <c r="AF733" s="119"/>
      <c r="AG733" s="120"/>
      <c r="AH733" s="118"/>
      <c r="AI733" s="119"/>
      <c r="AJ733" s="121"/>
    </row>
    <row r="734" spans="1:36" s="9" customFormat="1">
      <c r="B734" s="9">
        <v>27</v>
      </c>
      <c r="C734" s="9" t="s">
        <v>709</v>
      </c>
      <c r="G734" s="9">
        <v>2004</v>
      </c>
      <c r="H734" s="9">
        <v>9</v>
      </c>
      <c r="I734" s="9">
        <v>0</v>
      </c>
      <c r="J734" s="9" t="s">
        <v>78</v>
      </c>
      <c r="K734" s="158" t="s">
        <v>449</v>
      </c>
      <c r="L734" s="9">
        <f t="shared" si="348"/>
        <v>2014</v>
      </c>
      <c r="M734" s="127">
        <f t="shared" si="349"/>
        <v>2014.75</v>
      </c>
      <c r="N734" s="13">
        <v>9302.4</v>
      </c>
      <c r="O734" s="13">
        <f t="shared" si="350"/>
        <v>9302.4</v>
      </c>
      <c r="P734" s="13">
        <f t="shared" si="351"/>
        <v>77.52</v>
      </c>
      <c r="Q734" s="13">
        <f t="shared" si="352"/>
        <v>930.24</v>
      </c>
      <c r="R734" s="13">
        <v>0</v>
      </c>
      <c r="S734" s="13">
        <f t="shared" si="357"/>
        <v>0</v>
      </c>
      <c r="T734" s="13">
        <f t="shared" si="358"/>
        <v>9302.4</v>
      </c>
      <c r="U734" s="13">
        <f t="shared" si="359"/>
        <v>9302.4</v>
      </c>
      <c r="V734" s="13">
        <v>0</v>
      </c>
      <c r="W734" s="13">
        <f t="shared" si="360"/>
        <v>0</v>
      </c>
      <c r="X734" s="115">
        <f t="shared" si="361"/>
        <v>0</v>
      </c>
      <c r="Y734" s="116">
        <f t="shared" si="362"/>
        <v>0</v>
      </c>
      <c r="Z734" s="116">
        <f t="shared" si="365"/>
        <v>0</v>
      </c>
      <c r="AA734" s="116">
        <f t="shared" si="366"/>
        <v>0</v>
      </c>
      <c r="AB734" s="117">
        <v>0</v>
      </c>
      <c r="AC734" s="116">
        <f t="shared" si="363"/>
        <v>0</v>
      </c>
      <c r="AD734" s="116">
        <f t="shared" si="364"/>
        <v>0</v>
      </c>
      <c r="AE734" s="118"/>
      <c r="AF734" s="119"/>
      <c r="AG734" s="120"/>
      <c r="AH734" s="118"/>
      <c r="AI734" s="119"/>
      <c r="AJ734" s="121"/>
    </row>
    <row r="735" spans="1:36" s="9" customFormat="1">
      <c r="B735" s="9">
        <v>25</v>
      </c>
      <c r="C735" s="9" t="s">
        <v>710</v>
      </c>
      <c r="G735" s="9">
        <v>2005</v>
      </c>
      <c r="H735" s="9">
        <v>3</v>
      </c>
      <c r="I735" s="9">
        <v>0</v>
      </c>
      <c r="J735" s="9" t="s">
        <v>78</v>
      </c>
      <c r="K735" s="158" t="s">
        <v>449</v>
      </c>
      <c r="L735" s="9">
        <f t="shared" si="348"/>
        <v>2015</v>
      </c>
      <c r="M735" s="127">
        <f t="shared" si="349"/>
        <v>2015.25</v>
      </c>
      <c r="N735" s="13">
        <v>10281.6</v>
      </c>
      <c r="O735" s="13">
        <f t="shared" si="350"/>
        <v>10281.6</v>
      </c>
      <c r="P735" s="13">
        <f t="shared" si="351"/>
        <v>85.68</v>
      </c>
      <c r="Q735" s="13">
        <f t="shared" si="352"/>
        <v>1028.1600000000001</v>
      </c>
      <c r="R735" s="13">
        <v>0</v>
      </c>
      <c r="S735" s="13">
        <f t="shared" si="357"/>
        <v>0</v>
      </c>
      <c r="T735" s="13">
        <f t="shared" si="358"/>
        <v>10281.6</v>
      </c>
      <c r="U735" s="13">
        <f t="shared" si="359"/>
        <v>10281.6</v>
      </c>
      <c r="V735" s="13">
        <v>0</v>
      </c>
      <c r="W735" s="13">
        <f t="shared" si="360"/>
        <v>0</v>
      </c>
      <c r="X735" s="115">
        <f t="shared" si="361"/>
        <v>0</v>
      </c>
      <c r="Y735" s="116">
        <f t="shared" si="362"/>
        <v>0</v>
      </c>
      <c r="Z735" s="116">
        <f t="shared" si="365"/>
        <v>0</v>
      </c>
      <c r="AA735" s="116">
        <f t="shared" si="366"/>
        <v>0</v>
      </c>
      <c r="AB735" s="117">
        <v>0</v>
      </c>
      <c r="AC735" s="116">
        <f t="shared" si="363"/>
        <v>0</v>
      </c>
      <c r="AD735" s="116">
        <f t="shared" si="364"/>
        <v>0</v>
      </c>
      <c r="AE735" s="118"/>
      <c r="AF735" s="119"/>
      <c r="AG735" s="120"/>
      <c r="AH735" s="118"/>
      <c r="AI735" s="119"/>
      <c r="AJ735" s="121"/>
    </row>
    <row r="736" spans="1:36" s="9" customFormat="1">
      <c r="B736" s="9">
        <v>71</v>
      </c>
      <c r="C736" s="9" t="s">
        <v>711</v>
      </c>
      <c r="G736" s="9">
        <v>2005</v>
      </c>
      <c r="H736" s="9">
        <v>3</v>
      </c>
      <c r="I736" s="9">
        <v>0</v>
      </c>
      <c r="J736" s="9" t="s">
        <v>78</v>
      </c>
      <c r="K736" s="158" t="s">
        <v>449</v>
      </c>
      <c r="L736" s="9">
        <f t="shared" si="348"/>
        <v>2015</v>
      </c>
      <c r="M736" s="127">
        <f t="shared" si="349"/>
        <v>2015.25</v>
      </c>
      <c r="N736" s="13">
        <f>32368+182.81</f>
        <v>32550.81</v>
      </c>
      <c r="O736" s="13">
        <f t="shared" si="350"/>
        <v>32550.81</v>
      </c>
      <c r="P736" s="13">
        <f t="shared" si="351"/>
        <v>271.25675000000001</v>
      </c>
      <c r="Q736" s="13">
        <f t="shared" si="352"/>
        <v>3255.0810000000001</v>
      </c>
      <c r="R736" s="13">
        <v>0</v>
      </c>
      <c r="S736" s="13">
        <f t="shared" si="357"/>
        <v>0</v>
      </c>
      <c r="T736" s="13">
        <f t="shared" si="358"/>
        <v>32550.81</v>
      </c>
      <c r="U736" s="13">
        <f t="shared" si="359"/>
        <v>32550.81</v>
      </c>
      <c r="V736" s="13">
        <v>0</v>
      </c>
      <c r="W736" s="13">
        <f t="shared" si="360"/>
        <v>0</v>
      </c>
      <c r="X736" s="115">
        <f t="shared" si="361"/>
        <v>0</v>
      </c>
      <c r="Y736" s="116">
        <f t="shared" si="362"/>
        <v>0</v>
      </c>
      <c r="Z736" s="116">
        <f t="shared" si="365"/>
        <v>0</v>
      </c>
      <c r="AA736" s="116">
        <f t="shared" si="366"/>
        <v>0</v>
      </c>
      <c r="AB736" s="117">
        <v>0</v>
      </c>
      <c r="AC736" s="116">
        <f t="shared" si="363"/>
        <v>0</v>
      </c>
      <c r="AD736" s="116">
        <f t="shared" si="364"/>
        <v>0</v>
      </c>
      <c r="AE736" s="118"/>
      <c r="AF736" s="119"/>
      <c r="AG736" s="120"/>
      <c r="AH736" s="118"/>
      <c r="AI736" s="119"/>
      <c r="AJ736" s="121"/>
    </row>
    <row r="737" spans="2:36" s="9" customFormat="1">
      <c r="B737" s="9">
        <v>26</v>
      </c>
      <c r="C737" s="9" t="s">
        <v>712</v>
      </c>
      <c r="G737" s="9">
        <v>2005</v>
      </c>
      <c r="H737" s="9">
        <v>6</v>
      </c>
      <c r="I737" s="9">
        <v>0</v>
      </c>
      <c r="J737" s="9" t="s">
        <v>78</v>
      </c>
      <c r="K737" s="158" t="s">
        <v>449</v>
      </c>
      <c r="L737" s="9">
        <f t="shared" si="348"/>
        <v>2015</v>
      </c>
      <c r="M737" s="127">
        <f t="shared" si="349"/>
        <v>2015.5</v>
      </c>
      <c r="N737" s="13">
        <v>11397.89</v>
      </c>
      <c r="O737" s="13">
        <f t="shared" si="350"/>
        <v>11397.89</v>
      </c>
      <c r="P737" s="13">
        <f t="shared" si="351"/>
        <v>94.982416666666666</v>
      </c>
      <c r="Q737" s="13">
        <f t="shared" si="352"/>
        <v>1139.789</v>
      </c>
      <c r="R737" s="13">
        <v>0</v>
      </c>
      <c r="S737" s="13">
        <f t="shared" si="357"/>
        <v>0</v>
      </c>
      <c r="T737" s="13">
        <f t="shared" si="358"/>
        <v>11397.89</v>
      </c>
      <c r="U737" s="13">
        <f t="shared" si="359"/>
        <v>11397.89</v>
      </c>
      <c r="V737" s="13">
        <v>0</v>
      </c>
      <c r="W737" s="13">
        <f t="shared" si="360"/>
        <v>0</v>
      </c>
      <c r="X737" s="115">
        <f t="shared" si="361"/>
        <v>0</v>
      </c>
      <c r="Y737" s="116">
        <f t="shared" si="362"/>
        <v>0</v>
      </c>
      <c r="Z737" s="116">
        <f t="shared" si="365"/>
        <v>0</v>
      </c>
      <c r="AA737" s="116">
        <f t="shared" si="366"/>
        <v>0</v>
      </c>
      <c r="AB737" s="117">
        <v>0</v>
      </c>
      <c r="AC737" s="116">
        <f t="shared" si="363"/>
        <v>0</v>
      </c>
      <c r="AD737" s="116">
        <f t="shared" si="364"/>
        <v>0</v>
      </c>
      <c r="AE737" s="118"/>
      <c r="AF737" s="119"/>
      <c r="AG737" s="120"/>
      <c r="AH737" s="118"/>
      <c r="AI737" s="119"/>
      <c r="AJ737" s="121"/>
    </row>
    <row r="738" spans="2:36" s="9" customFormat="1">
      <c r="B738" s="9">
        <v>26</v>
      </c>
      <c r="C738" s="9" t="s">
        <v>703</v>
      </c>
      <c r="G738" s="9">
        <v>2005</v>
      </c>
      <c r="H738" s="9">
        <v>8</v>
      </c>
      <c r="I738" s="9">
        <v>0</v>
      </c>
      <c r="J738" s="9" t="s">
        <v>78</v>
      </c>
      <c r="K738" s="158" t="s">
        <v>449</v>
      </c>
      <c r="L738" s="9">
        <f t="shared" si="348"/>
        <v>2015</v>
      </c>
      <c r="M738" s="127">
        <f t="shared" si="349"/>
        <v>2015.6666666666667</v>
      </c>
      <c r="N738" s="13">
        <v>11397.89</v>
      </c>
      <c r="O738" s="13">
        <f t="shared" si="350"/>
        <v>11397.89</v>
      </c>
      <c r="P738" s="13">
        <f t="shared" si="351"/>
        <v>94.982416666666666</v>
      </c>
      <c r="Q738" s="13">
        <f t="shared" si="352"/>
        <v>1139.789</v>
      </c>
      <c r="R738" s="13">
        <v>0</v>
      </c>
      <c r="S738" s="13">
        <f t="shared" si="357"/>
        <v>0</v>
      </c>
      <c r="T738" s="13">
        <f t="shared" si="358"/>
        <v>11397.89</v>
      </c>
      <c r="U738" s="13">
        <f t="shared" si="359"/>
        <v>11397.89</v>
      </c>
      <c r="V738" s="13">
        <v>0</v>
      </c>
      <c r="W738" s="13">
        <f t="shared" si="360"/>
        <v>0</v>
      </c>
      <c r="X738" s="115">
        <f t="shared" si="361"/>
        <v>0</v>
      </c>
      <c r="Y738" s="116">
        <f t="shared" si="362"/>
        <v>0</v>
      </c>
      <c r="Z738" s="116">
        <f t="shared" si="365"/>
        <v>0</v>
      </c>
      <c r="AA738" s="116">
        <f t="shared" si="366"/>
        <v>0</v>
      </c>
      <c r="AB738" s="117">
        <v>0</v>
      </c>
      <c r="AC738" s="116">
        <f t="shared" si="363"/>
        <v>0</v>
      </c>
      <c r="AD738" s="116">
        <f t="shared" si="364"/>
        <v>0</v>
      </c>
      <c r="AE738" s="118"/>
      <c r="AF738" s="119"/>
      <c r="AG738" s="120"/>
      <c r="AH738" s="118"/>
      <c r="AI738" s="119"/>
      <c r="AJ738" s="121"/>
    </row>
    <row r="739" spans="2:36" s="9" customFormat="1">
      <c r="B739" s="9">
        <v>26</v>
      </c>
      <c r="C739" s="9" t="s">
        <v>711</v>
      </c>
      <c r="G739" s="9">
        <v>2005</v>
      </c>
      <c r="H739" s="9">
        <v>9</v>
      </c>
      <c r="I739" s="9">
        <v>0</v>
      </c>
      <c r="J739" s="9" t="s">
        <v>78</v>
      </c>
      <c r="K739" s="158" t="s">
        <v>449</v>
      </c>
      <c r="L739" s="9">
        <f t="shared" si="348"/>
        <v>2015</v>
      </c>
      <c r="M739" s="127">
        <f t="shared" si="349"/>
        <v>2015.75</v>
      </c>
      <c r="N739" s="13">
        <v>12022.4</v>
      </c>
      <c r="O739" s="13">
        <f t="shared" si="350"/>
        <v>12022.4</v>
      </c>
      <c r="P739" s="13">
        <f t="shared" si="351"/>
        <v>100.18666666666667</v>
      </c>
      <c r="Q739" s="13">
        <f t="shared" si="352"/>
        <v>1202.24</v>
      </c>
      <c r="R739" s="13">
        <v>0</v>
      </c>
      <c r="S739" s="13">
        <f t="shared" si="357"/>
        <v>0</v>
      </c>
      <c r="T739" s="13">
        <f t="shared" si="358"/>
        <v>12022.4</v>
      </c>
      <c r="U739" s="13">
        <f t="shared" si="359"/>
        <v>12022.4</v>
      </c>
      <c r="V739" s="13">
        <v>0</v>
      </c>
      <c r="W739" s="13">
        <f t="shared" si="360"/>
        <v>0</v>
      </c>
      <c r="X739" s="115">
        <f t="shared" si="361"/>
        <v>0</v>
      </c>
      <c r="Y739" s="116">
        <f t="shared" si="362"/>
        <v>0</v>
      </c>
      <c r="Z739" s="116">
        <f t="shared" si="365"/>
        <v>0</v>
      </c>
      <c r="AA739" s="116">
        <f t="shared" si="366"/>
        <v>0</v>
      </c>
      <c r="AB739" s="117">
        <v>0</v>
      </c>
      <c r="AC739" s="116">
        <f t="shared" si="363"/>
        <v>0</v>
      </c>
      <c r="AD739" s="116">
        <f t="shared" si="364"/>
        <v>0</v>
      </c>
      <c r="AE739" s="118"/>
      <c r="AF739" s="119"/>
      <c r="AG739" s="120"/>
      <c r="AH739" s="118"/>
      <c r="AI739" s="119"/>
      <c r="AJ739" s="121"/>
    </row>
    <row r="740" spans="2:36" s="9" customFormat="1">
      <c r="B740" s="9">
        <v>74</v>
      </c>
      <c r="C740" s="9" t="s">
        <v>713</v>
      </c>
      <c r="G740" s="9">
        <v>2006</v>
      </c>
      <c r="H740" s="9">
        <v>1</v>
      </c>
      <c r="I740" s="9">
        <v>0</v>
      </c>
      <c r="J740" s="9" t="s">
        <v>78</v>
      </c>
      <c r="K740" s="158" t="s">
        <v>449</v>
      </c>
      <c r="L740" s="9">
        <f t="shared" si="348"/>
        <v>2016</v>
      </c>
      <c r="M740" s="127">
        <f t="shared" si="349"/>
        <v>2016.0833333333333</v>
      </c>
      <c r="N740" s="13">
        <v>32254.86</v>
      </c>
      <c r="O740" s="13">
        <f t="shared" si="350"/>
        <v>32254.86</v>
      </c>
      <c r="P740" s="13">
        <f t="shared" si="351"/>
        <v>268.79050000000001</v>
      </c>
      <c r="Q740" s="13">
        <f t="shared" si="352"/>
        <v>3225.4859999999999</v>
      </c>
      <c r="R740" s="13">
        <v>0</v>
      </c>
      <c r="S740" s="13">
        <f t="shared" si="357"/>
        <v>0</v>
      </c>
      <c r="T740" s="13">
        <f t="shared" si="358"/>
        <v>32254.86</v>
      </c>
      <c r="U740" s="13">
        <f t="shared" si="359"/>
        <v>32254.86</v>
      </c>
      <c r="V740" s="13">
        <v>0</v>
      </c>
      <c r="W740" s="13">
        <f t="shared" si="360"/>
        <v>0</v>
      </c>
      <c r="X740" s="115">
        <f t="shared" si="361"/>
        <v>0</v>
      </c>
      <c r="Y740" s="116">
        <f t="shared" si="362"/>
        <v>0</v>
      </c>
      <c r="Z740" s="116">
        <f t="shared" si="365"/>
        <v>0</v>
      </c>
      <c r="AA740" s="116">
        <f t="shared" si="366"/>
        <v>0</v>
      </c>
      <c r="AB740" s="117">
        <v>0</v>
      </c>
      <c r="AC740" s="116">
        <f t="shared" si="363"/>
        <v>0</v>
      </c>
      <c r="AD740" s="116">
        <f t="shared" si="364"/>
        <v>0</v>
      </c>
      <c r="AE740" s="118"/>
      <c r="AF740" s="119"/>
      <c r="AG740" s="120"/>
      <c r="AH740" s="118"/>
      <c r="AI740" s="119"/>
      <c r="AJ740" s="121"/>
    </row>
    <row r="741" spans="2:36" s="9" customFormat="1">
      <c r="B741" s="9">
        <v>25</v>
      </c>
      <c r="C741" s="9" t="s">
        <v>703</v>
      </c>
      <c r="G741" s="9">
        <v>2006</v>
      </c>
      <c r="H741" s="9">
        <v>1</v>
      </c>
      <c r="I741" s="9">
        <v>0</v>
      </c>
      <c r="J741" s="9" t="s">
        <v>78</v>
      </c>
      <c r="K741" s="158" t="s">
        <v>449</v>
      </c>
      <c r="L741" s="9">
        <f t="shared" si="348"/>
        <v>2016</v>
      </c>
      <c r="M741" s="127">
        <f t="shared" si="349"/>
        <v>2016.0833333333333</v>
      </c>
      <c r="N741" s="13">
        <v>10751.62</v>
      </c>
      <c r="O741" s="13">
        <f t="shared" si="350"/>
        <v>10751.62</v>
      </c>
      <c r="P741" s="13">
        <f t="shared" si="351"/>
        <v>89.596833333333336</v>
      </c>
      <c r="Q741" s="13">
        <f t="shared" si="352"/>
        <v>1075.162</v>
      </c>
      <c r="R741" s="13">
        <v>0</v>
      </c>
      <c r="S741" s="13">
        <f t="shared" si="357"/>
        <v>0</v>
      </c>
      <c r="T741" s="13">
        <f t="shared" si="358"/>
        <v>10751.62</v>
      </c>
      <c r="U741" s="13">
        <f t="shared" si="359"/>
        <v>10751.62</v>
      </c>
      <c r="V741" s="13">
        <v>0</v>
      </c>
      <c r="W741" s="13">
        <f t="shared" si="360"/>
        <v>0</v>
      </c>
      <c r="X741" s="115">
        <f t="shared" si="361"/>
        <v>0</v>
      </c>
      <c r="Y741" s="116">
        <f t="shared" si="362"/>
        <v>0</v>
      </c>
      <c r="Z741" s="116">
        <f t="shared" si="365"/>
        <v>0</v>
      </c>
      <c r="AA741" s="116">
        <f t="shared" si="366"/>
        <v>0</v>
      </c>
      <c r="AB741" s="117">
        <v>0</v>
      </c>
      <c r="AC741" s="116">
        <f t="shared" si="363"/>
        <v>0</v>
      </c>
      <c r="AD741" s="116">
        <f t="shared" si="364"/>
        <v>0</v>
      </c>
      <c r="AE741" s="118"/>
      <c r="AF741" s="119"/>
      <c r="AG741" s="120"/>
      <c r="AH741" s="118"/>
      <c r="AI741" s="119"/>
      <c r="AJ741" s="121"/>
    </row>
    <row r="742" spans="2:36" s="9" customFormat="1">
      <c r="B742" s="9">
        <v>36</v>
      </c>
      <c r="C742" s="9" t="s">
        <v>709</v>
      </c>
      <c r="G742" s="9">
        <v>2006</v>
      </c>
      <c r="H742" s="9">
        <v>2</v>
      </c>
      <c r="I742" s="9">
        <v>0</v>
      </c>
      <c r="J742" s="9" t="s">
        <v>78</v>
      </c>
      <c r="K742" s="158" t="s">
        <v>449</v>
      </c>
      <c r="L742" s="9">
        <f t="shared" si="348"/>
        <v>2016</v>
      </c>
      <c r="M742" s="127">
        <f t="shared" si="349"/>
        <v>2016.1666666666667</v>
      </c>
      <c r="N742" s="13">
        <v>12403.2</v>
      </c>
      <c r="O742" s="13">
        <f t="shared" si="350"/>
        <v>12403.2</v>
      </c>
      <c r="P742" s="13">
        <f t="shared" si="351"/>
        <v>103.36000000000001</v>
      </c>
      <c r="Q742" s="13">
        <f t="shared" si="352"/>
        <v>1240.3200000000002</v>
      </c>
      <c r="R742" s="13">
        <v>0</v>
      </c>
      <c r="S742" s="13">
        <f t="shared" si="357"/>
        <v>0</v>
      </c>
      <c r="T742" s="13">
        <f t="shared" si="358"/>
        <v>12403.2</v>
      </c>
      <c r="U742" s="13">
        <f t="shared" si="359"/>
        <v>12403.2</v>
      </c>
      <c r="V742" s="13">
        <v>0</v>
      </c>
      <c r="W742" s="13">
        <f t="shared" si="360"/>
        <v>0</v>
      </c>
      <c r="X742" s="115">
        <f t="shared" si="361"/>
        <v>0</v>
      </c>
      <c r="Y742" s="116">
        <f t="shared" si="362"/>
        <v>0</v>
      </c>
      <c r="Z742" s="116">
        <f t="shared" si="365"/>
        <v>0</v>
      </c>
      <c r="AA742" s="116">
        <f t="shared" si="366"/>
        <v>0</v>
      </c>
      <c r="AB742" s="117">
        <v>0</v>
      </c>
      <c r="AC742" s="116">
        <f t="shared" si="363"/>
        <v>0</v>
      </c>
      <c r="AD742" s="116">
        <f t="shared" si="364"/>
        <v>0</v>
      </c>
      <c r="AE742" s="118"/>
      <c r="AF742" s="119"/>
      <c r="AG742" s="120"/>
      <c r="AH742" s="118"/>
      <c r="AI742" s="119"/>
      <c r="AJ742" s="121"/>
    </row>
    <row r="743" spans="2:36" s="9" customFormat="1">
      <c r="B743" s="9">
        <v>25</v>
      </c>
      <c r="C743" s="9" t="s">
        <v>714</v>
      </c>
      <c r="G743" s="9">
        <v>2006</v>
      </c>
      <c r="H743" s="9">
        <v>2</v>
      </c>
      <c r="I743" s="9">
        <v>0</v>
      </c>
      <c r="J743" s="9" t="s">
        <v>78</v>
      </c>
      <c r="K743" s="158" t="s">
        <v>449</v>
      </c>
      <c r="L743" s="9">
        <f t="shared" si="348"/>
        <v>2016</v>
      </c>
      <c r="M743" s="127">
        <f t="shared" si="349"/>
        <v>2016.1666666666667</v>
      </c>
      <c r="N743" s="13">
        <v>10672.56</v>
      </c>
      <c r="O743" s="13">
        <f t="shared" si="350"/>
        <v>10672.56</v>
      </c>
      <c r="P743" s="13">
        <f t="shared" si="351"/>
        <v>88.937999999999988</v>
      </c>
      <c r="Q743" s="13">
        <f t="shared" si="352"/>
        <v>1067.2559999999999</v>
      </c>
      <c r="R743" s="13">
        <v>0</v>
      </c>
      <c r="S743" s="13">
        <f t="shared" si="357"/>
        <v>0</v>
      </c>
      <c r="T743" s="13">
        <f t="shared" si="358"/>
        <v>10672.56</v>
      </c>
      <c r="U743" s="13">
        <f t="shared" si="359"/>
        <v>10672.56</v>
      </c>
      <c r="V743" s="13">
        <v>0</v>
      </c>
      <c r="W743" s="13">
        <f t="shared" si="360"/>
        <v>0</v>
      </c>
      <c r="X743" s="115">
        <f t="shared" si="361"/>
        <v>0</v>
      </c>
      <c r="Y743" s="116">
        <f t="shared" si="362"/>
        <v>0</v>
      </c>
      <c r="Z743" s="116">
        <f t="shared" si="365"/>
        <v>0</v>
      </c>
      <c r="AA743" s="116">
        <f t="shared" si="366"/>
        <v>0</v>
      </c>
      <c r="AB743" s="117">
        <v>0</v>
      </c>
      <c r="AC743" s="116">
        <f t="shared" si="363"/>
        <v>0</v>
      </c>
      <c r="AD743" s="116">
        <f t="shared" si="364"/>
        <v>0</v>
      </c>
      <c r="AE743" s="118"/>
      <c r="AF743" s="119"/>
      <c r="AG743" s="120"/>
      <c r="AH743" s="118"/>
      <c r="AI743" s="119"/>
      <c r="AJ743" s="121"/>
    </row>
    <row r="744" spans="2:36" s="9" customFormat="1">
      <c r="B744" s="9">
        <v>38</v>
      </c>
      <c r="C744" s="9" t="s">
        <v>715</v>
      </c>
      <c r="G744" s="9">
        <v>2006</v>
      </c>
      <c r="H744" s="9">
        <v>6</v>
      </c>
      <c r="I744" s="9">
        <v>0</v>
      </c>
      <c r="J744" s="9" t="s">
        <v>78</v>
      </c>
      <c r="K744" s="158" t="s">
        <v>449</v>
      </c>
      <c r="L744" s="9">
        <f t="shared" si="348"/>
        <v>2016</v>
      </c>
      <c r="M744" s="127">
        <f t="shared" si="349"/>
        <v>2016.5</v>
      </c>
      <c r="N744" s="13">
        <v>13012.48</v>
      </c>
      <c r="O744" s="13">
        <f t="shared" si="350"/>
        <v>13012.48</v>
      </c>
      <c r="P744" s="13">
        <f t="shared" si="351"/>
        <v>108.43733333333334</v>
      </c>
      <c r="Q744" s="13">
        <f t="shared" si="352"/>
        <v>1301.248</v>
      </c>
      <c r="R744" s="13">
        <v>0</v>
      </c>
      <c r="S744" s="13">
        <f t="shared" si="357"/>
        <v>0</v>
      </c>
      <c r="T744" s="13">
        <f t="shared" si="358"/>
        <v>13012.48</v>
      </c>
      <c r="U744" s="13">
        <f t="shared" si="359"/>
        <v>13012.48</v>
      </c>
      <c r="V744" s="13">
        <v>0</v>
      </c>
      <c r="W744" s="13">
        <f t="shared" si="360"/>
        <v>0</v>
      </c>
      <c r="X744" s="115">
        <f t="shared" si="361"/>
        <v>0</v>
      </c>
      <c r="Y744" s="116">
        <f t="shared" si="362"/>
        <v>0</v>
      </c>
      <c r="Z744" s="116">
        <f t="shared" si="365"/>
        <v>0</v>
      </c>
      <c r="AA744" s="116">
        <f t="shared" si="366"/>
        <v>0</v>
      </c>
      <c r="AB744" s="117">
        <v>0</v>
      </c>
      <c r="AC744" s="116">
        <f t="shared" si="363"/>
        <v>0</v>
      </c>
      <c r="AD744" s="116">
        <f t="shared" si="364"/>
        <v>0</v>
      </c>
      <c r="AE744" s="118"/>
      <c r="AF744" s="119"/>
      <c r="AG744" s="120"/>
      <c r="AH744" s="118"/>
      <c r="AI744" s="119"/>
      <c r="AJ744" s="121"/>
    </row>
    <row r="745" spans="2:36" s="9" customFormat="1">
      <c r="B745" s="9">
        <v>11</v>
      </c>
      <c r="C745" s="9" t="s">
        <v>711</v>
      </c>
      <c r="G745" s="9">
        <v>2006</v>
      </c>
      <c r="H745" s="9">
        <v>12</v>
      </c>
      <c r="I745" s="9">
        <v>0</v>
      </c>
      <c r="J745" s="9" t="s">
        <v>78</v>
      </c>
      <c r="K745" s="158" t="s">
        <v>449</v>
      </c>
      <c r="L745" s="9">
        <f t="shared" si="348"/>
        <v>2016</v>
      </c>
      <c r="M745" s="127">
        <f t="shared" si="349"/>
        <v>2017</v>
      </c>
      <c r="N745" s="13">
        <v>4841.6000000000004</v>
      </c>
      <c r="O745" s="13">
        <f t="shared" si="350"/>
        <v>4841.6000000000004</v>
      </c>
      <c r="P745" s="13">
        <f t="shared" si="351"/>
        <v>40.346666666666671</v>
      </c>
      <c r="Q745" s="13">
        <f t="shared" si="352"/>
        <v>484.16000000000008</v>
      </c>
      <c r="R745" s="13">
        <v>0</v>
      </c>
      <c r="S745" s="13">
        <f t="shared" si="357"/>
        <v>0</v>
      </c>
      <c r="T745" s="13">
        <f t="shared" si="358"/>
        <v>4841.6000000000004</v>
      </c>
      <c r="U745" s="13">
        <f t="shared" si="359"/>
        <v>4841.6000000000004</v>
      </c>
      <c r="V745" s="13">
        <v>0</v>
      </c>
      <c r="W745" s="13">
        <f t="shared" si="360"/>
        <v>0</v>
      </c>
      <c r="X745" s="115">
        <f t="shared" si="361"/>
        <v>0</v>
      </c>
      <c r="Y745" s="116">
        <f t="shared" si="362"/>
        <v>0</v>
      </c>
      <c r="Z745" s="116">
        <f t="shared" si="365"/>
        <v>0</v>
      </c>
      <c r="AA745" s="116">
        <f t="shared" si="366"/>
        <v>0</v>
      </c>
      <c r="AB745" s="117">
        <v>0</v>
      </c>
      <c r="AC745" s="116">
        <f t="shared" si="363"/>
        <v>0</v>
      </c>
      <c r="AD745" s="116">
        <f t="shared" si="364"/>
        <v>0</v>
      </c>
      <c r="AE745" s="118"/>
      <c r="AF745" s="119"/>
      <c r="AG745" s="120"/>
      <c r="AH745" s="118"/>
      <c r="AI745" s="119"/>
      <c r="AJ745" s="121"/>
    </row>
    <row r="746" spans="2:36" s="9" customFormat="1">
      <c r="B746" s="9">
        <v>4</v>
      </c>
      <c r="C746" s="9" t="s">
        <v>711</v>
      </c>
      <c r="G746" s="9">
        <v>2006</v>
      </c>
      <c r="H746" s="9">
        <v>12</v>
      </c>
      <c r="I746" s="9">
        <v>0</v>
      </c>
      <c r="J746" s="9" t="s">
        <v>78</v>
      </c>
      <c r="K746" s="158" t="s">
        <v>449</v>
      </c>
      <c r="L746" s="9">
        <f t="shared" si="348"/>
        <v>2016</v>
      </c>
      <c r="M746" s="127">
        <f t="shared" si="349"/>
        <v>2017</v>
      </c>
      <c r="N746" s="13">
        <v>1936.64</v>
      </c>
      <c r="O746" s="13">
        <f t="shared" si="350"/>
        <v>1936.64</v>
      </c>
      <c r="P746" s="13">
        <f t="shared" si="351"/>
        <v>16.138666666666669</v>
      </c>
      <c r="Q746" s="13">
        <f t="shared" si="352"/>
        <v>193.66400000000004</v>
      </c>
      <c r="R746" s="13">
        <v>0</v>
      </c>
      <c r="S746" s="13">
        <f t="shared" si="357"/>
        <v>0</v>
      </c>
      <c r="T746" s="13">
        <f t="shared" si="358"/>
        <v>1936.64</v>
      </c>
      <c r="U746" s="13">
        <f t="shared" si="359"/>
        <v>1936.64</v>
      </c>
      <c r="V746" s="13">
        <v>0</v>
      </c>
      <c r="W746" s="13">
        <f t="shared" si="360"/>
        <v>0</v>
      </c>
      <c r="X746" s="115">
        <f t="shared" si="361"/>
        <v>0</v>
      </c>
      <c r="Y746" s="116">
        <f t="shared" si="362"/>
        <v>0</v>
      </c>
      <c r="Z746" s="116">
        <f t="shared" si="365"/>
        <v>0</v>
      </c>
      <c r="AA746" s="116">
        <f t="shared" si="366"/>
        <v>0</v>
      </c>
      <c r="AB746" s="117">
        <v>0</v>
      </c>
      <c r="AC746" s="116">
        <f t="shared" si="363"/>
        <v>0</v>
      </c>
      <c r="AD746" s="116">
        <f t="shared" si="364"/>
        <v>0</v>
      </c>
      <c r="AE746" s="118"/>
      <c r="AF746" s="119"/>
      <c r="AG746" s="120"/>
      <c r="AH746" s="118"/>
      <c r="AI746" s="119"/>
      <c r="AJ746" s="121"/>
    </row>
    <row r="747" spans="2:36" s="9" customFormat="1">
      <c r="B747" s="9">
        <v>26</v>
      </c>
      <c r="C747" s="9" t="s">
        <v>703</v>
      </c>
      <c r="G747" s="9">
        <v>2007</v>
      </c>
      <c r="H747" s="9">
        <v>1</v>
      </c>
      <c r="I747" s="9">
        <v>0</v>
      </c>
      <c r="J747" s="9" t="s">
        <v>78</v>
      </c>
      <c r="K747" s="158" t="s">
        <v>449</v>
      </c>
      <c r="L747" s="9">
        <f t="shared" si="348"/>
        <v>2017</v>
      </c>
      <c r="M747" s="127">
        <f t="shared" si="349"/>
        <v>2017.0833333333333</v>
      </c>
      <c r="N747" s="13">
        <v>11260.8</v>
      </c>
      <c r="O747" s="13">
        <f t="shared" si="350"/>
        <v>11260.8</v>
      </c>
      <c r="P747" s="13">
        <f t="shared" si="351"/>
        <v>93.839999999999989</v>
      </c>
      <c r="Q747" s="13">
        <f t="shared" si="352"/>
        <v>1126.08</v>
      </c>
      <c r="R747" s="13">
        <v>0</v>
      </c>
      <c r="S747" s="13">
        <f t="shared" si="357"/>
        <v>0</v>
      </c>
      <c r="T747" s="13">
        <f t="shared" si="358"/>
        <v>11260.8</v>
      </c>
      <c r="U747" s="13">
        <f t="shared" si="359"/>
        <v>11260.8</v>
      </c>
      <c r="V747" s="13">
        <v>0</v>
      </c>
      <c r="W747" s="13">
        <f t="shared" si="360"/>
        <v>0</v>
      </c>
      <c r="X747" s="115">
        <f t="shared" si="361"/>
        <v>0</v>
      </c>
      <c r="Y747" s="116">
        <f t="shared" si="362"/>
        <v>0</v>
      </c>
      <c r="Z747" s="116">
        <f t="shared" si="365"/>
        <v>0</v>
      </c>
      <c r="AA747" s="116">
        <f t="shared" si="366"/>
        <v>0</v>
      </c>
      <c r="AB747" s="117">
        <v>0</v>
      </c>
      <c r="AC747" s="116">
        <f t="shared" si="363"/>
        <v>0</v>
      </c>
      <c r="AD747" s="116">
        <f t="shared" si="364"/>
        <v>0</v>
      </c>
      <c r="AE747" s="118"/>
      <c r="AF747" s="119"/>
      <c r="AG747" s="120"/>
      <c r="AH747" s="118"/>
      <c r="AI747" s="119"/>
      <c r="AJ747" s="121"/>
    </row>
    <row r="748" spans="2:36" s="9" customFormat="1">
      <c r="B748" s="9">
        <v>53</v>
      </c>
      <c r="C748" s="9" t="s">
        <v>711</v>
      </c>
      <c r="G748" s="9">
        <v>2007</v>
      </c>
      <c r="H748" s="9">
        <v>2</v>
      </c>
      <c r="I748" s="9">
        <v>0</v>
      </c>
      <c r="J748" s="9" t="s">
        <v>78</v>
      </c>
      <c r="K748" s="158" t="s">
        <v>449</v>
      </c>
      <c r="L748" s="9">
        <f t="shared" si="348"/>
        <v>2017</v>
      </c>
      <c r="M748" s="127">
        <f t="shared" si="349"/>
        <v>2017.1666666666667</v>
      </c>
      <c r="N748" s="13">
        <v>24208</v>
      </c>
      <c r="O748" s="13">
        <f t="shared" si="350"/>
        <v>24208</v>
      </c>
      <c r="P748" s="13">
        <f t="shared" si="351"/>
        <v>201.73333333333335</v>
      </c>
      <c r="Q748" s="13">
        <f t="shared" si="352"/>
        <v>2420.8000000000002</v>
      </c>
      <c r="R748" s="13">
        <v>0</v>
      </c>
      <c r="S748" s="13">
        <f t="shared" si="357"/>
        <v>0</v>
      </c>
      <c r="T748" s="13">
        <f t="shared" si="358"/>
        <v>24208</v>
      </c>
      <c r="U748" s="13">
        <f t="shared" si="359"/>
        <v>24208</v>
      </c>
      <c r="V748" s="13">
        <v>0</v>
      </c>
      <c r="W748" s="13">
        <f t="shared" si="360"/>
        <v>0</v>
      </c>
      <c r="X748" s="115">
        <f t="shared" si="361"/>
        <v>0</v>
      </c>
      <c r="Y748" s="116">
        <f t="shared" si="362"/>
        <v>0</v>
      </c>
      <c r="Z748" s="116">
        <f t="shared" si="365"/>
        <v>0</v>
      </c>
      <c r="AA748" s="116">
        <f t="shared" si="366"/>
        <v>0</v>
      </c>
      <c r="AB748" s="117">
        <v>0</v>
      </c>
      <c r="AC748" s="116">
        <f t="shared" si="363"/>
        <v>0</v>
      </c>
      <c r="AD748" s="116">
        <f t="shared" si="364"/>
        <v>0</v>
      </c>
      <c r="AE748" s="118"/>
      <c r="AF748" s="119"/>
      <c r="AG748" s="120"/>
      <c r="AH748" s="118"/>
      <c r="AI748" s="119"/>
      <c r="AJ748" s="121"/>
    </row>
    <row r="749" spans="2:36" s="9" customFormat="1">
      <c r="B749" s="9">
        <v>43</v>
      </c>
      <c r="C749" s="9" t="s">
        <v>711</v>
      </c>
      <c r="G749" s="9">
        <v>2007</v>
      </c>
      <c r="H749" s="9">
        <v>5</v>
      </c>
      <c r="I749" s="9">
        <v>0</v>
      </c>
      <c r="J749" s="9" t="s">
        <v>78</v>
      </c>
      <c r="K749" s="158" t="s">
        <v>449</v>
      </c>
      <c r="L749" s="9">
        <f t="shared" si="348"/>
        <v>2017</v>
      </c>
      <c r="M749" s="127">
        <f t="shared" si="349"/>
        <v>2017.4166666666667</v>
      </c>
      <c r="N749" s="13">
        <v>19384.2</v>
      </c>
      <c r="O749" s="13">
        <f t="shared" si="350"/>
        <v>19384.2</v>
      </c>
      <c r="P749" s="13">
        <f t="shared" si="351"/>
        <v>161.535</v>
      </c>
      <c r="Q749" s="13">
        <f t="shared" si="352"/>
        <v>1938.42</v>
      </c>
      <c r="R749" s="13">
        <v>0</v>
      </c>
      <c r="S749" s="13">
        <f t="shared" si="357"/>
        <v>0</v>
      </c>
      <c r="T749" s="13">
        <f t="shared" si="358"/>
        <v>19384.2</v>
      </c>
      <c r="U749" s="13">
        <f t="shared" si="359"/>
        <v>19384.2</v>
      </c>
      <c r="V749" s="13">
        <v>0</v>
      </c>
      <c r="W749" s="13">
        <f t="shared" si="360"/>
        <v>0</v>
      </c>
      <c r="X749" s="115">
        <f t="shared" si="361"/>
        <v>0</v>
      </c>
      <c r="Y749" s="116">
        <f t="shared" si="362"/>
        <v>0</v>
      </c>
      <c r="Z749" s="116">
        <f t="shared" si="365"/>
        <v>0</v>
      </c>
      <c r="AA749" s="116">
        <f t="shared" si="366"/>
        <v>0</v>
      </c>
      <c r="AB749" s="117">
        <v>0</v>
      </c>
      <c r="AC749" s="116">
        <f t="shared" si="363"/>
        <v>0</v>
      </c>
      <c r="AD749" s="116">
        <f t="shared" si="364"/>
        <v>0</v>
      </c>
      <c r="AE749" s="118"/>
      <c r="AF749" s="119"/>
      <c r="AG749" s="120"/>
      <c r="AH749" s="118"/>
      <c r="AI749" s="119"/>
      <c r="AJ749" s="121"/>
    </row>
    <row r="750" spans="2:36" s="9" customFormat="1">
      <c r="B750" s="9">
        <v>28</v>
      </c>
      <c r="C750" s="9" t="s">
        <v>715</v>
      </c>
      <c r="G750" s="9">
        <v>2007</v>
      </c>
      <c r="H750" s="9">
        <v>12</v>
      </c>
      <c r="I750" s="9">
        <v>0</v>
      </c>
      <c r="J750" s="9" t="s">
        <v>78</v>
      </c>
      <c r="K750" s="158" t="s">
        <v>449</v>
      </c>
      <c r="L750" s="9">
        <f t="shared" si="348"/>
        <v>2017</v>
      </c>
      <c r="M750" s="127">
        <f t="shared" si="349"/>
        <v>2018</v>
      </c>
      <c r="N750" s="13">
        <v>9361.0400000000009</v>
      </c>
      <c r="O750" s="13">
        <f t="shared" si="350"/>
        <v>9361.0400000000009</v>
      </c>
      <c r="P750" s="13">
        <f t="shared" si="351"/>
        <v>78.00866666666667</v>
      </c>
      <c r="Q750" s="13">
        <f t="shared" si="352"/>
        <v>936.10400000000004</v>
      </c>
      <c r="R750" s="13">
        <v>0</v>
      </c>
      <c r="S750" s="13">
        <f t="shared" si="357"/>
        <v>0</v>
      </c>
      <c r="T750" s="13">
        <f t="shared" si="358"/>
        <v>9361.0400000000009</v>
      </c>
      <c r="U750" s="13">
        <f t="shared" si="359"/>
        <v>9361.0400000000009</v>
      </c>
      <c r="V750" s="13">
        <v>0</v>
      </c>
      <c r="W750" s="13">
        <f t="shared" si="360"/>
        <v>0</v>
      </c>
      <c r="X750" s="115">
        <f t="shared" si="361"/>
        <v>0</v>
      </c>
      <c r="Y750" s="116">
        <f t="shared" si="362"/>
        <v>0</v>
      </c>
      <c r="Z750" s="116">
        <f t="shared" si="365"/>
        <v>0</v>
      </c>
      <c r="AA750" s="116">
        <f t="shared" si="366"/>
        <v>0</v>
      </c>
      <c r="AB750" s="117">
        <v>0</v>
      </c>
      <c r="AC750" s="116">
        <f t="shared" si="363"/>
        <v>0</v>
      </c>
      <c r="AD750" s="116">
        <f t="shared" si="364"/>
        <v>0</v>
      </c>
      <c r="AE750" s="118"/>
      <c r="AF750" s="119"/>
      <c r="AG750" s="120"/>
      <c r="AH750" s="118"/>
      <c r="AI750" s="119"/>
      <c r="AJ750" s="121"/>
    </row>
    <row r="751" spans="2:36" s="9" customFormat="1">
      <c r="B751" s="9">
        <v>24</v>
      </c>
      <c r="C751" s="9" t="s">
        <v>715</v>
      </c>
      <c r="G751" s="9">
        <v>2008</v>
      </c>
      <c r="H751" s="9">
        <v>1</v>
      </c>
      <c r="I751" s="9">
        <v>0</v>
      </c>
      <c r="J751" s="9" t="s">
        <v>78</v>
      </c>
      <c r="K751" s="158" t="s">
        <v>449</v>
      </c>
      <c r="L751" s="9">
        <f t="shared" si="348"/>
        <v>2018</v>
      </c>
      <c r="M751" s="127">
        <f t="shared" si="349"/>
        <v>2018.0833333333333</v>
      </c>
      <c r="N751" s="13">
        <v>8008.51</v>
      </c>
      <c r="O751" s="13">
        <f t="shared" si="350"/>
        <v>8008.51</v>
      </c>
      <c r="P751" s="13">
        <f t="shared" si="351"/>
        <v>66.737583333333333</v>
      </c>
      <c r="Q751" s="13">
        <f t="shared" si="352"/>
        <v>800.851</v>
      </c>
      <c r="R751" s="13">
        <v>0</v>
      </c>
      <c r="S751" s="13">
        <f t="shared" si="357"/>
        <v>0</v>
      </c>
      <c r="T751" s="13">
        <f t="shared" si="358"/>
        <v>8008.51</v>
      </c>
      <c r="U751" s="13">
        <f t="shared" si="359"/>
        <v>8008.51</v>
      </c>
      <c r="V751" s="13">
        <v>0</v>
      </c>
      <c r="W751" s="13">
        <f t="shared" si="360"/>
        <v>0</v>
      </c>
      <c r="X751" s="115">
        <f t="shared" si="361"/>
        <v>0</v>
      </c>
      <c r="Y751" s="116">
        <f t="shared" si="362"/>
        <v>0</v>
      </c>
      <c r="Z751" s="116">
        <f t="shared" si="365"/>
        <v>0</v>
      </c>
      <c r="AA751" s="116">
        <f t="shared" si="366"/>
        <v>0</v>
      </c>
      <c r="AB751" s="117">
        <v>0</v>
      </c>
      <c r="AC751" s="116">
        <f t="shared" si="363"/>
        <v>0</v>
      </c>
      <c r="AD751" s="116">
        <f t="shared" si="364"/>
        <v>0</v>
      </c>
      <c r="AE751" s="118"/>
      <c r="AF751" s="119"/>
      <c r="AG751" s="120"/>
      <c r="AH751" s="118"/>
      <c r="AI751" s="119"/>
      <c r="AJ751" s="121"/>
    </row>
    <row r="752" spans="2:36" s="9" customFormat="1">
      <c r="B752" s="9">
        <v>0</v>
      </c>
      <c r="C752" s="9" t="s">
        <v>701</v>
      </c>
      <c r="G752" s="9">
        <v>2008</v>
      </c>
      <c r="H752" s="9">
        <v>1</v>
      </c>
      <c r="I752" s="9">
        <v>0</v>
      </c>
      <c r="J752" s="9" t="s">
        <v>78</v>
      </c>
      <c r="K752" s="158" t="s">
        <v>449</v>
      </c>
      <c r="L752" s="9">
        <f t="shared" si="348"/>
        <v>2018</v>
      </c>
      <c r="M752" s="127">
        <f t="shared" si="349"/>
        <v>2018.0833333333333</v>
      </c>
      <c r="N752" s="13">
        <v>10677.64</v>
      </c>
      <c r="O752" s="13">
        <f t="shared" si="350"/>
        <v>10677.64</v>
      </c>
      <c r="P752" s="13">
        <f t="shared" si="351"/>
        <v>88.98033333333332</v>
      </c>
      <c r="Q752" s="13">
        <f t="shared" si="352"/>
        <v>1067.7639999999999</v>
      </c>
      <c r="R752" s="13">
        <v>0</v>
      </c>
      <c r="S752" s="13">
        <f t="shared" si="357"/>
        <v>0</v>
      </c>
      <c r="T752" s="13">
        <f t="shared" si="358"/>
        <v>10677.64</v>
      </c>
      <c r="U752" s="13">
        <f t="shared" si="359"/>
        <v>10677.64</v>
      </c>
      <c r="V752" s="13">
        <v>0</v>
      </c>
      <c r="W752" s="13">
        <f t="shared" si="360"/>
        <v>0</v>
      </c>
      <c r="X752" s="115">
        <f t="shared" si="361"/>
        <v>0</v>
      </c>
      <c r="Y752" s="116">
        <f t="shared" si="362"/>
        <v>0</v>
      </c>
      <c r="Z752" s="116">
        <f t="shared" si="365"/>
        <v>0</v>
      </c>
      <c r="AA752" s="116">
        <f t="shared" si="366"/>
        <v>0</v>
      </c>
      <c r="AB752" s="117">
        <v>0</v>
      </c>
      <c r="AC752" s="116">
        <f t="shared" si="363"/>
        <v>0</v>
      </c>
      <c r="AD752" s="116">
        <f t="shared" si="364"/>
        <v>0</v>
      </c>
      <c r="AE752" s="118"/>
      <c r="AF752" s="119"/>
      <c r="AG752" s="120"/>
      <c r="AH752" s="118"/>
      <c r="AI752" s="119"/>
      <c r="AJ752" s="121"/>
    </row>
    <row r="753" spans="1:36" s="9" customFormat="1">
      <c r="B753" s="9">
        <v>11</v>
      </c>
      <c r="C753" s="9" t="s">
        <v>715</v>
      </c>
      <c r="G753" s="9">
        <v>2008</v>
      </c>
      <c r="H753" s="9">
        <v>4</v>
      </c>
      <c r="I753" s="9">
        <v>0</v>
      </c>
      <c r="J753" s="9" t="s">
        <v>78</v>
      </c>
      <c r="K753" s="158" t="s">
        <v>449</v>
      </c>
      <c r="L753" s="9">
        <f t="shared" si="348"/>
        <v>2018</v>
      </c>
      <c r="M753" s="127">
        <f t="shared" si="349"/>
        <v>2018.3333333333333</v>
      </c>
      <c r="N753" s="13">
        <v>3607.9</v>
      </c>
      <c r="O753" s="13">
        <f t="shared" si="350"/>
        <v>3607.9</v>
      </c>
      <c r="P753" s="13">
        <f t="shared" si="351"/>
        <v>30.065833333333334</v>
      </c>
      <c r="Q753" s="13">
        <f t="shared" si="352"/>
        <v>360.79</v>
      </c>
      <c r="R753" s="13">
        <v>0</v>
      </c>
      <c r="S753" s="13">
        <f t="shared" si="357"/>
        <v>0</v>
      </c>
      <c r="T753" s="13">
        <f t="shared" si="358"/>
        <v>3607.9</v>
      </c>
      <c r="U753" s="13">
        <f t="shared" si="359"/>
        <v>3607.9</v>
      </c>
      <c r="V753" s="13">
        <v>0</v>
      </c>
      <c r="W753" s="13">
        <f t="shared" si="360"/>
        <v>0</v>
      </c>
      <c r="X753" s="115">
        <f t="shared" si="361"/>
        <v>0</v>
      </c>
      <c r="Y753" s="116">
        <f t="shared" si="362"/>
        <v>0</v>
      </c>
      <c r="Z753" s="116">
        <f t="shared" si="365"/>
        <v>0</v>
      </c>
      <c r="AA753" s="116">
        <f t="shared" si="366"/>
        <v>0</v>
      </c>
      <c r="AB753" s="117">
        <v>0</v>
      </c>
      <c r="AC753" s="116">
        <f t="shared" si="363"/>
        <v>0</v>
      </c>
      <c r="AD753" s="116">
        <f t="shared" si="364"/>
        <v>0</v>
      </c>
      <c r="AE753" s="118"/>
      <c r="AF753" s="119"/>
      <c r="AG753" s="120"/>
      <c r="AH753" s="118"/>
      <c r="AI753" s="119"/>
      <c r="AJ753" s="121"/>
    </row>
    <row r="754" spans="1:36" s="9" customFormat="1">
      <c r="B754" s="9">
        <v>21</v>
      </c>
      <c r="C754" s="9" t="s">
        <v>716</v>
      </c>
      <c r="G754" s="9">
        <v>2008</v>
      </c>
      <c r="H754" s="9">
        <v>6</v>
      </c>
      <c r="I754" s="9">
        <v>0</v>
      </c>
      <c r="J754" s="9" t="s">
        <v>78</v>
      </c>
      <c r="K754" s="158" t="s">
        <v>449</v>
      </c>
      <c r="L754" s="9">
        <f t="shared" si="348"/>
        <v>2018</v>
      </c>
      <c r="M754" s="127">
        <f t="shared" si="349"/>
        <v>2018.5</v>
      </c>
      <c r="N754" s="13">
        <v>9265</v>
      </c>
      <c r="O754" s="13">
        <f t="shared" si="350"/>
        <v>9265</v>
      </c>
      <c r="P754" s="13">
        <f t="shared" si="351"/>
        <v>77.208333333333329</v>
      </c>
      <c r="Q754" s="13">
        <f t="shared" si="352"/>
        <v>926.5</v>
      </c>
      <c r="R754" s="13">
        <v>0</v>
      </c>
      <c r="S754" s="13">
        <f t="shared" si="357"/>
        <v>0</v>
      </c>
      <c r="T754" s="13">
        <f t="shared" si="358"/>
        <v>9265</v>
      </c>
      <c r="U754" s="13">
        <f t="shared" si="359"/>
        <v>9265</v>
      </c>
      <c r="V754" s="13">
        <v>0</v>
      </c>
      <c r="W754" s="13">
        <f t="shared" si="360"/>
        <v>0</v>
      </c>
      <c r="X754" s="115">
        <f t="shared" si="361"/>
        <v>0</v>
      </c>
      <c r="Y754" s="116">
        <f t="shared" si="362"/>
        <v>0</v>
      </c>
      <c r="Z754" s="116">
        <f t="shared" si="365"/>
        <v>0</v>
      </c>
      <c r="AA754" s="116">
        <f t="shared" si="366"/>
        <v>0</v>
      </c>
      <c r="AB754" s="117">
        <v>0</v>
      </c>
      <c r="AC754" s="116">
        <f t="shared" si="363"/>
        <v>0</v>
      </c>
      <c r="AD754" s="116">
        <f t="shared" si="364"/>
        <v>0</v>
      </c>
      <c r="AE754" s="118"/>
      <c r="AF754" s="119"/>
      <c r="AG754" s="120"/>
      <c r="AH754" s="118"/>
      <c r="AI754" s="119"/>
      <c r="AJ754" s="121"/>
    </row>
    <row r="755" spans="1:36" s="9" customFormat="1">
      <c r="B755" s="9">
        <v>66</v>
      </c>
      <c r="C755" s="9" t="s">
        <v>709</v>
      </c>
      <c r="G755" s="9">
        <v>2008</v>
      </c>
      <c r="H755" s="9">
        <v>7</v>
      </c>
      <c r="I755" s="9">
        <v>0</v>
      </c>
      <c r="J755" s="9" t="s">
        <v>78</v>
      </c>
      <c r="K755" s="158" t="s">
        <v>449</v>
      </c>
      <c r="L755" s="9">
        <f t="shared" si="348"/>
        <v>2018</v>
      </c>
      <c r="M755" s="127">
        <f t="shared" si="349"/>
        <v>2018.5833333333333</v>
      </c>
      <c r="N755" s="13">
        <v>22601.4</v>
      </c>
      <c r="O755" s="13">
        <f t="shared" si="350"/>
        <v>22601.4</v>
      </c>
      <c r="P755" s="13">
        <f t="shared" si="351"/>
        <v>188.34500000000003</v>
      </c>
      <c r="Q755" s="13">
        <f t="shared" si="352"/>
        <v>2260.1400000000003</v>
      </c>
      <c r="R755" s="13">
        <v>0</v>
      </c>
      <c r="S755" s="13">
        <f t="shared" si="357"/>
        <v>0</v>
      </c>
      <c r="T755" s="13">
        <f t="shared" si="358"/>
        <v>22601.4</v>
      </c>
      <c r="U755" s="13">
        <f t="shared" si="359"/>
        <v>22601.4</v>
      </c>
      <c r="V755" s="13">
        <v>0</v>
      </c>
      <c r="W755" s="13">
        <f t="shared" si="360"/>
        <v>0</v>
      </c>
      <c r="X755" s="115">
        <f t="shared" si="361"/>
        <v>0</v>
      </c>
      <c r="Y755" s="116">
        <f t="shared" si="362"/>
        <v>0</v>
      </c>
      <c r="Z755" s="116">
        <f t="shared" si="365"/>
        <v>0</v>
      </c>
      <c r="AA755" s="116">
        <f t="shared" si="366"/>
        <v>0</v>
      </c>
      <c r="AB755" s="117">
        <v>0</v>
      </c>
      <c r="AC755" s="116">
        <f t="shared" si="363"/>
        <v>0</v>
      </c>
      <c r="AD755" s="116">
        <f t="shared" si="364"/>
        <v>0</v>
      </c>
      <c r="AE755" s="118"/>
      <c r="AF755" s="119"/>
      <c r="AG755" s="120"/>
      <c r="AH755" s="118"/>
      <c r="AI755" s="119"/>
      <c r="AJ755" s="121"/>
    </row>
    <row r="756" spans="1:36" s="9" customFormat="1">
      <c r="B756" s="9">
        <v>92</v>
      </c>
      <c r="C756" s="9" t="s">
        <v>711</v>
      </c>
      <c r="G756" s="9">
        <v>2008</v>
      </c>
      <c r="H756" s="9">
        <v>7</v>
      </c>
      <c r="I756" s="9">
        <v>0</v>
      </c>
      <c r="J756" s="9" t="s">
        <v>78</v>
      </c>
      <c r="K756" s="158" t="s">
        <v>449</v>
      </c>
      <c r="L756" s="9">
        <f t="shared" si="348"/>
        <v>2018</v>
      </c>
      <c r="M756" s="127">
        <f t="shared" si="349"/>
        <v>2018.5833333333333</v>
      </c>
      <c r="N756" s="13">
        <v>41912.639999999999</v>
      </c>
      <c r="O756" s="13">
        <f t="shared" si="350"/>
        <v>41912.639999999999</v>
      </c>
      <c r="P756" s="13">
        <f t="shared" si="351"/>
        <v>349.27199999999999</v>
      </c>
      <c r="Q756" s="13">
        <f t="shared" si="352"/>
        <v>4191.2640000000001</v>
      </c>
      <c r="R756" s="13">
        <v>0</v>
      </c>
      <c r="S756" s="13">
        <f t="shared" si="357"/>
        <v>0</v>
      </c>
      <c r="T756" s="13">
        <f t="shared" si="358"/>
        <v>41912.639999999999</v>
      </c>
      <c r="U756" s="13">
        <f t="shared" si="359"/>
        <v>41912.639999999999</v>
      </c>
      <c r="V756" s="13">
        <v>0</v>
      </c>
      <c r="W756" s="13">
        <f t="shared" si="360"/>
        <v>0</v>
      </c>
      <c r="X756" s="115">
        <f t="shared" si="361"/>
        <v>0</v>
      </c>
      <c r="Y756" s="116">
        <f t="shared" si="362"/>
        <v>0</v>
      </c>
      <c r="Z756" s="116">
        <f t="shared" si="365"/>
        <v>0</v>
      </c>
      <c r="AA756" s="116">
        <f t="shared" si="366"/>
        <v>0</v>
      </c>
      <c r="AB756" s="117">
        <v>0</v>
      </c>
      <c r="AC756" s="116">
        <f t="shared" si="363"/>
        <v>0</v>
      </c>
      <c r="AD756" s="116">
        <f t="shared" si="364"/>
        <v>0</v>
      </c>
      <c r="AE756" s="118"/>
      <c r="AF756" s="119"/>
      <c r="AG756" s="120"/>
      <c r="AH756" s="118"/>
      <c r="AI756" s="119"/>
      <c r="AJ756" s="121"/>
    </row>
    <row r="757" spans="1:36" s="9" customFormat="1">
      <c r="B757" s="9">
        <v>531</v>
      </c>
      <c r="C757" s="9" t="s">
        <v>717</v>
      </c>
      <c r="E757" s="9">
        <v>84458</v>
      </c>
      <c r="G757" s="9">
        <v>2011</v>
      </c>
      <c r="H757" s="9">
        <v>1</v>
      </c>
      <c r="I757" s="9">
        <v>0</v>
      </c>
      <c r="J757" s="9" t="s">
        <v>78</v>
      </c>
      <c r="K757" s="158">
        <v>10</v>
      </c>
      <c r="L757" s="9">
        <f>G757+K757</f>
        <v>2021</v>
      </c>
      <c r="M757" s="127">
        <f>+L757+(H757/12)</f>
        <v>2021.0833333333333</v>
      </c>
      <c r="N757" s="13">
        <v>0</v>
      </c>
      <c r="O757" s="13">
        <f>N757-N757*I757</f>
        <v>0</v>
      </c>
      <c r="P757" s="13">
        <f>O757/K757/12</f>
        <v>0</v>
      </c>
      <c r="Q757" s="13">
        <f>P757*12</f>
        <v>0</v>
      </c>
      <c r="R757" s="13">
        <v>0</v>
      </c>
      <c r="S757" s="13">
        <f>+IF(M757&lt;=$O$5,0,IF(L757&gt;$O$4,Q757,(P757*H757)))</f>
        <v>0</v>
      </c>
      <c r="T757" s="13">
        <f>+IF(S757=0,N757,IF($O$3-G757&lt;1,0,(($O$3-G757)*Q757)))</f>
        <v>0</v>
      </c>
      <c r="U757" s="13">
        <f>+IF(S757=0,T757,T757+S757)</f>
        <v>0</v>
      </c>
      <c r="V757" s="13">
        <v>0</v>
      </c>
      <c r="W757" s="13">
        <f>+N757-U757</f>
        <v>0</v>
      </c>
      <c r="X757" s="115">
        <f t="shared" si="361"/>
        <v>0</v>
      </c>
      <c r="Y757" s="116">
        <f t="shared" si="362"/>
        <v>0</v>
      </c>
      <c r="Z757" s="116">
        <f t="shared" si="365"/>
        <v>0</v>
      </c>
      <c r="AA757" s="116">
        <f t="shared" si="366"/>
        <v>0</v>
      </c>
      <c r="AB757" s="117">
        <v>0</v>
      </c>
      <c r="AC757" s="116">
        <f t="shared" si="363"/>
        <v>0</v>
      </c>
      <c r="AD757" s="116">
        <f t="shared" si="364"/>
        <v>0</v>
      </c>
      <c r="AE757" s="118"/>
      <c r="AF757" s="119"/>
      <c r="AG757" s="120"/>
      <c r="AH757" s="118"/>
      <c r="AI757" s="119"/>
      <c r="AJ757" s="121"/>
    </row>
    <row r="758" spans="1:36" s="9" customFormat="1">
      <c r="B758" s="9">
        <v>26</v>
      </c>
      <c r="C758" s="9" t="s">
        <v>716</v>
      </c>
      <c r="E758" s="9" t="s">
        <v>718</v>
      </c>
      <c r="G758" s="9">
        <v>2013</v>
      </c>
      <c r="H758" s="9">
        <v>10</v>
      </c>
      <c r="I758" s="9">
        <v>0</v>
      </c>
      <c r="J758" s="9" t="s">
        <v>78</v>
      </c>
      <c r="K758" s="158">
        <v>10</v>
      </c>
      <c r="L758" s="9">
        <f t="shared" si="348"/>
        <v>2023</v>
      </c>
      <c r="M758" s="127">
        <f t="shared" si="349"/>
        <v>2023.8333333333333</v>
      </c>
      <c r="N758" s="13">
        <f>5352.96+12490.24</f>
        <v>17843.2</v>
      </c>
      <c r="O758" s="13">
        <f t="shared" si="350"/>
        <v>17843.2</v>
      </c>
      <c r="P758" s="13">
        <f t="shared" si="351"/>
        <v>148.69333333333336</v>
      </c>
      <c r="Q758" s="13">
        <f t="shared" si="352"/>
        <v>1784.3200000000002</v>
      </c>
      <c r="R758" s="13">
        <v>1784.3200000000002</v>
      </c>
      <c r="S758" s="13">
        <f t="shared" si="357"/>
        <v>1784.3200000000002</v>
      </c>
      <c r="T758" s="13">
        <f t="shared" si="358"/>
        <v>14274.560000000001</v>
      </c>
      <c r="U758" s="13">
        <f t="shared" si="359"/>
        <v>16058.880000000001</v>
      </c>
      <c r="V758" s="13">
        <v>7137.2800000000007</v>
      </c>
      <c r="W758" s="13">
        <f t="shared" si="360"/>
        <v>1784.3199999999997</v>
      </c>
      <c r="X758" s="115">
        <f t="shared" si="361"/>
        <v>1784.3200000000002</v>
      </c>
      <c r="Y758" s="116">
        <f t="shared" si="362"/>
        <v>1784.3199999999997</v>
      </c>
      <c r="Z758" s="116">
        <f t="shared" si="365"/>
        <v>0</v>
      </c>
      <c r="AA758" s="116">
        <f t="shared" si="366"/>
        <v>-5352.9600000000009</v>
      </c>
      <c r="AB758" s="117">
        <v>0</v>
      </c>
      <c r="AC758" s="116">
        <f t="shared" si="363"/>
        <v>0</v>
      </c>
      <c r="AD758" s="116">
        <f t="shared" si="364"/>
        <v>0</v>
      </c>
      <c r="AE758" s="118"/>
      <c r="AF758" s="119"/>
      <c r="AG758" s="120"/>
      <c r="AH758" s="118"/>
      <c r="AI758" s="119"/>
      <c r="AJ758" s="121"/>
    </row>
    <row r="759" spans="1:36" s="9" customFormat="1">
      <c r="B759" s="9">
        <v>8</v>
      </c>
      <c r="C759" s="9" t="s">
        <v>1276</v>
      </c>
      <c r="E759" s="9">
        <v>233560</v>
      </c>
      <c r="G759" s="9">
        <v>2020</v>
      </c>
      <c r="H759" s="9">
        <v>3</v>
      </c>
      <c r="I759" s="9">
        <v>0</v>
      </c>
      <c r="J759" s="9" t="s">
        <v>78</v>
      </c>
      <c r="K759" s="158">
        <v>12</v>
      </c>
      <c r="L759" s="9">
        <f>G759+K759</f>
        <v>2032</v>
      </c>
      <c r="M759" s="127">
        <f>+L759+(H759/12)</f>
        <v>2032.25</v>
      </c>
      <c r="N759" s="13">
        <v>6951.48</v>
      </c>
      <c r="O759" s="13">
        <f>N759-N759*I759</f>
        <v>6951.48</v>
      </c>
      <c r="P759" s="13">
        <f>O759/K759/12</f>
        <v>48.274166666666666</v>
      </c>
      <c r="Q759" s="13">
        <f>P759*12</f>
        <v>579.29</v>
      </c>
      <c r="R759" s="13"/>
      <c r="S759" s="13">
        <f>+IF(M759&lt;=$O$5,0,IF(L759&gt;$O$4,Q759,(P759*H759)))</f>
        <v>579.29</v>
      </c>
      <c r="T759" s="13">
        <f>+IF(S759=0,N759,IF($O$3-G759&lt;1,0,(($O$3-G759)*Q759)))</f>
        <v>579.29</v>
      </c>
      <c r="U759" s="13">
        <f>+IF(S759=0,T759,T759+S759)</f>
        <v>1158.58</v>
      </c>
      <c r="V759" s="13"/>
      <c r="W759" s="13">
        <f>+N759-U759</f>
        <v>5792.9</v>
      </c>
      <c r="X759" s="147">
        <f>S759</f>
        <v>579.29</v>
      </c>
      <c r="Y759" s="116">
        <f>W759</f>
        <v>5792.9</v>
      </c>
      <c r="Z759" s="116"/>
      <c r="AA759" s="116"/>
      <c r="AB759" s="117"/>
      <c r="AC759" s="116"/>
      <c r="AD759" s="116"/>
      <c r="AE759" s="120"/>
      <c r="AF759" s="120"/>
      <c r="AG759" s="120"/>
      <c r="AH759" s="120"/>
      <c r="AI759" s="120"/>
      <c r="AJ759" s="120"/>
    </row>
    <row r="760" spans="1:36" s="9" customFormat="1">
      <c r="B760" s="9">
        <v>11</v>
      </c>
      <c r="C760" s="9" t="s">
        <v>1276</v>
      </c>
      <c r="E760" s="9">
        <v>233734</v>
      </c>
      <c r="G760" s="9">
        <v>2020</v>
      </c>
      <c r="H760" s="9">
        <v>3</v>
      </c>
      <c r="I760" s="9">
        <v>0</v>
      </c>
      <c r="J760" s="9" t="s">
        <v>78</v>
      </c>
      <c r="K760" s="158">
        <v>12</v>
      </c>
      <c r="L760" s="9">
        <f>G760+K760</f>
        <v>2032</v>
      </c>
      <c r="M760" s="127">
        <f>+L760+(H760/12)</f>
        <v>2032.25</v>
      </c>
      <c r="N760" s="13">
        <v>9558.2900000000009</v>
      </c>
      <c r="O760" s="13">
        <f>N760-N760*I760</f>
        <v>9558.2900000000009</v>
      </c>
      <c r="P760" s="13">
        <f>O760/K760/12</f>
        <v>66.377013888888897</v>
      </c>
      <c r="Q760" s="13">
        <f>P760*12</f>
        <v>796.52416666666682</v>
      </c>
      <c r="R760" s="13"/>
      <c r="S760" s="13">
        <f>+IF(M760&lt;=$O$5,0,IF(L760&gt;$O$4,Q760,(P760*H760)))</f>
        <v>796.52416666666682</v>
      </c>
      <c r="T760" s="13">
        <f>+IF(S760=0,N760,IF($O$3-G760&lt;1,0,(($O$3-G760)*Q760)))</f>
        <v>796.52416666666682</v>
      </c>
      <c r="U760" s="13">
        <f>+IF(S760=0,T760,T760+S760)</f>
        <v>1593.0483333333336</v>
      </c>
      <c r="V760" s="13"/>
      <c r="W760" s="13">
        <f>+N760-U760</f>
        <v>7965.2416666666668</v>
      </c>
      <c r="X760" s="147">
        <f>S760</f>
        <v>796.52416666666682</v>
      </c>
      <c r="Y760" s="116">
        <f>W760</f>
        <v>7965.2416666666668</v>
      </c>
      <c r="Z760" s="116"/>
      <c r="AA760" s="116"/>
      <c r="AB760" s="117"/>
      <c r="AC760" s="116"/>
      <c r="AD760" s="116"/>
      <c r="AE760" s="120"/>
      <c r="AF760" s="120"/>
      <c r="AG760" s="120"/>
      <c r="AH760" s="120"/>
      <c r="AI760" s="120"/>
      <c r="AJ760" s="120"/>
    </row>
    <row r="761" spans="1:36" s="9" customFormat="1">
      <c r="B761" s="9">
        <v>11</v>
      </c>
      <c r="C761" s="9" t="s">
        <v>1276</v>
      </c>
      <c r="E761" s="9">
        <v>233735</v>
      </c>
      <c r="G761" s="9">
        <v>2020</v>
      </c>
      <c r="H761" s="9">
        <v>3</v>
      </c>
      <c r="I761" s="9">
        <v>0</v>
      </c>
      <c r="J761" s="9" t="s">
        <v>78</v>
      </c>
      <c r="K761" s="158">
        <v>12</v>
      </c>
      <c r="L761" s="9">
        <f>G761+K761</f>
        <v>2032</v>
      </c>
      <c r="M761" s="127">
        <f>+L761+(H761/12)</f>
        <v>2032.25</v>
      </c>
      <c r="N761" s="13">
        <v>9558.2900000000009</v>
      </c>
      <c r="O761" s="13">
        <f>N761-N761*I761</f>
        <v>9558.2900000000009</v>
      </c>
      <c r="P761" s="13">
        <f>O761/K761/12</f>
        <v>66.377013888888897</v>
      </c>
      <c r="Q761" s="13">
        <f>P761*12</f>
        <v>796.52416666666682</v>
      </c>
      <c r="R761" s="13"/>
      <c r="S761" s="13">
        <f>+IF(M761&lt;=$O$5,0,IF(L761&gt;$O$4,Q761,(P761*H761)))</f>
        <v>796.52416666666682</v>
      </c>
      <c r="T761" s="13">
        <f>+IF(S761=0,N761,IF($O$3-G761&lt;1,0,(($O$3-G761)*Q761)))</f>
        <v>796.52416666666682</v>
      </c>
      <c r="U761" s="13">
        <f>+IF(S761=0,T761,T761+S761)</f>
        <v>1593.0483333333336</v>
      </c>
      <c r="V761" s="13"/>
      <c r="W761" s="13">
        <f>+N761-U761</f>
        <v>7965.2416666666668</v>
      </c>
      <c r="X761" s="147">
        <f>S761</f>
        <v>796.52416666666682</v>
      </c>
      <c r="Y761" s="116">
        <f>W761</f>
        <v>7965.2416666666668</v>
      </c>
      <c r="Z761" s="116"/>
      <c r="AA761" s="116"/>
      <c r="AB761" s="117"/>
      <c r="AC761" s="116"/>
      <c r="AD761" s="116"/>
      <c r="AE761" s="120"/>
      <c r="AF761" s="120"/>
      <c r="AG761" s="120"/>
      <c r="AH761" s="120"/>
      <c r="AI761" s="120"/>
      <c r="AJ761" s="120"/>
    </row>
    <row r="762" spans="1:36" s="9" customFormat="1">
      <c r="K762" s="158"/>
      <c r="M762" s="127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Z762" s="116"/>
      <c r="AA762" s="116"/>
    </row>
    <row r="763" spans="1:36" s="9" customFormat="1">
      <c r="K763" s="158"/>
      <c r="L763" s="159" t="s">
        <v>719</v>
      </c>
      <c r="M763" s="160"/>
      <c r="N763" s="150">
        <f>SUM(N727:N762)</f>
        <v>475820.76</v>
      </c>
      <c r="O763" s="150">
        <f t="shared" ref="O763:AJ763" si="367">SUM(O727:O762)</f>
        <v>475820.76</v>
      </c>
      <c r="P763" s="150">
        <f t="shared" si="367"/>
        <v>3928.967361111112</v>
      </c>
      <c r="Q763" s="150">
        <f t="shared" si="367"/>
        <v>47147.608333333352</v>
      </c>
      <c r="R763" s="150">
        <v>1784.3200000000002</v>
      </c>
      <c r="S763" s="150">
        <f t="shared" si="367"/>
        <v>3956.6583333333338</v>
      </c>
      <c r="T763" s="150">
        <f t="shared" si="367"/>
        <v>448356.39833333337</v>
      </c>
      <c r="U763" s="150">
        <f t="shared" si="367"/>
        <v>452313.05666666676</v>
      </c>
      <c r="V763" s="150">
        <v>7137.2800000000007</v>
      </c>
      <c r="W763" s="150">
        <f t="shared" si="367"/>
        <v>23507.703333333331</v>
      </c>
      <c r="X763" s="150">
        <f t="shared" si="367"/>
        <v>3956.6583333333338</v>
      </c>
      <c r="Y763" s="150">
        <f t="shared" si="367"/>
        <v>23507.703333333331</v>
      </c>
      <c r="Z763" s="150">
        <f t="shared" si="367"/>
        <v>0</v>
      </c>
      <c r="AA763" s="150">
        <f t="shared" si="367"/>
        <v>-5352.9600000000009</v>
      </c>
      <c r="AB763" s="150">
        <f t="shared" si="367"/>
        <v>0</v>
      </c>
      <c r="AC763" s="150">
        <f t="shared" si="367"/>
        <v>0</v>
      </c>
      <c r="AD763" s="150">
        <f t="shared" si="367"/>
        <v>0</v>
      </c>
      <c r="AE763" s="150">
        <f t="shared" si="367"/>
        <v>0</v>
      </c>
      <c r="AF763" s="150">
        <f t="shared" si="367"/>
        <v>0</v>
      </c>
      <c r="AG763" s="150">
        <f t="shared" si="367"/>
        <v>0</v>
      </c>
      <c r="AH763" s="150">
        <f t="shared" si="367"/>
        <v>0</v>
      </c>
      <c r="AI763" s="150">
        <f t="shared" si="367"/>
        <v>0</v>
      </c>
      <c r="AJ763" s="150">
        <f t="shared" si="367"/>
        <v>0</v>
      </c>
    </row>
    <row r="764" spans="1:36" s="9" customFormat="1">
      <c r="K764" s="158"/>
      <c r="M764" s="127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Z764" s="116"/>
      <c r="AA764" s="116"/>
    </row>
    <row r="765" spans="1:36" s="9" customFormat="1">
      <c r="A765" s="142" t="s">
        <v>720</v>
      </c>
      <c r="K765" s="158"/>
      <c r="M765" s="127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Z765" s="116"/>
      <c r="AA765" s="116"/>
    </row>
    <row r="766" spans="1:36" s="9" customFormat="1">
      <c r="B766" s="9">
        <v>2</v>
      </c>
      <c r="C766" s="9" t="s">
        <v>721</v>
      </c>
      <c r="G766" s="9">
        <v>1997</v>
      </c>
      <c r="H766" s="9">
        <v>10</v>
      </c>
      <c r="I766" s="9">
        <v>0</v>
      </c>
      <c r="J766" s="9" t="s">
        <v>78</v>
      </c>
      <c r="K766" s="158" t="s">
        <v>449</v>
      </c>
      <c r="L766" s="9">
        <f t="shared" ref="L766:L774" si="368">G766+K766</f>
        <v>2007</v>
      </c>
      <c r="M766" s="127">
        <f t="shared" ref="M766:M774" si="369">+L766+(H766/12)</f>
        <v>2007.8333333333333</v>
      </c>
      <c r="N766" s="13">
        <v>8850.9</v>
      </c>
      <c r="O766" s="13">
        <f t="shared" ref="O766:O774" si="370">N766-N766*I766</f>
        <v>8850.9</v>
      </c>
      <c r="P766" s="13">
        <f t="shared" ref="P766:P774" si="371">O766/K766/12</f>
        <v>73.757499999999993</v>
      </c>
      <c r="Q766" s="13">
        <f t="shared" ref="Q766:Q774" si="372">P766*12</f>
        <v>885.08999999999992</v>
      </c>
      <c r="R766" s="13">
        <v>0</v>
      </c>
      <c r="S766" s="13">
        <f>+IF(M766&lt;=$O$5,0,IF(L766&gt;$O$4,Q766,(P766*H766)))</f>
        <v>0</v>
      </c>
      <c r="T766" s="13">
        <f>+IF(S766=0,N766,IF($O$3-G766&lt;1,0,(($O$3-G766)*Q766)))</f>
        <v>8850.9</v>
      </c>
      <c r="U766" s="13">
        <f>+IF(S766=0,T766,T766+S766)</f>
        <v>8850.9</v>
      </c>
      <c r="V766" s="13">
        <v>0</v>
      </c>
      <c r="W766" s="13">
        <f>+N766-U766</f>
        <v>0</v>
      </c>
      <c r="X766" s="115">
        <f t="shared" ref="X766:X774" si="373">S766</f>
        <v>0</v>
      </c>
      <c r="Y766" s="116">
        <f t="shared" ref="Y766:Y774" si="374">W766</f>
        <v>0</v>
      </c>
      <c r="Z766" s="116">
        <f t="shared" si="365"/>
        <v>0</v>
      </c>
      <c r="AA766" s="116">
        <f t="shared" si="366"/>
        <v>0</v>
      </c>
      <c r="AB766" s="117">
        <v>0</v>
      </c>
      <c r="AC766" s="116">
        <f t="shared" ref="AC766:AC774" si="375">X766*AB766</f>
        <v>0</v>
      </c>
      <c r="AD766" s="116">
        <f t="shared" ref="AD766:AD774" si="376">Y766*AB766</f>
        <v>0</v>
      </c>
      <c r="AE766" s="118"/>
      <c r="AF766" s="119"/>
      <c r="AG766" s="120"/>
      <c r="AH766" s="118"/>
      <c r="AI766" s="119"/>
      <c r="AJ766" s="121"/>
    </row>
    <row r="767" spans="1:36" s="9" customFormat="1">
      <c r="B767" s="9">
        <v>1</v>
      </c>
      <c r="C767" s="9" t="s">
        <v>722</v>
      </c>
      <c r="G767" s="9">
        <v>2001</v>
      </c>
      <c r="H767" s="9">
        <v>11</v>
      </c>
      <c r="I767" s="9">
        <v>0</v>
      </c>
      <c r="J767" s="9" t="s">
        <v>78</v>
      </c>
      <c r="K767" s="158" t="s">
        <v>449</v>
      </c>
      <c r="L767" s="9">
        <f t="shared" si="368"/>
        <v>2011</v>
      </c>
      <c r="M767" s="127">
        <f t="shared" si="369"/>
        <v>2011.9166666666667</v>
      </c>
      <c r="N767" s="13">
        <v>2720</v>
      </c>
      <c r="O767" s="13">
        <f t="shared" si="370"/>
        <v>2720</v>
      </c>
      <c r="P767" s="13">
        <f t="shared" si="371"/>
        <v>22.666666666666668</v>
      </c>
      <c r="Q767" s="13">
        <f t="shared" si="372"/>
        <v>272</v>
      </c>
      <c r="R767" s="13">
        <v>0</v>
      </c>
      <c r="S767" s="13">
        <f t="shared" ref="S767:S774" si="377">+IF(M767&lt;=$O$5,0,IF(L767&gt;$O$4,Q767,(P767*H767)))</f>
        <v>0</v>
      </c>
      <c r="T767" s="13">
        <f t="shared" ref="T767:T774" si="378">+IF(S767=0,N767,IF($O$3-G767&lt;1,0,(($O$3-G767)*Q767)))</f>
        <v>2720</v>
      </c>
      <c r="U767" s="13">
        <f t="shared" ref="U767:U774" si="379">+IF(S767=0,T767,T767+S767)</f>
        <v>2720</v>
      </c>
      <c r="V767" s="13">
        <v>0</v>
      </c>
      <c r="W767" s="13">
        <f t="shared" ref="W767:W774" si="380">+N767-U767</f>
        <v>0</v>
      </c>
      <c r="X767" s="115">
        <f t="shared" si="373"/>
        <v>0</v>
      </c>
      <c r="Y767" s="116">
        <f t="shared" si="374"/>
        <v>0</v>
      </c>
      <c r="Z767" s="116">
        <f t="shared" si="365"/>
        <v>0</v>
      </c>
      <c r="AA767" s="116">
        <f t="shared" si="366"/>
        <v>0</v>
      </c>
      <c r="AB767" s="117">
        <v>0</v>
      </c>
      <c r="AC767" s="116">
        <f t="shared" si="375"/>
        <v>0</v>
      </c>
      <c r="AD767" s="116">
        <f t="shared" si="376"/>
        <v>0</v>
      </c>
      <c r="AE767" s="118"/>
      <c r="AF767" s="119"/>
      <c r="AG767" s="120"/>
      <c r="AH767" s="118"/>
      <c r="AI767" s="119"/>
      <c r="AJ767" s="121"/>
    </row>
    <row r="768" spans="1:36" s="9" customFormat="1">
      <c r="B768" s="9">
        <v>2</v>
      </c>
      <c r="C768" s="9" t="s">
        <v>723</v>
      </c>
      <c r="G768" s="9">
        <v>2002</v>
      </c>
      <c r="H768" s="9">
        <v>3</v>
      </c>
      <c r="I768" s="9">
        <v>0</v>
      </c>
      <c r="J768" s="9" t="s">
        <v>78</v>
      </c>
      <c r="K768" s="158" t="s">
        <v>449</v>
      </c>
      <c r="L768" s="9">
        <f t="shared" si="368"/>
        <v>2012</v>
      </c>
      <c r="M768" s="127">
        <f t="shared" si="369"/>
        <v>2012.25</v>
      </c>
      <c r="N768" s="13">
        <v>7126.4</v>
      </c>
      <c r="O768" s="13">
        <f t="shared" si="370"/>
        <v>7126.4</v>
      </c>
      <c r="P768" s="13">
        <f t="shared" si="371"/>
        <v>59.386666666666663</v>
      </c>
      <c r="Q768" s="13">
        <f t="shared" si="372"/>
        <v>712.64</v>
      </c>
      <c r="R768" s="13">
        <v>0</v>
      </c>
      <c r="S768" s="13">
        <f t="shared" si="377"/>
        <v>0</v>
      </c>
      <c r="T768" s="13">
        <f t="shared" si="378"/>
        <v>7126.4</v>
      </c>
      <c r="U768" s="13">
        <f t="shared" si="379"/>
        <v>7126.4</v>
      </c>
      <c r="V768" s="13">
        <v>0</v>
      </c>
      <c r="W768" s="13">
        <f t="shared" si="380"/>
        <v>0</v>
      </c>
      <c r="X768" s="115">
        <f t="shared" si="373"/>
        <v>0</v>
      </c>
      <c r="Y768" s="116">
        <f t="shared" si="374"/>
        <v>0</v>
      </c>
      <c r="Z768" s="116">
        <f t="shared" si="365"/>
        <v>0</v>
      </c>
      <c r="AA768" s="116">
        <f t="shared" si="366"/>
        <v>0</v>
      </c>
      <c r="AB768" s="117">
        <v>0</v>
      </c>
      <c r="AC768" s="116">
        <f t="shared" si="375"/>
        <v>0</v>
      </c>
      <c r="AD768" s="116">
        <f t="shared" si="376"/>
        <v>0</v>
      </c>
      <c r="AE768" s="118"/>
      <c r="AF768" s="119"/>
      <c r="AG768" s="120"/>
      <c r="AH768" s="118"/>
      <c r="AI768" s="119"/>
      <c r="AJ768" s="121"/>
    </row>
    <row r="769" spans="2:36" s="9" customFormat="1">
      <c r="B769" s="9">
        <v>6</v>
      </c>
      <c r="C769" s="9" t="s">
        <v>724</v>
      </c>
      <c r="G769" s="9">
        <v>2002</v>
      </c>
      <c r="H769" s="9">
        <v>10</v>
      </c>
      <c r="I769" s="9">
        <v>0</v>
      </c>
      <c r="J769" s="9" t="s">
        <v>78</v>
      </c>
      <c r="K769" s="158" t="s">
        <v>449</v>
      </c>
      <c r="L769" s="9">
        <f t="shared" si="368"/>
        <v>2012</v>
      </c>
      <c r="M769" s="127">
        <f t="shared" si="369"/>
        <v>2012.8333333333333</v>
      </c>
      <c r="N769" s="13">
        <v>27156.48</v>
      </c>
      <c r="O769" s="13">
        <f t="shared" si="370"/>
        <v>27156.48</v>
      </c>
      <c r="P769" s="13">
        <f t="shared" si="371"/>
        <v>226.304</v>
      </c>
      <c r="Q769" s="13">
        <f t="shared" si="372"/>
        <v>2715.6480000000001</v>
      </c>
      <c r="R769" s="13">
        <v>0</v>
      </c>
      <c r="S769" s="13">
        <f t="shared" si="377"/>
        <v>0</v>
      </c>
      <c r="T769" s="13">
        <f t="shared" si="378"/>
        <v>27156.48</v>
      </c>
      <c r="U769" s="13">
        <f t="shared" si="379"/>
        <v>27156.48</v>
      </c>
      <c r="V769" s="13">
        <v>0</v>
      </c>
      <c r="W769" s="13">
        <f t="shared" si="380"/>
        <v>0</v>
      </c>
      <c r="X769" s="115">
        <f t="shared" si="373"/>
        <v>0</v>
      </c>
      <c r="Y769" s="116">
        <f t="shared" si="374"/>
        <v>0</v>
      </c>
      <c r="Z769" s="116">
        <f t="shared" si="365"/>
        <v>0</v>
      </c>
      <c r="AA769" s="116">
        <f t="shared" si="366"/>
        <v>0</v>
      </c>
      <c r="AB769" s="117">
        <v>0</v>
      </c>
      <c r="AC769" s="116">
        <f t="shared" si="375"/>
        <v>0</v>
      </c>
      <c r="AD769" s="116">
        <f t="shared" si="376"/>
        <v>0</v>
      </c>
      <c r="AE769" s="118"/>
      <c r="AF769" s="119"/>
      <c r="AG769" s="120"/>
      <c r="AH769" s="118"/>
      <c r="AI769" s="119"/>
      <c r="AJ769" s="121"/>
    </row>
    <row r="770" spans="2:36" s="9" customFormat="1">
      <c r="B770" s="9">
        <v>19</v>
      </c>
      <c r="C770" s="9" t="s">
        <v>725</v>
      </c>
      <c r="G770" s="9">
        <v>2005</v>
      </c>
      <c r="H770" s="9">
        <v>2</v>
      </c>
      <c r="I770" s="9">
        <v>0</v>
      </c>
      <c r="J770" s="9" t="s">
        <v>78</v>
      </c>
      <c r="K770" s="158" t="s">
        <v>449</v>
      </c>
      <c r="L770" s="9">
        <f t="shared" si="368"/>
        <v>2015</v>
      </c>
      <c r="M770" s="127">
        <f t="shared" si="369"/>
        <v>2015.1666666666667</v>
      </c>
      <c r="N770" s="13">
        <v>91378.94</v>
      </c>
      <c r="O770" s="13">
        <f t="shared" si="370"/>
        <v>91378.94</v>
      </c>
      <c r="P770" s="13">
        <f t="shared" si="371"/>
        <v>761.49116666666669</v>
      </c>
      <c r="Q770" s="13">
        <f t="shared" si="372"/>
        <v>9137.8940000000002</v>
      </c>
      <c r="R770" s="13">
        <v>0</v>
      </c>
      <c r="S770" s="13">
        <f t="shared" si="377"/>
        <v>0</v>
      </c>
      <c r="T770" s="13">
        <f t="shared" si="378"/>
        <v>91378.94</v>
      </c>
      <c r="U770" s="13">
        <f t="shared" si="379"/>
        <v>91378.94</v>
      </c>
      <c r="V770" s="13">
        <v>0</v>
      </c>
      <c r="W770" s="13">
        <f t="shared" si="380"/>
        <v>0</v>
      </c>
      <c r="X770" s="115">
        <f t="shared" si="373"/>
        <v>0</v>
      </c>
      <c r="Y770" s="116">
        <f t="shared" si="374"/>
        <v>0</v>
      </c>
      <c r="Z770" s="116">
        <f t="shared" si="365"/>
        <v>0</v>
      </c>
      <c r="AA770" s="116">
        <f t="shared" si="366"/>
        <v>0</v>
      </c>
      <c r="AB770" s="117">
        <v>0</v>
      </c>
      <c r="AC770" s="116">
        <f t="shared" si="375"/>
        <v>0</v>
      </c>
      <c r="AD770" s="116">
        <f t="shared" si="376"/>
        <v>0</v>
      </c>
      <c r="AE770" s="118"/>
      <c r="AF770" s="119"/>
      <c r="AG770" s="120"/>
      <c r="AH770" s="118"/>
      <c r="AI770" s="119"/>
      <c r="AJ770" s="121"/>
    </row>
    <row r="771" spans="2:36" s="9" customFormat="1">
      <c r="C771" s="9" t="s">
        <v>726</v>
      </c>
      <c r="G771" s="9">
        <v>2007</v>
      </c>
      <c r="H771" s="9">
        <v>8</v>
      </c>
      <c r="I771" s="9">
        <v>0</v>
      </c>
      <c r="J771" s="9" t="s">
        <v>78</v>
      </c>
      <c r="K771" s="158" t="s">
        <v>449</v>
      </c>
      <c r="L771" s="9">
        <f t="shared" si="368"/>
        <v>2017</v>
      </c>
      <c r="M771" s="127">
        <f t="shared" si="369"/>
        <v>2017.6666666666667</v>
      </c>
      <c r="N771" s="13">
        <v>4407.4799999999996</v>
      </c>
      <c r="O771" s="13">
        <f t="shared" si="370"/>
        <v>4407.4799999999996</v>
      </c>
      <c r="P771" s="13">
        <f t="shared" si="371"/>
        <v>36.728999999999992</v>
      </c>
      <c r="Q771" s="13">
        <f t="shared" si="372"/>
        <v>440.74799999999993</v>
      </c>
      <c r="R771" s="13">
        <v>0</v>
      </c>
      <c r="S771" s="13">
        <f t="shared" si="377"/>
        <v>0</v>
      </c>
      <c r="T771" s="13">
        <f t="shared" si="378"/>
        <v>4407.4799999999996</v>
      </c>
      <c r="U771" s="13">
        <f t="shared" si="379"/>
        <v>4407.4799999999996</v>
      </c>
      <c r="V771" s="13">
        <v>0</v>
      </c>
      <c r="W771" s="13">
        <f t="shared" si="380"/>
        <v>0</v>
      </c>
      <c r="X771" s="115">
        <f t="shared" si="373"/>
        <v>0</v>
      </c>
      <c r="Y771" s="116">
        <f t="shared" si="374"/>
        <v>0</v>
      </c>
      <c r="Z771" s="116">
        <f t="shared" si="365"/>
        <v>0</v>
      </c>
      <c r="AA771" s="116">
        <f t="shared" si="366"/>
        <v>0</v>
      </c>
      <c r="AB771" s="117">
        <v>0</v>
      </c>
      <c r="AC771" s="116">
        <f t="shared" si="375"/>
        <v>0</v>
      </c>
      <c r="AD771" s="116">
        <f t="shared" si="376"/>
        <v>0</v>
      </c>
      <c r="AE771" s="118"/>
      <c r="AF771" s="119"/>
      <c r="AG771" s="120"/>
      <c r="AH771" s="118"/>
      <c r="AI771" s="119"/>
      <c r="AJ771" s="121"/>
    </row>
    <row r="772" spans="2:36" s="9" customFormat="1">
      <c r="B772" s="9">
        <v>11</v>
      </c>
      <c r="C772" s="9" t="s">
        <v>727</v>
      </c>
      <c r="G772" s="9">
        <v>2008</v>
      </c>
      <c r="H772" s="9">
        <v>1</v>
      </c>
      <c r="I772" s="9">
        <v>0</v>
      </c>
      <c r="J772" s="9" t="s">
        <v>78</v>
      </c>
      <c r="K772" s="158" t="s">
        <v>449</v>
      </c>
      <c r="L772" s="9">
        <f t="shared" si="368"/>
        <v>2018</v>
      </c>
      <c r="M772" s="127">
        <f t="shared" si="369"/>
        <v>2018.0833333333333</v>
      </c>
      <c r="N772" s="13">
        <v>52794.720000000001</v>
      </c>
      <c r="O772" s="13">
        <f t="shared" si="370"/>
        <v>52794.720000000001</v>
      </c>
      <c r="P772" s="13">
        <f t="shared" si="371"/>
        <v>439.95599999999996</v>
      </c>
      <c r="Q772" s="13">
        <f t="shared" si="372"/>
        <v>5279.4719999999998</v>
      </c>
      <c r="R772" s="13">
        <v>0</v>
      </c>
      <c r="S772" s="13">
        <f t="shared" si="377"/>
        <v>0</v>
      </c>
      <c r="T772" s="13">
        <f t="shared" si="378"/>
        <v>52794.720000000001</v>
      </c>
      <c r="U772" s="13">
        <f t="shared" si="379"/>
        <v>52794.720000000001</v>
      </c>
      <c r="V772" s="13">
        <v>0</v>
      </c>
      <c r="W772" s="13">
        <f t="shared" si="380"/>
        <v>0</v>
      </c>
      <c r="X772" s="115">
        <f t="shared" si="373"/>
        <v>0</v>
      </c>
      <c r="Y772" s="116">
        <f t="shared" si="374"/>
        <v>0</v>
      </c>
      <c r="Z772" s="116">
        <f t="shared" si="365"/>
        <v>0</v>
      </c>
      <c r="AA772" s="116">
        <f t="shared" si="366"/>
        <v>0</v>
      </c>
      <c r="AB772" s="117">
        <v>0</v>
      </c>
      <c r="AC772" s="116">
        <f t="shared" si="375"/>
        <v>0</v>
      </c>
      <c r="AD772" s="116">
        <f t="shared" si="376"/>
        <v>0</v>
      </c>
      <c r="AE772" s="118"/>
      <c r="AF772" s="119"/>
      <c r="AG772" s="120"/>
      <c r="AH772" s="118"/>
      <c r="AI772" s="119"/>
      <c r="AJ772" s="121"/>
    </row>
    <row r="773" spans="2:36" s="9" customFormat="1">
      <c r="B773" s="9">
        <v>12</v>
      </c>
      <c r="C773" s="9" t="s">
        <v>728</v>
      </c>
      <c r="G773" s="9">
        <v>2008</v>
      </c>
      <c r="H773" s="9">
        <v>2</v>
      </c>
      <c r="I773" s="9">
        <v>0</v>
      </c>
      <c r="J773" s="9" t="s">
        <v>78</v>
      </c>
      <c r="K773" s="158" t="s">
        <v>449</v>
      </c>
      <c r="L773" s="9">
        <f t="shared" si="368"/>
        <v>2018</v>
      </c>
      <c r="M773" s="127">
        <f t="shared" si="369"/>
        <v>2018.1666666666667</v>
      </c>
      <c r="N773" s="13">
        <v>50222.080000000002</v>
      </c>
      <c r="O773" s="13">
        <f t="shared" si="370"/>
        <v>50222.080000000002</v>
      </c>
      <c r="P773" s="13">
        <f t="shared" si="371"/>
        <v>418.5173333333334</v>
      </c>
      <c r="Q773" s="13">
        <f t="shared" si="372"/>
        <v>5022.2080000000005</v>
      </c>
      <c r="R773" s="13">
        <v>0</v>
      </c>
      <c r="S773" s="13">
        <f t="shared" si="377"/>
        <v>0</v>
      </c>
      <c r="T773" s="13">
        <f t="shared" si="378"/>
        <v>50222.080000000002</v>
      </c>
      <c r="U773" s="13">
        <f t="shared" si="379"/>
        <v>50222.080000000002</v>
      </c>
      <c r="V773" s="13">
        <v>0</v>
      </c>
      <c r="W773" s="13">
        <f t="shared" si="380"/>
        <v>0</v>
      </c>
      <c r="X773" s="115">
        <f t="shared" si="373"/>
        <v>0</v>
      </c>
      <c r="Y773" s="116">
        <f t="shared" si="374"/>
        <v>0</v>
      </c>
      <c r="Z773" s="116">
        <f t="shared" si="365"/>
        <v>0</v>
      </c>
      <c r="AA773" s="116">
        <f t="shared" si="366"/>
        <v>0</v>
      </c>
      <c r="AB773" s="117">
        <v>0</v>
      </c>
      <c r="AC773" s="116">
        <f t="shared" si="375"/>
        <v>0</v>
      </c>
      <c r="AD773" s="116">
        <f t="shared" si="376"/>
        <v>0</v>
      </c>
      <c r="AE773" s="118"/>
      <c r="AF773" s="119"/>
      <c r="AG773" s="120"/>
      <c r="AH773" s="118"/>
      <c r="AI773" s="119"/>
      <c r="AJ773" s="121"/>
    </row>
    <row r="774" spans="2:36" s="9" customFormat="1">
      <c r="B774" s="9">
        <v>0</v>
      </c>
      <c r="C774" s="9" t="s">
        <v>729</v>
      </c>
      <c r="G774" s="9">
        <v>2008</v>
      </c>
      <c r="H774" s="9">
        <v>5</v>
      </c>
      <c r="I774" s="9">
        <v>0</v>
      </c>
      <c r="J774" s="9" t="s">
        <v>78</v>
      </c>
      <c r="K774" s="158" t="s">
        <v>449</v>
      </c>
      <c r="L774" s="9">
        <f t="shared" si="368"/>
        <v>2018</v>
      </c>
      <c r="M774" s="127">
        <f t="shared" si="369"/>
        <v>2018.4166666666667</v>
      </c>
      <c r="N774" s="13">
        <v>3166.08</v>
      </c>
      <c r="O774" s="13">
        <f t="shared" si="370"/>
        <v>3166.08</v>
      </c>
      <c r="P774" s="13">
        <f t="shared" si="371"/>
        <v>26.384</v>
      </c>
      <c r="Q774" s="13">
        <f t="shared" si="372"/>
        <v>316.608</v>
      </c>
      <c r="R774" s="13">
        <v>0</v>
      </c>
      <c r="S774" s="13">
        <f t="shared" si="377"/>
        <v>0</v>
      </c>
      <c r="T774" s="13">
        <f t="shared" si="378"/>
        <v>3166.08</v>
      </c>
      <c r="U774" s="13">
        <f t="shared" si="379"/>
        <v>3166.08</v>
      </c>
      <c r="V774" s="13">
        <v>0</v>
      </c>
      <c r="W774" s="13">
        <f t="shared" si="380"/>
        <v>0</v>
      </c>
      <c r="X774" s="115">
        <f t="shared" si="373"/>
        <v>0</v>
      </c>
      <c r="Y774" s="116">
        <f t="shared" si="374"/>
        <v>0</v>
      </c>
      <c r="Z774" s="116">
        <f t="shared" si="365"/>
        <v>0</v>
      </c>
      <c r="AA774" s="116">
        <f t="shared" si="366"/>
        <v>0</v>
      </c>
      <c r="AB774" s="117">
        <v>0</v>
      </c>
      <c r="AC774" s="116">
        <f t="shared" si="375"/>
        <v>0</v>
      </c>
      <c r="AD774" s="116">
        <f t="shared" si="376"/>
        <v>0</v>
      </c>
      <c r="AE774" s="118"/>
      <c r="AF774" s="119"/>
      <c r="AG774" s="120"/>
      <c r="AH774" s="118"/>
      <c r="AI774" s="119"/>
      <c r="AJ774" s="121"/>
    </row>
    <row r="775" spans="2:36" s="9" customFormat="1">
      <c r="K775" s="158"/>
      <c r="M775" s="127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2:36" s="9" customFormat="1">
      <c r="K776" s="161"/>
      <c r="L776" s="159" t="s">
        <v>730</v>
      </c>
      <c r="M776" s="160"/>
      <c r="N776" s="150">
        <f>SUM(N766:N775)</f>
        <v>247823.08</v>
      </c>
      <c r="O776" s="150">
        <f t="shared" ref="O776:AJ776" si="381">SUM(O766:O775)</f>
        <v>247823.08</v>
      </c>
      <c r="P776" s="150">
        <f t="shared" si="381"/>
        <v>2065.1923333333334</v>
      </c>
      <c r="Q776" s="150">
        <f t="shared" si="381"/>
        <v>24782.307999999997</v>
      </c>
      <c r="R776" s="150">
        <v>0</v>
      </c>
      <c r="S776" s="150">
        <f t="shared" si="381"/>
        <v>0</v>
      </c>
      <c r="T776" s="150">
        <f t="shared" si="381"/>
        <v>247823.08</v>
      </c>
      <c r="U776" s="150">
        <f t="shared" si="381"/>
        <v>247823.08</v>
      </c>
      <c r="V776" s="150">
        <v>0</v>
      </c>
      <c r="W776" s="150">
        <f t="shared" si="381"/>
        <v>0</v>
      </c>
      <c r="X776" s="150">
        <f t="shared" si="381"/>
        <v>0</v>
      </c>
      <c r="Y776" s="150">
        <f t="shared" si="381"/>
        <v>0</v>
      </c>
      <c r="Z776" s="150">
        <f t="shared" si="381"/>
        <v>0</v>
      </c>
      <c r="AA776" s="150">
        <f t="shared" si="381"/>
        <v>0</v>
      </c>
      <c r="AB776" s="150">
        <f t="shared" si="381"/>
        <v>0</v>
      </c>
      <c r="AC776" s="150">
        <f t="shared" si="381"/>
        <v>0</v>
      </c>
      <c r="AD776" s="150">
        <f t="shared" si="381"/>
        <v>0</v>
      </c>
      <c r="AE776" s="150">
        <f t="shared" si="381"/>
        <v>0</v>
      </c>
      <c r="AF776" s="150">
        <f t="shared" si="381"/>
        <v>0</v>
      </c>
      <c r="AG776" s="150">
        <f t="shared" si="381"/>
        <v>0</v>
      </c>
      <c r="AH776" s="150">
        <f t="shared" si="381"/>
        <v>0</v>
      </c>
      <c r="AI776" s="150">
        <f t="shared" si="381"/>
        <v>0</v>
      </c>
      <c r="AJ776" s="150">
        <f t="shared" si="381"/>
        <v>0</v>
      </c>
    </row>
    <row r="777" spans="2:36" s="9" customFormat="1">
      <c r="K777" s="158"/>
      <c r="M777" s="127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2:36" s="9" customFormat="1">
      <c r="K778" s="158"/>
      <c r="M778" s="127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2:36" s="9" customFormat="1">
      <c r="K779" s="158"/>
      <c r="L779" s="149" t="s">
        <v>731</v>
      </c>
      <c r="M779" s="162"/>
      <c r="N779" s="150">
        <f>N724+N635+N557+N417+N194+N763+N776+N563+N248</f>
        <v>18066433.808666665</v>
      </c>
      <c r="O779" s="150">
        <f>O724+O635+O557+O417+O194+O763+O776+O563+O248</f>
        <v>18066433.808666665</v>
      </c>
      <c r="P779" s="150">
        <f>P724+P635+P557+P417+P194+P763+P776+P563+P248</f>
        <v>188511.0328164536</v>
      </c>
      <c r="Q779" s="150">
        <f>Q724+Q635+Q557+Q417+Q194+Q763+Q776+Q563+Q248</f>
        <v>2262132.3937974432</v>
      </c>
      <c r="R779" s="150">
        <v>1003851.7603926809</v>
      </c>
      <c r="S779" s="150">
        <f>S724+S635+S557+S417+S194+S763+S776+S563+S248</f>
        <v>863125.74103553814</v>
      </c>
      <c r="T779" s="150">
        <f>T724+T635+T557+T417+T194+T763+T776+T563+T248</f>
        <v>13807849.123062709</v>
      </c>
      <c r="U779" s="150">
        <f>U724+U635+U557+U417+U194+U763+U776+U563+U248</f>
        <v>14670974.864098247</v>
      </c>
      <c r="V779" s="150">
        <v>4788442.2284644628</v>
      </c>
      <c r="W779" s="150">
        <f t="shared" ref="W779:AJ779" si="382">W724+W635+W557+W417+W194+W763+W776+W563+W248</f>
        <v>3395458.944568417</v>
      </c>
      <c r="X779" s="150">
        <f t="shared" si="382"/>
        <v>826507.45532125246</v>
      </c>
      <c r="Y779" s="150">
        <f t="shared" si="382"/>
        <v>3190852.63742556</v>
      </c>
      <c r="Z779" s="150">
        <f t="shared" si="382"/>
        <v>-377704.52792857133</v>
      </c>
      <c r="AA779" s="150">
        <f t="shared" si="382"/>
        <v>-3139355.4477055683</v>
      </c>
      <c r="AB779" s="150">
        <f t="shared" si="382"/>
        <v>263.48532047164412</v>
      </c>
      <c r="AC779" s="150">
        <f t="shared" si="382"/>
        <v>445080.75851576455</v>
      </c>
      <c r="AD779" s="150">
        <f t="shared" si="382"/>
        <v>1475803.6929101823</v>
      </c>
      <c r="AE779" s="150">
        <f t="shared" si="382"/>
        <v>299147.71698078484</v>
      </c>
      <c r="AF779" s="150">
        <f t="shared" si="382"/>
        <v>65001.187416476911</v>
      </c>
      <c r="AG779" s="150">
        <f t="shared" si="382"/>
        <v>80931.854118502757</v>
      </c>
      <c r="AH779" s="150">
        <f t="shared" si="382"/>
        <v>1134998.5899067842</v>
      </c>
      <c r="AI779" s="150">
        <f t="shared" si="382"/>
        <v>145707.76256383755</v>
      </c>
      <c r="AJ779" s="150">
        <f t="shared" si="382"/>
        <v>195097.34043956044</v>
      </c>
    </row>
    <row r="780" spans="2:36" s="9" customFormat="1">
      <c r="K780" s="158"/>
      <c r="M780" s="127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Y780" s="163" t="s">
        <v>1253</v>
      </c>
      <c r="Z780" s="150">
        <v>-50448.001380952373</v>
      </c>
      <c r="AA780" s="150">
        <v>-49871.882333333298</v>
      </c>
    </row>
    <row r="781" spans="2:36" s="9" customFormat="1">
      <c r="K781" s="158"/>
      <c r="M781" s="127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2:36" s="9" customFormat="1">
      <c r="K782" s="158"/>
      <c r="M782" s="127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2:36" s="9" customFormat="1">
      <c r="K783" s="158"/>
      <c r="M783" s="127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2:36" s="9" customFormat="1">
      <c r="K784" s="158"/>
      <c r="M784" s="127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s="9" customFormat="1">
      <c r="K785" s="158"/>
      <c r="M785" s="127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s="9" customFormat="1">
      <c r="A786" s="164" t="s">
        <v>732</v>
      </c>
      <c r="K786" s="158"/>
      <c r="M786" s="127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s="9" customFormat="1">
      <c r="B787" s="9">
        <v>12</v>
      </c>
      <c r="C787" s="9" t="s">
        <v>733</v>
      </c>
      <c r="G787" s="9">
        <v>1998</v>
      </c>
      <c r="H787" s="9">
        <v>10</v>
      </c>
      <c r="I787" s="9">
        <v>0</v>
      </c>
      <c r="J787" s="9" t="s">
        <v>78</v>
      </c>
      <c r="K787" s="158" t="s">
        <v>449</v>
      </c>
      <c r="L787" s="9">
        <f>G787+K787</f>
        <v>2008</v>
      </c>
      <c r="M787" s="127">
        <v>2011</v>
      </c>
      <c r="N787" s="13">
        <v>41105.1</v>
      </c>
      <c r="O787" s="13">
        <f>N787-N787*I787</f>
        <v>41105.1</v>
      </c>
      <c r="P787" s="13">
        <f>O787/K787/12</f>
        <v>342.54250000000002</v>
      </c>
      <c r="Q787" s="13">
        <f>P787*12</f>
        <v>4110.51</v>
      </c>
      <c r="R787" s="13"/>
      <c r="S787" s="13">
        <f>+IF(M787&lt;=$O$5,0,IF(L787&gt;$O$4,Q787,(P787*H787)))</f>
        <v>0</v>
      </c>
      <c r="T787" s="13">
        <f>+IF(S787=0,N787,IF($O$3-G787&lt;1,0,(($O$3-G787)*Q787)))</f>
        <v>41105.1</v>
      </c>
      <c r="U787" s="13">
        <f>+IF(S787=0,T787,T787+S787)</f>
        <v>41105.1</v>
      </c>
      <c r="V787" s="13"/>
      <c r="W787" s="13">
        <f>+N787-U787</f>
        <v>0</v>
      </c>
    </row>
    <row r="788" spans="1:23" s="9" customFormat="1">
      <c r="K788" s="158"/>
      <c r="M788" s="127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s="9" customFormat="1">
      <c r="A789" s="164" t="s">
        <v>734</v>
      </c>
      <c r="K789" s="158"/>
      <c r="M789" s="127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s="9" customFormat="1">
      <c r="B790" s="9">
        <v>5</v>
      </c>
      <c r="C790" s="9" t="s">
        <v>540</v>
      </c>
      <c r="E790" s="9">
        <v>75721</v>
      </c>
      <c r="G790" s="9">
        <v>2010</v>
      </c>
      <c r="H790" s="9">
        <v>6</v>
      </c>
      <c r="I790" s="9">
        <v>0</v>
      </c>
      <c r="J790" s="9" t="s">
        <v>78</v>
      </c>
      <c r="K790" s="158" t="s">
        <v>449</v>
      </c>
      <c r="L790" s="9">
        <f>G790+K790</f>
        <v>2020</v>
      </c>
      <c r="M790" s="127">
        <f>+L790+(H790/12)</f>
        <v>2020.5</v>
      </c>
      <c r="N790" s="13">
        <f>(8224.76/30)*5</f>
        <v>1370.7933333333333</v>
      </c>
      <c r="O790" s="13">
        <f>N790-N790*I790</f>
        <v>1370.7933333333333</v>
      </c>
      <c r="P790" s="13">
        <f>O790/K790/12</f>
        <v>11.423277777777777</v>
      </c>
      <c r="Q790" s="13">
        <f>P790*12</f>
        <v>137.07933333333332</v>
      </c>
      <c r="R790" s="13"/>
      <c r="S790" s="13">
        <f>+IF(M790&lt;=$O$5,0,IF(L790&gt;$O$4,Q790,(P790*H790)))</f>
        <v>0</v>
      </c>
      <c r="T790" s="13">
        <f>+IF(S790=0,N790,IF($O$3-G790&lt;1,0,(($O$3-G790)*Q790)))</f>
        <v>1370.7933333333333</v>
      </c>
      <c r="U790" s="13">
        <f>+IF(S790=0,T790,T790+S790)</f>
        <v>1370.7933333333333</v>
      </c>
      <c r="V790" s="13"/>
      <c r="W790" s="13">
        <f>+N790-U790</f>
        <v>0</v>
      </c>
    </row>
    <row r="791" spans="1:23" s="9" customFormat="1">
      <c r="B791" s="9">
        <v>4</v>
      </c>
      <c r="C791" s="9" t="s">
        <v>448</v>
      </c>
      <c r="E791" s="9">
        <v>77554</v>
      </c>
      <c r="G791" s="9">
        <v>2010</v>
      </c>
      <c r="H791" s="9">
        <v>9</v>
      </c>
      <c r="I791" s="9">
        <v>0</v>
      </c>
      <c r="J791" s="9" t="s">
        <v>78</v>
      </c>
      <c r="K791" s="158" t="s">
        <v>449</v>
      </c>
      <c r="L791" s="9">
        <f>G791+K791</f>
        <v>2020</v>
      </c>
      <c r="M791" s="127">
        <f>+L791+(H791/12)</f>
        <v>2020.75</v>
      </c>
      <c r="N791" s="13">
        <f>(9050.04/24)*4</f>
        <v>1508.3400000000001</v>
      </c>
      <c r="O791" s="13">
        <f>N791-N791*I791</f>
        <v>1508.3400000000001</v>
      </c>
      <c r="P791" s="13">
        <f>O791/K791/12</f>
        <v>12.5695</v>
      </c>
      <c r="Q791" s="13">
        <f>P791*12</f>
        <v>150.834</v>
      </c>
      <c r="R791" s="13"/>
      <c r="S791" s="13">
        <f>+IF(M791&lt;=$O$5,0,IF(L791&gt;$O$4,Q791,(P791*H791)))</f>
        <v>0</v>
      </c>
      <c r="T791" s="13">
        <f>+IF(S791=0,N791,IF($O$3-G791&lt;1,0,(($O$3-G791)*Q791)))</f>
        <v>1508.3400000000001</v>
      </c>
      <c r="U791" s="13">
        <f>+IF(S791=0,T791,T791+S791)</f>
        <v>1508.3400000000001</v>
      </c>
      <c r="V791" s="13"/>
      <c r="W791" s="13">
        <f>+N791-U791</f>
        <v>0</v>
      </c>
    </row>
    <row r="792" spans="1:23" s="9" customFormat="1">
      <c r="K792" s="158"/>
      <c r="M792" s="127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s="9" customFormat="1">
      <c r="K793" s="158"/>
      <c r="M793" s="127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s="9" customFormat="1">
      <c r="K794" s="158"/>
      <c r="M794" s="146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s="9" customFormat="1">
      <c r="K795" s="158"/>
      <c r="M795" s="146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s="9" customFormat="1">
      <c r="K796" s="158"/>
      <c r="M796" s="146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s="9" customFormat="1">
      <c r="K797" s="158"/>
      <c r="M797" s="146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s="9" customFormat="1">
      <c r="K798" s="158"/>
      <c r="M798" s="146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s="9" customFormat="1">
      <c r="K799" s="158"/>
      <c r="M799" s="146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s="9" customFormat="1">
      <c r="K800" s="158"/>
      <c r="M800" s="146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1:23" s="9" customFormat="1">
      <c r="K801" s="158"/>
      <c r="M801" s="146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1:23" s="9" customFormat="1">
      <c r="K802" s="158"/>
      <c r="M802" s="146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1:23" s="9" customFormat="1">
      <c r="K803" s="158"/>
      <c r="M803" s="146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1:23" s="9" customFormat="1">
      <c r="K804" s="158"/>
      <c r="M804" s="146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1:23" s="9" customFormat="1">
      <c r="K805" s="158"/>
      <c r="M805" s="146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1:23" s="9" customFormat="1">
      <c r="K806" s="158"/>
      <c r="M806" s="146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1:23" s="9" customFormat="1">
      <c r="K807" s="158"/>
      <c r="M807" s="146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1:23" s="9" customFormat="1">
      <c r="K808" s="158"/>
      <c r="M808" s="146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1:23" s="9" customFormat="1">
      <c r="K809" s="158"/>
      <c r="M809" s="146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1:23" s="9" customFormat="1">
      <c r="K810" s="158"/>
      <c r="M810" s="146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1:23" s="9" customFormat="1">
      <c r="K811" s="158"/>
      <c r="M811" s="146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1:23" s="9" customFormat="1">
      <c r="K812" s="158"/>
      <c r="M812" s="146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1:23" s="9" customFormat="1">
      <c r="K813" s="158"/>
      <c r="M813" s="146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1:23" s="9" customFormat="1">
      <c r="K814" s="158"/>
      <c r="M814" s="146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1:23" s="9" customFormat="1">
      <c r="K815" s="158"/>
      <c r="M815" s="146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1:23" s="9" customFormat="1">
      <c r="K816" s="158"/>
      <c r="M816" s="146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1:23" s="9" customFormat="1">
      <c r="K817" s="158"/>
      <c r="M817" s="146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1:23" s="9" customFormat="1">
      <c r="K818" s="158"/>
      <c r="M818" s="146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1:23" s="9" customFormat="1">
      <c r="K819" s="158"/>
      <c r="M819" s="146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1:23" s="9" customFormat="1">
      <c r="K820" s="158"/>
      <c r="M820" s="146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1:23" s="9" customFormat="1">
      <c r="K821" s="158"/>
      <c r="M821" s="146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1:23" s="9" customFormat="1">
      <c r="K822" s="158"/>
      <c r="M822" s="146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1:23" s="9" customFormat="1">
      <c r="K823" s="158"/>
      <c r="M823" s="146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1:23" s="9" customFormat="1">
      <c r="K824" s="158"/>
      <c r="M824" s="146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1:23" s="9" customFormat="1">
      <c r="K825" s="158"/>
      <c r="M825" s="146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1:23" s="9" customFormat="1">
      <c r="K826" s="158"/>
      <c r="M826" s="146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1:23" s="9" customFormat="1">
      <c r="K827" s="158"/>
      <c r="M827" s="146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1:23" s="9" customFormat="1">
      <c r="K828" s="158"/>
      <c r="M828" s="146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1:23" s="9" customFormat="1">
      <c r="K829" s="158"/>
      <c r="M829" s="146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1:23" s="9" customFormat="1">
      <c r="K830" s="158"/>
      <c r="M830" s="146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1:23" s="9" customFormat="1">
      <c r="K831" s="158"/>
      <c r="M831" s="146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1:23" s="9" customFormat="1">
      <c r="K832" s="158"/>
      <c r="M832" s="146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2:23" s="9" customFormat="1">
      <c r="K833" s="158"/>
      <c r="M833" s="146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2:23" s="9" customFormat="1">
      <c r="K834" s="158"/>
      <c r="M834" s="146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2:23" s="9" customFormat="1">
      <c r="K835" s="158"/>
      <c r="M835" s="146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2:23" s="9" customFormat="1">
      <c r="K836" s="158"/>
      <c r="M836" s="146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2:23" s="9" customFormat="1">
      <c r="B837" s="148" t="s">
        <v>735</v>
      </c>
      <c r="K837" s="158"/>
      <c r="M837" s="146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2:23" s="9" customFormat="1">
      <c r="K838" s="158"/>
      <c r="M838" s="146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2:23" s="9" customFormat="1">
      <c r="B839" s="9" t="s">
        <v>75</v>
      </c>
      <c r="K839" s="158"/>
      <c r="M839" s="146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2:23" s="9" customFormat="1">
      <c r="K840" s="158"/>
      <c r="M840" s="146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2:23" s="9" customFormat="1">
      <c r="B841" s="9">
        <v>7</v>
      </c>
      <c r="C841" s="9" t="s">
        <v>736</v>
      </c>
      <c r="G841" s="9">
        <v>1993</v>
      </c>
      <c r="H841" s="9">
        <v>7</v>
      </c>
      <c r="I841" s="9">
        <v>0</v>
      </c>
      <c r="J841" s="9" t="s">
        <v>78</v>
      </c>
      <c r="K841" s="158" t="s">
        <v>449</v>
      </c>
      <c r="L841" s="9">
        <f t="shared" ref="L841:L899" si="383">G841+K841</f>
        <v>2003</v>
      </c>
      <c r="M841" s="127">
        <f t="shared" ref="M841:M899" si="384">+L841+(H841/12)</f>
        <v>2003.5833333333333</v>
      </c>
      <c r="N841" s="13">
        <v>2111</v>
      </c>
      <c r="O841" s="13">
        <f t="shared" ref="O841:O899" si="385">N841-N841*I841</f>
        <v>2111</v>
      </c>
      <c r="P841" s="13">
        <f t="shared" ref="P841:P899" si="386">O841/K841/12</f>
        <v>17.591666666666665</v>
      </c>
      <c r="Q841" s="13">
        <f t="shared" ref="Q841:Q899" si="387">P841*12</f>
        <v>211.09999999999997</v>
      </c>
      <c r="R841" s="13"/>
      <c r="S841" s="13">
        <f t="shared" ref="S841:S899" si="388">+IF(M841&lt;=$O$5,0,IF(L841&gt;$O$4,Q841,(P841*H841)))</f>
        <v>0</v>
      </c>
      <c r="T841" s="13">
        <f t="shared" ref="T841:T899" si="389">+IF(S841=0,N841,IF($O$3-G841&lt;1,0,(($O$3-G841)*Q841)))</f>
        <v>2111</v>
      </c>
      <c r="U841" s="13">
        <f t="shared" ref="U841:U899" si="390">+IF(S841=0,T841,T841+S841)</f>
        <v>2111</v>
      </c>
      <c r="V841" s="13"/>
      <c r="W841" s="13">
        <f t="shared" ref="W841:W899" si="391">+N841-U841</f>
        <v>0</v>
      </c>
    </row>
    <row r="842" spans="2:23" s="9" customFormat="1">
      <c r="B842" s="9">
        <v>10</v>
      </c>
      <c r="C842" s="9" t="s">
        <v>736</v>
      </c>
      <c r="G842" s="9">
        <v>1994</v>
      </c>
      <c r="H842" s="9">
        <v>4</v>
      </c>
      <c r="I842" s="9">
        <v>0</v>
      </c>
      <c r="J842" s="9" t="s">
        <v>78</v>
      </c>
      <c r="K842" s="158" t="s">
        <v>449</v>
      </c>
      <c r="L842" s="9">
        <f t="shared" si="383"/>
        <v>2004</v>
      </c>
      <c r="M842" s="127">
        <f t="shared" si="384"/>
        <v>2004.3333333333333</v>
      </c>
      <c r="N842" s="13">
        <v>2476</v>
      </c>
      <c r="O842" s="13">
        <f t="shared" si="385"/>
        <v>2476</v>
      </c>
      <c r="P842" s="13">
        <f t="shared" si="386"/>
        <v>20.633333333333333</v>
      </c>
      <c r="Q842" s="13">
        <f t="shared" si="387"/>
        <v>247.6</v>
      </c>
      <c r="R842" s="13"/>
      <c r="S842" s="13">
        <f t="shared" si="388"/>
        <v>0</v>
      </c>
      <c r="T842" s="13">
        <f t="shared" si="389"/>
        <v>2476</v>
      </c>
      <c r="U842" s="13">
        <f t="shared" si="390"/>
        <v>2476</v>
      </c>
      <c r="V842" s="13"/>
      <c r="W842" s="13">
        <f t="shared" si="391"/>
        <v>0</v>
      </c>
    </row>
    <row r="843" spans="2:23" s="9" customFormat="1">
      <c r="B843" s="9">
        <v>23</v>
      </c>
      <c r="C843" s="9" t="s">
        <v>736</v>
      </c>
      <c r="G843" s="9">
        <v>1995</v>
      </c>
      <c r="H843" s="9">
        <v>3</v>
      </c>
      <c r="I843" s="9">
        <v>0</v>
      </c>
      <c r="J843" s="9" t="s">
        <v>78</v>
      </c>
      <c r="K843" s="158" t="s">
        <v>449</v>
      </c>
      <c r="L843" s="9">
        <f t="shared" si="383"/>
        <v>2005</v>
      </c>
      <c r="M843" s="127">
        <f t="shared" si="384"/>
        <v>2005.25</v>
      </c>
      <c r="N843" s="13">
        <v>7590</v>
      </c>
      <c r="O843" s="13">
        <f t="shared" si="385"/>
        <v>7590</v>
      </c>
      <c r="P843" s="13">
        <f t="shared" si="386"/>
        <v>63.25</v>
      </c>
      <c r="Q843" s="13">
        <f t="shared" si="387"/>
        <v>759</v>
      </c>
      <c r="R843" s="13"/>
      <c r="S843" s="13">
        <f t="shared" si="388"/>
        <v>0</v>
      </c>
      <c r="T843" s="13">
        <f t="shared" si="389"/>
        <v>7590</v>
      </c>
      <c r="U843" s="13">
        <f t="shared" si="390"/>
        <v>7590</v>
      </c>
      <c r="V843" s="13"/>
      <c r="W843" s="13">
        <f t="shared" si="391"/>
        <v>0</v>
      </c>
    </row>
    <row r="844" spans="2:23" s="9" customFormat="1">
      <c r="B844" s="9">
        <v>9</v>
      </c>
      <c r="C844" s="9" t="s">
        <v>737</v>
      </c>
      <c r="G844" s="9">
        <v>1995</v>
      </c>
      <c r="H844" s="9">
        <v>6</v>
      </c>
      <c r="I844" s="9">
        <v>0</v>
      </c>
      <c r="J844" s="9" t="s">
        <v>78</v>
      </c>
      <c r="K844" s="158" t="s">
        <v>449</v>
      </c>
      <c r="L844" s="9">
        <f t="shared" si="383"/>
        <v>2005</v>
      </c>
      <c r="M844" s="127">
        <f t="shared" si="384"/>
        <v>2005.5</v>
      </c>
      <c r="N844" s="13">
        <v>2469.02</v>
      </c>
      <c r="O844" s="13">
        <f t="shared" si="385"/>
        <v>2469.02</v>
      </c>
      <c r="P844" s="13">
        <f t="shared" si="386"/>
        <v>20.575166666666664</v>
      </c>
      <c r="Q844" s="13">
        <f t="shared" si="387"/>
        <v>246.90199999999999</v>
      </c>
      <c r="R844" s="13"/>
      <c r="S844" s="13">
        <f t="shared" si="388"/>
        <v>0</v>
      </c>
      <c r="T844" s="13">
        <f t="shared" si="389"/>
        <v>2469.02</v>
      </c>
      <c r="U844" s="13">
        <f t="shared" si="390"/>
        <v>2469.02</v>
      </c>
      <c r="V844" s="13"/>
      <c r="W844" s="13">
        <f t="shared" si="391"/>
        <v>0</v>
      </c>
    </row>
    <row r="845" spans="2:23" s="9" customFormat="1">
      <c r="B845" s="9">
        <v>50</v>
      </c>
      <c r="C845" s="9" t="s">
        <v>738</v>
      </c>
      <c r="G845" s="9">
        <v>2005</v>
      </c>
      <c r="H845" s="9">
        <v>7</v>
      </c>
      <c r="I845" s="9">
        <v>0</v>
      </c>
      <c r="J845" s="9" t="s">
        <v>78</v>
      </c>
      <c r="K845" s="158" t="s">
        <v>449</v>
      </c>
      <c r="L845" s="9">
        <f t="shared" si="383"/>
        <v>2015</v>
      </c>
      <c r="M845" s="127">
        <f t="shared" si="384"/>
        <v>2015.5833333333333</v>
      </c>
      <c r="N845" s="13">
        <v>17125.12</v>
      </c>
      <c r="O845" s="13">
        <f t="shared" si="385"/>
        <v>17125.12</v>
      </c>
      <c r="P845" s="13">
        <f t="shared" si="386"/>
        <v>142.70933333333332</v>
      </c>
      <c r="Q845" s="13">
        <f t="shared" si="387"/>
        <v>1712.5119999999997</v>
      </c>
      <c r="R845" s="13"/>
      <c r="S845" s="13">
        <f t="shared" si="388"/>
        <v>0</v>
      </c>
      <c r="T845" s="13">
        <f t="shared" si="389"/>
        <v>17125.12</v>
      </c>
      <c r="U845" s="13">
        <f t="shared" si="390"/>
        <v>17125.12</v>
      </c>
      <c r="V845" s="13"/>
      <c r="W845" s="13">
        <f t="shared" si="391"/>
        <v>0</v>
      </c>
    </row>
    <row r="846" spans="2:23" s="9" customFormat="1">
      <c r="B846" s="9">
        <v>52</v>
      </c>
      <c r="C846" s="9" t="s">
        <v>739</v>
      </c>
      <c r="G846" s="9">
        <v>1996</v>
      </c>
      <c r="H846" s="9">
        <v>6</v>
      </c>
      <c r="I846" s="9">
        <v>0</v>
      </c>
      <c r="J846" s="9" t="s">
        <v>78</v>
      </c>
      <c r="K846" s="158" t="s">
        <v>449</v>
      </c>
      <c r="L846" s="9">
        <f t="shared" si="383"/>
        <v>2006</v>
      </c>
      <c r="M846" s="127">
        <f t="shared" si="384"/>
        <v>2006.5</v>
      </c>
      <c r="N846" s="13">
        <v>17723</v>
      </c>
      <c r="O846" s="13">
        <f t="shared" si="385"/>
        <v>17723</v>
      </c>
      <c r="P846" s="13">
        <f t="shared" si="386"/>
        <v>147.69166666666666</v>
      </c>
      <c r="Q846" s="13">
        <f t="shared" si="387"/>
        <v>1772.3</v>
      </c>
      <c r="R846" s="13"/>
      <c r="S846" s="13">
        <f t="shared" si="388"/>
        <v>0</v>
      </c>
      <c r="T846" s="13">
        <f t="shared" si="389"/>
        <v>17723</v>
      </c>
      <c r="U846" s="13">
        <f t="shared" si="390"/>
        <v>17723</v>
      </c>
      <c r="V846" s="13"/>
      <c r="W846" s="13">
        <f t="shared" si="391"/>
        <v>0</v>
      </c>
    </row>
    <row r="847" spans="2:23" s="9" customFormat="1">
      <c r="B847" s="9">
        <v>12</v>
      </c>
      <c r="C847" s="9" t="s">
        <v>740</v>
      </c>
      <c r="G847" s="9">
        <v>1998</v>
      </c>
      <c r="H847" s="9">
        <v>10</v>
      </c>
      <c r="I847" s="9">
        <v>0</v>
      </c>
      <c r="J847" s="9" t="s">
        <v>78</v>
      </c>
      <c r="K847" s="158" t="s">
        <v>449</v>
      </c>
      <c r="L847" s="9">
        <f t="shared" si="383"/>
        <v>2008</v>
      </c>
      <c r="M847" s="127">
        <f t="shared" si="384"/>
        <v>2008.8333333333333</v>
      </c>
      <c r="N847" s="13">
        <v>3746.7</v>
      </c>
      <c r="O847" s="13">
        <f t="shared" si="385"/>
        <v>3746.7</v>
      </c>
      <c r="P847" s="13">
        <f t="shared" si="386"/>
        <v>31.222499999999997</v>
      </c>
      <c r="Q847" s="13">
        <f t="shared" si="387"/>
        <v>374.66999999999996</v>
      </c>
      <c r="R847" s="13"/>
      <c r="S847" s="13">
        <f t="shared" si="388"/>
        <v>0</v>
      </c>
      <c r="T847" s="13">
        <f t="shared" si="389"/>
        <v>3746.7</v>
      </c>
      <c r="U847" s="13">
        <f t="shared" si="390"/>
        <v>3746.7</v>
      </c>
      <c r="V847" s="13"/>
      <c r="W847" s="13">
        <f t="shared" si="391"/>
        <v>0</v>
      </c>
    </row>
    <row r="848" spans="2:23" s="9" customFormat="1">
      <c r="B848" s="9">
        <v>1</v>
      </c>
      <c r="C848" s="9" t="s">
        <v>741</v>
      </c>
      <c r="G848" s="9">
        <v>1993</v>
      </c>
      <c r="H848" s="9">
        <v>7</v>
      </c>
      <c r="I848" s="9">
        <v>0</v>
      </c>
      <c r="J848" s="9" t="s">
        <v>78</v>
      </c>
      <c r="K848" s="158" t="s">
        <v>449</v>
      </c>
      <c r="L848" s="9">
        <f t="shared" si="383"/>
        <v>2003</v>
      </c>
      <c r="M848" s="127">
        <f t="shared" si="384"/>
        <v>2003.5833333333333</v>
      </c>
      <c r="N848" s="13">
        <v>243</v>
      </c>
      <c r="O848" s="13">
        <f t="shared" si="385"/>
        <v>243</v>
      </c>
      <c r="P848" s="13">
        <f t="shared" si="386"/>
        <v>2.0249999999999999</v>
      </c>
      <c r="Q848" s="13">
        <f t="shared" si="387"/>
        <v>24.299999999999997</v>
      </c>
      <c r="R848" s="13"/>
      <c r="S848" s="13">
        <f t="shared" si="388"/>
        <v>0</v>
      </c>
      <c r="T848" s="13">
        <f t="shared" si="389"/>
        <v>243</v>
      </c>
      <c r="U848" s="13">
        <f t="shared" si="390"/>
        <v>243</v>
      </c>
      <c r="V848" s="13"/>
      <c r="W848" s="13">
        <f t="shared" si="391"/>
        <v>0</v>
      </c>
    </row>
    <row r="849" spans="2:23" s="9" customFormat="1">
      <c r="B849" s="9">
        <v>3</v>
      </c>
      <c r="C849" s="9" t="s">
        <v>741</v>
      </c>
      <c r="G849" s="9">
        <v>1998</v>
      </c>
      <c r="H849" s="9">
        <v>9</v>
      </c>
      <c r="I849" s="9">
        <v>0</v>
      </c>
      <c r="J849" s="9" t="s">
        <v>78</v>
      </c>
      <c r="K849" s="158" t="s">
        <v>449</v>
      </c>
      <c r="L849" s="9">
        <f t="shared" si="383"/>
        <v>2008</v>
      </c>
      <c r="M849" s="127">
        <f t="shared" si="384"/>
        <v>2008.75</v>
      </c>
      <c r="N849" s="13">
        <v>1031.7</v>
      </c>
      <c r="O849" s="13">
        <f t="shared" si="385"/>
        <v>1031.7</v>
      </c>
      <c r="P849" s="13">
        <f t="shared" si="386"/>
        <v>8.5975000000000001</v>
      </c>
      <c r="Q849" s="13">
        <f t="shared" si="387"/>
        <v>103.17</v>
      </c>
      <c r="R849" s="13"/>
      <c r="S849" s="13">
        <f t="shared" si="388"/>
        <v>0</v>
      </c>
      <c r="T849" s="13">
        <f t="shared" si="389"/>
        <v>1031.7</v>
      </c>
      <c r="U849" s="13">
        <f t="shared" si="390"/>
        <v>1031.7</v>
      </c>
      <c r="V849" s="13"/>
      <c r="W849" s="13">
        <f t="shared" si="391"/>
        <v>0</v>
      </c>
    </row>
    <row r="850" spans="2:23" s="9" customFormat="1">
      <c r="B850" s="9">
        <v>8</v>
      </c>
      <c r="C850" s="9" t="s">
        <v>741</v>
      </c>
      <c r="G850" s="9">
        <v>1998</v>
      </c>
      <c r="H850" s="9">
        <v>3</v>
      </c>
      <c r="I850" s="9">
        <v>0</v>
      </c>
      <c r="J850" s="9" t="s">
        <v>78</v>
      </c>
      <c r="K850" s="158" t="s">
        <v>449</v>
      </c>
      <c r="L850" s="9">
        <f t="shared" si="383"/>
        <v>2008</v>
      </c>
      <c r="M850" s="127">
        <f t="shared" si="384"/>
        <v>2008.25</v>
      </c>
      <c r="N850" s="13">
        <v>2082.41</v>
      </c>
      <c r="O850" s="13">
        <f t="shared" si="385"/>
        <v>2082.41</v>
      </c>
      <c r="P850" s="13">
        <f t="shared" si="386"/>
        <v>17.353416666666664</v>
      </c>
      <c r="Q850" s="13">
        <f t="shared" si="387"/>
        <v>208.24099999999999</v>
      </c>
      <c r="R850" s="13"/>
      <c r="S850" s="13">
        <f t="shared" si="388"/>
        <v>0</v>
      </c>
      <c r="T850" s="13">
        <f t="shared" si="389"/>
        <v>2082.41</v>
      </c>
      <c r="U850" s="13">
        <f t="shared" si="390"/>
        <v>2082.41</v>
      </c>
      <c r="V850" s="13"/>
      <c r="W850" s="13">
        <f t="shared" si="391"/>
        <v>0</v>
      </c>
    </row>
    <row r="851" spans="2:23" s="9" customFormat="1">
      <c r="B851" s="9">
        <v>8</v>
      </c>
      <c r="C851" s="9" t="s">
        <v>741</v>
      </c>
      <c r="G851" s="9">
        <v>1994</v>
      </c>
      <c r="H851" s="9">
        <v>2</v>
      </c>
      <c r="I851" s="9">
        <v>0</v>
      </c>
      <c r="J851" s="9" t="s">
        <v>78</v>
      </c>
      <c r="K851" s="158" t="s">
        <v>449</v>
      </c>
      <c r="L851" s="9">
        <f t="shared" si="383"/>
        <v>2004</v>
      </c>
      <c r="M851" s="127">
        <f t="shared" si="384"/>
        <v>2004.1666666666667</v>
      </c>
      <c r="N851" s="13">
        <v>2107</v>
      </c>
      <c r="O851" s="13">
        <f t="shared" si="385"/>
        <v>2107</v>
      </c>
      <c r="P851" s="13">
        <f t="shared" si="386"/>
        <v>17.558333333333334</v>
      </c>
      <c r="Q851" s="13">
        <f t="shared" si="387"/>
        <v>210.7</v>
      </c>
      <c r="R851" s="13"/>
      <c r="S851" s="13">
        <f t="shared" si="388"/>
        <v>0</v>
      </c>
      <c r="T851" s="13">
        <f t="shared" si="389"/>
        <v>2107</v>
      </c>
      <c r="U851" s="13">
        <f t="shared" si="390"/>
        <v>2107</v>
      </c>
      <c r="V851" s="13"/>
      <c r="W851" s="13">
        <f t="shared" si="391"/>
        <v>0</v>
      </c>
    </row>
    <row r="852" spans="2:23" s="9" customFormat="1">
      <c r="B852" s="9">
        <v>15</v>
      </c>
      <c r="C852" s="9" t="s">
        <v>741</v>
      </c>
      <c r="G852" s="9">
        <v>1993</v>
      </c>
      <c r="H852" s="9">
        <v>7</v>
      </c>
      <c r="I852" s="9">
        <v>0</v>
      </c>
      <c r="J852" s="9" t="s">
        <v>78</v>
      </c>
      <c r="K852" s="158" t="s">
        <v>449</v>
      </c>
      <c r="L852" s="9">
        <f t="shared" si="383"/>
        <v>2003</v>
      </c>
      <c r="M852" s="127">
        <f t="shared" si="384"/>
        <v>2003.5833333333333</v>
      </c>
      <c r="N852" s="13">
        <v>4360</v>
      </c>
      <c r="O852" s="13">
        <f t="shared" si="385"/>
        <v>4360</v>
      </c>
      <c r="P852" s="13">
        <f t="shared" si="386"/>
        <v>36.333333333333336</v>
      </c>
      <c r="Q852" s="13">
        <f t="shared" si="387"/>
        <v>436</v>
      </c>
      <c r="R852" s="13"/>
      <c r="S852" s="13">
        <f t="shared" si="388"/>
        <v>0</v>
      </c>
      <c r="T852" s="13">
        <f t="shared" si="389"/>
        <v>4360</v>
      </c>
      <c r="U852" s="13">
        <f t="shared" si="390"/>
        <v>4360</v>
      </c>
      <c r="V852" s="13"/>
      <c r="W852" s="13">
        <f t="shared" si="391"/>
        <v>0</v>
      </c>
    </row>
    <row r="853" spans="2:23" s="9" customFormat="1">
      <c r="B853" s="9">
        <v>14</v>
      </c>
      <c r="C853" s="9" t="s">
        <v>741</v>
      </c>
      <c r="G853" s="9">
        <v>1998</v>
      </c>
      <c r="H853" s="9">
        <v>8</v>
      </c>
      <c r="I853" s="9">
        <v>0</v>
      </c>
      <c r="J853" s="9" t="s">
        <v>78</v>
      </c>
      <c r="K853" s="158" t="s">
        <v>449</v>
      </c>
      <c r="L853" s="9">
        <f t="shared" si="383"/>
        <v>2008</v>
      </c>
      <c r="M853" s="127">
        <f t="shared" si="384"/>
        <v>2008.6666666666667</v>
      </c>
      <c r="N853" s="13">
        <v>4682.83</v>
      </c>
      <c r="O853" s="13">
        <f t="shared" si="385"/>
        <v>4682.83</v>
      </c>
      <c r="P853" s="13">
        <f t="shared" si="386"/>
        <v>39.023583333333335</v>
      </c>
      <c r="Q853" s="13">
        <f t="shared" si="387"/>
        <v>468.28300000000002</v>
      </c>
      <c r="R853" s="13"/>
      <c r="S853" s="13">
        <f t="shared" si="388"/>
        <v>0</v>
      </c>
      <c r="T853" s="13">
        <f t="shared" si="389"/>
        <v>4682.83</v>
      </c>
      <c r="U853" s="13">
        <f t="shared" si="390"/>
        <v>4682.83</v>
      </c>
      <c r="V853" s="13"/>
      <c r="W853" s="13">
        <f t="shared" si="391"/>
        <v>0</v>
      </c>
    </row>
    <row r="854" spans="2:23" s="9" customFormat="1">
      <c r="B854" s="9">
        <v>20</v>
      </c>
      <c r="C854" s="9" t="s">
        <v>741</v>
      </c>
      <c r="G854" s="9">
        <v>1994</v>
      </c>
      <c r="H854" s="9">
        <v>1</v>
      </c>
      <c r="I854" s="9">
        <v>0</v>
      </c>
      <c r="J854" s="9" t="s">
        <v>78</v>
      </c>
      <c r="K854" s="158" t="s">
        <v>449</v>
      </c>
      <c r="L854" s="9">
        <f t="shared" si="383"/>
        <v>2004</v>
      </c>
      <c r="M854" s="127">
        <f t="shared" si="384"/>
        <v>2004.0833333333333</v>
      </c>
      <c r="N854" s="13">
        <v>5735</v>
      </c>
      <c r="O854" s="13">
        <f t="shared" si="385"/>
        <v>5735</v>
      </c>
      <c r="P854" s="13">
        <f t="shared" si="386"/>
        <v>47.791666666666664</v>
      </c>
      <c r="Q854" s="13">
        <f t="shared" si="387"/>
        <v>573.5</v>
      </c>
      <c r="R854" s="13"/>
      <c r="S854" s="13">
        <f t="shared" si="388"/>
        <v>0</v>
      </c>
      <c r="T854" s="13">
        <f t="shared" si="389"/>
        <v>5735</v>
      </c>
      <c r="U854" s="13">
        <f t="shared" si="390"/>
        <v>5735</v>
      </c>
      <c r="V854" s="13"/>
      <c r="W854" s="13">
        <f t="shared" si="391"/>
        <v>0</v>
      </c>
    </row>
    <row r="855" spans="2:23" s="9" customFormat="1">
      <c r="B855" s="9">
        <v>30</v>
      </c>
      <c r="C855" s="9" t="s">
        <v>741</v>
      </c>
      <c r="G855" s="9">
        <v>1998</v>
      </c>
      <c r="H855" s="9">
        <v>8</v>
      </c>
      <c r="I855" s="9">
        <v>0</v>
      </c>
      <c r="J855" s="9" t="s">
        <v>78</v>
      </c>
      <c r="K855" s="158" t="s">
        <v>449</v>
      </c>
      <c r="L855" s="9">
        <f t="shared" si="383"/>
        <v>2008</v>
      </c>
      <c r="M855" s="127">
        <f t="shared" si="384"/>
        <v>2008.6666666666667</v>
      </c>
      <c r="N855" s="13">
        <v>9122.4</v>
      </c>
      <c r="O855" s="13">
        <f t="shared" si="385"/>
        <v>9122.4</v>
      </c>
      <c r="P855" s="13">
        <f t="shared" si="386"/>
        <v>76.02</v>
      </c>
      <c r="Q855" s="13">
        <f t="shared" si="387"/>
        <v>912.24</v>
      </c>
      <c r="R855" s="13"/>
      <c r="S855" s="13">
        <f t="shared" si="388"/>
        <v>0</v>
      </c>
      <c r="T855" s="13">
        <f t="shared" si="389"/>
        <v>9122.4</v>
      </c>
      <c r="U855" s="13">
        <f t="shared" si="390"/>
        <v>9122.4</v>
      </c>
      <c r="V855" s="13"/>
      <c r="W855" s="13">
        <f t="shared" si="391"/>
        <v>0</v>
      </c>
    </row>
    <row r="856" spans="2:23" s="9" customFormat="1">
      <c r="B856" s="9">
        <v>11</v>
      </c>
      <c r="C856" s="9" t="s">
        <v>742</v>
      </c>
      <c r="G856" s="9">
        <v>1998</v>
      </c>
      <c r="H856" s="9">
        <v>1</v>
      </c>
      <c r="I856" s="9">
        <v>0</v>
      </c>
      <c r="J856" s="9" t="s">
        <v>78</v>
      </c>
      <c r="K856" s="158" t="s">
        <v>449</v>
      </c>
      <c r="L856" s="9">
        <f t="shared" si="383"/>
        <v>2008</v>
      </c>
      <c r="M856" s="127">
        <f t="shared" si="384"/>
        <v>2008.0833333333333</v>
      </c>
      <c r="N856" s="13">
        <v>3488.23</v>
      </c>
      <c r="O856" s="13">
        <f t="shared" si="385"/>
        <v>3488.23</v>
      </c>
      <c r="P856" s="13">
        <f t="shared" si="386"/>
        <v>29.068583333333333</v>
      </c>
      <c r="Q856" s="13">
        <f t="shared" si="387"/>
        <v>348.82299999999998</v>
      </c>
      <c r="R856" s="13"/>
      <c r="S856" s="13">
        <f t="shared" si="388"/>
        <v>0</v>
      </c>
      <c r="T856" s="13">
        <f t="shared" si="389"/>
        <v>3488.23</v>
      </c>
      <c r="U856" s="13">
        <f t="shared" si="390"/>
        <v>3488.23</v>
      </c>
      <c r="V856" s="13"/>
      <c r="W856" s="13">
        <f t="shared" si="391"/>
        <v>0</v>
      </c>
    </row>
    <row r="857" spans="2:23" s="9" customFormat="1">
      <c r="B857" s="9">
        <v>10</v>
      </c>
      <c r="C857" s="9" t="s">
        <v>743</v>
      </c>
      <c r="G857" s="9">
        <v>1997</v>
      </c>
      <c r="H857" s="9">
        <v>8</v>
      </c>
      <c r="I857" s="9">
        <v>0</v>
      </c>
      <c r="J857" s="9" t="s">
        <v>78</v>
      </c>
      <c r="K857" s="158" t="s">
        <v>449</v>
      </c>
      <c r="L857" s="9">
        <f t="shared" si="383"/>
        <v>2007</v>
      </c>
      <c r="M857" s="127">
        <f t="shared" si="384"/>
        <v>2007.6666666666667</v>
      </c>
      <c r="N857" s="13">
        <v>3040.8</v>
      </c>
      <c r="O857" s="13">
        <f t="shared" si="385"/>
        <v>3040.8</v>
      </c>
      <c r="P857" s="13">
        <f t="shared" si="386"/>
        <v>25.340000000000003</v>
      </c>
      <c r="Q857" s="13">
        <f t="shared" si="387"/>
        <v>304.08000000000004</v>
      </c>
      <c r="R857" s="13"/>
      <c r="S857" s="13">
        <f t="shared" si="388"/>
        <v>0</v>
      </c>
      <c r="T857" s="13">
        <f t="shared" si="389"/>
        <v>3040.8</v>
      </c>
      <c r="U857" s="13">
        <f t="shared" si="390"/>
        <v>3040.8</v>
      </c>
      <c r="V857" s="13"/>
      <c r="W857" s="13">
        <f t="shared" si="391"/>
        <v>0</v>
      </c>
    </row>
    <row r="858" spans="2:23" s="9" customFormat="1">
      <c r="B858" s="9">
        <v>15</v>
      </c>
      <c r="C858" s="9" t="s">
        <v>744</v>
      </c>
      <c r="G858" s="9">
        <v>1996</v>
      </c>
      <c r="H858" s="9">
        <v>10</v>
      </c>
      <c r="I858" s="9">
        <v>0</v>
      </c>
      <c r="J858" s="9" t="s">
        <v>78</v>
      </c>
      <c r="K858" s="158" t="s">
        <v>449</v>
      </c>
      <c r="L858" s="9">
        <f t="shared" si="383"/>
        <v>2006</v>
      </c>
      <c r="M858" s="127">
        <f t="shared" si="384"/>
        <v>2006.8333333333333</v>
      </c>
      <c r="N858" s="13">
        <v>3976</v>
      </c>
      <c r="O858" s="13">
        <f t="shared" si="385"/>
        <v>3976</v>
      </c>
      <c r="P858" s="13">
        <f t="shared" si="386"/>
        <v>33.133333333333333</v>
      </c>
      <c r="Q858" s="13">
        <f t="shared" si="387"/>
        <v>397.6</v>
      </c>
      <c r="R858" s="13"/>
      <c r="S858" s="13">
        <f t="shared" si="388"/>
        <v>0</v>
      </c>
      <c r="T858" s="13">
        <f t="shared" si="389"/>
        <v>3976</v>
      </c>
      <c r="U858" s="13">
        <f t="shared" si="390"/>
        <v>3976</v>
      </c>
      <c r="V858" s="13"/>
      <c r="W858" s="13">
        <f t="shared" si="391"/>
        <v>0</v>
      </c>
    </row>
    <row r="859" spans="2:23" s="9" customFormat="1">
      <c r="B859" s="9">
        <v>25</v>
      </c>
      <c r="C859" s="9" t="s">
        <v>744</v>
      </c>
      <c r="G859" s="9">
        <v>1996</v>
      </c>
      <c r="H859" s="9">
        <v>10</v>
      </c>
      <c r="I859" s="9">
        <v>0</v>
      </c>
      <c r="J859" s="9" t="s">
        <v>78</v>
      </c>
      <c r="K859" s="158" t="s">
        <v>449</v>
      </c>
      <c r="L859" s="9">
        <f t="shared" si="383"/>
        <v>2006</v>
      </c>
      <c r="M859" s="127">
        <f t="shared" si="384"/>
        <v>2006.8333333333333</v>
      </c>
      <c r="N859" s="13">
        <v>7168</v>
      </c>
      <c r="O859" s="13">
        <f t="shared" si="385"/>
        <v>7168</v>
      </c>
      <c r="P859" s="13">
        <f t="shared" si="386"/>
        <v>59.733333333333327</v>
      </c>
      <c r="Q859" s="13">
        <f t="shared" si="387"/>
        <v>716.8</v>
      </c>
      <c r="R859" s="13"/>
      <c r="S859" s="13">
        <f t="shared" si="388"/>
        <v>0</v>
      </c>
      <c r="T859" s="13">
        <f t="shared" si="389"/>
        <v>7168</v>
      </c>
      <c r="U859" s="13">
        <f t="shared" si="390"/>
        <v>7168</v>
      </c>
      <c r="V859" s="13"/>
      <c r="W859" s="13">
        <f t="shared" si="391"/>
        <v>0</v>
      </c>
    </row>
    <row r="860" spans="2:23" s="9" customFormat="1">
      <c r="B860" s="9">
        <v>10</v>
      </c>
      <c r="C860" s="9" t="s">
        <v>745</v>
      </c>
      <c r="G860" s="9">
        <v>1993</v>
      </c>
      <c r="H860" s="9">
        <v>4</v>
      </c>
      <c r="I860" s="9">
        <v>0</v>
      </c>
      <c r="J860" s="9" t="s">
        <v>78</v>
      </c>
      <c r="K860" s="158" t="s">
        <v>449</v>
      </c>
      <c r="L860" s="9">
        <f t="shared" si="383"/>
        <v>2003</v>
      </c>
      <c r="M860" s="127">
        <f t="shared" si="384"/>
        <v>2003.3333333333333</v>
      </c>
      <c r="N860" s="13">
        <v>3300</v>
      </c>
      <c r="O860" s="13">
        <f t="shared" si="385"/>
        <v>3300</v>
      </c>
      <c r="P860" s="13">
        <f t="shared" si="386"/>
        <v>27.5</v>
      </c>
      <c r="Q860" s="13">
        <f t="shared" si="387"/>
        <v>330</v>
      </c>
      <c r="R860" s="13"/>
      <c r="S860" s="13">
        <f t="shared" si="388"/>
        <v>0</v>
      </c>
      <c r="T860" s="13">
        <f t="shared" si="389"/>
        <v>3300</v>
      </c>
      <c r="U860" s="13">
        <f t="shared" si="390"/>
        <v>3300</v>
      </c>
      <c r="V860" s="13"/>
      <c r="W860" s="13">
        <f t="shared" si="391"/>
        <v>0</v>
      </c>
    </row>
    <row r="861" spans="2:23" s="9" customFormat="1">
      <c r="B861" s="9">
        <v>4</v>
      </c>
      <c r="C861" s="9" t="s">
        <v>746</v>
      </c>
      <c r="G861" s="9">
        <v>1994</v>
      </c>
      <c r="H861" s="9">
        <v>2</v>
      </c>
      <c r="I861" s="9">
        <v>0</v>
      </c>
      <c r="J861" s="9" t="s">
        <v>78</v>
      </c>
      <c r="K861" s="158" t="s">
        <v>449</v>
      </c>
      <c r="L861" s="9">
        <f t="shared" si="383"/>
        <v>2004</v>
      </c>
      <c r="M861" s="127">
        <f t="shared" si="384"/>
        <v>2004.1666666666667</v>
      </c>
      <c r="N861" s="13">
        <v>1301</v>
      </c>
      <c r="O861" s="13">
        <f t="shared" si="385"/>
        <v>1301</v>
      </c>
      <c r="P861" s="13">
        <f t="shared" si="386"/>
        <v>10.841666666666667</v>
      </c>
      <c r="Q861" s="13">
        <f t="shared" si="387"/>
        <v>130.1</v>
      </c>
      <c r="R861" s="13"/>
      <c r="S861" s="13">
        <f t="shared" si="388"/>
        <v>0</v>
      </c>
      <c r="T861" s="13">
        <f t="shared" si="389"/>
        <v>1301</v>
      </c>
      <c r="U861" s="13">
        <f t="shared" si="390"/>
        <v>1301</v>
      </c>
      <c r="V861" s="13"/>
      <c r="W861" s="13">
        <f t="shared" si="391"/>
        <v>0</v>
      </c>
    </row>
    <row r="862" spans="2:23" s="9" customFormat="1">
      <c r="B862" s="9">
        <v>6</v>
      </c>
      <c r="C862" s="9" t="s">
        <v>746</v>
      </c>
      <c r="G862" s="9">
        <v>1994</v>
      </c>
      <c r="H862" s="9">
        <v>7</v>
      </c>
      <c r="I862" s="9">
        <v>0</v>
      </c>
      <c r="J862" s="9" t="s">
        <v>78</v>
      </c>
      <c r="K862" s="158" t="s">
        <v>449</v>
      </c>
      <c r="L862" s="9">
        <f t="shared" si="383"/>
        <v>2004</v>
      </c>
      <c r="M862" s="127">
        <f t="shared" si="384"/>
        <v>2004.5833333333333</v>
      </c>
      <c r="N862" s="13">
        <v>1486</v>
      </c>
      <c r="O862" s="13">
        <f t="shared" si="385"/>
        <v>1486</v>
      </c>
      <c r="P862" s="13">
        <f t="shared" si="386"/>
        <v>12.383333333333333</v>
      </c>
      <c r="Q862" s="13">
        <f t="shared" si="387"/>
        <v>148.6</v>
      </c>
      <c r="R862" s="13"/>
      <c r="S862" s="13">
        <f t="shared" si="388"/>
        <v>0</v>
      </c>
      <c r="T862" s="13">
        <f t="shared" si="389"/>
        <v>1486</v>
      </c>
      <c r="U862" s="13">
        <f t="shared" si="390"/>
        <v>1486</v>
      </c>
      <c r="V862" s="13"/>
      <c r="W862" s="13">
        <f t="shared" si="391"/>
        <v>0</v>
      </c>
    </row>
    <row r="863" spans="2:23" s="9" customFormat="1">
      <c r="B863" s="9">
        <v>8</v>
      </c>
      <c r="C863" s="9" t="s">
        <v>746</v>
      </c>
      <c r="G863" s="9">
        <v>1994</v>
      </c>
      <c r="H863" s="9">
        <v>7</v>
      </c>
      <c r="I863" s="9">
        <v>0</v>
      </c>
      <c r="J863" s="9" t="s">
        <v>78</v>
      </c>
      <c r="K863" s="158" t="s">
        <v>449</v>
      </c>
      <c r="L863" s="9">
        <f t="shared" si="383"/>
        <v>2004</v>
      </c>
      <c r="M863" s="127">
        <f t="shared" si="384"/>
        <v>2004.5833333333333</v>
      </c>
      <c r="N863" s="13">
        <v>1981</v>
      </c>
      <c r="O863" s="13">
        <f t="shared" si="385"/>
        <v>1981</v>
      </c>
      <c r="P863" s="13">
        <f t="shared" si="386"/>
        <v>16.508333333333333</v>
      </c>
      <c r="Q863" s="13">
        <f t="shared" si="387"/>
        <v>198.1</v>
      </c>
      <c r="R863" s="13"/>
      <c r="S863" s="13">
        <f t="shared" si="388"/>
        <v>0</v>
      </c>
      <c r="T863" s="13">
        <f t="shared" si="389"/>
        <v>1981</v>
      </c>
      <c r="U863" s="13">
        <f t="shared" si="390"/>
        <v>1981</v>
      </c>
      <c r="V863" s="13"/>
      <c r="W863" s="13">
        <f t="shared" si="391"/>
        <v>0</v>
      </c>
    </row>
    <row r="864" spans="2:23" s="9" customFormat="1">
      <c r="B864" s="9">
        <v>15</v>
      </c>
      <c r="C864" s="9" t="s">
        <v>746</v>
      </c>
      <c r="G864" s="9">
        <v>1994</v>
      </c>
      <c r="H864" s="9">
        <v>5</v>
      </c>
      <c r="I864" s="9">
        <v>0</v>
      </c>
      <c r="J864" s="9" t="s">
        <v>78</v>
      </c>
      <c r="K864" s="158" t="s">
        <v>449</v>
      </c>
      <c r="L864" s="9">
        <f t="shared" si="383"/>
        <v>2004</v>
      </c>
      <c r="M864" s="127">
        <f t="shared" si="384"/>
        <v>2004.4166666666667</v>
      </c>
      <c r="N864" s="13">
        <v>3714</v>
      </c>
      <c r="O864" s="13">
        <f t="shared" si="385"/>
        <v>3714</v>
      </c>
      <c r="P864" s="13">
        <f t="shared" si="386"/>
        <v>30.95</v>
      </c>
      <c r="Q864" s="13">
        <f t="shared" si="387"/>
        <v>371.4</v>
      </c>
      <c r="R864" s="13"/>
      <c r="S864" s="13">
        <f t="shared" si="388"/>
        <v>0</v>
      </c>
      <c r="T864" s="13">
        <f t="shared" si="389"/>
        <v>3714</v>
      </c>
      <c r="U864" s="13">
        <f t="shared" si="390"/>
        <v>3714</v>
      </c>
      <c r="V864" s="13"/>
      <c r="W864" s="13">
        <f t="shared" si="391"/>
        <v>0</v>
      </c>
    </row>
    <row r="865" spans="2:23" s="9" customFormat="1">
      <c r="B865" s="9">
        <v>15</v>
      </c>
      <c r="C865" s="9" t="s">
        <v>746</v>
      </c>
      <c r="G865" s="9">
        <v>1994</v>
      </c>
      <c r="H865" s="9">
        <v>6</v>
      </c>
      <c r="I865" s="9">
        <v>0</v>
      </c>
      <c r="J865" s="9" t="s">
        <v>78</v>
      </c>
      <c r="K865" s="158" t="s">
        <v>449</v>
      </c>
      <c r="L865" s="9">
        <f t="shared" si="383"/>
        <v>2004</v>
      </c>
      <c r="M865" s="127">
        <f t="shared" si="384"/>
        <v>2004.5</v>
      </c>
      <c r="N865" s="13">
        <v>4301</v>
      </c>
      <c r="O865" s="13">
        <f t="shared" si="385"/>
        <v>4301</v>
      </c>
      <c r="P865" s="13">
        <f t="shared" si="386"/>
        <v>35.841666666666669</v>
      </c>
      <c r="Q865" s="13">
        <f t="shared" si="387"/>
        <v>430.1</v>
      </c>
      <c r="R865" s="13"/>
      <c r="S865" s="13">
        <f t="shared" si="388"/>
        <v>0</v>
      </c>
      <c r="T865" s="13">
        <f t="shared" si="389"/>
        <v>4301</v>
      </c>
      <c r="U865" s="13">
        <f t="shared" si="390"/>
        <v>4301</v>
      </c>
      <c r="V865" s="13"/>
      <c r="W865" s="13">
        <f t="shared" si="391"/>
        <v>0</v>
      </c>
    </row>
    <row r="866" spans="2:23" s="9" customFormat="1">
      <c r="B866" s="9">
        <v>19</v>
      </c>
      <c r="C866" s="9" t="s">
        <v>746</v>
      </c>
      <c r="G866" s="9">
        <v>1994</v>
      </c>
      <c r="H866" s="9">
        <v>5</v>
      </c>
      <c r="I866" s="9">
        <v>0</v>
      </c>
      <c r="J866" s="9" t="s">
        <v>78</v>
      </c>
      <c r="K866" s="158" t="s">
        <v>449</v>
      </c>
      <c r="L866" s="9">
        <f t="shared" si="383"/>
        <v>2004</v>
      </c>
      <c r="M866" s="127">
        <f t="shared" si="384"/>
        <v>2004.4166666666667</v>
      </c>
      <c r="N866" s="13">
        <v>4705</v>
      </c>
      <c r="O866" s="13">
        <f t="shared" si="385"/>
        <v>4705</v>
      </c>
      <c r="P866" s="13">
        <f t="shared" si="386"/>
        <v>39.208333333333336</v>
      </c>
      <c r="Q866" s="13">
        <f t="shared" si="387"/>
        <v>470.5</v>
      </c>
      <c r="R866" s="13"/>
      <c r="S866" s="13">
        <f t="shared" si="388"/>
        <v>0</v>
      </c>
      <c r="T866" s="13">
        <f t="shared" si="389"/>
        <v>4705</v>
      </c>
      <c r="U866" s="13">
        <f t="shared" si="390"/>
        <v>4705</v>
      </c>
      <c r="V866" s="13"/>
      <c r="W866" s="13">
        <f t="shared" si="391"/>
        <v>0</v>
      </c>
    </row>
    <row r="867" spans="2:23" s="9" customFormat="1">
      <c r="B867" s="9">
        <v>15</v>
      </c>
      <c r="C867" s="9" t="s">
        <v>746</v>
      </c>
      <c r="G867" s="9">
        <v>1994</v>
      </c>
      <c r="H867" s="9">
        <v>5</v>
      </c>
      <c r="I867" s="9">
        <v>0</v>
      </c>
      <c r="J867" s="9" t="s">
        <v>78</v>
      </c>
      <c r="K867" s="158" t="s">
        <v>449</v>
      </c>
      <c r="L867" s="9">
        <f t="shared" si="383"/>
        <v>2004</v>
      </c>
      <c r="M867" s="127">
        <f t="shared" si="384"/>
        <v>2004.4166666666667</v>
      </c>
      <c r="N867" s="13">
        <v>5031</v>
      </c>
      <c r="O867" s="13">
        <f t="shared" si="385"/>
        <v>5031</v>
      </c>
      <c r="P867" s="13">
        <f t="shared" si="386"/>
        <v>41.925000000000004</v>
      </c>
      <c r="Q867" s="13">
        <f t="shared" si="387"/>
        <v>503.1</v>
      </c>
      <c r="R867" s="13"/>
      <c r="S867" s="13">
        <f t="shared" si="388"/>
        <v>0</v>
      </c>
      <c r="T867" s="13">
        <f t="shared" si="389"/>
        <v>5031</v>
      </c>
      <c r="U867" s="13">
        <f t="shared" si="390"/>
        <v>5031</v>
      </c>
      <c r="V867" s="13"/>
      <c r="W867" s="13">
        <f t="shared" si="391"/>
        <v>0</v>
      </c>
    </row>
    <row r="868" spans="2:23" s="9" customFormat="1">
      <c r="B868" s="9">
        <v>20</v>
      </c>
      <c r="C868" s="9" t="s">
        <v>746</v>
      </c>
      <c r="G868" s="9">
        <v>1995</v>
      </c>
      <c r="H868" s="9">
        <v>8</v>
      </c>
      <c r="I868" s="9">
        <v>0</v>
      </c>
      <c r="J868" s="9" t="s">
        <v>78</v>
      </c>
      <c r="K868" s="158" t="s">
        <v>449</v>
      </c>
      <c r="L868" s="9">
        <f t="shared" si="383"/>
        <v>2005</v>
      </c>
      <c r="M868" s="127">
        <f t="shared" si="384"/>
        <v>2005.6666666666667</v>
      </c>
      <c r="N868" s="13">
        <v>5735</v>
      </c>
      <c r="O868" s="13">
        <f t="shared" si="385"/>
        <v>5735</v>
      </c>
      <c r="P868" s="13">
        <f t="shared" si="386"/>
        <v>47.791666666666664</v>
      </c>
      <c r="Q868" s="13">
        <f t="shared" si="387"/>
        <v>573.5</v>
      </c>
      <c r="R868" s="13"/>
      <c r="S868" s="13">
        <f t="shared" si="388"/>
        <v>0</v>
      </c>
      <c r="T868" s="13">
        <f t="shared" si="389"/>
        <v>5735</v>
      </c>
      <c r="U868" s="13">
        <f t="shared" si="390"/>
        <v>5735</v>
      </c>
      <c r="V868" s="13"/>
      <c r="W868" s="13">
        <f t="shared" si="391"/>
        <v>0</v>
      </c>
    </row>
    <row r="869" spans="2:23" s="9" customFormat="1">
      <c r="B869" s="9">
        <v>22</v>
      </c>
      <c r="C869" s="9" t="s">
        <v>746</v>
      </c>
      <c r="G869" s="9">
        <v>1994</v>
      </c>
      <c r="H869" s="9">
        <v>3</v>
      </c>
      <c r="I869" s="9">
        <v>0</v>
      </c>
      <c r="J869" s="9" t="s">
        <v>78</v>
      </c>
      <c r="K869" s="158" t="s">
        <v>449</v>
      </c>
      <c r="L869" s="9">
        <f t="shared" si="383"/>
        <v>2004</v>
      </c>
      <c r="M869" s="127">
        <f t="shared" si="384"/>
        <v>2004.25</v>
      </c>
      <c r="N869" s="13">
        <v>6191</v>
      </c>
      <c r="O869" s="13">
        <f t="shared" si="385"/>
        <v>6191</v>
      </c>
      <c r="P869" s="13">
        <f t="shared" si="386"/>
        <v>51.591666666666669</v>
      </c>
      <c r="Q869" s="13">
        <f t="shared" si="387"/>
        <v>619.1</v>
      </c>
      <c r="R869" s="13"/>
      <c r="S869" s="13">
        <f t="shared" si="388"/>
        <v>0</v>
      </c>
      <c r="T869" s="13">
        <f t="shared" si="389"/>
        <v>6191</v>
      </c>
      <c r="U869" s="13">
        <f t="shared" si="390"/>
        <v>6191</v>
      </c>
      <c r="V869" s="13"/>
      <c r="W869" s="13">
        <f t="shared" si="391"/>
        <v>0</v>
      </c>
    </row>
    <row r="870" spans="2:23" s="9" customFormat="1">
      <c r="B870" s="9">
        <v>20</v>
      </c>
      <c r="C870" s="9" t="s">
        <v>746</v>
      </c>
      <c r="G870" s="9">
        <v>1994</v>
      </c>
      <c r="H870" s="9">
        <v>7</v>
      </c>
      <c r="I870" s="9">
        <v>0</v>
      </c>
      <c r="J870" s="9" t="s">
        <v>78</v>
      </c>
      <c r="K870" s="158" t="s">
        <v>449</v>
      </c>
      <c r="L870" s="9">
        <f t="shared" si="383"/>
        <v>2004</v>
      </c>
      <c r="M870" s="127">
        <f t="shared" si="384"/>
        <v>2004.5833333333333</v>
      </c>
      <c r="N870" s="13">
        <v>6708</v>
      </c>
      <c r="O870" s="13">
        <f t="shared" si="385"/>
        <v>6708</v>
      </c>
      <c r="P870" s="13">
        <f t="shared" si="386"/>
        <v>55.9</v>
      </c>
      <c r="Q870" s="13">
        <f t="shared" si="387"/>
        <v>670.8</v>
      </c>
      <c r="R870" s="13"/>
      <c r="S870" s="13">
        <f t="shared" si="388"/>
        <v>0</v>
      </c>
      <c r="T870" s="13">
        <f t="shared" si="389"/>
        <v>6708</v>
      </c>
      <c r="U870" s="13">
        <f t="shared" si="390"/>
        <v>6708</v>
      </c>
      <c r="V870" s="13"/>
      <c r="W870" s="13">
        <f t="shared" si="391"/>
        <v>0</v>
      </c>
    </row>
    <row r="871" spans="2:23" s="9" customFormat="1">
      <c r="B871" s="9">
        <v>25</v>
      </c>
      <c r="C871" s="9" t="s">
        <v>746</v>
      </c>
      <c r="G871" s="9">
        <v>1994</v>
      </c>
      <c r="H871" s="9">
        <v>5</v>
      </c>
      <c r="I871" s="9">
        <v>0</v>
      </c>
      <c r="J871" s="9" t="s">
        <v>78</v>
      </c>
      <c r="K871" s="158" t="s">
        <v>449</v>
      </c>
      <c r="L871" s="9">
        <f t="shared" si="383"/>
        <v>2004</v>
      </c>
      <c r="M871" s="127">
        <f t="shared" si="384"/>
        <v>2004.4166666666667</v>
      </c>
      <c r="N871" s="13">
        <v>7168</v>
      </c>
      <c r="O871" s="13">
        <f t="shared" si="385"/>
        <v>7168</v>
      </c>
      <c r="P871" s="13">
        <f t="shared" si="386"/>
        <v>59.733333333333327</v>
      </c>
      <c r="Q871" s="13">
        <f t="shared" si="387"/>
        <v>716.8</v>
      </c>
      <c r="R871" s="13"/>
      <c r="S871" s="13">
        <f t="shared" si="388"/>
        <v>0</v>
      </c>
      <c r="T871" s="13">
        <f t="shared" si="389"/>
        <v>7168</v>
      </c>
      <c r="U871" s="13">
        <f t="shared" si="390"/>
        <v>7168</v>
      </c>
      <c r="V871" s="13"/>
      <c r="W871" s="13">
        <f t="shared" si="391"/>
        <v>0</v>
      </c>
    </row>
    <row r="872" spans="2:23" s="9" customFormat="1">
      <c r="B872" s="9">
        <v>25</v>
      </c>
      <c r="C872" s="9" t="s">
        <v>746</v>
      </c>
      <c r="G872" s="9">
        <v>1994</v>
      </c>
      <c r="H872" s="9">
        <v>5</v>
      </c>
      <c r="I872" s="9">
        <v>0</v>
      </c>
      <c r="J872" s="9" t="s">
        <v>78</v>
      </c>
      <c r="K872" s="158" t="s">
        <v>449</v>
      </c>
      <c r="L872" s="9">
        <f t="shared" si="383"/>
        <v>2004</v>
      </c>
      <c r="M872" s="127">
        <f t="shared" si="384"/>
        <v>2004.4166666666667</v>
      </c>
      <c r="N872" s="13">
        <v>7168</v>
      </c>
      <c r="O872" s="13">
        <f t="shared" si="385"/>
        <v>7168</v>
      </c>
      <c r="P872" s="13">
        <f t="shared" si="386"/>
        <v>59.733333333333327</v>
      </c>
      <c r="Q872" s="13">
        <f t="shared" si="387"/>
        <v>716.8</v>
      </c>
      <c r="R872" s="13"/>
      <c r="S872" s="13">
        <f t="shared" si="388"/>
        <v>0</v>
      </c>
      <c r="T872" s="13">
        <f t="shared" si="389"/>
        <v>7168</v>
      </c>
      <c r="U872" s="13">
        <f t="shared" si="390"/>
        <v>7168</v>
      </c>
      <c r="V872" s="13"/>
      <c r="W872" s="13">
        <f t="shared" si="391"/>
        <v>0</v>
      </c>
    </row>
    <row r="873" spans="2:23" s="9" customFormat="1">
      <c r="B873" s="9">
        <v>30</v>
      </c>
      <c r="C873" s="9" t="s">
        <v>746</v>
      </c>
      <c r="G873" s="9">
        <v>1994</v>
      </c>
      <c r="H873" s="9">
        <v>7</v>
      </c>
      <c r="I873" s="9">
        <v>0</v>
      </c>
      <c r="J873" s="9" t="s">
        <v>78</v>
      </c>
      <c r="K873" s="158" t="s">
        <v>449</v>
      </c>
      <c r="L873" s="9">
        <f t="shared" si="383"/>
        <v>2004</v>
      </c>
      <c r="M873" s="127">
        <f t="shared" si="384"/>
        <v>2004.5833333333333</v>
      </c>
      <c r="N873" s="13">
        <v>8602</v>
      </c>
      <c r="O873" s="13">
        <f t="shared" si="385"/>
        <v>8602</v>
      </c>
      <c r="P873" s="13">
        <f t="shared" si="386"/>
        <v>71.683333333333337</v>
      </c>
      <c r="Q873" s="13">
        <f t="shared" si="387"/>
        <v>860.2</v>
      </c>
      <c r="R873" s="13"/>
      <c r="S873" s="13">
        <f t="shared" si="388"/>
        <v>0</v>
      </c>
      <c r="T873" s="13">
        <f t="shared" si="389"/>
        <v>8602</v>
      </c>
      <c r="U873" s="13">
        <f t="shared" si="390"/>
        <v>8602</v>
      </c>
      <c r="V873" s="13"/>
      <c r="W873" s="13">
        <f t="shared" si="391"/>
        <v>0</v>
      </c>
    </row>
    <row r="874" spans="2:23" s="9" customFormat="1">
      <c r="B874" s="9">
        <v>10</v>
      </c>
      <c r="C874" s="9" t="s">
        <v>747</v>
      </c>
      <c r="G874" s="9">
        <v>1997</v>
      </c>
      <c r="H874" s="9">
        <v>8</v>
      </c>
      <c r="I874" s="9">
        <v>0</v>
      </c>
      <c r="J874" s="9" t="s">
        <v>78</v>
      </c>
      <c r="K874" s="158" t="s">
        <v>449</v>
      </c>
      <c r="L874" s="9">
        <f t="shared" si="383"/>
        <v>2007</v>
      </c>
      <c r="M874" s="127">
        <f t="shared" si="384"/>
        <v>2007.6666666666667</v>
      </c>
      <c r="N874" s="13">
        <v>3149.4</v>
      </c>
      <c r="O874" s="13">
        <f t="shared" si="385"/>
        <v>3149.4</v>
      </c>
      <c r="P874" s="13">
        <f t="shared" si="386"/>
        <v>26.245000000000001</v>
      </c>
      <c r="Q874" s="13">
        <f t="shared" si="387"/>
        <v>314.94</v>
      </c>
      <c r="R874" s="13"/>
      <c r="S874" s="13">
        <f t="shared" si="388"/>
        <v>0</v>
      </c>
      <c r="T874" s="13">
        <f t="shared" si="389"/>
        <v>3149.4</v>
      </c>
      <c r="U874" s="13">
        <f t="shared" si="390"/>
        <v>3149.4</v>
      </c>
      <c r="V874" s="13"/>
      <c r="W874" s="13">
        <f t="shared" si="391"/>
        <v>0</v>
      </c>
    </row>
    <row r="875" spans="2:23" s="9" customFormat="1">
      <c r="B875" s="9">
        <v>20</v>
      </c>
      <c r="C875" s="9" t="s">
        <v>747</v>
      </c>
      <c r="G875" s="9">
        <v>1997</v>
      </c>
      <c r="H875" s="9">
        <v>9</v>
      </c>
      <c r="I875" s="9">
        <v>0</v>
      </c>
      <c r="J875" s="9" t="s">
        <v>78</v>
      </c>
      <c r="K875" s="158" t="s">
        <v>449</v>
      </c>
      <c r="L875" s="9">
        <f t="shared" si="383"/>
        <v>2007</v>
      </c>
      <c r="M875" s="127">
        <f t="shared" si="384"/>
        <v>2007.75</v>
      </c>
      <c r="N875" s="13">
        <v>6081.6</v>
      </c>
      <c r="O875" s="13">
        <f t="shared" si="385"/>
        <v>6081.6</v>
      </c>
      <c r="P875" s="13">
        <f t="shared" si="386"/>
        <v>50.680000000000007</v>
      </c>
      <c r="Q875" s="13">
        <f t="shared" si="387"/>
        <v>608.16000000000008</v>
      </c>
      <c r="R875" s="13"/>
      <c r="S875" s="13">
        <f t="shared" si="388"/>
        <v>0</v>
      </c>
      <c r="T875" s="13">
        <f t="shared" si="389"/>
        <v>6081.6</v>
      </c>
      <c r="U875" s="13">
        <f t="shared" si="390"/>
        <v>6081.6</v>
      </c>
      <c r="V875" s="13"/>
      <c r="W875" s="13">
        <f t="shared" si="391"/>
        <v>0</v>
      </c>
    </row>
    <row r="876" spans="2:23" s="9" customFormat="1">
      <c r="B876" s="9">
        <v>30</v>
      </c>
      <c r="C876" s="9" t="s">
        <v>747</v>
      </c>
      <c r="G876" s="9">
        <v>1997</v>
      </c>
      <c r="H876" s="9">
        <v>8</v>
      </c>
      <c r="I876" s="9">
        <v>0</v>
      </c>
      <c r="J876" s="9" t="s">
        <v>78</v>
      </c>
      <c r="K876" s="158" t="s">
        <v>449</v>
      </c>
      <c r="L876" s="9">
        <f t="shared" si="383"/>
        <v>2007</v>
      </c>
      <c r="M876" s="127">
        <f t="shared" si="384"/>
        <v>2007.6666666666667</v>
      </c>
      <c r="N876" s="13">
        <v>9122.4</v>
      </c>
      <c r="O876" s="13">
        <f t="shared" si="385"/>
        <v>9122.4</v>
      </c>
      <c r="P876" s="13">
        <f t="shared" si="386"/>
        <v>76.02</v>
      </c>
      <c r="Q876" s="13">
        <f t="shared" si="387"/>
        <v>912.24</v>
      </c>
      <c r="R876" s="13"/>
      <c r="S876" s="13">
        <f t="shared" si="388"/>
        <v>0</v>
      </c>
      <c r="T876" s="13">
        <f t="shared" si="389"/>
        <v>9122.4</v>
      </c>
      <c r="U876" s="13">
        <f t="shared" si="390"/>
        <v>9122.4</v>
      </c>
      <c r="V876" s="13"/>
      <c r="W876" s="13">
        <f t="shared" si="391"/>
        <v>0</v>
      </c>
    </row>
    <row r="877" spans="2:23" s="9" customFormat="1">
      <c r="B877" s="9">
        <v>12</v>
      </c>
      <c r="C877" s="9" t="s">
        <v>748</v>
      </c>
      <c r="G877" s="9">
        <v>1994</v>
      </c>
      <c r="H877" s="9">
        <v>10</v>
      </c>
      <c r="I877" s="9">
        <v>0</v>
      </c>
      <c r="J877" s="9" t="s">
        <v>78</v>
      </c>
      <c r="K877" s="158" t="s">
        <v>449</v>
      </c>
      <c r="L877" s="9">
        <f t="shared" si="383"/>
        <v>2004</v>
      </c>
      <c r="M877" s="127">
        <f t="shared" si="384"/>
        <v>2004.8333333333333</v>
      </c>
      <c r="N877" s="13">
        <v>4025</v>
      </c>
      <c r="O877" s="13">
        <f t="shared" si="385"/>
        <v>4025</v>
      </c>
      <c r="P877" s="13">
        <f t="shared" si="386"/>
        <v>33.541666666666664</v>
      </c>
      <c r="Q877" s="13">
        <f t="shared" si="387"/>
        <v>402.5</v>
      </c>
      <c r="R877" s="13"/>
      <c r="S877" s="13">
        <f t="shared" si="388"/>
        <v>0</v>
      </c>
      <c r="T877" s="13">
        <f t="shared" si="389"/>
        <v>4025</v>
      </c>
      <c r="U877" s="13">
        <f t="shared" si="390"/>
        <v>4025</v>
      </c>
      <c r="V877" s="13"/>
      <c r="W877" s="13">
        <f t="shared" si="391"/>
        <v>0</v>
      </c>
    </row>
    <row r="878" spans="2:23" s="9" customFormat="1">
      <c r="B878" s="9">
        <v>15</v>
      </c>
      <c r="C878" s="9" t="s">
        <v>748</v>
      </c>
      <c r="G878" s="9">
        <v>1994</v>
      </c>
      <c r="H878" s="9">
        <v>11</v>
      </c>
      <c r="I878" s="9">
        <v>0</v>
      </c>
      <c r="J878" s="9" t="s">
        <v>78</v>
      </c>
      <c r="K878" s="158" t="s">
        <v>449</v>
      </c>
      <c r="L878" s="9">
        <f t="shared" si="383"/>
        <v>2004</v>
      </c>
      <c r="M878" s="127">
        <f t="shared" si="384"/>
        <v>2004.9166666666667</v>
      </c>
      <c r="N878" s="13">
        <v>4301</v>
      </c>
      <c r="O878" s="13">
        <f t="shared" si="385"/>
        <v>4301</v>
      </c>
      <c r="P878" s="13">
        <f t="shared" si="386"/>
        <v>35.841666666666669</v>
      </c>
      <c r="Q878" s="13">
        <f t="shared" si="387"/>
        <v>430.1</v>
      </c>
      <c r="R878" s="13"/>
      <c r="S878" s="13">
        <f t="shared" si="388"/>
        <v>0</v>
      </c>
      <c r="T878" s="13">
        <f t="shared" si="389"/>
        <v>4301</v>
      </c>
      <c r="U878" s="13">
        <f t="shared" si="390"/>
        <v>4301</v>
      </c>
      <c r="V878" s="13"/>
      <c r="W878" s="13">
        <f t="shared" si="391"/>
        <v>0</v>
      </c>
    </row>
    <row r="879" spans="2:23" s="9" customFormat="1">
      <c r="B879" s="9">
        <v>24</v>
      </c>
      <c r="C879" s="9" t="s">
        <v>748</v>
      </c>
      <c r="G879" s="9">
        <v>1994</v>
      </c>
      <c r="H879" s="9">
        <v>10</v>
      </c>
      <c r="I879" s="9">
        <v>0</v>
      </c>
      <c r="J879" s="9" t="s">
        <v>78</v>
      </c>
      <c r="K879" s="158" t="s">
        <v>449</v>
      </c>
      <c r="L879" s="9">
        <f t="shared" si="383"/>
        <v>2004</v>
      </c>
      <c r="M879" s="127">
        <f t="shared" si="384"/>
        <v>2004.8333333333333</v>
      </c>
      <c r="N879" s="13">
        <v>6882</v>
      </c>
      <c r="O879" s="13">
        <f t="shared" si="385"/>
        <v>6882</v>
      </c>
      <c r="P879" s="13">
        <f t="shared" si="386"/>
        <v>57.35</v>
      </c>
      <c r="Q879" s="13">
        <f t="shared" si="387"/>
        <v>688.2</v>
      </c>
      <c r="R879" s="13"/>
      <c r="S879" s="13">
        <f t="shared" si="388"/>
        <v>0</v>
      </c>
      <c r="T879" s="13">
        <f t="shared" si="389"/>
        <v>6882</v>
      </c>
      <c r="U879" s="13">
        <f t="shared" si="390"/>
        <v>6882</v>
      </c>
      <c r="V879" s="13"/>
      <c r="W879" s="13">
        <f t="shared" si="391"/>
        <v>0</v>
      </c>
    </row>
    <row r="880" spans="2:23" s="9" customFormat="1">
      <c r="B880" s="9">
        <v>40</v>
      </c>
      <c r="C880" s="9" t="s">
        <v>748</v>
      </c>
      <c r="G880" s="9">
        <v>1995</v>
      </c>
      <c r="H880" s="9">
        <v>2</v>
      </c>
      <c r="I880" s="9">
        <v>0</v>
      </c>
      <c r="J880" s="9" t="s">
        <v>78</v>
      </c>
      <c r="K880" s="158" t="s">
        <v>449</v>
      </c>
      <c r="L880" s="9">
        <f t="shared" si="383"/>
        <v>2005</v>
      </c>
      <c r="M880" s="127">
        <f t="shared" si="384"/>
        <v>2005.1666666666667</v>
      </c>
      <c r="N880" s="13">
        <v>11469</v>
      </c>
      <c r="O880" s="13">
        <f t="shared" si="385"/>
        <v>11469</v>
      </c>
      <c r="P880" s="13">
        <f t="shared" si="386"/>
        <v>95.575000000000003</v>
      </c>
      <c r="Q880" s="13">
        <f t="shared" si="387"/>
        <v>1146.9000000000001</v>
      </c>
      <c r="R880" s="13"/>
      <c r="S880" s="13">
        <f t="shared" si="388"/>
        <v>0</v>
      </c>
      <c r="T880" s="13">
        <f t="shared" si="389"/>
        <v>11469</v>
      </c>
      <c r="U880" s="13">
        <f t="shared" si="390"/>
        <v>11469</v>
      </c>
      <c r="V880" s="13"/>
      <c r="W880" s="13">
        <f t="shared" si="391"/>
        <v>0</v>
      </c>
    </row>
    <row r="881" spans="2:23" s="9" customFormat="1">
      <c r="B881" s="9">
        <v>15</v>
      </c>
      <c r="C881" s="9" t="s">
        <v>749</v>
      </c>
      <c r="G881" s="9">
        <v>1996</v>
      </c>
      <c r="H881" s="9">
        <v>12</v>
      </c>
      <c r="I881" s="9">
        <v>0</v>
      </c>
      <c r="J881" s="9" t="s">
        <v>78</v>
      </c>
      <c r="K881" s="158" t="s">
        <v>449</v>
      </c>
      <c r="L881" s="9">
        <f t="shared" si="383"/>
        <v>2006</v>
      </c>
      <c r="M881" s="127">
        <f t="shared" si="384"/>
        <v>2007</v>
      </c>
      <c r="N881" s="13">
        <v>4301</v>
      </c>
      <c r="O881" s="13">
        <f t="shared" si="385"/>
        <v>4301</v>
      </c>
      <c r="P881" s="13">
        <f t="shared" si="386"/>
        <v>35.841666666666669</v>
      </c>
      <c r="Q881" s="13">
        <f t="shared" si="387"/>
        <v>430.1</v>
      </c>
      <c r="R881" s="13"/>
      <c r="S881" s="13">
        <f t="shared" si="388"/>
        <v>0</v>
      </c>
      <c r="T881" s="13">
        <f t="shared" si="389"/>
        <v>4301</v>
      </c>
      <c r="U881" s="13">
        <f t="shared" si="390"/>
        <v>4301</v>
      </c>
      <c r="V881" s="13"/>
      <c r="W881" s="13">
        <f t="shared" si="391"/>
        <v>0</v>
      </c>
    </row>
    <row r="882" spans="2:23" s="9" customFormat="1">
      <c r="B882" s="9">
        <v>10</v>
      </c>
      <c r="C882" s="9" t="s">
        <v>749</v>
      </c>
      <c r="G882" s="9">
        <v>1997</v>
      </c>
      <c r="H882" s="9">
        <v>6</v>
      </c>
      <c r="I882" s="9">
        <v>0</v>
      </c>
      <c r="J882" s="9" t="s">
        <v>78</v>
      </c>
      <c r="K882" s="158" t="s">
        <v>449</v>
      </c>
      <c r="L882" s="9">
        <f t="shared" si="383"/>
        <v>2007</v>
      </c>
      <c r="M882" s="127">
        <f t="shared" si="384"/>
        <v>2007.5</v>
      </c>
      <c r="N882" s="13">
        <v>4507</v>
      </c>
      <c r="O882" s="13">
        <f t="shared" si="385"/>
        <v>4507</v>
      </c>
      <c r="P882" s="13">
        <f t="shared" si="386"/>
        <v>37.55833333333333</v>
      </c>
      <c r="Q882" s="13">
        <f t="shared" si="387"/>
        <v>450.69999999999993</v>
      </c>
      <c r="R882" s="13"/>
      <c r="S882" s="13">
        <f t="shared" si="388"/>
        <v>0</v>
      </c>
      <c r="T882" s="13">
        <f t="shared" si="389"/>
        <v>4507</v>
      </c>
      <c r="U882" s="13">
        <f t="shared" si="390"/>
        <v>4507</v>
      </c>
      <c r="V882" s="13"/>
      <c r="W882" s="13">
        <f t="shared" si="391"/>
        <v>0</v>
      </c>
    </row>
    <row r="883" spans="2:23" s="9" customFormat="1">
      <c r="B883" s="9">
        <v>20</v>
      </c>
      <c r="C883" s="9" t="s">
        <v>749</v>
      </c>
      <c r="G883" s="9">
        <v>1995</v>
      </c>
      <c r="H883" s="9">
        <v>10</v>
      </c>
      <c r="I883" s="9">
        <v>0</v>
      </c>
      <c r="J883" s="9" t="s">
        <v>78</v>
      </c>
      <c r="K883" s="158" t="s">
        <v>449</v>
      </c>
      <c r="L883" s="9">
        <f t="shared" si="383"/>
        <v>2005</v>
      </c>
      <c r="M883" s="127">
        <f t="shared" si="384"/>
        <v>2005.8333333333333</v>
      </c>
      <c r="N883" s="13">
        <v>5735</v>
      </c>
      <c r="O883" s="13">
        <f t="shared" si="385"/>
        <v>5735</v>
      </c>
      <c r="P883" s="13">
        <f t="shared" si="386"/>
        <v>47.791666666666664</v>
      </c>
      <c r="Q883" s="13">
        <f t="shared" si="387"/>
        <v>573.5</v>
      </c>
      <c r="R883" s="13"/>
      <c r="S883" s="13">
        <f t="shared" si="388"/>
        <v>0</v>
      </c>
      <c r="T883" s="13">
        <f t="shared" si="389"/>
        <v>5735</v>
      </c>
      <c r="U883" s="13">
        <f t="shared" si="390"/>
        <v>5735</v>
      </c>
      <c r="V883" s="13"/>
      <c r="W883" s="13">
        <f t="shared" si="391"/>
        <v>0</v>
      </c>
    </row>
    <row r="884" spans="2:23" s="9" customFormat="1">
      <c r="B884" s="9">
        <v>20</v>
      </c>
      <c r="C884" s="9" t="s">
        <v>749</v>
      </c>
      <c r="G884" s="9">
        <v>1995</v>
      </c>
      <c r="H884" s="9">
        <v>10</v>
      </c>
      <c r="I884" s="9">
        <v>0</v>
      </c>
      <c r="J884" s="9" t="s">
        <v>78</v>
      </c>
      <c r="K884" s="158" t="s">
        <v>449</v>
      </c>
      <c r="L884" s="9">
        <f t="shared" si="383"/>
        <v>2005</v>
      </c>
      <c r="M884" s="127">
        <f t="shared" si="384"/>
        <v>2005.8333333333333</v>
      </c>
      <c r="N884" s="13">
        <v>5735</v>
      </c>
      <c r="O884" s="13">
        <f t="shared" si="385"/>
        <v>5735</v>
      </c>
      <c r="P884" s="13">
        <f t="shared" si="386"/>
        <v>47.791666666666664</v>
      </c>
      <c r="Q884" s="13">
        <f t="shared" si="387"/>
        <v>573.5</v>
      </c>
      <c r="R884" s="13"/>
      <c r="S884" s="13">
        <f t="shared" si="388"/>
        <v>0</v>
      </c>
      <c r="T884" s="13">
        <f t="shared" si="389"/>
        <v>5735</v>
      </c>
      <c r="U884" s="13">
        <f t="shared" si="390"/>
        <v>5735</v>
      </c>
      <c r="V884" s="13"/>
      <c r="W884" s="13">
        <f t="shared" si="391"/>
        <v>0</v>
      </c>
    </row>
    <row r="885" spans="2:23" s="9" customFormat="1">
      <c r="B885" s="9">
        <v>20</v>
      </c>
      <c r="C885" s="9" t="s">
        <v>749</v>
      </c>
      <c r="G885" s="9">
        <v>1996</v>
      </c>
      <c r="H885" s="9">
        <v>3</v>
      </c>
      <c r="I885" s="9">
        <v>0</v>
      </c>
      <c r="J885" s="9" t="s">
        <v>78</v>
      </c>
      <c r="K885" s="158" t="s">
        <v>449</v>
      </c>
      <c r="L885" s="9">
        <f t="shared" si="383"/>
        <v>2006</v>
      </c>
      <c r="M885" s="127">
        <f t="shared" si="384"/>
        <v>2006.25</v>
      </c>
      <c r="N885" s="13">
        <v>5735</v>
      </c>
      <c r="O885" s="13">
        <f t="shared" si="385"/>
        <v>5735</v>
      </c>
      <c r="P885" s="13">
        <f t="shared" si="386"/>
        <v>47.791666666666664</v>
      </c>
      <c r="Q885" s="13">
        <f t="shared" si="387"/>
        <v>573.5</v>
      </c>
      <c r="R885" s="13"/>
      <c r="S885" s="13">
        <f t="shared" si="388"/>
        <v>0</v>
      </c>
      <c r="T885" s="13">
        <f t="shared" si="389"/>
        <v>5735</v>
      </c>
      <c r="U885" s="13">
        <f t="shared" si="390"/>
        <v>5735</v>
      </c>
      <c r="V885" s="13"/>
      <c r="W885" s="13">
        <f t="shared" si="391"/>
        <v>0</v>
      </c>
    </row>
    <row r="886" spans="2:23" s="9" customFormat="1">
      <c r="B886" s="9">
        <v>20</v>
      </c>
      <c r="C886" s="9" t="s">
        <v>749</v>
      </c>
      <c r="G886" s="9">
        <v>1996</v>
      </c>
      <c r="H886" s="9">
        <v>5</v>
      </c>
      <c r="I886" s="9">
        <v>0</v>
      </c>
      <c r="J886" s="9" t="s">
        <v>78</v>
      </c>
      <c r="K886" s="158" t="s">
        <v>449</v>
      </c>
      <c r="L886" s="9">
        <f t="shared" si="383"/>
        <v>2006</v>
      </c>
      <c r="M886" s="127">
        <f t="shared" si="384"/>
        <v>2006.4166666666667</v>
      </c>
      <c r="N886" s="13">
        <v>5735</v>
      </c>
      <c r="O886" s="13">
        <f t="shared" si="385"/>
        <v>5735</v>
      </c>
      <c r="P886" s="13">
        <f t="shared" si="386"/>
        <v>47.791666666666664</v>
      </c>
      <c r="Q886" s="13">
        <f t="shared" si="387"/>
        <v>573.5</v>
      </c>
      <c r="R886" s="13"/>
      <c r="S886" s="13">
        <f t="shared" si="388"/>
        <v>0</v>
      </c>
      <c r="T886" s="13">
        <f t="shared" si="389"/>
        <v>5735</v>
      </c>
      <c r="U886" s="13">
        <f t="shared" si="390"/>
        <v>5735</v>
      </c>
      <c r="V886" s="13"/>
      <c r="W886" s="13">
        <f t="shared" si="391"/>
        <v>0</v>
      </c>
    </row>
    <row r="887" spans="2:23" s="9" customFormat="1">
      <c r="B887" s="9">
        <v>20</v>
      </c>
      <c r="C887" s="9" t="s">
        <v>749</v>
      </c>
      <c r="G887" s="9">
        <v>1997</v>
      </c>
      <c r="H887" s="9">
        <v>5</v>
      </c>
      <c r="I887" s="9">
        <v>0</v>
      </c>
      <c r="J887" s="9" t="s">
        <v>78</v>
      </c>
      <c r="K887" s="158" t="s">
        <v>449</v>
      </c>
      <c r="L887" s="9">
        <f t="shared" si="383"/>
        <v>2007</v>
      </c>
      <c r="M887" s="127">
        <f t="shared" si="384"/>
        <v>2007.4166666666667</v>
      </c>
      <c r="N887" s="13">
        <v>5756</v>
      </c>
      <c r="O887" s="13">
        <f t="shared" si="385"/>
        <v>5756</v>
      </c>
      <c r="P887" s="13">
        <f t="shared" si="386"/>
        <v>47.966666666666669</v>
      </c>
      <c r="Q887" s="13">
        <f t="shared" si="387"/>
        <v>575.6</v>
      </c>
      <c r="R887" s="13"/>
      <c r="S887" s="13">
        <f t="shared" si="388"/>
        <v>0</v>
      </c>
      <c r="T887" s="13">
        <f t="shared" si="389"/>
        <v>5756</v>
      </c>
      <c r="U887" s="13">
        <f t="shared" si="390"/>
        <v>5756</v>
      </c>
      <c r="V887" s="13"/>
      <c r="W887" s="13">
        <f t="shared" si="391"/>
        <v>0</v>
      </c>
    </row>
    <row r="888" spans="2:23" s="9" customFormat="1">
      <c r="B888" s="9">
        <v>20</v>
      </c>
      <c r="C888" s="9" t="s">
        <v>749</v>
      </c>
      <c r="G888" s="9">
        <v>1997</v>
      </c>
      <c r="H888" s="9">
        <v>6</v>
      </c>
      <c r="I888" s="9">
        <v>0</v>
      </c>
      <c r="J888" s="9" t="s">
        <v>78</v>
      </c>
      <c r="K888" s="158" t="s">
        <v>449</v>
      </c>
      <c r="L888" s="9">
        <f t="shared" si="383"/>
        <v>2007</v>
      </c>
      <c r="M888" s="127">
        <f t="shared" si="384"/>
        <v>2007.5</v>
      </c>
      <c r="N888" s="13">
        <v>5756</v>
      </c>
      <c r="O888" s="13">
        <f t="shared" si="385"/>
        <v>5756</v>
      </c>
      <c r="P888" s="13">
        <f t="shared" si="386"/>
        <v>47.966666666666669</v>
      </c>
      <c r="Q888" s="13">
        <f t="shared" si="387"/>
        <v>575.6</v>
      </c>
      <c r="R888" s="13"/>
      <c r="S888" s="13">
        <f t="shared" si="388"/>
        <v>0</v>
      </c>
      <c r="T888" s="13">
        <f t="shared" si="389"/>
        <v>5756</v>
      </c>
      <c r="U888" s="13">
        <f t="shared" si="390"/>
        <v>5756</v>
      </c>
      <c r="V888" s="13"/>
      <c r="W888" s="13">
        <f t="shared" si="391"/>
        <v>0</v>
      </c>
    </row>
    <row r="889" spans="2:23" s="9" customFormat="1">
      <c r="B889" s="9">
        <v>20</v>
      </c>
      <c r="C889" s="9" t="s">
        <v>749</v>
      </c>
      <c r="G889" s="9">
        <v>1995</v>
      </c>
      <c r="H889" s="9">
        <v>11</v>
      </c>
      <c r="I889" s="9">
        <v>0</v>
      </c>
      <c r="J889" s="9" t="s">
        <v>78</v>
      </c>
      <c r="K889" s="158" t="s">
        <v>449</v>
      </c>
      <c r="L889" s="9">
        <f t="shared" si="383"/>
        <v>2005</v>
      </c>
      <c r="M889" s="127">
        <f t="shared" si="384"/>
        <v>2005.9166666666667</v>
      </c>
      <c r="N889" s="13">
        <v>6059</v>
      </c>
      <c r="O889" s="13">
        <f t="shared" si="385"/>
        <v>6059</v>
      </c>
      <c r="P889" s="13">
        <f t="shared" si="386"/>
        <v>50.491666666666667</v>
      </c>
      <c r="Q889" s="13">
        <f t="shared" si="387"/>
        <v>605.9</v>
      </c>
      <c r="R889" s="13"/>
      <c r="S889" s="13">
        <f t="shared" si="388"/>
        <v>0</v>
      </c>
      <c r="T889" s="13">
        <f t="shared" si="389"/>
        <v>6059</v>
      </c>
      <c r="U889" s="13">
        <f t="shared" si="390"/>
        <v>6059</v>
      </c>
      <c r="V889" s="13"/>
      <c r="W889" s="13">
        <f t="shared" si="391"/>
        <v>0</v>
      </c>
    </row>
    <row r="890" spans="2:23" s="9" customFormat="1">
      <c r="B890" s="9">
        <v>24</v>
      </c>
      <c r="C890" s="9" t="s">
        <v>749</v>
      </c>
      <c r="G890" s="9">
        <v>1995</v>
      </c>
      <c r="H890" s="9">
        <v>10</v>
      </c>
      <c r="I890" s="9">
        <v>0</v>
      </c>
      <c r="J890" s="9" t="s">
        <v>78</v>
      </c>
      <c r="K890" s="158" t="s">
        <v>449</v>
      </c>
      <c r="L890" s="9">
        <f t="shared" si="383"/>
        <v>2005</v>
      </c>
      <c r="M890" s="127">
        <f t="shared" si="384"/>
        <v>2005.8333333333333</v>
      </c>
      <c r="N890" s="13">
        <v>7141</v>
      </c>
      <c r="O890" s="13">
        <f t="shared" si="385"/>
        <v>7141</v>
      </c>
      <c r="P890" s="13">
        <f t="shared" si="386"/>
        <v>59.508333333333333</v>
      </c>
      <c r="Q890" s="13">
        <f t="shared" si="387"/>
        <v>714.1</v>
      </c>
      <c r="R890" s="13"/>
      <c r="S890" s="13">
        <f t="shared" si="388"/>
        <v>0</v>
      </c>
      <c r="T890" s="13">
        <f t="shared" si="389"/>
        <v>7141</v>
      </c>
      <c r="U890" s="13">
        <f t="shared" si="390"/>
        <v>7141</v>
      </c>
      <c r="V890" s="13"/>
      <c r="W890" s="13">
        <f t="shared" si="391"/>
        <v>0</v>
      </c>
    </row>
    <row r="891" spans="2:23" s="9" customFormat="1">
      <c r="B891" s="9">
        <v>25</v>
      </c>
      <c r="C891" s="9" t="s">
        <v>749</v>
      </c>
      <c r="G891" s="9">
        <v>1996</v>
      </c>
      <c r="H891" s="9">
        <v>4</v>
      </c>
      <c r="I891" s="9">
        <v>0</v>
      </c>
      <c r="J891" s="9" t="s">
        <v>78</v>
      </c>
      <c r="K891" s="158" t="s">
        <v>449</v>
      </c>
      <c r="L891" s="9">
        <f t="shared" si="383"/>
        <v>2006</v>
      </c>
      <c r="M891" s="127">
        <f t="shared" si="384"/>
        <v>2006.3333333333333</v>
      </c>
      <c r="N891" s="13">
        <v>7168</v>
      </c>
      <c r="O891" s="13">
        <f t="shared" si="385"/>
        <v>7168</v>
      </c>
      <c r="P891" s="13">
        <f t="shared" si="386"/>
        <v>59.733333333333327</v>
      </c>
      <c r="Q891" s="13">
        <f t="shared" si="387"/>
        <v>716.8</v>
      </c>
      <c r="R891" s="13"/>
      <c r="S891" s="13">
        <f t="shared" si="388"/>
        <v>0</v>
      </c>
      <c r="T891" s="13">
        <f t="shared" si="389"/>
        <v>7168</v>
      </c>
      <c r="U891" s="13">
        <f t="shared" si="390"/>
        <v>7168</v>
      </c>
      <c r="V891" s="13"/>
      <c r="W891" s="13">
        <f t="shared" si="391"/>
        <v>0</v>
      </c>
    </row>
    <row r="892" spans="2:23" s="9" customFormat="1">
      <c r="B892" s="9">
        <v>25</v>
      </c>
      <c r="C892" s="9" t="s">
        <v>749</v>
      </c>
      <c r="G892" s="9">
        <v>1996</v>
      </c>
      <c r="H892" s="9">
        <v>6</v>
      </c>
      <c r="I892" s="9">
        <v>0</v>
      </c>
      <c r="J892" s="9" t="s">
        <v>78</v>
      </c>
      <c r="K892" s="158" t="s">
        <v>449</v>
      </c>
      <c r="L892" s="9">
        <f t="shared" si="383"/>
        <v>2006</v>
      </c>
      <c r="M892" s="127">
        <f t="shared" si="384"/>
        <v>2006.5</v>
      </c>
      <c r="N892" s="13">
        <v>10274</v>
      </c>
      <c r="O892" s="13">
        <f t="shared" si="385"/>
        <v>10274</v>
      </c>
      <c r="P892" s="13">
        <f t="shared" si="386"/>
        <v>85.616666666666674</v>
      </c>
      <c r="Q892" s="13">
        <f t="shared" si="387"/>
        <v>1027.4000000000001</v>
      </c>
      <c r="R892" s="13"/>
      <c r="S892" s="13">
        <f t="shared" si="388"/>
        <v>0</v>
      </c>
      <c r="T892" s="13">
        <f t="shared" si="389"/>
        <v>10274</v>
      </c>
      <c r="U892" s="13">
        <f t="shared" si="390"/>
        <v>10274</v>
      </c>
      <c r="V892" s="13"/>
      <c r="W892" s="13">
        <f t="shared" si="391"/>
        <v>0</v>
      </c>
    </row>
    <row r="893" spans="2:23" s="9" customFormat="1">
      <c r="B893" s="9">
        <v>30</v>
      </c>
      <c r="C893" s="9" t="s">
        <v>750</v>
      </c>
      <c r="G893" s="9">
        <v>1994</v>
      </c>
      <c r="H893" s="9">
        <v>8</v>
      </c>
      <c r="I893" s="9">
        <v>0</v>
      </c>
      <c r="J893" s="9" t="s">
        <v>78</v>
      </c>
      <c r="K893" s="158" t="s">
        <v>449</v>
      </c>
      <c r="L893" s="9">
        <f t="shared" si="383"/>
        <v>2004</v>
      </c>
      <c r="M893" s="127">
        <f t="shared" si="384"/>
        <v>2004.6666666666667</v>
      </c>
      <c r="N893" s="13">
        <v>8602</v>
      </c>
      <c r="O893" s="13">
        <f t="shared" si="385"/>
        <v>8602</v>
      </c>
      <c r="P893" s="13">
        <f t="shared" si="386"/>
        <v>71.683333333333337</v>
      </c>
      <c r="Q893" s="13">
        <f t="shared" si="387"/>
        <v>860.2</v>
      </c>
      <c r="R893" s="13"/>
      <c r="S893" s="13">
        <f t="shared" si="388"/>
        <v>0</v>
      </c>
      <c r="T893" s="13">
        <f t="shared" si="389"/>
        <v>8602</v>
      </c>
      <c r="U893" s="13">
        <f t="shared" si="390"/>
        <v>8602</v>
      </c>
      <c r="V893" s="13"/>
      <c r="W893" s="13">
        <f t="shared" si="391"/>
        <v>0</v>
      </c>
    </row>
    <row r="894" spans="2:23" s="9" customFormat="1">
      <c r="B894" s="9">
        <v>12</v>
      </c>
      <c r="C894" s="9" t="s">
        <v>751</v>
      </c>
      <c r="G894" s="9">
        <v>1994</v>
      </c>
      <c r="H894" s="9">
        <v>8</v>
      </c>
      <c r="I894" s="9">
        <v>0</v>
      </c>
      <c r="J894" s="9" t="s">
        <v>78</v>
      </c>
      <c r="K894" s="158" t="s">
        <v>449</v>
      </c>
      <c r="L894" s="9">
        <f t="shared" si="383"/>
        <v>2004</v>
      </c>
      <c r="M894" s="127">
        <f t="shared" si="384"/>
        <v>2004.6666666666667</v>
      </c>
      <c r="N894" s="13">
        <v>4025</v>
      </c>
      <c r="O894" s="13">
        <f t="shared" si="385"/>
        <v>4025</v>
      </c>
      <c r="P894" s="13">
        <f t="shared" si="386"/>
        <v>33.541666666666664</v>
      </c>
      <c r="Q894" s="13">
        <f t="shared" si="387"/>
        <v>402.5</v>
      </c>
      <c r="R894" s="13"/>
      <c r="S894" s="13">
        <f t="shared" si="388"/>
        <v>0</v>
      </c>
      <c r="T894" s="13">
        <f t="shared" si="389"/>
        <v>4025</v>
      </c>
      <c r="U894" s="13">
        <f t="shared" si="390"/>
        <v>4025</v>
      </c>
      <c r="V894" s="13"/>
      <c r="W894" s="13">
        <f t="shared" si="391"/>
        <v>0</v>
      </c>
    </row>
    <row r="895" spans="2:23" s="9" customFormat="1">
      <c r="B895" s="9">
        <v>30</v>
      </c>
      <c r="C895" s="9" t="s">
        <v>752</v>
      </c>
      <c r="G895" s="9">
        <v>1999</v>
      </c>
      <c r="H895" s="9">
        <v>9</v>
      </c>
      <c r="I895" s="9">
        <v>0</v>
      </c>
      <c r="J895" s="9" t="s">
        <v>78</v>
      </c>
      <c r="K895" s="158" t="s">
        <v>449</v>
      </c>
      <c r="L895" s="9">
        <f t="shared" si="383"/>
        <v>2009</v>
      </c>
      <c r="M895" s="127">
        <f t="shared" si="384"/>
        <v>2009.75</v>
      </c>
      <c r="N895" s="13">
        <v>10099.799999999999</v>
      </c>
      <c r="O895" s="13">
        <f t="shared" si="385"/>
        <v>10099.799999999999</v>
      </c>
      <c r="P895" s="13">
        <f t="shared" si="386"/>
        <v>84.164999999999992</v>
      </c>
      <c r="Q895" s="13">
        <f t="shared" si="387"/>
        <v>1009.9799999999999</v>
      </c>
      <c r="R895" s="13"/>
      <c r="S895" s="13">
        <f t="shared" si="388"/>
        <v>0</v>
      </c>
      <c r="T895" s="13">
        <f t="shared" si="389"/>
        <v>10099.799999999999</v>
      </c>
      <c r="U895" s="13">
        <f t="shared" si="390"/>
        <v>10099.799999999999</v>
      </c>
      <c r="V895" s="13"/>
      <c r="W895" s="13">
        <f t="shared" si="391"/>
        <v>0</v>
      </c>
    </row>
    <row r="896" spans="2:23" s="9" customFormat="1">
      <c r="B896" s="9">
        <v>20</v>
      </c>
      <c r="C896" s="9" t="s">
        <v>753</v>
      </c>
      <c r="G896" s="9">
        <v>1998</v>
      </c>
      <c r="H896" s="9">
        <v>9</v>
      </c>
      <c r="I896" s="9">
        <v>0</v>
      </c>
      <c r="J896" s="9" t="s">
        <v>78</v>
      </c>
      <c r="K896" s="158" t="s">
        <v>449</v>
      </c>
      <c r="L896" s="9">
        <f t="shared" si="383"/>
        <v>2008</v>
      </c>
      <c r="M896" s="127">
        <f t="shared" si="384"/>
        <v>2008.75</v>
      </c>
      <c r="N896" s="13">
        <v>7602</v>
      </c>
      <c r="O896" s="13">
        <f t="shared" si="385"/>
        <v>7602</v>
      </c>
      <c r="P896" s="13">
        <f t="shared" si="386"/>
        <v>63.35</v>
      </c>
      <c r="Q896" s="13">
        <f t="shared" si="387"/>
        <v>760.2</v>
      </c>
      <c r="R896" s="13"/>
      <c r="S896" s="13">
        <f t="shared" si="388"/>
        <v>0</v>
      </c>
      <c r="T896" s="13">
        <f t="shared" si="389"/>
        <v>7602</v>
      </c>
      <c r="U896" s="13">
        <f t="shared" si="390"/>
        <v>7602</v>
      </c>
      <c r="V896" s="13"/>
      <c r="W896" s="13">
        <f t="shared" si="391"/>
        <v>0</v>
      </c>
    </row>
    <row r="897" spans="2:23" s="9" customFormat="1">
      <c r="B897" s="9">
        <v>20</v>
      </c>
      <c r="C897" s="9" t="s">
        <v>754</v>
      </c>
      <c r="G897" s="9">
        <v>1994</v>
      </c>
      <c r="H897" s="9">
        <v>9</v>
      </c>
      <c r="I897" s="9">
        <v>0</v>
      </c>
      <c r="J897" s="9" t="s">
        <v>78</v>
      </c>
      <c r="K897" s="158" t="s">
        <v>449</v>
      </c>
      <c r="L897" s="9">
        <f t="shared" si="383"/>
        <v>2004</v>
      </c>
      <c r="M897" s="127">
        <f t="shared" si="384"/>
        <v>2004.75</v>
      </c>
      <c r="N897" s="13">
        <v>5735</v>
      </c>
      <c r="O897" s="13">
        <f t="shared" si="385"/>
        <v>5735</v>
      </c>
      <c r="P897" s="13">
        <f t="shared" si="386"/>
        <v>47.791666666666664</v>
      </c>
      <c r="Q897" s="13">
        <f t="shared" si="387"/>
        <v>573.5</v>
      </c>
      <c r="R897" s="13"/>
      <c r="S897" s="13">
        <f t="shared" si="388"/>
        <v>0</v>
      </c>
      <c r="T897" s="13">
        <f t="shared" si="389"/>
        <v>5735</v>
      </c>
      <c r="U897" s="13">
        <f t="shared" si="390"/>
        <v>5735</v>
      </c>
      <c r="V897" s="13"/>
      <c r="W897" s="13">
        <f t="shared" si="391"/>
        <v>0</v>
      </c>
    </row>
    <row r="898" spans="2:23" s="9" customFormat="1">
      <c r="B898" s="9">
        <v>11</v>
      </c>
      <c r="C898" s="9" t="s">
        <v>457</v>
      </c>
      <c r="G898" s="9">
        <v>1994</v>
      </c>
      <c r="H898" s="9">
        <v>3</v>
      </c>
      <c r="I898" s="9">
        <v>0</v>
      </c>
      <c r="J898" s="9" t="s">
        <v>78</v>
      </c>
      <c r="K898" s="158" t="s">
        <v>449</v>
      </c>
      <c r="L898" s="9">
        <f t="shared" si="383"/>
        <v>2004</v>
      </c>
      <c r="M898" s="127">
        <f t="shared" si="384"/>
        <v>2004.25</v>
      </c>
      <c r="N898" s="13">
        <v>3578</v>
      </c>
      <c r="O898" s="13">
        <f t="shared" si="385"/>
        <v>3578</v>
      </c>
      <c r="P898" s="13">
        <f t="shared" si="386"/>
        <v>29.816666666666666</v>
      </c>
      <c r="Q898" s="13">
        <f t="shared" si="387"/>
        <v>357.8</v>
      </c>
      <c r="R898" s="13"/>
      <c r="S898" s="13">
        <f t="shared" si="388"/>
        <v>0</v>
      </c>
      <c r="T898" s="13">
        <f t="shared" si="389"/>
        <v>3578</v>
      </c>
      <c r="U898" s="13">
        <f t="shared" si="390"/>
        <v>3578</v>
      </c>
      <c r="V898" s="13"/>
      <c r="W898" s="13">
        <f t="shared" si="391"/>
        <v>0</v>
      </c>
    </row>
    <row r="899" spans="2:23" s="9" customFormat="1">
      <c r="B899" s="9">
        <v>20</v>
      </c>
      <c r="C899" s="9" t="s">
        <v>755</v>
      </c>
      <c r="G899" s="9">
        <v>1997</v>
      </c>
      <c r="H899" s="9">
        <v>4</v>
      </c>
      <c r="I899" s="9">
        <v>0</v>
      </c>
      <c r="J899" s="9" t="s">
        <v>78</v>
      </c>
      <c r="K899" s="158" t="s">
        <v>449</v>
      </c>
      <c r="L899" s="9">
        <f t="shared" si="383"/>
        <v>2007</v>
      </c>
      <c r="M899" s="127">
        <f t="shared" si="384"/>
        <v>2007.3333333333333</v>
      </c>
      <c r="N899" s="13">
        <v>5756</v>
      </c>
      <c r="O899" s="13">
        <f t="shared" si="385"/>
        <v>5756</v>
      </c>
      <c r="P899" s="13">
        <f t="shared" si="386"/>
        <v>47.966666666666669</v>
      </c>
      <c r="Q899" s="13">
        <f t="shared" si="387"/>
        <v>575.6</v>
      </c>
      <c r="R899" s="13"/>
      <c r="S899" s="13">
        <f t="shared" si="388"/>
        <v>0</v>
      </c>
      <c r="T899" s="13">
        <f t="shared" si="389"/>
        <v>5756</v>
      </c>
      <c r="U899" s="13">
        <f t="shared" si="390"/>
        <v>5756</v>
      </c>
      <c r="V899" s="13"/>
      <c r="W899" s="13">
        <f t="shared" si="391"/>
        <v>0</v>
      </c>
    </row>
    <row r="900" spans="2:23" s="9" customFormat="1">
      <c r="K900" s="158"/>
      <c r="M900" s="146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2:23" s="9" customFormat="1">
      <c r="B901" s="9">
        <f>SUM(B841:B900)</f>
        <v>1090</v>
      </c>
      <c r="C901" s="9" t="s">
        <v>756</v>
      </c>
      <c r="K901" s="158"/>
      <c r="M901" s="146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2:23" s="9" customFormat="1">
      <c r="K902" s="158"/>
      <c r="M902" s="146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2:23" s="9" customFormat="1">
      <c r="B903" s="9">
        <v>15</v>
      </c>
      <c r="C903" s="9" t="s">
        <v>757</v>
      </c>
      <c r="G903" s="9">
        <v>1994</v>
      </c>
      <c r="H903" s="9">
        <v>6</v>
      </c>
      <c r="I903" s="9">
        <v>0</v>
      </c>
      <c r="J903" s="9" t="s">
        <v>78</v>
      </c>
      <c r="K903" s="158" t="s">
        <v>449</v>
      </c>
      <c r="L903" s="9">
        <f t="shared" ref="L903:L917" si="392">G903+K903</f>
        <v>2004</v>
      </c>
      <c r="M903" s="127">
        <f t="shared" ref="M903:M917" si="393">+L903+(H903/12)</f>
        <v>2004.5</v>
      </c>
      <c r="N903" s="13">
        <v>4626</v>
      </c>
      <c r="O903" s="13">
        <f t="shared" ref="O903:O917" si="394">N903-N903*I903</f>
        <v>4626</v>
      </c>
      <c r="P903" s="13">
        <f t="shared" ref="P903:P917" si="395">O903/K903/12</f>
        <v>38.550000000000004</v>
      </c>
      <c r="Q903" s="13">
        <f t="shared" ref="Q903:Q917" si="396">P903*12</f>
        <v>462.6</v>
      </c>
      <c r="R903" s="13"/>
      <c r="S903" s="13">
        <f t="shared" ref="S903:S917" si="397">+IF(M903&lt;=$O$5,0,IF(L903&gt;$O$4,Q903,(P903*H903)))</f>
        <v>0</v>
      </c>
      <c r="T903" s="13">
        <f t="shared" ref="T903:T917" si="398">+IF(S903=0,N903,IF($O$3-G903&lt;1,0,(($O$3-G903)*Q903)))</f>
        <v>4626</v>
      </c>
      <c r="U903" s="13">
        <f t="shared" ref="U903:U917" si="399">+IF(S903=0,T903,T903+S903)</f>
        <v>4626</v>
      </c>
      <c r="V903" s="13"/>
      <c r="W903" s="13">
        <f t="shared" ref="W903:W917" si="400">+N903-U903</f>
        <v>0</v>
      </c>
    </row>
    <row r="904" spans="2:23" s="9" customFormat="1">
      <c r="B904" s="9">
        <v>25</v>
      </c>
      <c r="C904" s="9" t="s">
        <v>757</v>
      </c>
      <c r="G904" s="9">
        <v>1994</v>
      </c>
      <c r="H904" s="9">
        <v>5</v>
      </c>
      <c r="I904" s="9">
        <v>0</v>
      </c>
      <c r="J904" s="9" t="s">
        <v>78</v>
      </c>
      <c r="K904" s="158" t="s">
        <v>449</v>
      </c>
      <c r="L904" s="9">
        <f t="shared" si="392"/>
        <v>2004</v>
      </c>
      <c r="M904" s="127">
        <f t="shared" si="393"/>
        <v>2004.4166666666667</v>
      </c>
      <c r="N904" s="13">
        <v>7709</v>
      </c>
      <c r="O904" s="13">
        <f t="shared" si="394"/>
        <v>7709</v>
      </c>
      <c r="P904" s="13">
        <f t="shared" si="395"/>
        <v>64.24166666666666</v>
      </c>
      <c r="Q904" s="13">
        <f t="shared" si="396"/>
        <v>770.89999999999986</v>
      </c>
      <c r="R904" s="13"/>
      <c r="S904" s="13">
        <f t="shared" si="397"/>
        <v>0</v>
      </c>
      <c r="T904" s="13">
        <f t="shared" si="398"/>
        <v>7709</v>
      </c>
      <c r="U904" s="13">
        <f t="shared" si="399"/>
        <v>7709</v>
      </c>
      <c r="V904" s="13"/>
      <c r="W904" s="13">
        <f t="shared" si="400"/>
        <v>0</v>
      </c>
    </row>
    <row r="905" spans="2:23" s="9" customFormat="1">
      <c r="B905" s="9">
        <v>12</v>
      </c>
      <c r="C905" s="9" t="s">
        <v>758</v>
      </c>
      <c r="G905" s="9">
        <v>1994</v>
      </c>
      <c r="H905" s="9">
        <v>4</v>
      </c>
      <c r="I905" s="9">
        <v>0</v>
      </c>
      <c r="J905" s="9" t="s">
        <v>78</v>
      </c>
      <c r="K905" s="158" t="s">
        <v>449</v>
      </c>
      <c r="L905" s="9">
        <f t="shared" si="392"/>
        <v>2004</v>
      </c>
      <c r="M905" s="127">
        <f t="shared" si="393"/>
        <v>2004.3333333333333</v>
      </c>
      <c r="N905" s="13">
        <v>3700</v>
      </c>
      <c r="O905" s="13">
        <f t="shared" si="394"/>
        <v>3700</v>
      </c>
      <c r="P905" s="13">
        <f t="shared" si="395"/>
        <v>30.833333333333332</v>
      </c>
      <c r="Q905" s="13">
        <f t="shared" si="396"/>
        <v>370</v>
      </c>
      <c r="R905" s="13"/>
      <c r="S905" s="13">
        <f t="shared" si="397"/>
        <v>0</v>
      </c>
      <c r="T905" s="13">
        <f t="shared" si="398"/>
        <v>3700</v>
      </c>
      <c r="U905" s="13">
        <f t="shared" si="399"/>
        <v>3700</v>
      </c>
      <c r="V905" s="13"/>
      <c r="W905" s="13">
        <f t="shared" si="400"/>
        <v>0</v>
      </c>
    </row>
    <row r="906" spans="2:23" s="9" customFormat="1">
      <c r="B906" s="9">
        <v>20</v>
      </c>
      <c r="C906" s="9" t="s">
        <v>758</v>
      </c>
      <c r="G906" s="9">
        <v>1995</v>
      </c>
      <c r="H906" s="9">
        <v>9</v>
      </c>
      <c r="I906" s="9">
        <v>0</v>
      </c>
      <c r="J906" s="9" t="s">
        <v>78</v>
      </c>
      <c r="K906" s="158" t="s">
        <v>449</v>
      </c>
      <c r="L906" s="9">
        <f t="shared" si="392"/>
        <v>2005</v>
      </c>
      <c r="M906" s="127">
        <f t="shared" si="393"/>
        <v>2005.75</v>
      </c>
      <c r="N906" s="13">
        <v>6059</v>
      </c>
      <c r="O906" s="13">
        <f t="shared" si="394"/>
        <v>6059</v>
      </c>
      <c r="P906" s="13">
        <f t="shared" si="395"/>
        <v>50.491666666666667</v>
      </c>
      <c r="Q906" s="13">
        <f t="shared" si="396"/>
        <v>605.9</v>
      </c>
      <c r="R906" s="13"/>
      <c r="S906" s="13">
        <f t="shared" si="397"/>
        <v>0</v>
      </c>
      <c r="T906" s="13">
        <f t="shared" si="398"/>
        <v>6059</v>
      </c>
      <c r="U906" s="13">
        <f t="shared" si="399"/>
        <v>6059</v>
      </c>
      <c r="V906" s="13"/>
      <c r="W906" s="13">
        <f t="shared" si="400"/>
        <v>0</v>
      </c>
    </row>
    <row r="907" spans="2:23" s="9" customFormat="1">
      <c r="B907" s="9">
        <v>24</v>
      </c>
      <c r="C907" s="9" t="s">
        <v>758</v>
      </c>
      <c r="G907" s="9">
        <v>1994</v>
      </c>
      <c r="H907" s="9">
        <v>5</v>
      </c>
      <c r="I907" s="9">
        <v>0</v>
      </c>
      <c r="J907" s="9" t="s">
        <v>78</v>
      </c>
      <c r="K907" s="158" t="s">
        <v>449</v>
      </c>
      <c r="L907" s="9">
        <f t="shared" si="392"/>
        <v>2004</v>
      </c>
      <c r="M907" s="127">
        <f t="shared" si="393"/>
        <v>2004.4166666666667</v>
      </c>
      <c r="N907" s="13">
        <v>6694</v>
      </c>
      <c r="O907" s="13">
        <f t="shared" si="394"/>
        <v>6694</v>
      </c>
      <c r="P907" s="13">
        <f t="shared" si="395"/>
        <v>55.783333333333331</v>
      </c>
      <c r="Q907" s="13">
        <f t="shared" si="396"/>
        <v>669.4</v>
      </c>
      <c r="R907" s="13"/>
      <c r="S907" s="13">
        <f t="shared" si="397"/>
        <v>0</v>
      </c>
      <c r="T907" s="13">
        <f t="shared" si="398"/>
        <v>6694</v>
      </c>
      <c r="U907" s="13">
        <f t="shared" si="399"/>
        <v>6694</v>
      </c>
      <c r="V907" s="13"/>
      <c r="W907" s="13">
        <f t="shared" si="400"/>
        <v>0</v>
      </c>
    </row>
    <row r="908" spans="2:23" s="9" customFormat="1">
      <c r="B908" s="9">
        <v>15</v>
      </c>
      <c r="C908" s="9" t="s">
        <v>759</v>
      </c>
      <c r="G908" s="9">
        <v>1995</v>
      </c>
      <c r="H908" s="9">
        <v>7</v>
      </c>
      <c r="I908" s="9">
        <v>0</v>
      </c>
      <c r="J908" s="9" t="s">
        <v>78</v>
      </c>
      <c r="K908" s="158" t="s">
        <v>449</v>
      </c>
      <c r="L908" s="9">
        <f t="shared" si="392"/>
        <v>2005</v>
      </c>
      <c r="M908" s="127">
        <f t="shared" si="393"/>
        <v>2005.5833333333333</v>
      </c>
      <c r="N908" s="13">
        <v>4950</v>
      </c>
      <c r="O908" s="13">
        <f t="shared" si="394"/>
        <v>4950</v>
      </c>
      <c r="P908" s="13">
        <f t="shared" si="395"/>
        <v>41.25</v>
      </c>
      <c r="Q908" s="13">
        <f t="shared" si="396"/>
        <v>495</v>
      </c>
      <c r="R908" s="13"/>
      <c r="S908" s="13">
        <f t="shared" si="397"/>
        <v>0</v>
      </c>
      <c r="T908" s="13">
        <f t="shared" si="398"/>
        <v>4950</v>
      </c>
      <c r="U908" s="13">
        <f t="shared" si="399"/>
        <v>4950</v>
      </c>
      <c r="V908" s="13"/>
      <c r="W908" s="13">
        <f t="shared" si="400"/>
        <v>0</v>
      </c>
    </row>
    <row r="909" spans="2:23" s="9" customFormat="1">
      <c r="B909" s="9">
        <v>20</v>
      </c>
      <c r="C909" s="9" t="s">
        <v>759</v>
      </c>
      <c r="G909" s="9">
        <v>1995</v>
      </c>
      <c r="H909" s="9">
        <v>6</v>
      </c>
      <c r="I909" s="9">
        <v>0</v>
      </c>
      <c r="J909" s="9" t="s">
        <v>78</v>
      </c>
      <c r="K909" s="158" t="s">
        <v>449</v>
      </c>
      <c r="L909" s="9">
        <f t="shared" si="392"/>
        <v>2005</v>
      </c>
      <c r="M909" s="127">
        <f t="shared" si="393"/>
        <v>2005.5</v>
      </c>
      <c r="N909" s="13">
        <v>6600</v>
      </c>
      <c r="O909" s="13">
        <f t="shared" si="394"/>
        <v>6600</v>
      </c>
      <c r="P909" s="13">
        <f t="shared" si="395"/>
        <v>55</v>
      </c>
      <c r="Q909" s="13">
        <f t="shared" si="396"/>
        <v>660</v>
      </c>
      <c r="R909" s="13"/>
      <c r="S909" s="13">
        <f t="shared" si="397"/>
        <v>0</v>
      </c>
      <c r="T909" s="13">
        <f t="shared" si="398"/>
        <v>6600</v>
      </c>
      <c r="U909" s="13">
        <f t="shared" si="399"/>
        <v>6600</v>
      </c>
      <c r="V909" s="13"/>
      <c r="W909" s="13">
        <f t="shared" si="400"/>
        <v>0</v>
      </c>
    </row>
    <row r="910" spans="2:23" s="9" customFormat="1">
      <c r="B910" s="9">
        <v>25</v>
      </c>
      <c r="C910" s="9" t="s">
        <v>759</v>
      </c>
      <c r="G910" s="9">
        <v>1995</v>
      </c>
      <c r="H910" s="9">
        <v>7</v>
      </c>
      <c r="I910" s="9">
        <v>0</v>
      </c>
      <c r="J910" s="9" t="s">
        <v>78</v>
      </c>
      <c r="K910" s="158" t="s">
        <v>449</v>
      </c>
      <c r="L910" s="9">
        <f t="shared" si="392"/>
        <v>2005</v>
      </c>
      <c r="M910" s="127">
        <f t="shared" si="393"/>
        <v>2005.5833333333333</v>
      </c>
      <c r="N910" s="13">
        <v>8250</v>
      </c>
      <c r="O910" s="13">
        <f t="shared" si="394"/>
        <v>8250</v>
      </c>
      <c r="P910" s="13">
        <f t="shared" si="395"/>
        <v>68.75</v>
      </c>
      <c r="Q910" s="13">
        <f t="shared" si="396"/>
        <v>825</v>
      </c>
      <c r="R910" s="13"/>
      <c r="S910" s="13">
        <f t="shared" si="397"/>
        <v>0</v>
      </c>
      <c r="T910" s="13">
        <f t="shared" si="398"/>
        <v>8250</v>
      </c>
      <c r="U910" s="13">
        <f t="shared" si="399"/>
        <v>8250</v>
      </c>
      <c r="V910" s="13"/>
      <c r="W910" s="13">
        <f t="shared" si="400"/>
        <v>0</v>
      </c>
    </row>
    <row r="911" spans="2:23" s="9" customFormat="1">
      <c r="B911" s="9">
        <v>25</v>
      </c>
      <c r="C911" s="9" t="s">
        <v>760</v>
      </c>
      <c r="G911" s="9">
        <v>1996</v>
      </c>
      <c r="H911" s="9">
        <v>6</v>
      </c>
      <c r="I911" s="9">
        <v>0</v>
      </c>
      <c r="J911" s="9" t="s">
        <v>78</v>
      </c>
      <c r="K911" s="158" t="s">
        <v>449</v>
      </c>
      <c r="L911" s="9">
        <f t="shared" si="392"/>
        <v>2006</v>
      </c>
      <c r="M911" s="127">
        <f t="shared" si="393"/>
        <v>2006.5</v>
      </c>
      <c r="N911" s="13">
        <v>11220</v>
      </c>
      <c r="O911" s="13">
        <f t="shared" si="394"/>
        <v>11220</v>
      </c>
      <c r="P911" s="13">
        <f t="shared" si="395"/>
        <v>93.5</v>
      </c>
      <c r="Q911" s="13">
        <f t="shared" si="396"/>
        <v>1122</v>
      </c>
      <c r="R911" s="13"/>
      <c r="S911" s="13">
        <f t="shared" si="397"/>
        <v>0</v>
      </c>
      <c r="T911" s="13">
        <f t="shared" si="398"/>
        <v>11220</v>
      </c>
      <c r="U911" s="13">
        <f t="shared" si="399"/>
        <v>11220</v>
      </c>
      <c r="V911" s="13"/>
      <c r="W911" s="13">
        <f t="shared" si="400"/>
        <v>0</v>
      </c>
    </row>
    <row r="912" spans="2:23" s="9" customFormat="1">
      <c r="B912" s="9">
        <v>2</v>
      </c>
      <c r="C912" s="9" t="s">
        <v>761</v>
      </c>
      <c r="G912" s="9">
        <v>1999</v>
      </c>
      <c r="H912" s="9">
        <v>6</v>
      </c>
      <c r="I912" s="9">
        <v>0</v>
      </c>
      <c r="J912" s="9" t="s">
        <v>78</v>
      </c>
      <c r="K912" s="158" t="s">
        <v>449</v>
      </c>
      <c r="L912" s="9">
        <f t="shared" si="392"/>
        <v>2009</v>
      </c>
      <c r="M912" s="127">
        <f t="shared" si="393"/>
        <v>2009.5</v>
      </c>
      <c r="N912" s="13">
        <v>599.85</v>
      </c>
      <c r="O912" s="13">
        <f t="shared" si="394"/>
        <v>599.85</v>
      </c>
      <c r="P912" s="13">
        <f t="shared" si="395"/>
        <v>4.9987500000000002</v>
      </c>
      <c r="Q912" s="13">
        <f t="shared" si="396"/>
        <v>59.984999999999999</v>
      </c>
      <c r="R912" s="13"/>
      <c r="S912" s="13">
        <f t="shared" si="397"/>
        <v>0</v>
      </c>
      <c r="T912" s="13">
        <f t="shared" si="398"/>
        <v>599.85</v>
      </c>
      <c r="U912" s="13">
        <f t="shared" si="399"/>
        <v>599.85</v>
      </c>
      <c r="V912" s="13"/>
      <c r="W912" s="13">
        <f t="shared" si="400"/>
        <v>0</v>
      </c>
    </row>
    <row r="913" spans="2:23" s="9" customFormat="1">
      <c r="B913" s="9">
        <v>10</v>
      </c>
      <c r="C913" s="9" t="s">
        <v>762</v>
      </c>
      <c r="G913" s="9">
        <v>1994</v>
      </c>
      <c r="H913" s="9">
        <v>1</v>
      </c>
      <c r="I913" s="9">
        <v>0</v>
      </c>
      <c r="J913" s="9" t="s">
        <v>78</v>
      </c>
      <c r="K913" s="158" t="s">
        <v>449</v>
      </c>
      <c r="L913" s="9">
        <f t="shared" si="392"/>
        <v>2004</v>
      </c>
      <c r="M913" s="127">
        <f t="shared" si="393"/>
        <v>2004.0833333333333</v>
      </c>
      <c r="N913" s="13">
        <v>3104</v>
      </c>
      <c r="O913" s="13">
        <f t="shared" si="394"/>
        <v>3104</v>
      </c>
      <c r="P913" s="13">
        <f t="shared" si="395"/>
        <v>25.866666666666664</v>
      </c>
      <c r="Q913" s="13">
        <f t="shared" si="396"/>
        <v>310.39999999999998</v>
      </c>
      <c r="R913" s="13"/>
      <c r="S913" s="13">
        <f t="shared" si="397"/>
        <v>0</v>
      </c>
      <c r="T913" s="13">
        <f t="shared" si="398"/>
        <v>3104</v>
      </c>
      <c r="U913" s="13">
        <f t="shared" si="399"/>
        <v>3104</v>
      </c>
      <c r="V913" s="13"/>
      <c r="W913" s="13">
        <f t="shared" si="400"/>
        <v>0</v>
      </c>
    </row>
    <row r="914" spans="2:23" s="9" customFormat="1">
      <c r="B914" s="9">
        <v>20</v>
      </c>
      <c r="C914" s="9" t="s">
        <v>762</v>
      </c>
      <c r="G914" s="9">
        <v>1994</v>
      </c>
      <c r="H914" s="9">
        <v>7</v>
      </c>
      <c r="I914" s="9">
        <v>0</v>
      </c>
      <c r="J914" s="9" t="s">
        <v>78</v>
      </c>
      <c r="K914" s="158" t="s">
        <v>449</v>
      </c>
      <c r="L914" s="9">
        <f t="shared" si="392"/>
        <v>2004</v>
      </c>
      <c r="M914" s="127">
        <f t="shared" si="393"/>
        <v>2004.5833333333333</v>
      </c>
      <c r="N914" s="13">
        <v>6167</v>
      </c>
      <c r="O914" s="13">
        <f t="shared" si="394"/>
        <v>6167</v>
      </c>
      <c r="P914" s="13">
        <f t="shared" si="395"/>
        <v>51.391666666666673</v>
      </c>
      <c r="Q914" s="13">
        <f t="shared" si="396"/>
        <v>616.70000000000005</v>
      </c>
      <c r="R914" s="13"/>
      <c r="S914" s="13">
        <f t="shared" si="397"/>
        <v>0</v>
      </c>
      <c r="T914" s="13">
        <f t="shared" si="398"/>
        <v>6167</v>
      </c>
      <c r="U914" s="13">
        <f t="shared" si="399"/>
        <v>6167</v>
      </c>
      <c r="V914" s="13"/>
      <c r="W914" s="13">
        <f t="shared" si="400"/>
        <v>0</v>
      </c>
    </row>
    <row r="915" spans="2:23" s="9" customFormat="1">
      <c r="B915" s="9">
        <v>15</v>
      </c>
      <c r="C915" s="9" t="s">
        <v>763</v>
      </c>
      <c r="G915" s="9">
        <v>1994</v>
      </c>
      <c r="H915" s="9">
        <v>4</v>
      </c>
      <c r="I915" s="9">
        <v>0</v>
      </c>
      <c r="J915" s="9" t="s">
        <v>78</v>
      </c>
      <c r="K915" s="158" t="s">
        <v>449</v>
      </c>
      <c r="L915" s="9">
        <f t="shared" si="392"/>
        <v>2004</v>
      </c>
      <c r="M915" s="127">
        <f t="shared" si="393"/>
        <v>2004.3333333333333</v>
      </c>
      <c r="N915" s="13">
        <v>4185</v>
      </c>
      <c r="O915" s="13">
        <f t="shared" si="394"/>
        <v>4185</v>
      </c>
      <c r="P915" s="13">
        <f t="shared" si="395"/>
        <v>34.875</v>
      </c>
      <c r="Q915" s="13">
        <f t="shared" si="396"/>
        <v>418.5</v>
      </c>
      <c r="R915" s="13"/>
      <c r="S915" s="13">
        <f t="shared" si="397"/>
        <v>0</v>
      </c>
      <c r="T915" s="13">
        <f t="shared" si="398"/>
        <v>4185</v>
      </c>
      <c r="U915" s="13">
        <f t="shared" si="399"/>
        <v>4185</v>
      </c>
      <c r="V915" s="13"/>
      <c r="W915" s="13">
        <f t="shared" si="400"/>
        <v>0</v>
      </c>
    </row>
    <row r="916" spans="2:23" s="9" customFormat="1">
      <c r="B916" s="9">
        <v>0</v>
      </c>
      <c r="C916" s="9" t="s">
        <v>764</v>
      </c>
      <c r="G916" s="9">
        <v>1995</v>
      </c>
      <c r="H916" s="9">
        <v>9</v>
      </c>
      <c r="I916" s="9">
        <v>0</v>
      </c>
      <c r="J916" s="9" t="s">
        <v>78</v>
      </c>
      <c r="K916" s="158" t="s">
        <v>449</v>
      </c>
      <c r="L916" s="9">
        <f t="shared" si="392"/>
        <v>2005</v>
      </c>
      <c r="M916" s="127">
        <f t="shared" si="393"/>
        <v>2005.75</v>
      </c>
      <c r="N916" s="13">
        <v>7752</v>
      </c>
      <c r="O916" s="13">
        <f t="shared" si="394"/>
        <v>7752</v>
      </c>
      <c r="P916" s="13">
        <f t="shared" si="395"/>
        <v>64.600000000000009</v>
      </c>
      <c r="Q916" s="13">
        <f t="shared" si="396"/>
        <v>775.2</v>
      </c>
      <c r="R916" s="13"/>
      <c r="S916" s="13">
        <f t="shared" si="397"/>
        <v>0</v>
      </c>
      <c r="T916" s="13">
        <f t="shared" si="398"/>
        <v>7752</v>
      </c>
      <c r="U916" s="13">
        <f t="shared" si="399"/>
        <v>7752</v>
      </c>
      <c r="V916" s="13"/>
      <c r="W916" s="13">
        <f t="shared" si="400"/>
        <v>0</v>
      </c>
    </row>
    <row r="917" spans="2:23" s="9" customFormat="1">
      <c r="B917" s="9">
        <v>18</v>
      </c>
      <c r="C917" s="9" t="s">
        <v>765</v>
      </c>
      <c r="G917" s="9">
        <v>1994</v>
      </c>
      <c r="H917" s="9">
        <v>10</v>
      </c>
      <c r="I917" s="9">
        <v>0</v>
      </c>
      <c r="J917" s="9" t="s">
        <v>78</v>
      </c>
      <c r="K917" s="158" t="s">
        <v>449</v>
      </c>
      <c r="L917" s="9">
        <f t="shared" si="392"/>
        <v>2004</v>
      </c>
      <c r="M917" s="127">
        <f t="shared" si="393"/>
        <v>2004.8333333333333</v>
      </c>
      <c r="N917" s="13">
        <v>5551</v>
      </c>
      <c r="O917" s="13">
        <f t="shared" si="394"/>
        <v>5551</v>
      </c>
      <c r="P917" s="13">
        <f t="shared" si="395"/>
        <v>46.258333333333333</v>
      </c>
      <c r="Q917" s="13">
        <f t="shared" si="396"/>
        <v>555.1</v>
      </c>
      <c r="R917" s="13"/>
      <c r="S917" s="13">
        <f t="shared" si="397"/>
        <v>0</v>
      </c>
      <c r="T917" s="13">
        <f t="shared" si="398"/>
        <v>5551</v>
      </c>
      <c r="U917" s="13">
        <f t="shared" si="399"/>
        <v>5551</v>
      </c>
      <c r="V917" s="13"/>
      <c r="W917" s="13">
        <f t="shared" si="400"/>
        <v>0</v>
      </c>
    </row>
    <row r="918" spans="2:23" s="9" customFormat="1">
      <c r="K918" s="158"/>
      <c r="M918" s="146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2:23" s="9" customFormat="1">
      <c r="B919" s="9">
        <f>SUM(B903:B918)</f>
        <v>246</v>
      </c>
      <c r="C919" s="9" t="s">
        <v>766</v>
      </c>
      <c r="K919" s="158"/>
      <c r="M919" s="146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2:23" s="9" customFormat="1">
      <c r="K920" s="158"/>
      <c r="M920" s="146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2:23" s="9" customFormat="1">
      <c r="B921" s="9">
        <v>25</v>
      </c>
      <c r="C921" s="9" t="s">
        <v>767</v>
      </c>
      <c r="G921" s="9">
        <v>1998</v>
      </c>
      <c r="H921" s="9">
        <v>7</v>
      </c>
      <c r="I921" s="9">
        <v>0</v>
      </c>
      <c r="J921" s="9" t="s">
        <v>78</v>
      </c>
      <c r="K921" s="158" t="s">
        <v>449</v>
      </c>
      <c r="L921" s="9">
        <f>G921+K921</f>
        <v>2008</v>
      </c>
      <c r="M921" s="127">
        <f>+L921+(H921/12)</f>
        <v>2008.5833333333333</v>
      </c>
      <c r="N921" s="13">
        <v>10181.25</v>
      </c>
      <c r="O921" s="13">
        <f>N921-N921*I921</f>
        <v>10181.25</v>
      </c>
      <c r="P921" s="13">
        <f>O921/K921/12</f>
        <v>84.84375</v>
      </c>
      <c r="Q921" s="13">
        <f>P921*12</f>
        <v>1018.125</v>
      </c>
      <c r="R921" s="13"/>
      <c r="S921" s="13">
        <f>+IF(M921&lt;=$O$5,0,IF(L921&gt;$O$4,Q921,(P921*H921)))</f>
        <v>0</v>
      </c>
      <c r="T921" s="13">
        <f>+IF(S921=0,N921,IF($O$3-G921&lt;1,0,(($O$3-G921)*Q921)))</f>
        <v>10181.25</v>
      </c>
      <c r="U921" s="13">
        <f>+IF(S921=0,T921,T921+S921)</f>
        <v>10181.25</v>
      </c>
      <c r="V921" s="13"/>
      <c r="W921" s="13">
        <f>+N921-U921</f>
        <v>0</v>
      </c>
    </row>
    <row r="922" spans="2:23" s="9" customFormat="1">
      <c r="B922" s="9">
        <v>60</v>
      </c>
      <c r="C922" s="9" t="s">
        <v>767</v>
      </c>
      <c r="G922" s="9">
        <v>1998</v>
      </c>
      <c r="H922" s="9">
        <v>5</v>
      </c>
      <c r="I922" s="9">
        <v>0</v>
      </c>
      <c r="J922" s="9" t="s">
        <v>78</v>
      </c>
      <c r="K922" s="158" t="s">
        <v>449</v>
      </c>
      <c r="L922" s="9">
        <f>G922+K922</f>
        <v>2008</v>
      </c>
      <c r="M922" s="127">
        <f>+L922+(H922/12)</f>
        <v>2008.4166666666667</v>
      </c>
      <c r="N922" s="13">
        <v>20851.2</v>
      </c>
      <c r="O922" s="13">
        <f>N922-N922*I922</f>
        <v>20851.2</v>
      </c>
      <c r="P922" s="13">
        <f>O922/K922/12</f>
        <v>173.76</v>
      </c>
      <c r="Q922" s="13">
        <f>P922*12</f>
        <v>2085.12</v>
      </c>
      <c r="R922" s="13"/>
      <c r="S922" s="13">
        <f>+IF(M922&lt;=$O$5,0,IF(L922&gt;$O$4,Q922,(P922*H922)))</f>
        <v>0</v>
      </c>
      <c r="T922" s="13">
        <f>+IF(S922=0,N922,IF($O$3-G922&lt;1,0,(($O$3-G922)*Q922)))</f>
        <v>20851.2</v>
      </c>
      <c r="U922" s="13">
        <f>+IF(S922=0,T922,T922+S922)</f>
        <v>20851.2</v>
      </c>
      <c r="V922" s="13"/>
      <c r="W922" s="13">
        <f>+N922-U922</f>
        <v>0</v>
      </c>
    </row>
    <row r="923" spans="2:23" s="9" customFormat="1">
      <c r="K923" s="158"/>
      <c r="M923" s="146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2:23" s="9" customFormat="1">
      <c r="B924" s="9">
        <f>SUM(B921:B923)</f>
        <v>85</v>
      </c>
      <c r="C924" s="9" t="s">
        <v>768</v>
      </c>
      <c r="K924" s="158"/>
      <c r="M924" s="146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2:23" s="9" customFormat="1">
      <c r="K925" s="158"/>
      <c r="M925" s="146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2:23" s="9" customFormat="1">
      <c r="B926" s="9">
        <v>5</v>
      </c>
      <c r="C926" s="9" t="s">
        <v>769</v>
      </c>
      <c r="G926" s="9">
        <v>1997</v>
      </c>
      <c r="H926" s="9">
        <v>12</v>
      </c>
      <c r="I926" s="9">
        <v>0</v>
      </c>
      <c r="J926" s="9" t="s">
        <v>78</v>
      </c>
      <c r="K926" s="158" t="s">
        <v>449</v>
      </c>
      <c r="L926" s="9">
        <f t="shared" ref="L926:L950" si="401">G926+K926</f>
        <v>2007</v>
      </c>
      <c r="M926" s="127">
        <f t="shared" ref="M926:M950" si="402">+L926+(H926/12)</f>
        <v>2008</v>
      </c>
      <c r="N926" s="13">
        <v>2144.85</v>
      </c>
      <c r="O926" s="13">
        <f t="shared" ref="O926:O950" si="403">N926-N926*I926</f>
        <v>2144.85</v>
      </c>
      <c r="P926" s="13">
        <f t="shared" ref="P926:P950" si="404">O926/K926/12</f>
        <v>17.873749999999998</v>
      </c>
      <c r="Q926" s="13">
        <f t="shared" ref="Q926:Q950" si="405">P926*12</f>
        <v>214.48499999999996</v>
      </c>
      <c r="R926" s="13"/>
      <c r="S926" s="13">
        <f t="shared" ref="S926:S950" si="406">+IF(M926&lt;=$O$5,0,IF(L926&gt;$O$4,Q926,(P926*H926)))</f>
        <v>0</v>
      </c>
      <c r="T926" s="13">
        <f t="shared" ref="T926:T950" si="407">+IF(S926=0,N926,IF($O$3-G926&lt;1,0,(($O$3-G926)*Q926)))</f>
        <v>2144.85</v>
      </c>
      <c r="U926" s="13">
        <f t="shared" ref="U926:U950" si="408">+IF(S926=0,T926,T926+S926)</f>
        <v>2144.85</v>
      </c>
      <c r="V926" s="13"/>
      <c r="W926" s="13">
        <f t="shared" ref="W926:W950" si="409">+N926-U926</f>
        <v>0</v>
      </c>
    </row>
    <row r="927" spans="2:23" s="9" customFormat="1">
      <c r="B927" s="9">
        <v>5</v>
      </c>
      <c r="C927" s="9" t="s">
        <v>769</v>
      </c>
      <c r="G927" s="9">
        <v>1997</v>
      </c>
      <c r="H927" s="9">
        <v>12</v>
      </c>
      <c r="I927" s="9">
        <v>0</v>
      </c>
      <c r="J927" s="9" t="s">
        <v>78</v>
      </c>
      <c r="K927" s="158" t="s">
        <v>449</v>
      </c>
      <c r="L927" s="9">
        <f t="shared" si="401"/>
        <v>2007</v>
      </c>
      <c r="M927" s="127">
        <f t="shared" si="402"/>
        <v>2008</v>
      </c>
      <c r="N927" s="13">
        <v>2286.0300000000002</v>
      </c>
      <c r="O927" s="13">
        <f t="shared" si="403"/>
        <v>2286.0300000000002</v>
      </c>
      <c r="P927" s="13">
        <f t="shared" si="404"/>
        <v>19.050250000000002</v>
      </c>
      <c r="Q927" s="13">
        <f t="shared" si="405"/>
        <v>228.60300000000001</v>
      </c>
      <c r="R927" s="13"/>
      <c r="S927" s="13">
        <f t="shared" si="406"/>
        <v>0</v>
      </c>
      <c r="T927" s="13">
        <f t="shared" si="407"/>
        <v>2286.0300000000002</v>
      </c>
      <c r="U927" s="13">
        <f t="shared" si="408"/>
        <v>2286.0300000000002</v>
      </c>
      <c r="V927" s="13"/>
      <c r="W927" s="13">
        <f t="shared" si="409"/>
        <v>0</v>
      </c>
    </row>
    <row r="928" spans="2:23" s="9" customFormat="1">
      <c r="B928" s="9">
        <v>12</v>
      </c>
      <c r="C928" s="9" t="s">
        <v>769</v>
      </c>
      <c r="G928" s="9">
        <v>1997</v>
      </c>
      <c r="H928" s="9">
        <v>10</v>
      </c>
      <c r="I928" s="9">
        <v>0</v>
      </c>
      <c r="J928" s="9" t="s">
        <v>78</v>
      </c>
      <c r="K928" s="158" t="s">
        <v>449</v>
      </c>
      <c r="L928" s="9">
        <f t="shared" si="401"/>
        <v>2007</v>
      </c>
      <c r="M928" s="127">
        <f t="shared" si="402"/>
        <v>2007.8333333333333</v>
      </c>
      <c r="N928" s="13">
        <v>5108.54</v>
      </c>
      <c r="O928" s="13">
        <f t="shared" si="403"/>
        <v>5108.54</v>
      </c>
      <c r="P928" s="13">
        <f t="shared" si="404"/>
        <v>42.571166666666663</v>
      </c>
      <c r="Q928" s="13">
        <f t="shared" si="405"/>
        <v>510.85399999999993</v>
      </c>
      <c r="R928" s="13"/>
      <c r="S928" s="13">
        <f t="shared" si="406"/>
        <v>0</v>
      </c>
      <c r="T928" s="13">
        <f t="shared" si="407"/>
        <v>5108.54</v>
      </c>
      <c r="U928" s="13">
        <f t="shared" si="408"/>
        <v>5108.54</v>
      </c>
      <c r="V928" s="13"/>
      <c r="W928" s="13">
        <f t="shared" si="409"/>
        <v>0</v>
      </c>
    </row>
    <row r="929" spans="2:23" s="9" customFormat="1">
      <c r="B929" s="9">
        <v>15</v>
      </c>
      <c r="C929" s="9" t="s">
        <v>769</v>
      </c>
      <c r="G929" s="9">
        <v>1997</v>
      </c>
      <c r="H929" s="9">
        <v>8</v>
      </c>
      <c r="I929" s="9">
        <v>0</v>
      </c>
      <c r="J929" s="9" t="s">
        <v>78</v>
      </c>
      <c r="K929" s="158" t="s">
        <v>449</v>
      </c>
      <c r="L929" s="9">
        <f t="shared" si="401"/>
        <v>2007</v>
      </c>
      <c r="M929" s="127">
        <f t="shared" si="402"/>
        <v>2007.6666666666667</v>
      </c>
      <c r="N929" s="13">
        <v>6190.2</v>
      </c>
      <c r="O929" s="13">
        <f t="shared" si="403"/>
        <v>6190.2</v>
      </c>
      <c r="P929" s="13">
        <f t="shared" si="404"/>
        <v>51.585000000000001</v>
      </c>
      <c r="Q929" s="13">
        <f t="shared" si="405"/>
        <v>619.02</v>
      </c>
      <c r="R929" s="13"/>
      <c r="S929" s="13">
        <f t="shared" si="406"/>
        <v>0</v>
      </c>
      <c r="T929" s="13">
        <f t="shared" si="407"/>
        <v>6190.2</v>
      </c>
      <c r="U929" s="13">
        <f t="shared" si="408"/>
        <v>6190.2</v>
      </c>
      <c r="V929" s="13"/>
      <c r="W929" s="13">
        <f t="shared" si="409"/>
        <v>0</v>
      </c>
    </row>
    <row r="930" spans="2:23" s="9" customFormat="1">
      <c r="B930" s="9">
        <v>5</v>
      </c>
      <c r="C930" s="9" t="s">
        <v>770</v>
      </c>
      <c r="G930" s="9">
        <v>1996</v>
      </c>
      <c r="H930" s="9">
        <v>7</v>
      </c>
      <c r="I930" s="9">
        <v>0</v>
      </c>
      <c r="J930" s="9" t="s">
        <v>78</v>
      </c>
      <c r="K930" s="158" t="s">
        <v>449</v>
      </c>
      <c r="L930" s="9">
        <f t="shared" si="401"/>
        <v>2006</v>
      </c>
      <c r="M930" s="127">
        <f t="shared" si="402"/>
        <v>2006.5833333333333</v>
      </c>
      <c r="N930" s="13">
        <v>2055</v>
      </c>
      <c r="O930" s="13">
        <f t="shared" si="403"/>
        <v>2055</v>
      </c>
      <c r="P930" s="13">
        <f t="shared" si="404"/>
        <v>17.125</v>
      </c>
      <c r="Q930" s="13">
        <f t="shared" si="405"/>
        <v>205.5</v>
      </c>
      <c r="R930" s="13"/>
      <c r="S930" s="13">
        <f t="shared" si="406"/>
        <v>0</v>
      </c>
      <c r="T930" s="13">
        <f t="shared" si="407"/>
        <v>2055</v>
      </c>
      <c r="U930" s="13">
        <f t="shared" si="408"/>
        <v>2055</v>
      </c>
      <c r="V930" s="13"/>
      <c r="W930" s="13">
        <f t="shared" si="409"/>
        <v>0</v>
      </c>
    </row>
    <row r="931" spans="2:23" s="9" customFormat="1">
      <c r="B931" s="9">
        <v>5</v>
      </c>
      <c r="C931" s="9" t="s">
        <v>770</v>
      </c>
      <c r="G931" s="9">
        <v>1996</v>
      </c>
      <c r="H931" s="9">
        <v>7</v>
      </c>
      <c r="I931" s="9">
        <v>0</v>
      </c>
      <c r="J931" s="9" t="s">
        <v>78</v>
      </c>
      <c r="K931" s="158" t="s">
        <v>449</v>
      </c>
      <c r="L931" s="9">
        <f t="shared" si="401"/>
        <v>2006</v>
      </c>
      <c r="M931" s="127">
        <f t="shared" si="402"/>
        <v>2006.5833333333333</v>
      </c>
      <c r="N931" s="13">
        <v>2186</v>
      </c>
      <c r="O931" s="13">
        <f t="shared" si="403"/>
        <v>2186</v>
      </c>
      <c r="P931" s="13">
        <f t="shared" si="404"/>
        <v>18.216666666666665</v>
      </c>
      <c r="Q931" s="13">
        <f t="shared" si="405"/>
        <v>218.59999999999997</v>
      </c>
      <c r="R931" s="13"/>
      <c r="S931" s="13">
        <f t="shared" si="406"/>
        <v>0</v>
      </c>
      <c r="T931" s="13">
        <f t="shared" si="407"/>
        <v>2186</v>
      </c>
      <c r="U931" s="13">
        <f t="shared" si="408"/>
        <v>2186</v>
      </c>
      <c r="V931" s="13"/>
      <c r="W931" s="13">
        <f t="shared" si="409"/>
        <v>0</v>
      </c>
    </row>
    <row r="932" spans="2:23" s="9" customFormat="1">
      <c r="B932" s="9">
        <v>10</v>
      </c>
      <c r="C932" s="9" t="s">
        <v>770</v>
      </c>
      <c r="G932" s="9">
        <v>1996</v>
      </c>
      <c r="H932" s="9">
        <v>9</v>
      </c>
      <c r="I932" s="9">
        <v>0</v>
      </c>
      <c r="J932" s="9" t="s">
        <v>78</v>
      </c>
      <c r="K932" s="158" t="s">
        <v>449</v>
      </c>
      <c r="L932" s="9">
        <f t="shared" si="401"/>
        <v>2006</v>
      </c>
      <c r="M932" s="127">
        <f t="shared" si="402"/>
        <v>2006.75</v>
      </c>
      <c r="N932" s="13">
        <v>4155</v>
      </c>
      <c r="O932" s="13">
        <f t="shared" si="403"/>
        <v>4155</v>
      </c>
      <c r="P932" s="13">
        <f t="shared" si="404"/>
        <v>34.625</v>
      </c>
      <c r="Q932" s="13">
        <f t="shared" si="405"/>
        <v>415.5</v>
      </c>
      <c r="R932" s="13"/>
      <c r="S932" s="13">
        <f t="shared" si="406"/>
        <v>0</v>
      </c>
      <c r="T932" s="13">
        <f t="shared" si="407"/>
        <v>4155</v>
      </c>
      <c r="U932" s="13">
        <f t="shared" si="408"/>
        <v>4155</v>
      </c>
      <c r="V932" s="13"/>
      <c r="W932" s="13">
        <f t="shared" si="409"/>
        <v>0</v>
      </c>
    </row>
    <row r="933" spans="2:23" s="9" customFormat="1">
      <c r="B933" s="9">
        <v>11</v>
      </c>
      <c r="C933" s="9" t="s">
        <v>771</v>
      </c>
      <c r="G933" s="9">
        <v>1994</v>
      </c>
      <c r="H933" s="9">
        <v>8</v>
      </c>
      <c r="I933" s="9">
        <v>0</v>
      </c>
      <c r="J933" s="9" t="s">
        <v>78</v>
      </c>
      <c r="K933" s="158" t="s">
        <v>449</v>
      </c>
      <c r="L933" s="9">
        <f t="shared" si="401"/>
        <v>2004</v>
      </c>
      <c r="M933" s="127">
        <f t="shared" si="402"/>
        <v>2004.6666666666667</v>
      </c>
      <c r="N933" s="13">
        <v>4003</v>
      </c>
      <c r="O933" s="13">
        <f t="shared" si="403"/>
        <v>4003</v>
      </c>
      <c r="P933" s="13">
        <f t="shared" si="404"/>
        <v>33.358333333333334</v>
      </c>
      <c r="Q933" s="13">
        <f t="shared" si="405"/>
        <v>400.3</v>
      </c>
      <c r="R933" s="13"/>
      <c r="S933" s="13">
        <f t="shared" si="406"/>
        <v>0</v>
      </c>
      <c r="T933" s="13">
        <f t="shared" si="407"/>
        <v>4003</v>
      </c>
      <c r="U933" s="13">
        <f t="shared" si="408"/>
        <v>4003</v>
      </c>
      <c r="V933" s="13"/>
      <c r="W933" s="13">
        <f t="shared" si="409"/>
        <v>0</v>
      </c>
    </row>
    <row r="934" spans="2:23" s="9" customFormat="1">
      <c r="B934" s="9">
        <v>5</v>
      </c>
      <c r="C934" s="9" t="s">
        <v>772</v>
      </c>
      <c r="G934" s="9">
        <v>1998</v>
      </c>
      <c r="H934" s="9">
        <v>9</v>
      </c>
      <c r="I934" s="9">
        <v>0</v>
      </c>
      <c r="J934" s="9" t="s">
        <v>78</v>
      </c>
      <c r="K934" s="158" t="s">
        <v>449</v>
      </c>
      <c r="L934" s="9">
        <f t="shared" si="401"/>
        <v>2008</v>
      </c>
      <c r="M934" s="127">
        <f t="shared" si="402"/>
        <v>2008.75</v>
      </c>
      <c r="N934" s="13">
        <v>2144.85</v>
      </c>
      <c r="O934" s="13">
        <f t="shared" si="403"/>
        <v>2144.85</v>
      </c>
      <c r="P934" s="13">
        <f t="shared" si="404"/>
        <v>17.873749999999998</v>
      </c>
      <c r="Q934" s="13">
        <f t="shared" si="405"/>
        <v>214.48499999999996</v>
      </c>
      <c r="R934" s="13"/>
      <c r="S934" s="13">
        <f t="shared" si="406"/>
        <v>0</v>
      </c>
      <c r="T934" s="13">
        <f t="shared" si="407"/>
        <v>2144.85</v>
      </c>
      <c r="U934" s="13">
        <f t="shared" si="408"/>
        <v>2144.85</v>
      </c>
      <c r="V934" s="13"/>
      <c r="W934" s="13">
        <f t="shared" si="409"/>
        <v>0</v>
      </c>
    </row>
    <row r="935" spans="2:23" s="9" customFormat="1">
      <c r="B935" s="9">
        <v>5</v>
      </c>
      <c r="C935" s="9" t="s">
        <v>772</v>
      </c>
      <c r="G935" s="9">
        <v>1998</v>
      </c>
      <c r="H935" s="9">
        <v>9</v>
      </c>
      <c r="I935" s="9">
        <v>0</v>
      </c>
      <c r="J935" s="9" t="s">
        <v>78</v>
      </c>
      <c r="K935" s="158" t="s">
        <v>449</v>
      </c>
      <c r="L935" s="9">
        <f t="shared" si="401"/>
        <v>2008</v>
      </c>
      <c r="M935" s="127">
        <f t="shared" si="402"/>
        <v>2008.75</v>
      </c>
      <c r="N935" s="13">
        <v>2286.0300000000002</v>
      </c>
      <c r="O935" s="13">
        <f t="shared" si="403"/>
        <v>2286.0300000000002</v>
      </c>
      <c r="P935" s="13">
        <f t="shared" si="404"/>
        <v>19.050250000000002</v>
      </c>
      <c r="Q935" s="13">
        <f t="shared" si="405"/>
        <v>228.60300000000001</v>
      </c>
      <c r="R935" s="13"/>
      <c r="S935" s="13">
        <f t="shared" si="406"/>
        <v>0</v>
      </c>
      <c r="T935" s="13">
        <f t="shared" si="407"/>
        <v>2286.0300000000002</v>
      </c>
      <c r="U935" s="13">
        <f t="shared" si="408"/>
        <v>2286.0300000000002</v>
      </c>
      <c r="V935" s="13"/>
      <c r="W935" s="13">
        <f t="shared" si="409"/>
        <v>0</v>
      </c>
    </row>
    <row r="936" spans="2:23" s="9" customFormat="1">
      <c r="B936" s="9">
        <v>9</v>
      </c>
      <c r="C936" s="9" t="s">
        <v>772</v>
      </c>
      <c r="G936" s="9">
        <v>1998</v>
      </c>
      <c r="H936" s="9">
        <v>6</v>
      </c>
      <c r="I936" s="9">
        <v>0</v>
      </c>
      <c r="J936" s="9" t="s">
        <v>78</v>
      </c>
      <c r="K936" s="158" t="s">
        <v>449</v>
      </c>
      <c r="L936" s="9">
        <f t="shared" si="401"/>
        <v>2008</v>
      </c>
      <c r="M936" s="127">
        <f t="shared" si="402"/>
        <v>2008.5</v>
      </c>
      <c r="N936" s="13">
        <v>4235.3999999999996</v>
      </c>
      <c r="O936" s="13">
        <f t="shared" si="403"/>
        <v>4235.3999999999996</v>
      </c>
      <c r="P936" s="13">
        <f t="shared" si="404"/>
        <v>35.294999999999995</v>
      </c>
      <c r="Q936" s="13">
        <f t="shared" si="405"/>
        <v>423.53999999999996</v>
      </c>
      <c r="R936" s="13"/>
      <c r="S936" s="13">
        <f t="shared" si="406"/>
        <v>0</v>
      </c>
      <c r="T936" s="13">
        <f t="shared" si="407"/>
        <v>4235.3999999999996</v>
      </c>
      <c r="U936" s="13">
        <f t="shared" si="408"/>
        <v>4235.3999999999996</v>
      </c>
      <c r="V936" s="13"/>
      <c r="W936" s="13">
        <f t="shared" si="409"/>
        <v>0</v>
      </c>
    </row>
    <row r="937" spans="2:23" s="9" customFormat="1">
      <c r="B937" s="9">
        <v>6</v>
      </c>
      <c r="C937" s="9" t="s">
        <v>498</v>
      </c>
      <c r="G937" s="9">
        <v>2001</v>
      </c>
      <c r="H937" s="9">
        <v>2</v>
      </c>
      <c r="I937" s="9">
        <v>0</v>
      </c>
      <c r="J937" s="9" t="s">
        <v>78</v>
      </c>
      <c r="K937" s="158" t="s">
        <v>449</v>
      </c>
      <c r="L937" s="9">
        <f t="shared" si="401"/>
        <v>2011</v>
      </c>
      <c r="M937" s="127">
        <f t="shared" si="402"/>
        <v>2011.1666666666667</v>
      </c>
      <c r="N937" s="13">
        <v>2253.4499999999998</v>
      </c>
      <c r="O937" s="13">
        <f t="shared" si="403"/>
        <v>2253.4499999999998</v>
      </c>
      <c r="P937" s="13">
        <f t="shared" si="404"/>
        <v>18.778749999999999</v>
      </c>
      <c r="Q937" s="13">
        <f t="shared" si="405"/>
        <v>225.34499999999997</v>
      </c>
      <c r="R937" s="13"/>
      <c r="S937" s="13">
        <f t="shared" si="406"/>
        <v>0</v>
      </c>
      <c r="T937" s="13">
        <f t="shared" si="407"/>
        <v>2253.4499999999998</v>
      </c>
      <c r="U937" s="13">
        <f t="shared" si="408"/>
        <v>2253.4499999999998</v>
      </c>
      <c r="V937" s="13"/>
      <c r="W937" s="13">
        <f t="shared" si="409"/>
        <v>0</v>
      </c>
    </row>
    <row r="938" spans="2:23" s="9" customFormat="1">
      <c r="B938" s="9">
        <v>6</v>
      </c>
      <c r="C938" s="9" t="s">
        <v>498</v>
      </c>
      <c r="G938" s="9">
        <v>2001</v>
      </c>
      <c r="H938" s="9">
        <v>3</v>
      </c>
      <c r="I938" s="9">
        <v>0</v>
      </c>
      <c r="J938" s="9" t="s">
        <v>78</v>
      </c>
      <c r="K938" s="158" t="s">
        <v>449</v>
      </c>
      <c r="L938" s="9">
        <f t="shared" si="401"/>
        <v>2011</v>
      </c>
      <c r="M938" s="127">
        <f t="shared" si="402"/>
        <v>2011.25</v>
      </c>
      <c r="N938" s="13">
        <v>2253.4499999999998</v>
      </c>
      <c r="O938" s="13">
        <f t="shared" si="403"/>
        <v>2253.4499999999998</v>
      </c>
      <c r="P938" s="13">
        <f t="shared" si="404"/>
        <v>18.778749999999999</v>
      </c>
      <c r="Q938" s="13">
        <f t="shared" si="405"/>
        <v>225.34499999999997</v>
      </c>
      <c r="R938" s="13"/>
      <c r="S938" s="13">
        <f t="shared" si="406"/>
        <v>0</v>
      </c>
      <c r="T938" s="13">
        <f t="shared" si="407"/>
        <v>2253.4499999999998</v>
      </c>
      <c r="U938" s="13">
        <f t="shared" si="408"/>
        <v>2253.4499999999998</v>
      </c>
      <c r="V938" s="13"/>
      <c r="W938" s="13">
        <f t="shared" si="409"/>
        <v>0</v>
      </c>
    </row>
    <row r="939" spans="2:23" s="9" customFormat="1">
      <c r="B939" s="9">
        <v>6</v>
      </c>
      <c r="C939" s="9" t="s">
        <v>498</v>
      </c>
      <c r="G939" s="9">
        <v>2001</v>
      </c>
      <c r="H939" s="9">
        <v>6</v>
      </c>
      <c r="I939" s="9">
        <v>0</v>
      </c>
      <c r="J939" s="9" t="s">
        <v>78</v>
      </c>
      <c r="K939" s="158" t="s">
        <v>449</v>
      </c>
      <c r="L939" s="9">
        <f t="shared" si="401"/>
        <v>2011</v>
      </c>
      <c r="M939" s="127">
        <f t="shared" si="402"/>
        <v>2011.5</v>
      </c>
      <c r="N939" s="13">
        <v>2366.4</v>
      </c>
      <c r="O939" s="13">
        <f t="shared" si="403"/>
        <v>2366.4</v>
      </c>
      <c r="P939" s="13">
        <f t="shared" si="404"/>
        <v>19.720000000000002</v>
      </c>
      <c r="Q939" s="13">
        <f t="shared" si="405"/>
        <v>236.64000000000004</v>
      </c>
      <c r="R939" s="13"/>
      <c r="S939" s="13">
        <f t="shared" si="406"/>
        <v>0</v>
      </c>
      <c r="T939" s="13">
        <f t="shared" si="407"/>
        <v>2366.4</v>
      </c>
      <c r="U939" s="13">
        <f t="shared" si="408"/>
        <v>2366.4</v>
      </c>
      <c r="V939" s="13"/>
      <c r="W939" s="13">
        <f t="shared" si="409"/>
        <v>0</v>
      </c>
    </row>
    <row r="940" spans="2:23" s="9" customFormat="1">
      <c r="B940" s="9">
        <v>6</v>
      </c>
      <c r="C940" s="9" t="s">
        <v>498</v>
      </c>
      <c r="G940" s="9">
        <v>2000</v>
      </c>
      <c r="H940" s="9">
        <v>9</v>
      </c>
      <c r="I940" s="9">
        <v>0</v>
      </c>
      <c r="J940" s="9" t="s">
        <v>78</v>
      </c>
      <c r="K940" s="158" t="s">
        <v>449</v>
      </c>
      <c r="L940" s="9">
        <f t="shared" si="401"/>
        <v>2010</v>
      </c>
      <c r="M940" s="127">
        <f t="shared" si="402"/>
        <v>2010.75</v>
      </c>
      <c r="N940" s="13">
        <v>2394.63</v>
      </c>
      <c r="O940" s="13">
        <f t="shared" si="403"/>
        <v>2394.63</v>
      </c>
      <c r="P940" s="13">
        <f t="shared" si="404"/>
        <v>19.955250000000003</v>
      </c>
      <c r="Q940" s="13">
        <f t="shared" si="405"/>
        <v>239.46300000000002</v>
      </c>
      <c r="R940" s="13"/>
      <c r="S940" s="13">
        <f t="shared" si="406"/>
        <v>0</v>
      </c>
      <c r="T940" s="13">
        <f t="shared" si="407"/>
        <v>2394.63</v>
      </c>
      <c r="U940" s="13">
        <f t="shared" si="408"/>
        <v>2394.63</v>
      </c>
      <c r="V940" s="13"/>
      <c r="W940" s="13">
        <f t="shared" si="409"/>
        <v>0</v>
      </c>
    </row>
    <row r="941" spans="2:23" s="9" customFormat="1">
      <c r="B941" s="9">
        <v>7</v>
      </c>
      <c r="C941" s="9" t="s">
        <v>498</v>
      </c>
      <c r="G941" s="9">
        <v>2001</v>
      </c>
      <c r="H941" s="9">
        <v>2</v>
      </c>
      <c r="I941" s="9">
        <v>0</v>
      </c>
      <c r="J941" s="9" t="s">
        <v>78</v>
      </c>
      <c r="K941" s="158" t="s">
        <v>449</v>
      </c>
      <c r="L941" s="9">
        <f t="shared" si="401"/>
        <v>2011</v>
      </c>
      <c r="M941" s="127">
        <f t="shared" si="402"/>
        <v>2011.1666666666667</v>
      </c>
      <c r="N941" s="13">
        <v>2459.79</v>
      </c>
      <c r="O941" s="13">
        <f t="shared" si="403"/>
        <v>2459.79</v>
      </c>
      <c r="P941" s="13">
        <f t="shared" si="404"/>
        <v>20.498249999999999</v>
      </c>
      <c r="Q941" s="13">
        <f t="shared" si="405"/>
        <v>245.97899999999998</v>
      </c>
      <c r="R941" s="13"/>
      <c r="S941" s="13">
        <f t="shared" si="406"/>
        <v>0</v>
      </c>
      <c r="T941" s="13">
        <f t="shared" si="407"/>
        <v>2459.79</v>
      </c>
      <c r="U941" s="13">
        <f t="shared" si="408"/>
        <v>2459.79</v>
      </c>
      <c r="V941" s="13"/>
      <c r="W941" s="13">
        <f t="shared" si="409"/>
        <v>0</v>
      </c>
    </row>
    <row r="942" spans="2:23" s="9" customFormat="1">
      <c r="B942" s="9">
        <v>7</v>
      </c>
      <c r="C942" s="9" t="s">
        <v>498</v>
      </c>
      <c r="G942" s="9">
        <v>2001</v>
      </c>
      <c r="H942" s="9">
        <v>3</v>
      </c>
      <c r="I942" s="9">
        <v>0</v>
      </c>
      <c r="J942" s="9" t="s">
        <v>78</v>
      </c>
      <c r="K942" s="158" t="s">
        <v>449</v>
      </c>
      <c r="L942" s="9">
        <f t="shared" si="401"/>
        <v>2011</v>
      </c>
      <c r="M942" s="127">
        <f t="shared" si="402"/>
        <v>2011.25</v>
      </c>
      <c r="N942" s="13">
        <v>2459.79</v>
      </c>
      <c r="O942" s="13">
        <f t="shared" si="403"/>
        <v>2459.79</v>
      </c>
      <c r="P942" s="13">
        <f t="shared" si="404"/>
        <v>20.498249999999999</v>
      </c>
      <c r="Q942" s="13">
        <f t="shared" si="405"/>
        <v>245.97899999999998</v>
      </c>
      <c r="R942" s="13"/>
      <c r="S942" s="13">
        <f t="shared" si="406"/>
        <v>0</v>
      </c>
      <c r="T942" s="13">
        <f t="shared" si="407"/>
        <v>2459.79</v>
      </c>
      <c r="U942" s="13">
        <f t="shared" si="408"/>
        <v>2459.79</v>
      </c>
      <c r="V942" s="13"/>
      <c r="W942" s="13">
        <f t="shared" si="409"/>
        <v>0</v>
      </c>
    </row>
    <row r="943" spans="2:23" s="9" customFormat="1">
      <c r="B943" s="9">
        <v>7</v>
      </c>
      <c r="C943" s="9" t="s">
        <v>498</v>
      </c>
      <c r="G943" s="9">
        <v>2001</v>
      </c>
      <c r="H943" s="9">
        <v>6</v>
      </c>
      <c r="I943" s="9">
        <v>0</v>
      </c>
      <c r="J943" s="9" t="s">
        <v>78</v>
      </c>
      <c r="K943" s="158" t="s">
        <v>449</v>
      </c>
      <c r="L943" s="9">
        <f t="shared" si="401"/>
        <v>2011</v>
      </c>
      <c r="M943" s="127">
        <f t="shared" si="402"/>
        <v>2011.5</v>
      </c>
      <c r="N943" s="13">
        <v>2464.3200000000002</v>
      </c>
      <c r="O943" s="13">
        <f t="shared" si="403"/>
        <v>2464.3200000000002</v>
      </c>
      <c r="P943" s="13">
        <f t="shared" si="404"/>
        <v>20.536000000000001</v>
      </c>
      <c r="Q943" s="13">
        <f t="shared" si="405"/>
        <v>246.43200000000002</v>
      </c>
      <c r="R943" s="13"/>
      <c r="S943" s="13">
        <f t="shared" si="406"/>
        <v>0</v>
      </c>
      <c r="T943" s="13">
        <f t="shared" si="407"/>
        <v>2464.3200000000002</v>
      </c>
      <c r="U943" s="13">
        <f t="shared" si="408"/>
        <v>2464.3200000000002</v>
      </c>
      <c r="V943" s="13"/>
      <c r="W943" s="13">
        <f t="shared" si="409"/>
        <v>0</v>
      </c>
    </row>
    <row r="944" spans="2:23" s="9" customFormat="1">
      <c r="B944" s="9">
        <v>12</v>
      </c>
      <c r="C944" s="9" t="s">
        <v>498</v>
      </c>
      <c r="G944" s="9">
        <v>2006</v>
      </c>
      <c r="H944" s="9">
        <v>9</v>
      </c>
      <c r="I944" s="9">
        <v>0</v>
      </c>
      <c r="J944" s="9" t="s">
        <v>78</v>
      </c>
      <c r="K944" s="158" t="s">
        <v>449</v>
      </c>
      <c r="L944" s="9">
        <f t="shared" si="401"/>
        <v>2016</v>
      </c>
      <c r="M944" s="127">
        <f t="shared" si="402"/>
        <v>2016.75</v>
      </c>
      <c r="N944" s="13">
        <v>4460.8</v>
      </c>
      <c r="O944" s="13">
        <f t="shared" si="403"/>
        <v>4460.8</v>
      </c>
      <c r="P944" s="13">
        <f t="shared" si="404"/>
        <v>37.173333333333339</v>
      </c>
      <c r="Q944" s="13">
        <f t="shared" si="405"/>
        <v>446.08000000000004</v>
      </c>
      <c r="R944" s="13"/>
      <c r="S944" s="13">
        <f t="shared" si="406"/>
        <v>0</v>
      </c>
      <c r="T944" s="13">
        <f t="shared" si="407"/>
        <v>4460.8</v>
      </c>
      <c r="U944" s="13">
        <f t="shared" si="408"/>
        <v>4460.8</v>
      </c>
      <c r="V944" s="13"/>
      <c r="W944" s="13">
        <f t="shared" si="409"/>
        <v>0</v>
      </c>
    </row>
    <row r="945" spans="2:23" s="9" customFormat="1">
      <c r="B945" s="9">
        <v>13</v>
      </c>
      <c r="C945" s="9" t="s">
        <v>498</v>
      </c>
      <c r="G945" s="9">
        <v>2005</v>
      </c>
      <c r="H945" s="9">
        <v>8</v>
      </c>
      <c r="I945" s="9">
        <v>0</v>
      </c>
      <c r="J945" s="9" t="s">
        <v>78</v>
      </c>
      <c r="K945" s="158" t="s">
        <v>449</v>
      </c>
      <c r="L945" s="9">
        <f t="shared" si="401"/>
        <v>2015</v>
      </c>
      <c r="M945" s="127">
        <f t="shared" si="402"/>
        <v>2015.6666666666667</v>
      </c>
      <c r="N945" s="13">
        <v>5042.45</v>
      </c>
      <c r="O945" s="13">
        <f t="shared" si="403"/>
        <v>5042.45</v>
      </c>
      <c r="P945" s="13">
        <f t="shared" si="404"/>
        <v>42.020416666666669</v>
      </c>
      <c r="Q945" s="13">
        <f t="shared" si="405"/>
        <v>504.245</v>
      </c>
      <c r="R945" s="13"/>
      <c r="S945" s="13">
        <f t="shared" si="406"/>
        <v>0</v>
      </c>
      <c r="T945" s="13">
        <f t="shared" si="407"/>
        <v>5042.45</v>
      </c>
      <c r="U945" s="13">
        <f t="shared" si="408"/>
        <v>5042.45</v>
      </c>
      <c r="V945" s="13"/>
      <c r="W945" s="13">
        <f t="shared" si="409"/>
        <v>0</v>
      </c>
    </row>
    <row r="946" spans="2:23" s="9" customFormat="1">
      <c r="B946" s="9">
        <v>14</v>
      </c>
      <c r="C946" s="9" t="s">
        <v>498</v>
      </c>
      <c r="G946" s="9">
        <v>2003</v>
      </c>
      <c r="H946" s="9">
        <v>1</v>
      </c>
      <c r="I946" s="9">
        <v>0</v>
      </c>
      <c r="J946" s="9" t="s">
        <v>78</v>
      </c>
      <c r="K946" s="158" t="s">
        <v>449</v>
      </c>
      <c r="L946" s="9">
        <f t="shared" si="401"/>
        <v>2013</v>
      </c>
      <c r="M946" s="127">
        <f t="shared" si="402"/>
        <v>2013.0833333333333</v>
      </c>
      <c r="N946" s="13">
        <v>5255.04</v>
      </c>
      <c r="O946" s="13">
        <f t="shared" si="403"/>
        <v>5255.04</v>
      </c>
      <c r="P946" s="13">
        <f t="shared" si="404"/>
        <v>43.792000000000002</v>
      </c>
      <c r="Q946" s="13">
        <f t="shared" si="405"/>
        <v>525.50400000000002</v>
      </c>
      <c r="R946" s="13"/>
      <c r="S946" s="13">
        <f t="shared" si="406"/>
        <v>0</v>
      </c>
      <c r="T946" s="13">
        <f t="shared" si="407"/>
        <v>5255.04</v>
      </c>
      <c r="U946" s="13">
        <f t="shared" si="408"/>
        <v>5255.04</v>
      </c>
      <c r="V946" s="13"/>
      <c r="W946" s="13">
        <f t="shared" si="409"/>
        <v>0</v>
      </c>
    </row>
    <row r="947" spans="2:23" s="9" customFormat="1">
      <c r="B947" s="9">
        <v>16</v>
      </c>
      <c r="C947" s="9" t="s">
        <v>498</v>
      </c>
      <c r="G947" s="9">
        <v>2005</v>
      </c>
      <c r="H947" s="9">
        <v>1</v>
      </c>
      <c r="I947" s="9">
        <v>0</v>
      </c>
      <c r="J947" s="9" t="s">
        <v>78</v>
      </c>
      <c r="K947" s="158" t="s">
        <v>449</v>
      </c>
      <c r="L947" s="9">
        <f t="shared" si="401"/>
        <v>2015</v>
      </c>
      <c r="M947" s="127">
        <f t="shared" si="402"/>
        <v>2015.0833333333333</v>
      </c>
      <c r="N947" s="13">
        <v>6005.76</v>
      </c>
      <c r="O947" s="13">
        <f t="shared" si="403"/>
        <v>6005.76</v>
      </c>
      <c r="P947" s="13">
        <f t="shared" si="404"/>
        <v>50.048000000000002</v>
      </c>
      <c r="Q947" s="13">
        <f t="shared" si="405"/>
        <v>600.57600000000002</v>
      </c>
      <c r="R947" s="13"/>
      <c r="S947" s="13">
        <f t="shared" si="406"/>
        <v>0</v>
      </c>
      <c r="T947" s="13">
        <f t="shared" si="407"/>
        <v>6005.76</v>
      </c>
      <c r="U947" s="13">
        <f t="shared" si="408"/>
        <v>6005.76</v>
      </c>
      <c r="V947" s="13"/>
      <c r="W947" s="13">
        <f t="shared" si="409"/>
        <v>0</v>
      </c>
    </row>
    <row r="948" spans="2:23" s="9" customFormat="1">
      <c r="B948" s="9">
        <v>17</v>
      </c>
      <c r="C948" s="9" t="s">
        <v>498</v>
      </c>
      <c r="G948" s="9">
        <v>2006</v>
      </c>
      <c r="H948" s="9">
        <v>9</v>
      </c>
      <c r="I948" s="9">
        <v>0</v>
      </c>
      <c r="J948" s="9" t="s">
        <v>78</v>
      </c>
      <c r="K948" s="158" t="s">
        <v>449</v>
      </c>
      <c r="L948" s="9">
        <f t="shared" si="401"/>
        <v>2016</v>
      </c>
      <c r="M948" s="127">
        <f t="shared" si="402"/>
        <v>2016.75</v>
      </c>
      <c r="N948" s="13">
        <v>6304.96</v>
      </c>
      <c r="O948" s="13">
        <f t="shared" si="403"/>
        <v>6304.96</v>
      </c>
      <c r="P948" s="13">
        <f t="shared" si="404"/>
        <v>52.541333333333334</v>
      </c>
      <c r="Q948" s="13">
        <f t="shared" si="405"/>
        <v>630.49599999999998</v>
      </c>
      <c r="R948" s="13"/>
      <c r="S948" s="13">
        <f t="shared" si="406"/>
        <v>0</v>
      </c>
      <c r="T948" s="13">
        <f t="shared" si="407"/>
        <v>6304.96</v>
      </c>
      <c r="U948" s="13">
        <f t="shared" si="408"/>
        <v>6304.96</v>
      </c>
      <c r="V948" s="13"/>
      <c r="W948" s="13">
        <f t="shared" si="409"/>
        <v>0</v>
      </c>
    </row>
    <row r="949" spans="2:23" s="9" customFormat="1">
      <c r="B949" s="9">
        <v>17</v>
      </c>
      <c r="C949" s="9" t="s">
        <v>498</v>
      </c>
      <c r="G949" s="9">
        <v>2004</v>
      </c>
      <c r="H949" s="9">
        <v>10</v>
      </c>
      <c r="I949" s="9">
        <v>0</v>
      </c>
      <c r="J949" s="9" t="s">
        <v>78</v>
      </c>
      <c r="K949" s="158" t="s">
        <v>449</v>
      </c>
      <c r="L949" s="9">
        <f t="shared" si="401"/>
        <v>2014</v>
      </c>
      <c r="M949" s="127">
        <f t="shared" si="402"/>
        <v>2014.8333333333333</v>
      </c>
      <c r="N949" s="13">
        <v>6321.28</v>
      </c>
      <c r="O949" s="13">
        <f t="shared" si="403"/>
        <v>6321.28</v>
      </c>
      <c r="P949" s="13">
        <f t="shared" si="404"/>
        <v>52.67733333333333</v>
      </c>
      <c r="Q949" s="13">
        <f t="shared" si="405"/>
        <v>632.12799999999993</v>
      </c>
      <c r="R949" s="13"/>
      <c r="S949" s="13">
        <f t="shared" si="406"/>
        <v>0</v>
      </c>
      <c r="T949" s="13">
        <f t="shared" si="407"/>
        <v>6321.28</v>
      </c>
      <c r="U949" s="13">
        <f t="shared" si="408"/>
        <v>6321.28</v>
      </c>
      <c r="V949" s="13"/>
      <c r="W949" s="13">
        <f t="shared" si="409"/>
        <v>0</v>
      </c>
    </row>
    <row r="950" spans="2:23" s="9" customFormat="1">
      <c r="B950" s="9">
        <v>17</v>
      </c>
      <c r="C950" s="9" t="s">
        <v>498</v>
      </c>
      <c r="G950" s="9">
        <v>2001</v>
      </c>
      <c r="H950" s="9">
        <v>3</v>
      </c>
      <c r="I950" s="9">
        <v>0</v>
      </c>
      <c r="J950" s="9" t="s">
        <v>78</v>
      </c>
      <c r="K950" s="158" t="s">
        <v>449</v>
      </c>
      <c r="L950" s="9">
        <f t="shared" si="401"/>
        <v>2011</v>
      </c>
      <c r="M950" s="127">
        <f t="shared" si="402"/>
        <v>2011.25</v>
      </c>
      <c r="N950" s="13">
        <v>6516</v>
      </c>
      <c r="O950" s="13">
        <f t="shared" si="403"/>
        <v>6516</v>
      </c>
      <c r="P950" s="13">
        <f t="shared" si="404"/>
        <v>54.300000000000004</v>
      </c>
      <c r="Q950" s="13">
        <f t="shared" si="405"/>
        <v>651.6</v>
      </c>
      <c r="R950" s="13"/>
      <c r="S950" s="13">
        <f t="shared" si="406"/>
        <v>0</v>
      </c>
      <c r="T950" s="13">
        <f t="shared" si="407"/>
        <v>6516</v>
      </c>
      <c r="U950" s="13">
        <f t="shared" si="408"/>
        <v>6516</v>
      </c>
      <c r="V950" s="13"/>
      <c r="W950" s="13">
        <f t="shared" si="409"/>
        <v>0</v>
      </c>
    </row>
    <row r="951" spans="2:23" s="9" customFormat="1">
      <c r="K951" s="158"/>
      <c r="M951" s="146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2:23" s="9" customFormat="1">
      <c r="B952" s="9">
        <f>SUM(B926:B951)</f>
        <v>238</v>
      </c>
      <c r="C952" s="9" t="s">
        <v>773</v>
      </c>
      <c r="K952" s="158"/>
      <c r="M952" s="146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2:23" s="9" customFormat="1">
      <c r="K953" s="158"/>
      <c r="M953" s="146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2:23" s="9" customFormat="1">
      <c r="B954" s="9">
        <v>6</v>
      </c>
      <c r="C954" s="9" t="s">
        <v>774</v>
      </c>
      <c r="G954" s="9">
        <v>2000</v>
      </c>
      <c r="H954" s="9">
        <v>3</v>
      </c>
      <c r="I954" s="9">
        <v>0</v>
      </c>
      <c r="J954" s="9" t="s">
        <v>78</v>
      </c>
      <c r="K954" s="158" t="s">
        <v>449</v>
      </c>
      <c r="L954" s="9">
        <f t="shared" ref="L954:L977" si="410">G954+K954</f>
        <v>2010</v>
      </c>
      <c r="M954" s="127">
        <f t="shared" ref="M954:M977" si="411">+L954+(H954/12)</f>
        <v>2010.25</v>
      </c>
      <c r="N954" s="13">
        <v>2579.25</v>
      </c>
      <c r="O954" s="13">
        <f t="shared" ref="O954:O977" si="412">N954-N954*I954</f>
        <v>2579.25</v>
      </c>
      <c r="P954" s="13">
        <f t="shared" ref="P954:P977" si="413">O954/K954/12</f>
        <v>21.493750000000002</v>
      </c>
      <c r="Q954" s="13">
        <f t="shared" ref="Q954:Q977" si="414">P954*12</f>
        <v>257.92500000000001</v>
      </c>
      <c r="R954" s="13"/>
      <c r="S954" s="13">
        <f t="shared" ref="S954:S977" si="415">+IF(M954&lt;=$O$5,0,IF(L954&gt;$O$4,Q954,(P954*H954)))</f>
        <v>0</v>
      </c>
      <c r="T954" s="13">
        <f t="shared" ref="T954:T977" si="416">+IF(S954=0,N954,IF($O$3-G954&lt;1,0,(($O$3-G954)*Q954)))</f>
        <v>2579.25</v>
      </c>
      <c r="U954" s="13">
        <f t="shared" ref="U954:U977" si="417">+IF(S954=0,T954,T954+S954)</f>
        <v>2579.25</v>
      </c>
      <c r="V954" s="13"/>
      <c r="W954" s="13">
        <f t="shared" ref="W954:W977" si="418">+N954-U954</f>
        <v>0</v>
      </c>
    </row>
    <row r="955" spans="2:23" s="9" customFormat="1">
      <c r="B955" s="9">
        <v>7</v>
      </c>
      <c r="C955" s="9" t="s">
        <v>774</v>
      </c>
      <c r="G955" s="9">
        <v>2000</v>
      </c>
      <c r="H955" s="9">
        <v>4</v>
      </c>
      <c r="I955" s="9">
        <v>0</v>
      </c>
      <c r="J955" s="9" t="s">
        <v>78</v>
      </c>
      <c r="K955" s="158" t="s">
        <v>449</v>
      </c>
      <c r="L955" s="9">
        <f t="shared" si="410"/>
        <v>2010</v>
      </c>
      <c r="M955" s="127">
        <f t="shared" si="411"/>
        <v>2010.3333333333333</v>
      </c>
      <c r="N955" s="13">
        <v>2780.16</v>
      </c>
      <c r="O955" s="13">
        <f t="shared" si="412"/>
        <v>2780.16</v>
      </c>
      <c r="P955" s="13">
        <f t="shared" si="413"/>
        <v>23.167999999999996</v>
      </c>
      <c r="Q955" s="13">
        <f t="shared" si="414"/>
        <v>278.01599999999996</v>
      </c>
      <c r="R955" s="13"/>
      <c r="S955" s="13">
        <f t="shared" si="415"/>
        <v>0</v>
      </c>
      <c r="T955" s="13">
        <f t="shared" si="416"/>
        <v>2780.16</v>
      </c>
      <c r="U955" s="13">
        <f t="shared" si="417"/>
        <v>2780.16</v>
      </c>
      <c r="V955" s="13"/>
      <c r="W955" s="13">
        <f t="shared" si="418"/>
        <v>0</v>
      </c>
    </row>
    <row r="956" spans="2:23" s="9" customFormat="1">
      <c r="B956" s="9">
        <v>6</v>
      </c>
      <c r="C956" s="9" t="s">
        <v>510</v>
      </c>
      <c r="G956" s="9">
        <v>2000</v>
      </c>
      <c r="H956" s="9">
        <v>3</v>
      </c>
      <c r="I956" s="9">
        <v>0</v>
      </c>
      <c r="J956" s="9" t="s">
        <v>78</v>
      </c>
      <c r="K956" s="158" t="s">
        <v>449</v>
      </c>
      <c r="L956" s="9">
        <f t="shared" si="410"/>
        <v>2010</v>
      </c>
      <c r="M956" s="127">
        <f t="shared" si="411"/>
        <v>2010.25</v>
      </c>
      <c r="N956" s="13">
        <v>2731.29</v>
      </c>
      <c r="O956" s="13">
        <f t="shared" si="412"/>
        <v>2731.29</v>
      </c>
      <c r="P956" s="13">
        <f t="shared" si="413"/>
        <v>22.760750000000002</v>
      </c>
      <c r="Q956" s="13">
        <f t="shared" si="414"/>
        <v>273.12900000000002</v>
      </c>
      <c r="R956" s="13"/>
      <c r="S956" s="13">
        <f t="shared" si="415"/>
        <v>0</v>
      </c>
      <c r="T956" s="13">
        <f t="shared" si="416"/>
        <v>2731.29</v>
      </c>
      <c r="U956" s="13">
        <f t="shared" si="417"/>
        <v>2731.29</v>
      </c>
      <c r="V956" s="13"/>
      <c r="W956" s="13">
        <f t="shared" si="418"/>
        <v>0</v>
      </c>
    </row>
    <row r="957" spans="2:23" s="9" customFormat="1">
      <c r="B957" s="9">
        <v>12</v>
      </c>
      <c r="C957" s="9" t="s">
        <v>510</v>
      </c>
      <c r="G957" s="9">
        <v>2001</v>
      </c>
      <c r="H957" s="9">
        <v>7</v>
      </c>
      <c r="I957" s="9">
        <v>0</v>
      </c>
      <c r="J957" s="9" t="s">
        <v>78</v>
      </c>
      <c r="K957" s="158" t="s">
        <v>449</v>
      </c>
      <c r="L957" s="9">
        <f t="shared" si="410"/>
        <v>2011</v>
      </c>
      <c r="M957" s="127">
        <f t="shared" si="411"/>
        <v>2011.5833333333333</v>
      </c>
      <c r="N957" s="13">
        <v>4896</v>
      </c>
      <c r="O957" s="13">
        <f t="shared" si="412"/>
        <v>4896</v>
      </c>
      <c r="P957" s="13">
        <f t="shared" si="413"/>
        <v>40.800000000000004</v>
      </c>
      <c r="Q957" s="13">
        <f t="shared" si="414"/>
        <v>489.6</v>
      </c>
      <c r="R957" s="13"/>
      <c r="S957" s="13">
        <f t="shared" si="415"/>
        <v>0</v>
      </c>
      <c r="T957" s="13">
        <f t="shared" si="416"/>
        <v>4896</v>
      </c>
      <c r="U957" s="13">
        <f t="shared" si="417"/>
        <v>4896</v>
      </c>
      <c r="V957" s="13"/>
      <c r="W957" s="13">
        <f t="shared" si="418"/>
        <v>0</v>
      </c>
    </row>
    <row r="958" spans="2:23" s="9" customFormat="1">
      <c r="B958" s="9">
        <v>7</v>
      </c>
      <c r="C958" s="9" t="s">
        <v>510</v>
      </c>
      <c r="G958" s="9">
        <v>2000</v>
      </c>
      <c r="H958" s="9">
        <v>4</v>
      </c>
      <c r="I958" s="9">
        <v>0</v>
      </c>
      <c r="J958" s="9" t="s">
        <v>78</v>
      </c>
      <c r="K958" s="158" t="s">
        <v>449</v>
      </c>
      <c r="L958" s="9">
        <f t="shared" si="410"/>
        <v>2010</v>
      </c>
      <c r="M958" s="127">
        <f t="shared" si="411"/>
        <v>2010.3333333333333</v>
      </c>
      <c r="N958" s="13">
        <v>2780.16</v>
      </c>
      <c r="O958" s="13">
        <f t="shared" si="412"/>
        <v>2780.16</v>
      </c>
      <c r="P958" s="13">
        <f t="shared" si="413"/>
        <v>23.167999999999996</v>
      </c>
      <c r="Q958" s="13">
        <f t="shared" si="414"/>
        <v>278.01599999999996</v>
      </c>
      <c r="R958" s="13"/>
      <c r="S958" s="13">
        <f t="shared" si="415"/>
        <v>0</v>
      </c>
      <c r="T958" s="13">
        <f t="shared" si="416"/>
        <v>2780.16</v>
      </c>
      <c r="U958" s="13">
        <f t="shared" si="417"/>
        <v>2780.16</v>
      </c>
      <c r="V958" s="13"/>
      <c r="W958" s="13">
        <f t="shared" si="418"/>
        <v>0</v>
      </c>
    </row>
    <row r="959" spans="2:23" s="9" customFormat="1">
      <c r="B959" s="9">
        <v>8</v>
      </c>
      <c r="C959" s="9" t="s">
        <v>510</v>
      </c>
      <c r="G959" s="9">
        <v>2002</v>
      </c>
      <c r="H959" s="9">
        <v>7</v>
      </c>
      <c r="I959" s="9">
        <v>0</v>
      </c>
      <c r="J959" s="9" t="s">
        <v>78</v>
      </c>
      <c r="K959" s="158" t="s">
        <v>449</v>
      </c>
      <c r="L959" s="9">
        <f t="shared" si="410"/>
        <v>2012</v>
      </c>
      <c r="M959" s="127">
        <f t="shared" si="411"/>
        <v>2012.5833333333333</v>
      </c>
      <c r="N959" s="13">
        <v>3381.5</v>
      </c>
      <c r="O959" s="13">
        <f t="shared" si="412"/>
        <v>3381.5</v>
      </c>
      <c r="P959" s="13">
        <f t="shared" si="413"/>
        <v>28.179166666666664</v>
      </c>
      <c r="Q959" s="13">
        <f t="shared" si="414"/>
        <v>338.15</v>
      </c>
      <c r="R959" s="13"/>
      <c r="S959" s="13">
        <f t="shared" si="415"/>
        <v>0</v>
      </c>
      <c r="T959" s="13">
        <f t="shared" si="416"/>
        <v>3381.5</v>
      </c>
      <c r="U959" s="13">
        <f t="shared" si="417"/>
        <v>3381.5</v>
      </c>
      <c r="V959" s="13"/>
      <c r="W959" s="13">
        <f t="shared" si="418"/>
        <v>0</v>
      </c>
    </row>
    <row r="960" spans="2:23" s="9" customFormat="1">
      <c r="B960" s="9">
        <v>18</v>
      </c>
      <c r="C960" s="9" t="s">
        <v>510</v>
      </c>
      <c r="G960" s="9">
        <v>2001</v>
      </c>
      <c r="H960" s="9">
        <v>3</v>
      </c>
      <c r="I960" s="9">
        <v>0</v>
      </c>
      <c r="J960" s="9" t="s">
        <v>78</v>
      </c>
      <c r="K960" s="158" t="s">
        <v>449</v>
      </c>
      <c r="L960" s="9">
        <f t="shared" si="410"/>
        <v>2011</v>
      </c>
      <c r="M960" s="127">
        <f t="shared" si="411"/>
        <v>2011.25</v>
      </c>
      <c r="N960" s="13">
        <v>7330.5</v>
      </c>
      <c r="O960" s="13">
        <f t="shared" si="412"/>
        <v>7330.5</v>
      </c>
      <c r="P960" s="13">
        <f t="shared" si="413"/>
        <v>61.087499999999999</v>
      </c>
      <c r="Q960" s="13">
        <f t="shared" si="414"/>
        <v>733.05</v>
      </c>
      <c r="R960" s="13"/>
      <c r="S960" s="13">
        <f t="shared" si="415"/>
        <v>0</v>
      </c>
      <c r="T960" s="13">
        <f t="shared" si="416"/>
        <v>7330.5</v>
      </c>
      <c r="U960" s="13">
        <f t="shared" si="417"/>
        <v>7330.5</v>
      </c>
      <c r="V960" s="13"/>
      <c r="W960" s="13">
        <f t="shared" si="418"/>
        <v>0</v>
      </c>
    </row>
    <row r="961" spans="2:23" s="9" customFormat="1">
      <c r="B961" s="9">
        <v>20</v>
      </c>
      <c r="C961" s="9" t="s">
        <v>510</v>
      </c>
      <c r="G961" s="9">
        <v>2001</v>
      </c>
      <c r="H961" s="9">
        <v>3</v>
      </c>
      <c r="I961" s="9">
        <v>0</v>
      </c>
      <c r="J961" s="9" t="s">
        <v>78</v>
      </c>
      <c r="K961" s="158" t="s">
        <v>449</v>
      </c>
      <c r="L961" s="9">
        <f t="shared" si="410"/>
        <v>2011</v>
      </c>
      <c r="M961" s="127">
        <f t="shared" si="411"/>
        <v>2011.25</v>
      </c>
      <c r="N961" s="13">
        <v>8193.8700000000008</v>
      </c>
      <c r="O961" s="13">
        <f t="shared" si="412"/>
        <v>8193.8700000000008</v>
      </c>
      <c r="P961" s="13">
        <f t="shared" si="413"/>
        <v>68.282250000000005</v>
      </c>
      <c r="Q961" s="13">
        <f t="shared" si="414"/>
        <v>819.38700000000006</v>
      </c>
      <c r="R961" s="13"/>
      <c r="S961" s="13">
        <f t="shared" si="415"/>
        <v>0</v>
      </c>
      <c r="T961" s="13">
        <f t="shared" si="416"/>
        <v>8193.8700000000008</v>
      </c>
      <c r="U961" s="13">
        <f t="shared" si="417"/>
        <v>8193.8700000000008</v>
      </c>
      <c r="V961" s="13"/>
      <c r="W961" s="13">
        <f t="shared" si="418"/>
        <v>0</v>
      </c>
    </row>
    <row r="962" spans="2:23" s="9" customFormat="1">
      <c r="B962" s="9">
        <v>24</v>
      </c>
      <c r="C962" s="9" t="s">
        <v>510</v>
      </c>
      <c r="G962" s="9">
        <v>2002</v>
      </c>
      <c r="H962" s="9">
        <v>5</v>
      </c>
      <c r="I962" s="9">
        <v>0</v>
      </c>
      <c r="J962" s="9" t="s">
        <v>78</v>
      </c>
      <c r="K962" s="158" t="s">
        <v>449</v>
      </c>
      <c r="L962" s="9">
        <f t="shared" si="410"/>
        <v>2012</v>
      </c>
      <c r="M962" s="127">
        <f t="shared" si="411"/>
        <v>2012.4166666666667</v>
      </c>
      <c r="N962" s="13">
        <v>9792</v>
      </c>
      <c r="O962" s="13">
        <f t="shared" si="412"/>
        <v>9792</v>
      </c>
      <c r="P962" s="13">
        <f t="shared" si="413"/>
        <v>81.600000000000009</v>
      </c>
      <c r="Q962" s="13">
        <f t="shared" si="414"/>
        <v>979.2</v>
      </c>
      <c r="R962" s="13"/>
      <c r="S962" s="13">
        <f t="shared" si="415"/>
        <v>0</v>
      </c>
      <c r="T962" s="13">
        <f t="shared" si="416"/>
        <v>9792</v>
      </c>
      <c r="U962" s="13">
        <f t="shared" si="417"/>
        <v>9792</v>
      </c>
      <c r="V962" s="13"/>
      <c r="W962" s="13">
        <f t="shared" si="418"/>
        <v>0</v>
      </c>
    </row>
    <row r="963" spans="2:23" s="9" customFormat="1">
      <c r="B963" s="9">
        <v>25</v>
      </c>
      <c r="C963" s="9" t="s">
        <v>510</v>
      </c>
      <c r="G963" s="9">
        <v>2001</v>
      </c>
      <c r="H963" s="9">
        <v>6</v>
      </c>
      <c r="I963" s="9">
        <v>0</v>
      </c>
      <c r="J963" s="9" t="s">
        <v>78</v>
      </c>
      <c r="K963" s="158" t="s">
        <v>449</v>
      </c>
      <c r="L963" s="9">
        <f t="shared" si="410"/>
        <v>2011</v>
      </c>
      <c r="M963" s="127">
        <f t="shared" si="411"/>
        <v>2011.5</v>
      </c>
      <c r="N963" s="13">
        <v>10118.4</v>
      </c>
      <c r="O963" s="13">
        <f t="shared" si="412"/>
        <v>10118.4</v>
      </c>
      <c r="P963" s="13">
        <f t="shared" si="413"/>
        <v>84.32</v>
      </c>
      <c r="Q963" s="13">
        <f t="shared" si="414"/>
        <v>1011.8399999999999</v>
      </c>
      <c r="R963" s="13"/>
      <c r="S963" s="13">
        <f t="shared" si="415"/>
        <v>0</v>
      </c>
      <c r="T963" s="13">
        <f t="shared" si="416"/>
        <v>10118.4</v>
      </c>
      <c r="U963" s="13">
        <f t="shared" si="417"/>
        <v>10118.4</v>
      </c>
      <c r="V963" s="13"/>
      <c r="W963" s="13">
        <f t="shared" si="418"/>
        <v>0</v>
      </c>
    </row>
    <row r="964" spans="2:23" s="9" customFormat="1">
      <c r="B964" s="9">
        <v>25</v>
      </c>
      <c r="C964" s="9" t="s">
        <v>510</v>
      </c>
      <c r="G964" s="9">
        <v>2000</v>
      </c>
      <c r="H964" s="9">
        <v>4</v>
      </c>
      <c r="I964" s="9">
        <v>0</v>
      </c>
      <c r="J964" s="9" t="s">
        <v>78</v>
      </c>
      <c r="K964" s="158" t="s">
        <v>449</v>
      </c>
      <c r="L964" s="9">
        <f t="shared" si="410"/>
        <v>2010</v>
      </c>
      <c r="M964" s="127">
        <f t="shared" si="411"/>
        <v>2010.3333333333333</v>
      </c>
      <c r="N964" s="13">
        <v>10295.280000000001</v>
      </c>
      <c r="O964" s="13">
        <f t="shared" si="412"/>
        <v>10295.280000000001</v>
      </c>
      <c r="P964" s="13">
        <f t="shared" si="413"/>
        <v>85.793999999999997</v>
      </c>
      <c r="Q964" s="13">
        <f t="shared" si="414"/>
        <v>1029.528</v>
      </c>
      <c r="R964" s="13"/>
      <c r="S964" s="13">
        <f t="shared" si="415"/>
        <v>0</v>
      </c>
      <c r="T964" s="13">
        <f t="shared" si="416"/>
        <v>10295.280000000001</v>
      </c>
      <c r="U964" s="13">
        <f t="shared" si="417"/>
        <v>10295.280000000001</v>
      </c>
      <c r="V964" s="13"/>
      <c r="W964" s="13">
        <f t="shared" si="418"/>
        <v>0</v>
      </c>
    </row>
    <row r="965" spans="2:23" s="9" customFormat="1">
      <c r="B965" s="9">
        <v>26</v>
      </c>
      <c r="C965" s="9" t="s">
        <v>510</v>
      </c>
      <c r="G965" s="9">
        <v>2001</v>
      </c>
      <c r="H965" s="9">
        <v>4</v>
      </c>
      <c r="I965" s="9">
        <v>0</v>
      </c>
      <c r="J965" s="9" t="s">
        <v>78</v>
      </c>
      <c r="K965" s="158" t="s">
        <v>449</v>
      </c>
      <c r="L965" s="9">
        <f t="shared" si="410"/>
        <v>2011</v>
      </c>
      <c r="M965" s="127">
        <f t="shared" si="411"/>
        <v>2011.3333333333333</v>
      </c>
      <c r="N965" s="13">
        <v>10553.6</v>
      </c>
      <c r="O965" s="13">
        <f t="shared" si="412"/>
        <v>10553.6</v>
      </c>
      <c r="P965" s="13">
        <f t="shared" si="413"/>
        <v>87.946666666666673</v>
      </c>
      <c r="Q965" s="13">
        <f t="shared" si="414"/>
        <v>1055.3600000000001</v>
      </c>
      <c r="R965" s="13"/>
      <c r="S965" s="13">
        <f t="shared" si="415"/>
        <v>0</v>
      </c>
      <c r="T965" s="13">
        <f t="shared" si="416"/>
        <v>10553.6</v>
      </c>
      <c r="U965" s="13">
        <f t="shared" si="417"/>
        <v>10553.6</v>
      </c>
      <c r="V965" s="13"/>
      <c r="W965" s="13">
        <f t="shared" si="418"/>
        <v>0</v>
      </c>
    </row>
    <row r="966" spans="2:23" s="9" customFormat="1">
      <c r="B966" s="9">
        <v>27</v>
      </c>
      <c r="C966" s="9" t="s">
        <v>510</v>
      </c>
      <c r="G966" s="9">
        <v>2002</v>
      </c>
      <c r="H966" s="9">
        <v>8</v>
      </c>
      <c r="I966" s="9">
        <v>0</v>
      </c>
      <c r="J966" s="9" t="s">
        <v>78</v>
      </c>
      <c r="K966" s="158" t="s">
        <v>449</v>
      </c>
      <c r="L966" s="9">
        <f t="shared" si="410"/>
        <v>2012</v>
      </c>
      <c r="M966" s="127">
        <f t="shared" si="411"/>
        <v>2012.6666666666667</v>
      </c>
      <c r="N966" s="13">
        <v>11154.18</v>
      </c>
      <c r="O966" s="13">
        <f t="shared" si="412"/>
        <v>11154.18</v>
      </c>
      <c r="P966" s="13">
        <f t="shared" si="413"/>
        <v>92.95150000000001</v>
      </c>
      <c r="Q966" s="13">
        <f t="shared" si="414"/>
        <v>1115.4180000000001</v>
      </c>
      <c r="R966" s="13"/>
      <c r="S966" s="13">
        <f t="shared" si="415"/>
        <v>0</v>
      </c>
      <c r="T966" s="13">
        <f t="shared" si="416"/>
        <v>11154.18</v>
      </c>
      <c r="U966" s="13">
        <f t="shared" si="417"/>
        <v>11154.18</v>
      </c>
      <c r="V966" s="13"/>
      <c r="W966" s="13">
        <f t="shared" si="418"/>
        <v>0</v>
      </c>
    </row>
    <row r="967" spans="2:23" s="9" customFormat="1">
      <c r="B967" s="9">
        <v>30</v>
      </c>
      <c r="C967" s="9" t="s">
        <v>510</v>
      </c>
      <c r="G967" s="9">
        <v>2003</v>
      </c>
      <c r="H967" s="9">
        <v>4</v>
      </c>
      <c r="I967" s="9">
        <v>0</v>
      </c>
      <c r="J967" s="9" t="s">
        <v>78</v>
      </c>
      <c r="K967" s="158" t="s">
        <v>449</v>
      </c>
      <c r="L967" s="9">
        <f t="shared" si="410"/>
        <v>2013</v>
      </c>
      <c r="M967" s="127">
        <f t="shared" si="411"/>
        <v>2013.3333333333333</v>
      </c>
      <c r="N967" s="13">
        <v>12120.32</v>
      </c>
      <c r="O967" s="13">
        <f t="shared" si="412"/>
        <v>12120.32</v>
      </c>
      <c r="P967" s="13">
        <f t="shared" si="413"/>
        <v>101.00266666666666</v>
      </c>
      <c r="Q967" s="13">
        <f t="shared" si="414"/>
        <v>1212.0319999999999</v>
      </c>
      <c r="R967" s="13"/>
      <c r="S967" s="13">
        <f t="shared" si="415"/>
        <v>0</v>
      </c>
      <c r="T967" s="13">
        <f t="shared" si="416"/>
        <v>12120.32</v>
      </c>
      <c r="U967" s="13">
        <f t="shared" si="417"/>
        <v>12120.32</v>
      </c>
      <c r="V967" s="13"/>
      <c r="W967" s="13">
        <f t="shared" si="418"/>
        <v>0</v>
      </c>
    </row>
    <row r="968" spans="2:23" s="9" customFormat="1">
      <c r="B968" s="9">
        <v>8</v>
      </c>
      <c r="C968" s="9" t="s">
        <v>775</v>
      </c>
      <c r="G968" s="9">
        <v>1997</v>
      </c>
      <c r="H968" s="9">
        <v>12</v>
      </c>
      <c r="I968" s="9">
        <v>0</v>
      </c>
      <c r="J968" s="9" t="s">
        <v>78</v>
      </c>
      <c r="K968" s="158" t="s">
        <v>449</v>
      </c>
      <c r="L968" s="9">
        <f t="shared" si="410"/>
        <v>2007</v>
      </c>
      <c r="M968" s="127">
        <f t="shared" si="411"/>
        <v>2008</v>
      </c>
      <c r="N968" s="13">
        <v>3866.16</v>
      </c>
      <c r="O968" s="13">
        <f t="shared" si="412"/>
        <v>3866.16</v>
      </c>
      <c r="P968" s="13">
        <f t="shared" si="413"/>
        <v>32.217999999999996</v>
      </c>
      <c r="Q968" s="13">
        <f t="shared" si="414"/>
        <v>386.61599999999999</v>
      </c>
      <c r="R968" s="13"/>
      <c r="S968" s="13">
        <f t="shared" si="415"/>
        <v>0</v>
      </c>
      <c r="T968" s="13">
        <f t="shared" si="416"/>
        <v>3866.16</v>
      </c>
      <c r="U968" s="13">
        <f t="shared" si="417"/>
        <v>3866.16</v>
      </c>
      <c r="V968" s="13"/>
      <c r="W968" s="13">
        <f t="shared" si="418"/>
        <v>0</v>
      </c>
    </row>
    <row r="969" spans="2:23" s="9" customFormat="1">
      <c r="B969" s="9">
        <v>10</v>
      </c>
      <c r="C969" s="9" t="s">
        <v>775</v>
      </c>
      <c r="G969" s="9">
        <v>1997</v>
      </c>
      <c r="H969" s="9">
        <v>10</v>
      </c>
      <c r="I969" s="9">
        <v>0</v>
      </c>
      <c r="J969" s="9" t="s">
        <v>78</v>
      </c>
      <c r="K969" s="158" t="s">
        <v>449</v>
      </c>
      <c r="L969" s="9">
        <f t="shared" si="410"/>
        <v>2007</v>
      </c>
      <c r="M969" s="127">
        <f t="shared" si="411"/>
        <v>2007.8333333333333</v>
      </c>
      <c r="N969" s="13">
        <v>4800.12</v>
      </c>
      <c r="O969" s="13">
        <f t="shared" si="412"/>
        <v>4800.12</v>
      </c>
      <c r="P969" s="13">
        <f t="shared" si="413"/>
        <v>40.000999999999998</v>
      </c>
      <c r="Q969" s="13">
        <f t="shared" si="414"/>
        <v>480.01199999999994</v>
      </c>
      <c r="R969" s="13"/>
      <c r="S969" s="13">
        <f t="shared" si="415"/>
        <v>0</v>
      </c>
      <c r="T969" s="13">
        <f t="shared" si="416"/>
        <v>4800.12</v>
      </c>
      <c r="U969" s="13">
        <f t="shared" si="417"/>
        <v>4800.12</v>
      </c>
      <c r="V969" s="13"/>
      <c r="W969" s="13">
        <f t="shared" si="418"/>
        <v>0</v>
      </c>
    </row>
    <row r="970" spans="2:23" s="9" customFormat="1">
      <c r="B970" s="9">
        <v>15</v>
      </c>
      <c r="C970" s="9" t="s">
        <v>775</v>
      </c>
      <c r="G970" s="9">
        <v>1997</v>
      </c>
      <c r="H970" s="9">
        <v>8</v>
      </c>
      <c r="I970" s="9">
        <v>0</v>
      </c>
      <c r="J970" s="9" t="s">
        <v>78</v>
      </c>
      <c r="K970" s="158" t="s">
        <v>449</v>
      </c>
      <c r="L970" s="9">
        <f t="shared" si="410"/>
        <v>2007</v>
      </c>
      <c r="M970" s="127">
        <f t="shared" si="411"/>
        <v>2007.6666666666667</v>
      </c>
      <c r="N970" s="13">
        <v>7004.7</v>
      </c>
      <c r="O970" s="13">
        <f t="shared" si="412"/>
        <v>7004.7</v>
      </c>
      <c r="P970" s="13">
        <f t="shared" si="413"/>
        <v>58.372500000000002</v>
      </c>
      <c r="Q970" s="13">
        <f t="shared" si="414"/>
        <v>700.47</v>
      </c>
      <c r="R970" s="13"/>
      <c r="S970" s="13">
        <f t="shared" si="415"/>
        <v>0</v>
      </c>
      <c r="T970" s="13">
        <f t="shared" si="416"/>
        <v>7004.7</v>
      </c>
      <c r="U970" s="13">
        <f t="shared" si="417"/>
        <v>7004.7</v>
      </c>
      <c r="V970" s="13"/>
      <c r="W970" s="13">
        <f t="shared" si="418"/>
        <v>0</v>
      </c>
    </row>
    <row r="971" spans="2:23" s="9" customFormat="1">
      <c r="B971" s="9">
        <v>15</v>
      </c>
      <c r="C971" s="9" t="s">
        <v>775</v>
      </c>
      <c r="G971" s="9">
        <v>1998</v>
      </c>
      <c r="H971" s="9">
        <v>2</v>
      </c>
      <c r="I971" s="9">
        <v>0</v>
      </c>
      <c r="J971" s="9" t="s">
        <v>78</v>
      </c>
      <c r="K971" s="158" t="s">
        <v>449</v>
      </c>
      <c r="L971" s="9">
        <f t="shared" si="410"/>
        <v>2008</v>
      </c>
      <c r="M971" s="127">
        <f t="shared" si="411"/>
        <v>2008.1666666666667</v>
      </c>
      <c r="N971" s="13">
        <v>7200.18</v>
      </c>
      <c r="O971" s="13">
        <f t="shared" si="412"/>
        <v>7200.18</v>
      </c>
      <c r="P971" s="13">
        <f t="shared" si="413"/>
        <v>60.0015</v>
      </c>
      <c r="Q971" s="13">
        <f t="shared" si="414"/>
        <v>720.01800000000003</v>
      </c>
      <c r="R971" s="13"/>
      <c r="S971" s="13">
        <f t="shared" si="415"/>
        <v>0</v>
      </c>
      <c r="T971" s="13">
        <f t="shared" si="416"/>
        <v>7200.18</v>
      </c>
      <c r="U971" s="13">
        <f t="shared" si="417"/>
        <v>7200.18</v>
      </c>
      <c r="V971" s="13"/>
      <c r="W971" s="13">
        <f t="shared" si="418"/>
        <v>0</v>
      </c>
    </row>
    <row r="972" spans="2:23" s="9" customFormat="1">
      <c r="B972" s="9">
        <v>16</v>
      </c>
      <c r="C972" s="9" t="s">
        <v>776</v>
      </c>
      <c r="G972" s="9">
        <v>1994</v>
      </c>
      <c r="H972" s="9">
        <v>8</v>
      </c>
      <c r="I972" s="9">
        <v>0</v>
      </c>
      <c r="J972" s="9" t="s">
        <v>78</v>
      </c>
      <c r="K972" s="158" t="s">
        <v>449</v>
      </c>
      <c r="L972" s="9">
        <f t="shared" si="410"/>
        <v>2004</v>
      </c>
      <c r="M972" s="127">
        <f t="shared" si="411"/>
        <v>2004.6666666666667</v>
      </c>
      <c r="N972" s="13">
        <v>6654</v>
      </c>
      <c r="O972" s="13">
        <f t="shared" si="412"/>
        <v>6654</v>
      </c>
      <c r="P972" s="13">
        <f t="shared" si="413"/>
        <v>55.449999999999996</v>
      </c>
      <c r="Q972" s="13">
        <f t="shared" si="414"/>
        <v>665.4</v>
      </c>
      <c r="R972" s="13"/>
      <c r="S972" s="13">
        <f t="shared" si="415"/>
        <v>0</v>
      </c>
      <c r="T972" s="13">
        <f t="shared" si="416"/>
        <v>6654</v>
      </c>
      <c r="U972" s="13">
        <f t="shared" si="417"/>
        <v>6654</v>
      </c>
      <c r="V972" s="13"/>
      <c r="W972" s="13">
        <f t="shared" si="418"/>
        <v>0</v>
      </c>
    </row>
    <row r="973" spans="2:23" s="9" customFormat="1">
      <c r="B973" s="9">
        <v>3</v>
      </c>
      <c r="C973" s="9" t="s">
        <v>777</v>
      </c>
      <c r="G973" s="9">
        <v>1998</v>
      </c>
      <c r="H973" s="9">
        <v>6</v>
      </c>
      <c r="I973" s="9">
        <v>0</v>
      </c>
      <c r="J973" s="9" t="s">
        <v>78</v>
      </c>
      <c r="K973" s="158" t="s">
        <v>449</v>
      </c>
      <c r="L973" s="9">
        <f t="shared" si="410"/>
        <v>2008</v>
      </c>
      <c r="M973" s="127">
        <f t="shared" si="411"/>
        <v>2008.5</v>
      </c>
      <c r="N973" s="13">
        <v>1550.81</v>
      </c>
      <c r="O973" s="13">
        <f t="shared" si="412"/>
        <v>1550.81</v>
      </c>
      <c r="P973" s="13">
        <f t="shared" si="413"/>
        <v>12.923416666666666</v>
      </c>
      <c r="Q973" s="13">
        <f t="shared" si="414"/>
        <v>155.08099999999999</v>
      </c>
      <c r="R973" s="13"/>
      <c r="S973" s="13">
        <f t="shared" si="415"/>
        <v>0</v>
      </c>
      <c r="T973" s="13">
        <f t="shared" si="416"/>
        <v>1550.81</v>
      </c>
      <c r="U973" s="13">
        <f t="shared" si="417"/>
        <v>1550.81</v>
      </c>
      <c r="V973" s="13"/>
      <c r="W973" s="13">
        <f t="shared" si="418"/>
        <v>0</v>
      </c>
    </row>
    <row r="974" spans="2:23" s="9" customFormat="1">
      <c r="B974" s="9">
        <v>7</v>
      </c>
      <c r="C974" s="9" t="s">
        <v>777</v>
      </c>
      <c r="G974" s="9">
        <v>1998</v>
      </c>
      <c r="H974" s="9">
        <v>6</v>
      </c>
      <c r="I974" s="9">
        <v>0</v>
      </c>
      <c r="J974" s="9" t="s">
        <v>78</v>
      </c>
      <c r="K974" s="158" t="s">
        <v>449</v>
      </c>
      <c r="L974" s="9">
        <f t="shared" si="410"/>
        <v>2008</v>
      </c>
      <c r="M974" s="127">
        <f t="shared" si="411"/>
        <v>2008.5</v>
      </c>
      <c r="N974" s="13">
        <v>3420.9</v>
      </c>
      <c r="O974" s="13">
        <f t="shared" si="412"/>
        <v>3420.9</v>
      </c>
      <c r="P974" s="13">
        <f t="shared" si="413"/>
        <v>28.507500000000004</v>
      </c>
      <c r="Q974" s="13">
        <f t="shared" si="414"/>
        <v>342.09000000000003</v>
      </c>
      <c r="R974" s="13"/>
      <c r="S974" s="13">
        <f t="shared" si="415"/>
        <v>0</v>
      </c>
      <c r="T974" s="13">
        <f t="shared" si="416"/>
        <v>3420.9</v>
      </c>
      <c r="U974" s="13">
        <f t="shared" si="417"/>
        <v>3420.9</v>
      </c>
      <c r="V974" s="13"/>
      <c r="W974" s="13">
        <f t="shared" si="418"/>
        <v>0</v>
      </c>
    </row>
    <row r="975" spans="2:23" s="9" customFormat="1">
      <c r="B975" s="9">
        <v>3</v>
      </c>
      <c r="C975" s="9" t="s">
        <v>778</v>
      </c>
      <c r="G975" s="9">
        <v>1997</v>
      </c>
      <c r="H975" s="9">
        <v>4</v>
      </c>
      <c r="I975" s="9">
        <v>0</v>
      </c>
      <c r="J975" s="9" t="s">
        <v>78</v>
      </c>
      <c r="K975" s="158" t="s">
        <v>449</v>
      </c>
      <c r="L975" s="9">
        <f t="shared" si="410"/>
        <v>2007</v>
      </c>
      <c r="M975" s="127">
        <f t="shared" si="411"/>
        <v>2007.3333333333333</v>
      </c>
      <c r="N975" s="13">
        <v>2856</v>
      </c>
      <c r="O975" s="13">
        <f t="shared" si="412"/>
        <v>2856</v>
      </c>
      <c r="P975" s="13">
        <f t="shared" si="413"/>
        <v>23.8</v>
      </c>
      <c r="Q975" s="13">
        <f t="shared" si="414"/>
        <v>285.60000000000002</v>
      </c>
      <c r="R975" s="13"/>
      <c r="S975" s="13">
        <f t="shared" si="415"/>
        <v>0</v>
      </c>
      <c r="T975" s="13">
        <f t="shared" si="416"/>
        <v>2856</v>
      </c>
      <c r="U975" s="13">
        <f t="shared" si="417"/>
        <v>2856</v>
      </c>
      <c r="V975" s="13"/>
      <c r="W975" s="13">
        <f t="shared" si="418"/>
        <v>0</v>
      </c>
    </row>
    <row r="976" spans="2:23" s="9" customFormat="1">
      <c r="B976" s="9">
        <v>2</v>
      </c>
      <c r="C976" s="9" t="s">
        <v>779</v>
      </c>
      <c r="G976" s="9">
        <v>1997</v>
      </c>
      <c r="H976" s="9">
        <v>4</v>
      </c>
      <c r="I976" s="9">
        <v>0</v>
      </c>
      <c r="J976" s="9" t="s">
        <v>78</v>
      </c>
      <c r="K976" s="158" t="s">
        <v>449</v>
      </c>
      <c r="L976" s="9">
        <f t="shared" si="410"/>
        <v>2007</v>
      </c>
      <c r="M976" s="127">
        <f t="shared" si="411"/>
        <v>2007.3333333333333</v>
      </c>
      <c r="N976" s="13">
        <v>1904</v>
      </c>
      <c r="O976" s="13">
        <f t="shared" si="412"/>
        <v>1904</v>
      </c>
      <c r="P976" s="13">
        <f t="shared" si="413"/>
        <v>15.866666666666667</v>
      </c>
      <c r="Q976" s="13">
        <f t="shared" si="414"/>
        <v>190.4</v>
      </c>
      <c r="R976" s="13"/>
      <c r="S976" s="13">
        <f t="shared" si="415"/>
        <v>0</v>
      </c>
      <c r="T976" s="13">
        <f t="shared" si="416"/>
        <v>1904</v>
      </c>
      <c r="U976" s="13">
        <f t="shared" si="417"/>
        <v>1904</v>
      </c>
      <c r="V976" s="13"/>
      <c r="W976" s="13">
        <f t="shared" si="418"/>
        <v>0</v>
      </c>
    </row>
    <row r="977" spans="2:23" s="9" customFormat="1">
      <c r="B977" s="9">
        <v>10</v>
      </c>
      <c r="C977" s="9" t="s">
        <v>777</v>
      </c>
      <c r="G977" s="9">
        <v>1998</v>
      </c>
      <c r="H977" s="9">
        <v>9</v>
      </c>
      <c r="I977" s="9">
        <v>0</v>
      </c>
      <c r="J977" s="9" t="s">
        <v>78</v>
      </c>
      <c r="K977" s="158" t="s">
        <v>449</v>
      </c>
      <c r="L977" s="9">
        <f t="shared" si="410"/>
        <v>2008</v>
      </c>
      <c r="M977" s="127">
        <f t="shared" si="411"/>
        <v>2008.75</v>
      </c>
      <c r="N977" s="13">
        <v>5082.4799999999996</v>
      </c>
      <c r="O977" s="13">
        <f t="shared" si="412"/>
        <v>5082.4799999999996</v>
      </c>
      <c r="P977" s="13">
        <f t="shared" si="413"/>
        <v>42.353999999999992</v>
      </c>
      <c r="Q977" s="13">
        <f t="shared" si="414"/>
        <v>508.24799999999993</v>
      </c>
      <c r="R977" s="13"/>
      <c r="S977" s="13">
        <f t="shared" si="415"/>
        <v>0</v>
      </c>
      <c r="T977" s="13">
        <f t="shared" si="416"/>
        <v>5082.4799999999996</v>
      </c>
      <c r="U977" s="13">
        <f t="shared" si="417"/>
        <v>5082.4799999999996</v>
      </c>
      <c r="V977" s="13"/>
      <c r="W977" s="13">
        <f t="shared" si="418"/>
        <v>0</v>
      </c>
    </row>
    <row r="978" spans="2:23" s="9" customFormat="1">
      <c r="K978" s="158"/>
      <c r="M978" s="146"/>
      <c r="N978" s="13"/>
      <c r="O978" s="13"/>
      <c r="P978" s="13"/>
      <c r="Q978" s="13"/>
      <c r="R978" s="13"/>
      <c r="S978" s="13"/>
      <c r="T978" s="13"/>
      <c r="U978" s="13"/>
      <c r="V978" s="13"/>
      <c r="W978" s="13"/>
    </row>
    <row r="979" spans="2:23" s="9" customFormat="1">
      <c r="B979" s="9">
        <f>SUM(B954:B978)</f>
        <v>330</v>
      </c>
      <c r="C979" s="9" t="s">
        <v>780</v>
      </c>
      <c r="K979" s="158"/>
      <c r="M979" s="146"/>
      <c r="N979" s="13"/>
      <c r="O979" s="13"/>
      <c r="P979" s="13"/>
      <c r="Q979" s="13"/>
      <c r="R979" s="13"/>
      <c r="S979" s="13"/>
      <c r="T979" s="13"/>
      <c r="U979" s="13"/>
      <c r="V979" s="13"/>
      <c r="W979" s="13"/>
    </row>
    <row r="980" spans="2:23" s="9" customFormat="1">
      <c r="K980" s="158"/>
      <c r="M980" s="146"/>
      <c r="N980" s="13"/>
      <c r="O980" s="13"/>
      <c r="P980" s="13"/>
      <c r="Q980" s="13"/>
      <c r="R980" s="13"/>
      <c r="S980" s="13"/>
      <c r="T980" s="13"/>
      <c r="U980" s="13"/>
      <c r="V980" s="13"/>
      <c r="W980" s="13"/>
    </row>
    <row r="981" spans="2:23" s="9" customFormat="1">
      <c r="B981" s="9">
        <v>43</v>
      </c>
      <c r="C981" s="9" t="s">
        <v>781</v>
      </c>
      <c r="G981" s="9">
        <v>2005</v>
      </c>
      <c r="H981" s="9">
        <v>8</v>
      </c>
      <c r="I981" s="9">
        <v>0</v>
      </c>
      <c r="J981" s="9" t="s">
        <v>78</v>
      </c>
      <c r="K981" s="158" t="s">
        <v>449</v>
      </c>
      <c r="L981" s="9">
        <f t="shared" ref="L981:L1014" si="419">G981+K981</f>
        <v>2015</v>
      </c>
      <c r="M981" s="127">
        <f t="shared" ref="M981:M1014" si="420">+L981+(H981/12)</f>
        <v>2015.6666666666667</v>
      </c>
      <c r="N981" s="13">
        <v>19427.330000000002</v>
      </c>
      <c r="O981" s="13">
        <f t="shared" ref="O981:O1014" si="421">N981-N981*I981</f>
        <v>19427.330000000002</v>
      </c>
      <c r="P981" s="13">
        <f t="shared" ref="P981:P1014" si="422">O981/K981/12</f>
        <v>161.89441666666667</v>
      </c>
      <c r="Q981" s="13">
        <f t="shared" ref="Q981:Q1014" si="423">P981*12</f>
        <v>1942.7330000000002</v>
      </c>
      <c r="R981" s="13"/>
      <c r="S981" s="13">
        <f t="shared" ref="S981:S1014" si="424">+IF(M981&lt;=$O$5,0,IF(L981&gt;$O$4,Q981,(P981*H981)))</f>
        <v>0</v>
      </c>
      <c r="T981" s="13">
        <f t="shared" ref="T981:T1014" si="425">+IF(S981=0,N981,IF($O$3-G981&lt;1,0,(($O$3-G981)*Q981)))</f>
        <v>19427.330000000002</v>
      </c>
      <c r="U981" s="13">
        <f t="shared" ref="U981:U1014" si="426">+IF(S981=0,T981,T981+S981)</f>
        <v>19427.330000000002</v>
      </c>
      <c r="V981" s="13"/>
      <c r="W981" s="13">
        <f t="shared" ref="W981:W1014" si="427">+N981-U981</f>
        <v>0</v>
      </c>
    </row>
    <row r="982" spans="2:23" s="9" customFormat="1">
      <c r="B982" s="9">
        <v>29</v>
      </c>
      <c r="C982" s="9" t="s">
        <v>522</v>
      </c>
      <c r="G982" s="9">
        <v>2006</v>
      </c>
      <c r="H982" s="9">
        <v>7</v>
      </c>
      <c r="I982" s="9">
        <v>0</v>
      </c>
      <c r="J982" s="9" t="s">
        <v>78</v>
      </c>
      <c r="K982" s="158" t="s">
        <v>449</v>
      </c>
      <c r="L982" s="9">
        <f t="shared" si="419"/>
        <v>2016</v>
      </c>
      <c r="M982" s="127">
        <f t="shared" si="420"/>
        <v>2016.5833333333333</v>
      </c>
      <c r="N982" s="13">
        <v>12979.84</v>
      </c>
      <c r="O982" s="13">
        <f t="shared" si="421"/>
        <v>12979.84</v>
      </c>
      <c r="P982" s="13">
        <f t="shared" si="422"/>
        <v>108.16533333333332</v>
      </c>
      <c r="Q982" s="13">
        <f t="shared" si="423"/>
        <v>1297.9839999999999</v>
      </c>
      <c r="R982" s="13"/>
      <c r="S982" s="13">
        <f t="shared" si="424"/>
        <v>0</v>
      </c>
      <c r="T982" s="13">
        <f t="shared" si="425"/>
        <v>12979.84</v>
      </c>
      <c r="U982" s="13">
        <f t="shared" si="426"/>
        <v>12979.84</v>
      </c>
      <c r="V982" s="13"/>
      <c r="W982" s="13">
        <f t="shared" si="427"/>
        <v>0</v>
      </c>
    </row>
    <row r="983" spans="2:23" s="9" customFormat="1">
      <c r="B983" s="9">
        <v>36</v>
      </c>
      <c r="C983" s="9" t="s">
        <v>522</v>
      </c>
      <c r="G983" s="9">
        <v>2001</v>
      </c>
      <c r="H983" s="9">
        <v>1</v>
      </c>
      <c r="I983" s="9">
        <v>0</v>
      </c>
      <c r="J983" s="9" t="s">
        <v>78</v>
      </c>
      <c r="K983" s="158" t="s">
        <v>449</v>
      </c>
      <c r="L983" s="9">
        <f t="shared" si="419"/>
        <v>2011</v>
      </c>
      <c r="M983" s="127">
        <f t="shared" si="420"/>
        <v>2011.0833333333333</v>
      </c>
      <c r="N983" s="13">
        <v>16184</v>
      </c>
      <c r="O983" s="13">
        <f t="shared" si="421"/>
        <v>16184</v>
      </c>
      <c r="P983" s="13">
        <f t="shared" si="422"/>
        <v>134.86666666666667</v>
      </c>
      <c r="Q983" s="13">
        <f t="shared" si="423"/>
        <v>1618.4</v>
      </c>
      <c r="R983" s="13"/>
      <c r="S983" s="13">
        <f t="shared" si="424"/>
        <v>0</v>
      </c>
      <c r="T983" s="13">
        <f t="shared" si="425"/>
        <v>16184</v>
      </c>
      <c r="U983" s="13">
        <f t="shared" si="426"/>
        <v>16184</v>
      </c>
      <c r="V983" s="13"/>
      <c r="W983" s="13">
        <f t="shared" si="427"/>
        <v>0</v>
      </c>
    </row>
    <row r="984" spans="2:23" s="9" customFormat="1">
      <c r="B984" s="9">
        <v>17</v>
      </c>
      <c r="C984" s="9" t="s">
        <v>782</v>
      </c>
      <c r="G984" s="9">
        <v>2003</v>
      </c>
      <c r="H984" s="9">
        <v>7</v>
      </c>
      <c r="I984" s="9">
        <v>0</v>
      </c>
      <c r="J984" s="9" t="s">
        <v>78</v>
      </c>
      <c r="K984" s="158" t="s">
        <v>449</v>
      </c>
      <c r="L984" s="9">
        <f t="shared" si="419"/>
        <v>2013</v>
      </c>
      <c r="M984" s="127">
        <f t="shared" si="420"/>
        <v>2013.5833333333333</v>
      </c>
      <c r="N984" s="13">
        <v>7862.98</v>
      </c>
      <c r="O984" s="13">
        <f t="shared" si="421"/>
        <v>7862.98</v>
      </c>
      <c r="P984" s="13">
        <f t="shared" si="422"/>
        <v>65.524833333333333</v>
      </c>
      <c r="Q984" s="13">
        <f t="shared" si="423"/>
        <v>786.298</v>
      </c>
      <c r="R984" s="13"/>
      <c r="S984" s="13">
        <f t="shared" si="424"/>
        <v>0</v>
      </c>
      <c r="T984" s="13">
        <f t="shared" si="425"/>
        <v>7862.98</v>
      </c>
      <c r="U984" s="13">
        <f t="shared" si="426"/>
        <v>7862.98</v>
      </c>
      <c r="V984" s="13"/>
      <c r="W984" s="13">
        <f t="shared" si="427"/>
        <v>0</v>
      </c>
    </row>
    <row r="985" spans="2:23" s="9" customFormat="1">
      <c r="B985" s="9">
        <v>4</v>
      </c>
      <c r="C985" s="9" t="s">
        <v>783</v>
      </c>
      <c r="G985" s="9">
        <v>2003</v>
      </c>
      <c r="H985" s="9">
        <v>7</v>
      </c>
      <c r="I985" s="9">
        <v>0</v>
      </c>
      <c r="J985" s="9" t="s">
        <v>78</v>
      </c>
      <c r="K985" s="158" t="s">
        <v>449</v>
      </c>
      <c r="L985" s="9">
        <f t="shared" si="419"/>
        <v>2013</v>
      </c>
      <c r="M985" s="127">
        <f t="shared" si="420"/>
        <v>2013.5833333333333</v>
      </c>
      <c r="N985" s="13">
        <v>1697.28</v>
      </c>
      <c r="O985" s="13">
        <f t="shared" si="421"/>
        <v>1697.28</v>
      </c>
      <c r="P985" s="13">
        <f t="shared" si="422"/>
        <v>14.144</v>
      </c>
      <c r="Q985" s="13">
        <f t="shared" si="423"/>
        <v>169.72800000000001</v>
      </c>
      <c r="R985" s="13"/>
      <c r="S985" s="13">
        <f t="shared" si="424"/>
        <v>0</v>
      </c>
      <c r="T985" s="13">
        <f t="shared" si="425"/>
        <v>1697.28</v>
      </c>
      <c r="U985" s="13">
        <f t="shared" si="426"/>
        <v>1697.28</v>
      </c>
      <c r="V985" s="13"/>
      <c r="W985" s="13">
        <f t="shared" si="427"/>
        <v>0</v>
      </c>
    </row>
    <row r="986" spans="2:23" s="9" customFormat="1">
      <c r="B986" s="9">
        <v>8</v>
      </c>
      <c r="C986" s="9" t="s">
        <v>783</v>
      </c>
      <c r="G986" s="9">
        <v>2002</v>
      </c>
      <c r="H986" s="9">
        <v>4</v>
      </c>
      <c r="I986" s="9">
        <v>0</v>
      </c>
      <c r="J986" s="9" t="s">
        <v>78</v>
      </c>
      <c r="K986" s="158" t="s">
        <v>449</v>
      </c>
      <c r="L986" s="9">
        <f t="shared" si="419"/>
        <v>2012</v>
      </c>
      <c r="M986" s="127">
        <f t="shared" si="420"/>
        <v>2012.3333333333333</v>
      </c>
      <c r="N986" s="13">
        <v>3720.96</v>
      </c>
      <c r="O986" s="13">
        <f t="shared" si="421"/>
        <v>3720.96</v>
      </c>
      <c r="P986" s="13">
        <f t="shared" si="422"/>
        <v>31.007999999999999</v>
      </c>
      <c r="Q986" s="13">
        <f t="shared" si="423"/>
        <v>372.096</v>
      </c>
      <c r="R986" s="13"/>
      <c r="S986" s="13">
        <f t="shared" si="424"/>
        <v>0</v>
      </c>
      <c r="T986" s="13">
        <f t="shared" si="425"/>
        <v>3720.96</v>
      </c>
      <c r="U986" s="13">
        <f t="shared" si="426"/>
        <v>3720.96</v>
      </c>
      <c r="V986" s="13"/>
      <c r="W986" s="13">
        <f t="shared" si="427"/>
        <v>0</v>
      </c>
    </row>
    <row r="987" spans="2:23" s="9" customFormat="1">
      <c r="B987" s="9">
        <v>13</v>
      </c>
      <c r="C987" s="9" t="s">
        <v>783</v>
      </c>
      <c r="G987" s="9">
        <v>2002</v>
      </c>
      <c r="H987" s="9">
        <v>3</v>
      </c>
      <c r="I987" s="9">
        <v>0</v>
      </c>
      <c r="J987" s="9" t="s">
        <v>78</v>
      </c>
      <c r="K987" s="158" t="s">
        <v>449</v>
      </c>
      <c r="L987" s="9">
        <f t="shared" si="419"/>
        <v>2012</v>
      </c>
      <c r="M987" s="127">
        <f t="shared" si="420"/>
        <v>2012.25</v>
      </c>
      <c r="N987" s="13">
        <v>6092.8</v>
      </c>
      <c r="O987" s="13">
        <f t="shared" si="421"/>
        <v>6092.8</v>
      </c>
      <c r="P987" s="13">
        <f t="shared" si="422"/>
        <v>50.773333333333333</v>
      </c>
      <c r="Q987" s="13">
        <f t="shared" si="423"/>
        <v>609.28</v>
      </c>
      <c r="R987" s="13"/>
      <c r="S987" s="13">
        <f t="shared" si="424"/>
        <v>0</v>
      </c>
      <c r="T987" s="13">
        <f t="shared" si="425"/>
        <v>6092.8</v>
      </c>
      <c r="U987" s="13">
        <f t="shared" si="426"/>
        <v>6092.8</v>
      </c>
      <c r="V987" s="13"/>
      <c r="W987" s="13">
        <f t="shared" si="427"/>
        <v>0</v>
      </c>
    </row>
    <row r="988" spans="2:23" s="9" customFormat="1">
      <c r="B988" s="9">
        <v>15</v>
      </c>
      <c r="C988" s="9" t="s">
        <v>783</v>
      </c>
      <c r="G988" s="9">
        <v>2002</v>
      </c>
      <c r="H988" s="9">
        <v>8</v>
      </c>
      <c r="I988" s="9">
        <v>0</v>
      </c>
      <c r="J988" s="9" t="s">
        <v>78</v>
      </c>
      <c r="K988" s="158" t="s">
        <v>449</v>
      </c>
      <c r="L988" s="9">
        <f t="shared" si="419"/>
        <v>2012</v>
      </c>
      <c r="M988" s="127">
        <f t="shared" si="420"/>
        <v>2012.6666666666667</v>
      </c>
      <c r="N988" s="13">
        <v>7017.6</v>
      </c>
      <c r="O988" s="13">
        <f t="shared" si="421"/>
        <v>7017.6</v>
      </c>
      <c r="P988" s="13">
        <f t="shared" si="422"/>
        <v>58.48</v>
      </c>
      <c r="Q988" s="13">
        <f t="shared" si="423"/>
        <v>701.76</v>
      </c>
      <c r="R988" s="13"/>
      <c r="S988" s="13">
        <f t="shared" si="424"/>
        <v>0</v>
      </c>
      <c r="T988" s="13">
        <f t="shared" si="425"/>
        <v>7017.6</v>
      </c>
      <c r="U988" s="13">
        <f t="shared" si="426"/>
        <v>7017.6</v>
      </c>
      <c r="V988" s="13"/>
      <c r="W988" s="13">
        <f t="shared" si="427"/>
        <v>0</v>
      </c>
    </row>
    <row r="989" spans="2:23" s="9" customFormat="1">
      <c r="B989" s="9">
        <v>17</v>
      </c>
      <c r="C989" s="9" t="s">
        <v>783</v>
      </c>
      <c r="G989" s="9">
        <v>2003</v>
      </c>
      <c r="H989" s="9">
        <v>2</v>
      </c>
      <c r="I989" s="9">
        <v>0</v>
      </c>
      <c r="J989" s="9" t="s">
        <v>78</v>
      </c>
      <c r="K989" s="158" t="s">
        <v>449</v>
      </c>
      <c r="L989" s="9">
        <f t="shared" si="419"/>
        <v>2013</v>
      </c>
      <c r="M989" s="127">
        <f t="shared" si="420"/>
        <v>2013.1666666666667</v>
      </c>
      <c r="N989" s="13">
        <v>7563.78</v>
      </c>
      <c r="O989" s="13">
        <f t="shared" si="421"/>
        <v>7563.78</v>
      </c>
      <c r="P989" s="13">
        <f t="shared" si="422"/>
        <v>63.031499999999994</v>
      </c>
      <c r="Q989" s="13">
        <f t="shared" si="423"/>
        <v>756.37799999999993</v>
      </c>
      <c r="R989" s="13"/>
      <c r="S989" s="13">
        <f t="shared" si="424"/>
        <v>0</v>
      </c>
      <c r="T989" s="13">
        <f t="shared" si="425"/>
        <v>7563.78</v>
      </c>
      <c r="U989" s="13">
        <f t="shared" si="426"/>
        <v>7563.78</v>
      </c>
      <c r="V989" s="13"/>
      <c r="W989" s="13">
        <f t="shared" si="427"/>
        <v>0</v>
      </c>
    </row>
    <row r="990" spans="2:23" s="9" customFormat="1">
      <c r="B990" s="9">
        <v>17</v>
      </c>
      <c r="C990" s="9" t="s">
        <v>783</v>
      </c>
      <c r="G990" s="9">
        <v>2003</v>
      </c>
      <c r="H990" s="9">
        <v>6</v>
      </c>
      <c r="I990" s="9">
        <v>0</v>
      </c>
      <c r="J990" s="9" t="s">
        <v>78</v>
      </c>
      <c r="K990" s="158" t="s">
        <v>449</v>
      </c>
      <c r="L990" s="9">
        <f t="shared" si="419"/>
        <v>2013</v>
      </c>
      <c r="M990" s="127">
        <f t="shared" si="420"/>
        <v>2013.5</v>
      </c>
      <c r="N990" s="13">
        <v>7563.78</v>
      </c>
      <c r="O990" s="13">
        <f t="shared" si="421"/>
        <v>7563.78</v>
      </c>
      <c r="P990" s="13">
        <f t="shared" si="422"/>
        <v>63.031499999999994</v>
      </c>
      <c r="Q990" s="13">
        <f t="shared" si="423"/>
        <v>756.37799999999993</v>
      </c>
      <c r="R990" s="13"/>
      <c r="S990" s="13">
        <f t="shared" si="424"/>
        <v>0</v>
      </c>
      <c r="T990" s="13">
        <f t="shared" si="425"/>
        <v>7563.78</v>
      </c>
      <c r="U990" s="13">
        <f t="shared" si="426"/>
        <v>7563.78</v>
      </c>
      <c r="V990" s="13"/>
      <c r="W990" s="13">
        <f t="shared" si="427"/>
        <v>0</v>
      </c>
    </row>
    <row r="991" spans="2:23" s="9" customFormat="1">
      <c r="B991" s="9">
        <v>17</v>
      </c>
      <c r="C991" s="9" t="s">
        <v>783</v>
      </c>
      <c r="G991" s="9">
        <v>2003</v>
      </c>
      <c r="H991" s="9">
        <v>6</v>
      </c>
      <c r="I991" s="9">
        <v>0</v>
      </c>
      <c r="J991" s="9" t="s">
        <v>78</v>
      </c>
      <c r="K991" s="158" t="s">
        <v>449</v>
      </c>
      <c r="L991" s="9">
        <f t="shared" si="419"/>
        <v>2013</v>
      </c>
      <c r="M991" s="127">
        <f t="shared" si="420"/>
        <v>2013.5</v>
      </c>
      <c r="N991" s="13">
        <v>7563.78</v>
      </c>
      <c r="O991" s="13">
        <f t="shared" si="421"/>
        <v>7563.78</v>
      </c>
      <c r="P991" s="13">
        <f t="shared" si="422"/>
        <v>63.031499999999994</v>
      </c>
      <c r="Q991" s="13">
        <f t="shared" si="423"/>
        <v>756.37799999999993</v>
      </c>
      <c r="R991" s="13"/>
      <c r="S991" s="13">
        <f t="shared" si="424"/>
        <v>0</v>
      </c>
      <c r="T991" s="13">
        <f t="shared" si="425"/>
        <v>7563.78</v>
      </c>
      <c r="U991" s="13">
        <f t="shared" si="426"/>
        <v>7563.78</v>
      </c>
      <c r="V991" s="13"/>
      <c r="W991" s="13">
        <f t="shared" si="427"/>
        <v>0</v>
      </c>
    </row>
    <row r="992" spans="2:23" s="9" customFormat="1">
      <c r="B992" s="9">
        <v>19</v>
      </c>
      <c r="C992" s="9" t="s">
        <v>783</v>
      </c>
      <c r="G992" s="9">
        <v>2001</v>
      </c>
      <c r="H992" s="9">
        <v>6</v>
      </c>
      <c r="I992" s="9">
        <v>0</v>
      </c>
      <c r="J992" s="9" t="s">
        <v>78</v>
      </c>
      <c r="K992" s="158" t="s">
        <v>449</v>
      </c>
      <c r="L992" s="9">
        <f t="shared" si="419"/>
        <v>2011</v>
      </c>
      <c r="M992" s="127">
        <f t="shared" si="420"/>
        <v>2011.5</v>
      </c>
      <c r="N992" s="13">
        <v>8529.92</v>
      </c>
      <c r="O992" s="13">
        <f t="shared" si="421"/>
        <v>8529.92</v>
      </c>
      <c r="P992" s="13">
        <f t="shared" si="422"/>
        <v>71.082666666666668</v>
      </c>
      <c r="Q992" s="13">
        <f t="shared" si="423"/>
        <v>852.99199999999996</v>
      </c>
      <c r="R992" s="13"/>
      <c r="S992" s="13">
        <f t="shared" si="424"/>
        <v>0</v>
      </c>
      <c r="T992" s="13">
        <f t="shared" si="425"/>
        <v>8529.92</v>
      </c>
      <c r="U992" s="13">
        <f t="shared" si="426"/>
        <v>8529.92</v>
      </c>
      <c r="V992" s="13"/>
      <c r="W992" s="13">
        <f t="shared" si="427"/>
        <v>0</v>
      </c>
    </row>
    <row r="993" spans="2:23" s="9" customFormat="1">
      <c r="B993" s="9">
        <v>19</v>
      </c>
      <c r="C993" s="9" t="s">
        <v>783</v>
      </c>
      <c r="G993" s="9">
        <v>2003</v>
      </c>
      <c r="H993" s="9">
        <v>2</v>
      </c>
      <c r="I993" s="9">
        <v>0</v>
      </c>
      <c r="J993" s="9" t="s">
        <v>78</v>
      </c>
      <c r="K993" s="158" t="s">
        <v>449</v>
      </c>
      <c r="L993" s="9">
        <f t="shared" si="419"/>
        <v>2013</v>
      </c>
      <c r="M993" s="127">
        <f t="shared" si="420"/>
        <v>2013.1666666666667</v>
      </c>
      <c r="N993" s="13">
        <v>8557.1200000000008</v>
      </c>
      <c r="O993" s="13">
        <f t="shared" si="421"/>
        <v>8557.1200000000008</v>
      </c>
      <c r="P993" s="13">
        <f t="shared" si="422"/>
        <v>71.309333333333342</v>
      </c>
      <c r="Q993" s="13">
        <f t="shared" si="423"/>
        <v>855.7120000000001</v>
      </c>
      <c r="R993" s="13"/>
      <c r="S993" s="13">
        <f t="shared" si="424"/>
        <v>0</v>
      </c>
      <c r="T993" s="13">
        <f t="shared" si="425"/>
        <v>8557.1200000000008</v>
      </c>
      <c r="U993" s="13">
        <f t="shared" si="426"/>
        <v>8557.1200000000008</v>
      </c>
      <c r="V993" s="13"/>
      <c r="W993" s="13">
        <f t="shared" si="427"/>
        <v>0</v>
      </c>
    </row>
    <row r="994" spans="2:23" s="9" customFormat="1">
      <c r="B994" s="9">
        <v>19</v>
      </c>
      <c r="C994" s="9" t="s">
        <v>783</v>
      </c>
      <c r="G994" s="9">
        <v>2004</v>
      </c>
      <c r="H994" s="9">
        <v>6</v>
      </c>
      <c r="I994" s="9">
        <v>0</v>
      </c>
      <c r="J994" s="9" t="s">
        <v>78</v>
      </c>
      <c r="K994" s="158" t="s">
        <v>449</v>
      </c>
      <c r="L994" s="9">
        <f t="shared" si="419"/>
        <v>2014</v>
      </c>
      <c r="M994" s="127">
        <f t="shared" si="420"/>
        <v>2014.5</v>
      </c>
      <c r="N994" s="13">
        <v>8736.64</v>
      </c>
      <c r="O994" s="13">
        <f t="shared" si="421"/>
        <v>8736.64</v>
      </c>
      <c r="P994" s="13">
        <f t="shared" si="422"/>
        <v>72.805333333333337</v>
      </c>
      <c r="Q994" s="13">
        <f t="shared" si="423"/>
        <v>873.66399999999999</v>
      </c>
      <c r="R994" s="13"/>
      <c r="S994" s="13">
        <f t="shared" si="424"/>
        <v>0</v>
      </c>
      <c r="T994" s="13">
        <f t="shared" si="425"/>
        <v>8736.64</v>
      </c>
      <c r="U994" s="13">
        <f t="shared" si="426"/>
        <v>8736.64</v>
      </c>
      <c r="V994" s="13"/>
      <c r="W994" s="13">
        <f t="shared" si="427"/>
        <v>0</v>
      </c>
    </row>
    <row r="995" spans="2:23" s="9" customFormat="1">
      <c r="B995" s="9">
        <v>33</v>
      </c>
      <c r="C995" s="9" t="s">
        <v>783</v>
      </c>
      <c r="G995" s="9">
        <v>2003</v>
      </c>
      <c r="H995" s="9">
        <v>2</v>
      </c>
      <c r="I995" s="9">
        <v>0</v>
      </c>
      <c r="J995" s="9" t="s">
        <v>78</v>
      </c>
      <c r="K995" s="158" t="s">
        <v>449</v>
      </c>
      <c r="L995" s="9">
        <f t="shared" si="419"/>
        <v>2013</v>
      </c>
      <c r="M995" s="127">
        <f t="shared" si="420"/>
        <v>2013.1666666666667</v>
      </c>
      <c r="N995" s="13">
        <v>15127.55</v>
      </c>
      <c r="O995" s="13">
        <f t="shared" si="421"/>
        <v>15127.55</v>
      </c>
      <c r="P995" s="13">
        <f t="shared" si="422"/>
        <v>126.06291666666665</v>
      </c>
      <c r="Q995" s="13">
        <f t="shared" si="423"/>
        <v>1512.7549999999999</v>
      </c>
      <c r="R995" s="13"/>
      <c r="S995" s="13">
        <f t="shared" si="424"/>
        <v>0</v>
      </c>
      <c r="T995" s="13">
        <f t="shared" si="425"/>
        <v>15127.55</v>
      </c>
      <c r="U995" s="13">
        <f t="shared" si="426"/>
        <v>15127.55</v>
      </c>
      <c r="V995" s="13"/>
      <c r="W995" s="13">
        <f t="shared" si="427"/>
        <v>0</v>
      </c>
    </row>
    <row r="996" spans="2:23" s="9" customFormat="1">
      <c r="B996" s="9">
        <v>7</v>
      </c>
      <c r="C996" s="9" t="s">
        <v>524</v>
      </c>
      <c r="G996" s="9">
        <v>2000</v>
      </c>
      <c r="H996" s="9">
        <v>9</v>
      </c>
      <c r="I996" s="9">
        <v>0</v>
      </c>
      <c r="J996" s="9" t="s">
        <v>78</v>
      </c>
      <c r="K996" s="158" t="s">
        <v>449</v>
      </c>
      <c r="L996" s="9">
        <f t="shared" si="419"/>
        <v>2010</v>
      </c>
      <c r="M996" s="127">
        <f t="shared" si="420"/>
        <v>2010.75</v>
      </c>
      <c r="N996" s="13">
        <v>3095.1</v>
      </c>
      <c r="O996" s="13">
        <f t="shared" si="421"/>
        <v>3095.1</v>
      </c>
      <c r="P996" s="13">
        <f t="shared" si="422"/>
        <v>25.7925</v>
      </c>
      <c r="Q996" s="13">
        <f t="shared" si="423"/>
        <v>309.51</v>
      </c>
      <c r="R996" s="13"/>
      <c r="S996" s="13">
        <f t="shared" si="424"/>
        <v>0</v>
      </c>
      <c r="T996" s="13">
        <f t="shared" si="425"/>
        <v>3095.1</v>
      </c>
      <c r="U996" s="13">
        <f t="shared" si="426"/>
        <v>3095.1</v>
      </c>
      <c r="V996" s="13"/>
      <c r="W996" s="13">
        <f t="shared" si="427"/>
        <v>0</v>
      </c>
    </row>
    <row r="997" spans="2:23" s="9" customFormat="1">
      <c r="B997" s="9">
        <v>7</v>
      </c>
      <c r="C997" s="9" t="s">
        <v>524</v>
      </c>
      <c r="G997" s="9">
        <v>2002</v>
      </c>
      <c r="H997" s="9">
        <v>6</v>
      </c>
      <c r="I997" s="9">
        <v>0</v>
      </c>
      <c r="J997" s="9" t="s">
        <v>78</v>
      </c>
      <c r="K997" s="158" t="s">
        <v>449</v>
      </c>
      <c r="L997" s="9">
        <f t="shared" si="419"/>
        <v>2012</v>
      </c>
      <c r="M997" s="127">
        <f t="shared" si="420"/>
        <v>2012.5</v>
      </c>
      <c r="N997" s="13">
        <v>3111.68</v>
      </c>
      <c r="O997" s="13">
        <f t="shared" si="421"/>
        <v>3111.68</v>
      </c>
      <c r="P997" s="13">
        <f t="shared" si="422"/>
        <v>25.930666666666667</v>
      </c>
      <c r="Q997" s="13">
        <f t="shared" si="423"/>
        <v>311.16800000000001</v>
      </c>
      <c r="R997" s="13"/>
      <c r="S997" s="13">
        <f t="shared" si="424"/>
        <v>0</v>
      </c>
      <c r="T997" s="13">
        <f t="shared" si="425"/>
        <v>3111.68</v>
      </c>
      <c r="U997" s="13">
        <f t="shared" si="426"/>
        <v>3111.68</v>
      </c>
      <c r="V997" s="13"/>
      <c r="W997" s="13">
        <f t="shared" si="427"/>
        <v>0</v>
      </c>
    </row>
    <row r="998" spans="2:23" s="9" customFormat="1">
      <c r="B998" s="9">
        <v>8</v>
      </c>
      <c r="C998" s="9" t="s">
        <v>524</v>
      </c>
      <c r="G998" s="9">
        <v>2001</v>
      </c>
      <c r="H998" s="9">
        <v>7</v>
      </c>
      <c r="I998" s="9">
        <v>0</v>
      </c>
      <c r="J998" s="9" t="s">
        <v>78</v>
      </c>
      <c r="K998" s="158" t="s">
        <v>449</v>
      </c>
      <c r="L998" s="9">
        <f t="shared" si="419"/>
        <v>2011</v>
      </c>
      <c r="M998" s="127">
        <f t="shared" si="420"/>
        <v>2011.5833333333333</v>
      </c>
      <c r="N998" s="13">
        <v>3557.76</v>
      </c>
      <c r="O998" s="13">
        <f t="shared" si="421"/>
        <v>3557.76</v>
      </c>
      <c r="P998" s="13">
        <f t="shared" si="422"/>
        <v>29.648</v>
      </c>
      <c r="Q998" s="13">
        <f t="shared" si="423"/>
        <v>355.77600000000001</v>
      </c>
      <c r="R998" s="13"/>
      <c r="S998" s="13">
        <f t="shared" si="424"/>
        <v>0</v>
      </c>
      <c r="T998" s="13">
        <f t="shared" si="425"/>
        <v>3557.76</v>
      </c>
      <c r="U998" s="13">
        <f t="shared" si="426"/>
        <v>3557.76</v>
      </c>
      <c r="V998" s="13"/>
      <c r="W998" s="13">
        <f t="shared" si="427"/>
        <v>0</v>
      </c>
    </row>
    <row r="999" spans="2:23" s="9" customFormat="1">
      <c r="B999" s="9">
        <v>8</v>
      </c>
      <c r="C999" s="9" t="s">
        <v>524</v>
      </c>
      <c r="G999" s="9">
        <v>2001</v>
      </c>
      <c r="H999" s="9">
        <v>6</v>
      </c>
      <c r="I999" s="9">
        <v>0</v>
      </c>
      <c r="J999" s="9" t="s">
        <v>78</v>
      </c>
      <c r="K999" s="158" t="s">
        <v>449</v>
      </c>
      <c r="L999" s="9">
        <f t="shared" si="419"/>
        <v>2011</v>
      </c>
      <c r="M999" s="127">
        <f t="shared" si="420"/>
        <v>2011.5</v>
      </c>
      <c r="N999" s="13">
        <v>3688.32</v>
      </c>
      <c r="O999" s="13">
        <f t="shared" si="421"/>
        <v>3688.32</v>
      </c>
      <c r="P999" s="13">
        <f t="shared" si="422"/>
        <v>30.736000000000001</v>
      </c>
      <c r="Q999" s="13">
        <f t="shared" si="423"/>
        <v>368.83199999999999</v>
      </c>
      <c r="R999" s="13"/>
      <c r="S999" s="13">
        <f t="shared" si="424"/>
        <v>0</v>
      </c>
      <c r="T999" s="13">
        <f t="shared" si="425"/>
        <v>3688.32</v>
      </c>
      <c r="U999" s="13">
        <f t="shared" si="426"/>
        <v>3688.32</v>
      </c>
      <c r="V999" s="13"/>
      <c r="W999" s="13">
        <f t="shared" si="427"/>
        <v>0</v>
      </c>
    </row>
    <row r="1000" spans="2:23" s="9" customFormat="1">
      <c r="B1000" s="9">
        <v>8</v>
      </c>
      <c r="C1000" s="9" t="s">
        <v>524</v>
      </c>
      <c r="G1000" s="9">
        <v>2005</v>
      </c>
      <c r="H1000" s="9">
        <v>7</v>
      </c>
      <c r="I1000" s="9">
        <v>0</v>
      </c>
      <c r="J1000" s="9" t="s">
        <v>78</v>
      </c>
      <c r="K1000" s="158" t="s">
        <v>449</v>
      </c>
      <c r="L1000" s="9">
        <f t="shared" si="419"/>
        <v>2015</v>
      </c>
      <c r="M1000" s="127">
        <f t="shared" si="420"/>
        <v>2015.5833333333333</v>
      </c>
      <c r="N1000" s="13">
        <v>3707.9</v>
      </c>
      <c r="O1000" s="13">
        <f t="shared" si="421"/>
        <v>3707.9</v>
      </c>
      <c r="P1000" s="13">
        <f t="shared" si="422"/>
        <v>30.89916666666667</v>
      </c>
      <c r="Q1000" s="13">
        <f t="shared" si="423"/>
        <v>370.79</v>
      </c>
      <c r="R1000" s="13"/>
      <c r="S1000" s="13">
        <f t="shared" si="424"/>
        <v>0</v>
      </c>
      <c r="T1000" s="13">
        <f t="shared" si="425"/>
        <v>3707.9</v>
      </c>
      <c r="U1000" s="13">
        <f t="shared" si="426"/>
        <v>3707.9</v>
      </c>
      <c r="V1000" s="13"/>
      <c r="W1000" s="13">
        <f t="shared" si="427"/>
        <v>0</v>
      </c>
    </row>
    <row r="1001" spans="2:23" s="9" customFormat="1">
      <c r="B1001" s="9">
        <v>10</v>
      </c>
      <c r="C1001" s="9" t="s">
        <v>524</v>
      </c>
      <c r="G1001" s="9">
        <v>2005</v>
      </c>
      <c r="H1001" s="9">
        <v>7</v>
      </c>
      <c r="I1001" s="9">
        <v>0</v>
      </c>
      <c r="J1001" s="9" t="s">
        <v>78</v>
      </c>
      <c r="K1001" s="158" t="s">
        <v>449</v>
      </c>
      <c r="L1001" s="9">
        <f t="shared" si="419"/>
        <v>2015</v>
      </c>
      <c r="M1001" s="127">
        <f t="shared" si="420"/>
        <v>2015.5833333333333</v>
      </c>
      <c r="N1001" s="13">
        <v>4564.16</v>
      </c>
      <c r="O1001" s="13">
        <f t="shared" si="421"/>
        <v>4564.16</v>
      </c>
      <c r="P1001" s="13">
        <f t="shared" si="422"/>
        <v>38.034666666666666</v>
      </c>
      <c r="Q1001" s="13">
        <f t="shared" si="423"/>
        <v>456.416</v>
      </c>
      <c r="R1001" s="13"/>
      <c r="S1001" s="13">
        <f t="shared" si="424"/>
        <v>0</v>
      </c>
      <c r="T1001" s="13">
        <f t="shared" si="425"/>
        <v>4564.16</v>
      </c>
      <c r="U1001" s="13">
        <f t="shared" si="426"/>
        <v>4564.16</v>
      </c>
      <c r="V1001" s="13"/>
      <c r="W1001" s="13">
        <f t="shared" si="427"/>
        <v>0</v>
      </c>
    </row>
    <row r="1002" spans="2:23" s="9" customFormat="1">
      <c r="B1002" s="9">
        <v>11</v>
      </c>
      <c r="C1002" s="9" t="s">
        <v>524</v>
      </c>
      <c r="G1002" s="9">
        <v>2005</v>
      </c>
      <c r="H1002" s="9">
        <v>9</v>
      </c>
      <c r="I1002" s="9">
        <v>0</v>
      </c>
      <c r="J1002" s="9" t="s">
        <v>78</v>
      </c>
      <c r="K1002" s="158" t="s">
        <v>449</v>
      </c>
      <c r="L1002" s="9">
        <f t="shared" si="419"/>
        <v>2015</v>
      </c>
      <c r="M1002" s="127">
        <f t="shared" si="420"/>
        <v>2015.75</v>
      </c>
      <c r="N1002" s="13">
        <v>5034</v>
      </c>
      <c r="O1002" s="13">
        <f t="shared" si="421"/>
        <v>5034</v>
      </c>
      <c r="P1002" s="13">
        <f t="shared" si="422"/>
        <v>41.949999999999996</v>
      </c>
      <c r="Q1002" s="13">
        <f t="shared" si="423"/>
        <v>503.4</v>
      </c>
      <c r="R1002" s="13"/>
      <c r="S1002" s="13">
        <f t="shared" si="424"/>
        <v>0</v>
      </c>
      <c r="T1002" s="13">
        <f t="shared" si="425"/>
        <v>5034</v>
      </c>
      <c r="U1002" s="13">
        <f t="shared" si="426"/>
        <v>5034</v>
      </c>
      <c r="V1002" s="13"/>
      <c r="W1002" s="13">
        <f t="shared" si="427"/>
        <v>0</v>
      </c>
    </row>
    <row r="1003" spans="2:23" s="9" customFormat="1">
      <c r="B1003" s="9">
        <v>13</v>
      </c>
      <c r="C1003" s="9" t="s">
        <v>524</v>
      </c>
      <c r="G1003" s="9">
        <v>2006</v>
      </c>
      <c r="H1003" s="9">
        <v>8</v>
      </c>
      <c r="I1003" s="9">
        <v>0</v>
      </c>
      <c r="J1003" s="9" t="s">
        <v>78</v>
      </c>
      <c r="K1003" s="158" t="s">
        <v>449</v>
      </c>
      <c r="L1003" s="9">
        <f t="shared" si="419"/>
        <v>2016</v>
      </c>
      <c r="M1003" s="127">
        <f t="shared" si="420"/>
        <v>2016.6666666666667</v>
      </c>
      <c r="N1003" s="13">
        <v>5864.32</v>
      </c>
      <c r="O1003" s="13">
        <f t="shared" si="421"/>
        <v>5864.32</v>
      </c>
      <c r="P1003" s="13">
        <f t="shared" si="422"/>
        <v>48.869333333333337</v>
      </c>
      <c r="Q1003" s="13">
        <f t="shared" si="423"/>
        <v>586.43200000000002</v>
      </c>
      <c r="R1003" s="13"/>
      <c r="S1003" s="13">
        <f t="shared" si="424"/>
        <v>0</v>
      </c>
      <c r="T1003" s="13">
        <f t="shared" si="425"/>
        <v>5864.32</v>
      </c>
      <c r="U1003" s="13">
        <f t="shared" si="426"/>
        <v>5864.32</v>
      </c>
      <c r="V1003" s="13"/>
      <c r="W1003" s="13">
        <f t="shared" si="427"/>
        <v>0</v>
      </c>
    </row>
    <row r="1004" spans="2:23" s="9" customFormat="1">
      <c r="B1004" s="9">
        <v>13</v>
      </c>
      <c r="C1004" s="9" t="s">
        <v>524</v>
      </c>
      <c r="G1004" s="9">
        <v>2001</v>
      </c>
      <c r="H1004" s="9">
        <v>2</v>
      </c>
      <c r="I1004" s="9">
        <v>0</v>
      </c>
      <c r="J1004" s="9" t="s">
        <v>78</v>
      </c>
      <c r="K1004" s="158" t="s">
        <v>449</v>
      </c>
      <c r="L1004" s="9">
        <f t="shared" si="419"/>
        <v>2011</v>
      </c>
      <c r="M1004" s="127">
        <f t="shared" si="420"/>
        <v>2011.1666666666667</v>
      </c>
      <c r="N1004" s="13">
        <v>6081.6</v>
      </c>
      <c r="O1004" s="13">
        <f t="shared" si="421"/>
        <v>6081.6</v>
      </c>
      <c r="P1004" s="13">
        <f t="shared" si="422"/>
        <v>50.680000000000007</v>
      </c>
      <c r="Q1004" s="13">
        <f t="shared" si="423"/>
        <v>608.16000000000008</v>
      </c>
      <c r="R1004" s="13"/>
      <c r="S1004" s="13">
        <f t="shared" si="424"/>
        <v>0</v>
      </c>
      <c r="T1004" s="13">
        <f t="shared" si="425"/>
        <v>6081.6</v>
      </c>
      <c r="U1004" s="13">
        <f t="shared" si="426"/>
        <v>6081.6</v>
      </c>
      <c r="V1004" s="13"/>
      <c r="W1004" s="13">
        <f t="shared" si="427"/>
        <v>0</v>
      </c>
    </row>
    <row r="1005" spans="2:23" s="9" customFormat="1">
      <c r="B1005" s="9">
        <v>14</v>
      </c>
      <c r="C1005" s="9" t="s">
        <v>524</v>
      </c>
      <c r="G1005" s="9">
        <v>2003</v>
      </c>
      <c r="H1005" s="9">
        <v>6</v>
      </c>
      <c r="I1005" s="9">
        <v>0</v>
      </c>
      <c r="J1005" s="9" t="s">
        <v>78</v>
      </c>
      <c r="K1005" s="158" t="s">
        <v>449</v>
      </c>
      <c r="L1005" s="9">
        <f t="shared" si="419"/>
        <v>2013</v>
      </c>
      <c r="M1005" s="127">
        <f t="shared" si="420"/>
        <v>2013.5</v>
      </c>
      <c r="N1005" s="13">
        <v>6433.34</v>
      </c>
      <c r="O1005" s="13">
        <f t="shared" si="421"/>
        <v>6433.34</v>
      </c>
      <c r="P1005" s="13">
        <f t="shared" si="422"/>
        <v>53.611166666666669</v>
      </c>
      <c r="Q1005" s="13">
        <f t="shared" si="423"/>
        <v>643.33400000000006</v>
      </c>
      <c r="R1005" s="13"/>
      <c r="S1005" s="13">
        <f t="shared" si="424"/>
        <v>0</v>
      </c>
      <c r="T1005" s="13">
        <f t="shared" si="425"/>
        <v>6433.34</v>
      </c>
      <c r="U1005" s="13">
        <f t="shared" si="426"/>
        <v>6433.34</v>
      </c>
      <c r="V1005" s="13"/>
      <c r="W1005" s="13">
        <f t="shared" si="427"/>
        <v>0</v>
      </c>
    </row>
    <row r="1006" spans="2:23" s="9" customFormat="1">
      <c r="B1006" s="9">
        <v>17</v>
      </c>
      <c r="C1006" s="9" t="s">
        <v>524</v>
      </c>
      <c r="G1006" s="9">
        <v>2004</v>
      </c>
      <c r="H1006" s="9">
        <v>6</v>
      </c>
      <c r="I1006" s="9">
        <v>0</v>
      </c>
      <c r="J1006" s="9" t="s">
        <v>78</v>
      </c>
      <c r="K1006" s="158" t="s">
        <v>449</v>
      </c>
      <c r="L1006" s="9">
        <f t="shared" si="419"/>
        <v>2014</v>
      </c>
      <c r="M1006" s="127">
        <f t="shared" si="420"/>
        <v>2014.5</v>
      </c>
      <c r="N1006" s="13">
        <v>7855.36</v>
      </c>
      <c r="O1006" s="13">
        <f t="shared" si="421"/>
        <v>7855.36</v>
      </c>
      <c r="P1006" s="13">
        <f t="shared" si="422"/>
        <v>65.461333333333329</v>
      </c>
      <c r="Q1006" s="13">
        <f t="shared" si="423"/>
        <v>785.53599999999994</v>
      </c>
      <c r="R1006" s="13"/>
      <c r="S1006" s="13">
        <f t="shared" si="424"/>
        <v>0</v>
      </c>
      <c r="T1006" s="13">
        <f t="shared" si="425"/>
        <v>7855.36</v>
      </c>
      <c r="U1006" s="13">
        <f t="shared" si="426"/>
        <v>7855.36</v>
      </c>
      <c r="V1006" s="13"/>
      <c r="W1006" s="13">
        <f t="shared" si="427"/>
        <v>0</v>
      </c>
    </row>
    <row r="1007" spans="2:23" s="9" customFormat="1">
      <c r="B1007" s="9">
        <v>19</v>
      </c>
      <c r="C1007" s="9" t="s">
        <v>524</v>
      </c>
      <c r="G1007" s="9">
        <v>2004</v>
      </c>
      <c r="H1007" s="9">
        <v>4</v>
      </c>
      <c r="I1007" s="9">
        <v>0</v>
      </c>
      <c r="J1007" s="9" t="s">
        <v>78</v>
      </c>
      <c r="K1007" s="158" t="s">
        <v>449</v>
      </c>
      <c r="L1007" s="9">
        <f t="shared" si="419"/>
        <v>2014</v>
      </c>
      <c r="M1007" s="127">
        <f t="shared" si="420"/>
        <v>2014.3333333333333</v>
      </c>
      <c r="N1007" s="13">
        <v>8799.74</v>
      </c>
      <c r="O1007" s="13">
        <f t="shared" si="421"/>
        <v>8799.74</v>
      </c>
      <c r="P1007" s="13">
        <f t="shared" si="422"/>
        <v>73.331166666666661</v>
      </c>
      <c r="Q1007" s="13">
        <f t="shared" si="423"/>
        <v>879.97399999999993</v>
      </c>
      <c r="R1007" s="13"/>
      <c r="S1007" s="13">
        <f t="shared" si="424"/>
        <v>0</v>
      </c>
      <c r="T1007" s="13">
        <f t="shared" si="425"/>
        <v>8799.74</v>
      </c>
      <c r="U1007" s="13">
        <f t="shared" si="426"/>
        <v>8799.74</v>
      </c>
      <c r="V1007" s="13"/>
      <c r="W1007" s="13">
        <f t="shared" si="427"/>
        <v>0</v>
      </c>
    </row>
    <row r="1008" spans="2:23" s="9" customFormat="1">
      <c r="B1008" s="9">
        <v>20</v>
      </c>
      <c r="C1008" s="9" t="s">
        <v>524</v>
      </c>
      <c r="G1008" s="9">
        <v>2005</v>
      </c>
      <c r="H1008" s="9">
        <v>2</v>
      </c>
      <c r="I1008" s="9">
        <v>0</v>
      </c>
      <c r="J1008" s="9" t="s">
        <v>78</v>
      </c>
      <c r="K1008" s="158" t="s">
        <v>449</v>
      </c>
      <c r="L1008" s="9">
        <f t="shared" si="419"/>
        <v>2015</v>
      </c>
      <c r="M1008" s="127">
        <f t="shared" si="420"/>
        <v>2015.1666666666667</v>
      </c>
      <c r="N1008" s="13">
        <v>8997.76</v>
      </c>
      <c r="O1008" s="13">
        <f t="shared" si="421"/>
        <v>8997.76</v>
      </c>
      <c r="P1008" s="13">
        <f t="shared" si="422"/>
        <v>74.981333333333339</v>
      </c>
      <c r="Q1008" s="13">
        <f t="shared" si="423"/>
        <v>899.77600000000007</v>
      </c>
      <c r="R1008" s="13"/>
      <c r="S1008" s="13">
        <f t="shared" si="424"/>
        <v>0</v>
      </c>
      <c r="T1008" s="13">
        <f t="shared" si="425"/>
        <v>8997.76</v>
      </c>
      <c r="U1008" s="13">
        <f t="shared" si="426"/>
        <v>8997.76</v>
      </c>
      <c r="V1008" s="13"/>
      <c r="W1008" s="13">
        <f t="shared" si="427"/>
        <v>0</v>
      </c>
    </row>
    <row r="1009" spans="2:23" s="9" customFormat="1">
      <c r="B1009" s="9">
        <v>20</v>
      </c>
      <c r="C1009" s="9" t="s">
        <v>524</v>
      </c>
      <c r="G1009" s="9">
        <v>2001</v>
      </c>
      <c r="H1009" s="9">
        <v>4</v>
      </c>
      <c r="I1009" s="9">
        <v>0</v>
      </c>
      <c r="J1009" s="9" t="s">
        <v>78</v>
      </c>
      <c r="K1009" s="158" t="s">
        <v>449</v>
      </c>
      <c r="L1009" s="9">
        <f t="shared" si="419"/>
        <v>2011</v>
      </c>
      <c r="M1009" s="127">
        <f t="shared" si="420"/>
        <v>2011.3333333333333</v>
      </c>
      <c r="N1009" s="13">
        <v>9302.4</v>
      </c>
      <c r="O1009" s="13">
        <f t="shared" si="421"/>
        <v>9302.4</v>
      </c>
      <c r="P1009" s="13">
        <f t="shared" si="422"/>
        <v>77.52</v>
      </c>
      <c r="Q1009" s="13">
        <f t="shared" si="423"/>
        <v>930.24</v>
      </c>
      <c r="R1009" s="13"/>
      <c r="S1009" s="13">
        <f t="shared" si="424"/>
        <v>0</v>
      </c>
      <c r="T1009" s="13">
        <f t="shared" si="425"/>
        <v>9302.4</v>
      </c>
      <c r="U1009" s="13">
        <f t="shared" si="426"/>
        <v>9302.4</v>
      </c>
      <c r="V1009" s="13"/>
      <c r="W1009" s="13">
        <f t="shared" si="427"/>
        <v>0</v>
      </c>
    </row>
    <row r="1010" spans="2:23" s="9" customFormat="1">
      <c r="B1010" s="9">
        <v>21</v>
      </c>
      <c r="C1010" s="9" t="s">
        <v>524</v>
      </c>
      <c r="G1010" s="9">
        <v>2006</v>
      </c>
      <c r="H1010" s="9">
        <v>9</v>
      </c>
      <c r="I1010" s="9">
        <v>0</v>
      </c>
      <c r="J1010" s="9" t="s">
        <v>78</v>
      </c>
      <c r="K1010" s="158" t="s">
        <v>449</v>
      </c>
      <c r="L1010" s="9">
        <f t="shared" si="419"/>
        <v>2016</v>
      </c>
      <c r="M1010" s="127">
        <f t="shared" si="420"/>
        <v>2016.75</v>
      </c>
      <c r="N1010" s="13">
        <v>9628.7999999999993</v>
      </c>
      <c r="O1010" s="13">
        <f t="shared" si="421"/>
        <v>9628.7999999999993</v>
      </c>
      <c r="P1010" s="13">
        <f t="shared" si="422"/>
        <v>80.239999999999995</v>
      </c>
      <c r="Q1010" s="13">
        <f t="shared" si="423"/>
        <v>962.87999999999988</v>
      </c>
      <c r="R1010" s="13"/>
      <c r="S1010" s="13">
        <f t="shared" si="424"/>
        <v>0</v>
      </c>
      <c r="T1010" s="13">
        <f t="shared" si="425"/>
        <v>9628.7999999999993</v>
      </c>
      <c r="U1010" s="13">
        <f t="shared" si="426"/>
        <v>9628.7999999999993</v>
      </c>
      <c r="V1010" s="13"/>
      <c r="W1010" s="13">
        <f t="shared" si="427"/>
        <v>0</v>
      </c>
    </row>
    <row r="1011" spans="2:23" s="9" customFormat="1">
      <c r="B1011" s="9">
        <v>22</v>
      </c>
      <c r="C1011" s="9" t="s">
        <v>524</v>
      </c>
      <c r="G1011" s="9">
        <v>2004</v>
      </c>
      <c r="H1011" s="9">
        <v>8</v>
      </c>
      <c r="I1011" s="9">
        <v>0</v>
      </c>
      <c r="J1011" s="9" t="s">
        <v>78</v>
      </c>
      <c r="K1011" s="158" t="s">
        <v>449</v>
      </c>
      <c r="L1011" s="9">
        <f t="shared" si="419"/>
        <v>2014</v>
      </c>
      <c r="M1011" s="127">
        <f t="shared" si="420"/>
        <v>2014.6666666666667</v>
      </c>
      <c r="N1011" s="13">
        <v>9897.5400000000009</v>
      </c>
      <c r="O1011" s="13">
        <f t="shared" si="421"/>
        <v>9897.5400000000009</v>
      </c>
      <c r="P1011" s="13">
        <f t="shared" si="422"/>
        <v>82.479500000000016</v>
      </c>
      <c r="Q1011" s="13">
        <f t="shared" si="423"/>
        <v>989.75400000000013</v>
      </c>
      <c r="R1011" s="13"/>
      <c r="S1011" s="13">
        <f t="shared" si="424"/>
        <v>0</v>
      </c>
      <c r="T1011" s="13">
        <f t="shared" si="425"/>
        <v>9897.5400000000009</v>
      </c>
      <c r="U1011" s="13">
        <f t="shared" si="426"/>
        <v>9897.5400000000009</v>
      </c>
      <c r="V1011" s="13"/>
      <c r="W1011" s="13">
        <f t="shared" si="427"/>
        <v>0</v>
      </c>
    </row>
    <row r="1012" spans="2:23" s="9" customFormat="1">
      <c r="B1012" s="9">
        <v>26</v>
      </c>
      <c r="C1012" s="9" t="s">
        <v>524</v>
      </c>
      <c r="G1012" s="9">
        <v>2001</v>
      </c>
      <c r="H1012" s="9">
        <v>3</v>
      </c>
      <c r="I1012" s="9">
        <v>0</v>
      </c>
      <c r="J1012" s="9" t="s">
        <v>78</v>
      </c>
      <c r="K1012" s="158" t="s">
        <v>449</v>
      </c>
      <c r="L1012" s="9">
        <f t="shared" si="419"/>
        <v>2011</v>
      </c>
      <c r="M1012" s="127">
        <f t="shared" si="420"/>
        <v>2011.25</v>
      </c>
      <c r="N1012" s="13">
        <v>11837.4</v>
      </c>
      <c r="O1012" s="13">
        <f t="shared" si="421"/>
        <v>11837.4</v>
      </c>
      <c r="P1012" s="13">
        <f t="shared" si="422"/>
        <v>98.644999999999996</v>
      </c>
      <c r="Q1012" s="13">
        <f t="shared" si="423"/>
        <v>1183.74</v>
      </c>
      <c r="R1012" s="13"/>
      <c r="S1012" s="13">
        <f t="shared" si="424"/>
        <v>0</v>
      </c>
      <c r="T1012" s="13">
        <f t="shared" si="425"/>
        <v>11837.4</v>
      </c>
      <c r="U1012" s="13">
        <f t="shared" si="426"/>
        <v>11837.4</v>
      </c>
      <c r="V1012" s="13"/>
      <c r="W1012" s="13">
        <f t="shared" si="427"/>
        <v>0</v>
      </c>
    </row>
    <row r="1013" spans="2:23" s="9" customFormat="1">
      <c r="B1013" s="9">
        <v>41</v>
      </c>
      <c r="C1013" s="9" t="s">
        <v>524</v>
      </c>
      <c r="G1013" s="9">
        <v>2005</v>
      </c>
      <c r="H1013" s="9">
        <v>10</v>
      </c>
      <c r="I1013" s="9">
        <v>0</v>
      </c>
      <c r="J1013" s="9" t="s">
        <v>78</v>
      </c>
      <c r="K1013" s="158" t="s">
        <v>449</v>
      </c>
      <c r="L1013" s="9">
        <f t="shared" si="419"/>
        <v>2015</v>
      </c>
      <c r="M1013" s="127">
        <f t="shared" si="420"/>
        <v>2015.8333333333333</v>
      </c>
      <c r="N1013" s="13">
        <v>18474.240000000002</v>
      </c>
      <c r="O1013" s="13">
        <f t="shared" si="421"/>
        <v>18474.240000000002</v>
      </c>
      <c r="P1013" s="13">
        <f t="shared" si="422"/>
        <v>153.95200000000003</v>
      </c>
      <c r="Q1013" s="13">
        <f t="shared" si="423"/>
        <v>1847.4240000000004</v>
      </c>
      <c r="R1013" s="13"/>
      <c r="S1013" s="13">
        <f t="shared" si="424"/>
        <v>0</v>
      </c>
      <c r="T1013" s="13">
        <f t="shared" si="425"/>
        <v>18474.240000000002</v>
      </c>
      <c r="U1013" s="13">
        <f t="shared" si="426"/>
        <v>18474.240000000002</v>
      </c>
      <c r="V1013" s="13"/>
      <c r="W1013" s="13">
        <f t="shared" si="427"/>
        <v>0</v>
      </c>
    </row>
    <row r="1014" spans="2:23" s="9" customFormat="1">
      <c r="B1014" s="9">
        <v>44</v>
      </c>
      <c r="C1014" s="9" t="s">
        <v>524</v>
      </c>
      <c r="G1014" s="9">
        <v>2005</v>
      </c>
      <c r="H1014" s="9">
        <v>11</v>
      </c>
      <c r="I1014" s="9">
        <v>0</v>
      </c>
      <c r="J1014" s="9" t="s">
        <v>78</v>
      </c>
      <c r="K1014" s="158" t="s">
        <v>449</v>
      </c>
      <c r="L1014" s="9">
        <f t="shared" si="419"/>
        <v>2015</v>
      </c>
      <c r="M1014" s="127">
        <f t="shared" si="420"/>
        <v>2015.9166666666667</v>
      </c>
      <c r="N1014" s="13">
        <v>20082.3</v>
      </c>
      <c r="O1014" s="13">
        <f t="shared" si="421"/>
        <v>20082.3</v>
      </c>
      <c r="P1014" s="13">
        <f t="shared" si="422"/>
        <v>167.35249999999999</v>
      </c>
      <c r="Q1014" s="13">
        <f t="shared" si="423"/>
        <v>2008.23</v>
      </c>
      <c r="R1014" s="13"/>
      <c r="S1014" s="13">
        <f t="shared" si="424"/>
        <v>0</v>
      </c>
      <c r="T1014" s="13">
        <f t="shared" si="425"/>
        <v>20082.3</v>
      </c>
      <c r="U1014" s="13">
        <f t="shared" si="426"/>
        <v>20082.3</v>
      </c>
      <c r="V1014" s="13"/>
      <c r="W1014" s="13">
        <f t="shared" si="427"/>
        <v>0</v>
      </c>
    </row>
    <row r="1015" spans="2:23" s="9" customFormat="1">
      <c r="K1015" s="158"/>
      <c r="M1015" s="146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</row>
    <row r="1016" spans="2:23" s="9" customFormat="1">
      <c r="B1016" s="9">
        <f>SUM(B981:B1015)</f>
        <v>635</v>
      </c>
      <c r="C1016" s="9" t="s">
        <v>784</v>
      </c>
      <c r="K1016" s="158"/>
      <c r="M1016" s="146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</row>
    <row r="1017" spans="2:23" s="9" customFormat="1">
      <c r="K1017" s="158"/>
      <c r="M1017" s="146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</row>
    <row r="1018" spans="2:23" s="9" customFormat="1">
      <c r="B1018" s="9">
        <v>18</v>
      </c>
      <c r="C1018" s="9" t="s">
        <v>530</v>
      </c>
      <c r="G1018" s="9">
        <v>2005</v>
      </c>
      <c r="H1018" s="9">
        <v>8</v>
      </c>
      <c r="I1018" s="9">
        <v>0</v>
      </c>
      <c r="J1018" s="9" t="s">
        <v>78</v>
      </c>
      <c r="K1018" s="158" t="s">
        <v>449</v>
      </c>
      <c r="L1018" s="9">
        <f t="shared" ref="L1018:L1028" si="428">G1018+K1018</f>
        <v>2015</v>
      </c>
      <c r="M1018" s="127">
        <f t="shared" ref="M1018:M1028" si="429">+L1018+(H1018/12)</f>
        <v>2015.6666666666667</v>
      </c>
      <c r="N1018" s="13">
        <v>8758.4</v>
      </c>
      <c r="O1018" s="13">
        <f t="shared" ref="O1018:O1028" si="430">N1018-N1018*I1018</f>
        <v>8758.4</v>
      </c>
      <c r="P1018" s="13">
        <f t="shared" ref="P1018:P1028" si="431">O1018/K1018/12</f>
        <v>72.986666666666665</v>
      </c>
      <c r="Q1018" s="13">
        <f t="shared" ref="Q1018:Q1028" si="432">P1018*12</f>
        <v>875.83999999999992</v>
      </c>
      <c r="R1018" s="13"/>
      <c r="S1018" s="13">
        <f t="shared" ref="S1018:S1028" si="433">+IF(M1018&lt;=$O$5,0,IF(L1018&gt;$O$4,Q1018,(P1018*H1018)))</f>
        <v>0</v>
      </c>
      <c r="T1018" s="13">
        <f t="shared" ref="T1018:T1028" si="434">+IF(S1018=0,N1018,IF($O$3-G1018&lt;1,0,(($O$3-G1018)*Q1018)))</f>
        <v>8758.4</v>
      </c>
      <c r="U1018" s="13">
        <f t="shared" ref="U1018:U1028" si="435">+IF(S1018=0,T1018,T1018+S1018)</f>
        <v>8758.4</v>
      </c>
      <c r="V1018" s="13"/>
      <c r="W1018" s="13">
        <f t="shared" ref="W1018:W1028" si="436">+N1018-U1018</f>
        <v>0</v>
      </c>
    </row>
    <row r="1019" spans="2:23" s="9" customFormat="1">
      <c r="B1019" s="9">
        <v>91</v>
      </c>
      <c r="C1019" s="9" t="s">
        <v>530</v>
      </c>
      <c r="G1019" s="9">
        <v>2008</v>
      </c>
      <c r="H1019" s="9">
        <v>4</v>
      </c>
      <c r="I1019" s="9">
        <v>0</v>
      </c>
      <c r="J1019" s="9" t="s">
        <v>78</v>
      </c>
      <c r="K1019" s="158" t="s">
        <v>449</v>
      </c>
      <c r="L1019" s="9">
        <f t="shared" si="428"/>
        <v>2018</v>
      </c>
      <c r="M1019" s="127">
        <f t="shared" si="429"/>
        <v>2018.3333333333333</v>
      </c>
      <c r="N1019" s="13">
        <v>45453</v>
      </c>
      <c r="O1019" s="13">
        <f t="shared" si="430"/>
        <v>45453</v>
      </c>
      <c r="P1019" s="13">
        <f t="shared" si="431"/>
        <v>378.77500000000003</v>
      </c>
      <c r="Q1019" s="13">
        <f t="shared" si="432"/>
        <v>4545.3</v>
      </c>
      <c r="R1019" s="13"/>
      <c r="S1019" s="13">
        <f t="shared" si="433"/>
        <v>0</v>
      </c>
      <c r="T1019" s="13">
        <f t="shared" si="434"/>
        <v>45453</v>
      </c>
      <c r="U1019" s="13">
        <f t="shared" si="435"/>
        <v>45453</v>
      </c>
      <c r="V1019" s="13"/>
      <c r="W1019" s="13">
        <f t="shared" si="436"/>
        <v>0</v>
      </c>
    </row>
    <row r="1020" spans="2:23" s="9" customFormat="1">
      <c r="B1020" s="9">
        <v>6</v>
      </c>
      <c r="C1020" s="9" t="s">
        <v>785</v>
      </c>
      <c r="G1020" s="9">
        <v>2002</v>
      </c>
      <c r="H1020" s="9">
        <v>4</v>
      </c>
      <c r="I1020" s="9">
        <v>0</v>
      </c>
      <c r="J1020" s="9" t="s">
        <v>78</v>
      </c>
      <c r="K1020" s="158" t="s">
        <v>449</v>
      </c>
      <c r="L1020" s="9">
        <f t="shared" si="428"/>
        <v>2012</v>
      </c>
      <c r="M1020" s="127">
        <f t="shared" si="429"/>
        <v>2012.3333333333333</v>
      </c>
      <c r="N1020" s="13">
        <v>3089.92</v>
      </c>
      <c r="O1020" s="13">
        <f t="shared" si="430"/>
        <v>3089.92</v>
      </c>
      <c r="P1020" s="13">
        <f t="shared" si="431"/>
        <v>25.749333333333336</v>
      </c>
      <c r="Q1020" s="13">
        <f t="shared" si="432"/>
        <v>308.99200000000002</v>
      </c>
      <c r="R1020" s="13"/>
      <c r="S1020" s="13">
        <f t="shared" si="433"/>
        <v>0</v>
      </c>
      <c r="T1020" s="13">
        <f t="shared" si="434"/>
        <v>3089.92</v>
      </c>
      <c r="U1020" s="13">
        <f t="shared" si="435"/>
        <v>3089.92</v>
      </c>
      <c r="V1020" s="13"/>
      <c r="W1020" s="13">
        <f t="shared" si="436"/>
        <v>0</v>
      </c>
    </row>
    <row r="1021" spans="2:23" s="9" customFormat="1">
      <c r="B1021" s="9">
        <v>32</v>
      </c>
      <c r="C1021" s="9" t="s">
        <v>785</v>
      </c>
      <c r="G1021" s="9">
        <v>2002</v>
      </c>
      <c r="H1021" s="9">
        <v>10</v>
      </c>
      <c r="I1021" s="9">
        <v>0</v>
      </c>
      <c r="J1021" s="9" t="s">
        <v>78</v>
      </c>
      <c r="K1021" s="158" t="s">
        <v>449</v>
      </c>
      <c r="L1021" s="9">
        <f t="shared" si="428"/>
        <v>2012</v>
      </c>
      <c r="M1021" s="127">
        <f t="shared" si="429"/>
        <v>2012.8333333333333</v>
      </c>
      <c r="N1021" s="13">
        <v>16145.92</v>
      </c>
      <c r="O1021" s="13">
        <f t="shared" si="430"/>
        <v>16145.92</v>
      </c>
      <c r="P1021" s="13">
        <f t="shared" si="431"/>
        <v>134.54933333333335</v>
      </c>
      <c r="Q1021" s="13">
        <f t="shared" si="432"/>
        <v>1614.5920000000001</v>
      </c>
      <c r="R1021" s="13"/>
      <c r="S1021" s="13">
        <f t="shared" si="433"/>
        <v>0</v>
      </c>
      <c r="T1021" s="13">
        <f t="shared" si="434"/>
        <v>16145.92</v>
      </c>
      <c r="U1021" s="13">
        <f t="shared" si="435"/>
        <v>16145.92</v>
      </c>
      <c r="V1021" s="13"/>
      <c r="W1021" s="13">
        <f t="shared" si="436"/>
        <v>0</v>
      </c>
    </row>
    <row r="1022" spans="2:23" s="9" customFormat="1">
      <c r="B1022" s="9">
        <v>3</v>
      </c>
      <c r="C1022" s="9" t="s">
        <v>786</v>
      </c>
      <c r="G1022" s="9">
        <v>2004</v>
      </c>
      <c r="H1022" s="9">
        <v>5</v>
      </c>
      <c r="I1022" s="9">
        <v>0</v>
      </c>
      <c r="J1022" s="9" t="s">
        <v>78</v>
      </c>
      <c r="K1022" s="158" t="s">
        <v>449</v>
      </c>
      <c r="L1022" s="9">
        <f t="shared" si="428"/>
        <v>2014</v>
      </c>
      <c r="M1022" s="127">
        <f t="shared" si="429"/>
        <v>2014.4166666666667</v>
      </c>
      <c r="N1022" s="13">
        <v>1697.28</v>
      </c>
      <c r="O1022" s="13">
        <f t="shared" si="430"/>
        <v>1697.28</v>
      </c>
      <c r="P1022" s="13">
        <f t="shared" si="431"/>
        <v>14.144</v>
      </c>
      <c r="Q1022" s="13">
        <f t="shared" si="432"/>
        <v>169.72800000000001</v>
      </c>
      <c r="R1022" s="13"/>
      <c r="S1022" s="13">
        <f t="shared" si="433"/>
        <v>0</v>
      </c>
      <c r="T1022" s="13">
        <f t="shared" si="434"/>
        <v>1697.28</v>
      </c>
      <c r="U1022" s="13">
        <f t="shared" si="435"/>
        <v>1697.28</v>
      </c>
      <c r="V1022" s="13"/>
      <c r="W1022" s="13">
        <f t="shared" si="436"/>
        <v>0</v>
      </c>
    </row>
    <row r="1023" spans="2:23" s="9" customFormat="1">
      <c r="B1023" s="9">
        <v>20</v>
      </c>
      <c r="C1023" s="9" t="s">
        <v>786</v>
      </c>
      <c r="G1023" s="9">
        <v>2003</v>
      </c>
      <c r="H1023" s="9">
        <v>3</v>
      </c>
      <c r="I1023" s="9">
        <v>0</v>
      </c>
      <c r="J1023" s="9" t="s">
        <v>78</v>
      </c>
      <c r="K1023" s="158" t="s">
        <v>449</v>
      </c>
      <c r="L1023" s="9">
        <f t="shared" si="428"/>
        <v>2013</v>
      </c>
      <c r="M1023" s="127">
        <f t="shared" si="429"/>
        <v>2013.25</v>
      </c>
      <c r="N1023" s="13">
        <v>9846.4</v>
      </c>
      <c r="O1023" s="13">
        <f t="shared" si="430"/>
        <v>9846.4</v>
      </c>
      <c r="P1023" s="13">
        <f t="shared" si="431"/>
        <v>82.053333333333327</v>
      </c>
      <c r="Q1023" s="13">
        <f t="shared" si="432"/>
        <v>984.63999999999987</v>
      </c>
      <c r="R1023" s="13"/>
      <c r="S1023" s="13">
        <f t="shared" si="433"/>
        <v>0</v>
      </c>
      <c r="T1023" s="13">
        <f t="shared" si="434"/>
        <v>9846.4</v>
      </c>
      <c r="U1023" s="13">
        <f t="shared" si="435"/>
        <v>9846.4</v>
      </c>
      <c r="V1023" s="13"/>
      <c r="W1023" s="13">
        <f t="shared" si="436"/>
        <v>0</v>
      </c>
    </row>
    <row r="1024" spans="2:23" s="9" customFormat="1">
      <c r="B1024" s="9">
        <v>33</v>
      </c>
      <c r="C1024" s="9" t="s">
        <v>786</v>
      </c>
      <c r="G1024" s="9">
        <v>2005</v>
      </c>
      <c r="H1024" s="9">
        <v>7</v>
      </c>
      <c r="I1024" s="9">
        <v>0</v>
      </c>
      <c r="J1024" s="9" t="s">
        <v>78</v>
      </c>
      <c r="K1024" s="158" t="s">
        <v>449</v>
      </c>
      <c r="L1024" s="9">
        <f t="shared" si="428"/>
        <v>2015</v>
      </c>
      <c r="M1024" s="127">
        <f t="shared" si="429"/>
        <v>2015.5833333333333</v>
      </c>
      <c r="N1024" s="13">
        <v>16265.6</v>
      </c>
      <c r="O1024" s="13">
        <f t="shared" si="430"/>
        <v>16265.6</v>
      </c>
      <c r="P1024" s="13">
        <f t="shared" si="431"/>
        <v>135.54666666666665</v>
      </c>
      <c r="Q1024" s="13">
        <f t="shared" si="432"/>
        <v>1626.56</v>
      </c>
      <c r="R1024" s="13"/>
      <c r="S1024" s="13">
        <f t="shared" si="433"/>
        <v>0</v>
      </c>
      <c r="T1024" s="13">
        <f t="shared" si="434"/>
        <v>16265.6</v>
      </c>
      <c r="U1024" s="13">
        <f t="shared" si="435"/>
        <v>16265.6</v>
      </c>
      <c r="V1024" s="13"/>
      <c r="W1024" s="13">
        <f t="shared" si="436"/>
        <v>0</v>
      </c>
    </row>
    <row r="1025" spans="2:23" s="9" customFormat="1">
      <c r="B1025" s="9">
        <v>50</v>
      </c>
      <c r="C1025" s="9" t="s">
        <v>786</v>
      </c>
      <c r="G1025" s="9">
        <v>2004</v>
      </c>
      <c r="H1025" s="9">
        <v>7</v>
      </c>
      <c r="I1025" s="9">
        <v>0</v>
      </c>
      <c r="J1025" s="9" t="s">
        <v>78</v>
      </c>
      <c r="K1025" s="158" t="s">
        <v>449</v>
      </c>
      <c r="L1025" s="9">
        <f t="shared" si="428"/>
        <v>2014</v>
      </c>
      <c r="M1025" s="127">
        <f t="shared" si="429"/>
        <v>2014.5833333333333</v>
      </c>
      <c r="N1025" s="13">
        <v>25024</v>
      </c>
      <c r="O1025" s="13">
        <f t="shared" si="430"/>
        <v>25024</v>
      </c>
      <c r="P1025" s="13">
        <f t="shared" si="431"/>
        <v>208.53333333333333</v>
      </c>
      <c r="Q1025" s="13">
        <f t="shared" si="432"/>
        <v>2502.4</v>
      </c>
      <c r="R1025" s="13"/>
      <c r="S1025" s="13">
        <f t="shared" si="433"/>
        <v>0</v>
      </c>
      <c r="T1025" s="13">
        <f t="shared" si="434"/>
        <v>25024</v>
      </c>
      <c r="U1025" s="13">
        <f t="shared" si="435"/>
        <v>25024</v>
      </c>
      <c r="V1025" s="13"/>
      <c r="W1025" s="13">
        <f t="shared" si="436"/>
        <v>0</v>
      </c>
    </row>
    <row r="1026" spans="2:23" s="9" customFormat="1">
      <c r="B1026" s="9">
        <v>50</v>
      </c>
      <c r="C1026" s="9" t="s">
        <v>786</v>
      </c>
      <c r="G1026" s="9">
        <v>2004</v>
      </c>
      <c r="H1026" s="9">
        <v>9</v>
      </c>
      <c r="I1026" s="9">
        <v>0</v>
      </c>
      <c r="J1026" s="9" t="s">
        <v>78</v>
      </c>
      <c r="K1026" s="158" t="s">
        <v>449</v>
      </c>
      <c r="L1026" s="9">
        <f t="shared" si="428"/>
        <v>2014</v>
      </c>
      <c r="M1026" s="127">
        <f t="shared" si="429"/>
        <v>2014.75</v>
      </c>
      <c r="N1026" s="13">
        <v>25024</v>
      </c>
      <c r="O1026" s="13">
        <f t="shared" si="430"/>
        <v>25024</v>
      </c>
      <c r="P1026" s="13">
        <f t="shared" si="431"/>
        <v>208.53333333333333</v>
      </c>
      <c r="Q1026" s="13">
        <f t="shared" si="432"/>
        <v>2502.4</v>
      </c>
      <c r="R1026" s="13"/>
      <c r="S1026" s="13">
        <f t="shared" si="433"/>
        <v>0</v>
      </c>
      <c r="T1026" s="13">
        <f t="shared" si="434"/>
        <v>25024</v>
      </c>
      <c r="U1026" s="13">
        <f t="shared" si="435"/>
        <v>25024</v>
      </c>
      <c r="V1026" s="13"/>
      <c r="W1026" s="13">
        <f t="shared" si="436"/>
        <v>0</v>
      </c>
    </row>
    <row r="1027" spans="2:23" s="9" customFormat="1">
      <c r="B1027" s="9">
        <v>76</v>
      </c>
      <c r="C1027" s="9" t="s">
        <v>786</v>
      </c>
      <c r="G1027" s="9">
        <v>2008</v>
      </c>
      <c r="H1027" s="9">
        <v>9</v>
      </c>
      <c r="I1027" s="9">
        <v>0</v>
      </c>
      <c r="J1027" s="9" t="s">
        <v>78</v>
      </c>
      <c r="K1027" s="158" t="s">
        <v>449</v>
      </c>
      <c r="L1027" s="9">
        <f t="shared" si="428"/>
        <v>2018</v>
      </c>
      <c r="M1027" s="127">
        <f t="shared" si="429"/>
        <v>2018.75</v>
      </c>
      <c r="N1027" s="13">
        <v>38064.18</v>
      </c>
      <c r="O1027" s="13">
        <f t="shared" si="430"/>
        <v>38064.18</v>
      </c>
      <c r="P1027" s="13">
        <f t="shared" si="431"/>
        <v>317.20150000000001</v>
      </c>
      <c r="Q1027" s="13">
        <f t="shared" si="432"/>
        <v>3806.4180000000001</v>
      </c>
      <c r="R1027" s="13"/>
      <c r="S1027" s="13">
        <f t="shared" si="433"/>
        <v>0</v>
      </c>
      <c r="T1027" s="13">
        <f t="shared" si="434"/>
        <v>38064.18</v>
      </c>
      <c r="U1027" s="13">
        <f t="shared" si="435"/>
        <v>38064.18</v>
      </c>
      <c r="V1027" s="13"/>
      <c r="W1027" s="13">
        <f t="shared" si="436"/>
        <v>0</v>
      </c>
    </row>
    <row r="1028" spans="2:23" s="9" customFormat="1">
      <c r="B1028" s="9">
        <v>83</v>
      </c>
      <c r="C1028" s="9" t="s">
        <v>786</v>
      </c>
      <c r="G1028" s="9">
        <v>2007</v>
      </c>
      <c r="H1028" s="9">
        <v>3</v>
      </c>
      <c r="I1028" s="9">
        <v>0</v>
      </c>
      <c r="J1028" s="9" t="s">
        <v>78</v>
      </c>
      <c r="K1028" s="158" t="s">
        <v>449</v>
      </c>
      <c r="L1028" s="9">
        <f t="shared" si="428"/>
        <v>2017</v>
      </c>
      <c r="M1028" s="127">
        <f t="shared" si="429"/>
        <v>2017.25</v>
      </c>
      <c r="N1028" s="13">
        <v>41616</v>
      </c>
      <c r="O1028" s="13">
        <f t="shared" si="430"/>
        <v>41616</v>
      </c>
      <c r="P1028" s="13">
        <f t="shared" si="431"/>
        <v>346.8</v>
      </c>
      <c r="Q1028" s="13">
        <f t="shared" si="432"/>
        <v>4161.6000000000004</v>
      </c>
      <c r="R1028" s="13"/>
      <c r="S1028" s="13">
        <f t="shared" si="433"/>
        <v>0</v>
      </c>
      <c r="T1028" s="13">
        <f t="shared" si="434"/>
        <v>41616</v>
      </c>
      <c r="U1028" s="13">
        <f t="shared" si="435"/>
        <v>41616</v>
      </c>
      <c r="V1028" s="13"/>
      <c r="W1028" s="13">
        <f t="shared" si="436"/>
        <v>0</v>
      </c>
    </row>
    <row r="1029" spans="2:23" s="9" customFormat="1">
      <c r="K1029" s="158"/>
      <c r="M1029" s="146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</row>
    <row r="1030" spans="2:23" s="9" customFormat="1">
      <c r="B1030" s="9">
        <f>SUM(B1018:B1029)</f>
        <v>462</v>
      </c>
      <c r="C1030" s="9" t="s">
        <v>787</v>
      </c>
      <c r="K1030" s="158"/>
      <c r="M1030" s="146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</row>
    <row r="1031" spans="2:23" s="9" customFormat="1">
      <c r="K1031" s="158"/>
      <c r="M1031" s="146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</row>
    <row r="1032" spans="2:23" s="9" customFormat="1">
      <c r="B1032" s="9">
        <v>0</v>
      </c>
      <c r="C1032" s="9" t="s">
        <v>788</v>
      </c>
      <c r="G1032" s="9">
        <v>2004</v>
      </c>
      <c r="H1032" s="9">
        <v>5</v>
      </c>
      <c r="I1032" s="9">
        <v>0</v>
      </c>
      <c r="J1032" s="9" t="s">
        <v>78</v>
      </c>
      <c r="K1032" s="158" t="s">
        <v>449</v>
      </c>
      <c r="L1032" s="9">
        <f>G1032+K1032</f>
        <v>2014</v>
      </c>
      <c r="M1032" s="127">
        <f>+L1032+(H1032/12)</f>
        <v>2014.4166666666667</v>
      </c>
      <c r="N1032" s="13">
        <v>5062.28</v>
      </c>
      <c r="O1032" s="13">
        <f>N1032-N1032*I1032</f>
        <v>5062.28</v>
      </c>
      <c r="P1032" s="13">
        <f>O1032/K1032/12</f>
        <v>42.185666666666663</v>
      </c>
      <c r="Q1032" s="13">
        <f>P1032*12</f>
        <v>506.22799999999995</v>
      </c>
      <c r="R1032" s="13"/>
      <c r="S1032" s="13">
        <f>+IF(M1032&lt;=$O$5,0,IF(L1032&gt;$O$4,Q1032,(P1032*H1032)))</f>
        <v>0</v>
      </c>
      <c r="T1032" s="13">
        <f>+IF(S1032=0,N1032,IF($O$3-G1032&lt;1,0,(($O$3-G1032)*Q1032)))</f>
        <v>5062.28</v>
      </c>
      <c r="U1032" s="13">
        <f>+IF(S1032=0,T1032,T1032+S1032)</f>
        <v>5062.28</v>
      </c>
      <c r="V1032" s="13"/>
      <c r="W1032" s="13">
        <f>+N1032-U1032</f>
        <v>0</v>
      </c>
    </row>
    <row r="1033" spans="2:23" s="9" customFormat="1">
      <c r="K1033" s="158"/>
      <c r="M1033" s="146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</row>
    <row r="1034" spans="2:23" s="9" customFormat="1">
      <c r="B1034" s="9">
        <v>12</v>
      </c>
      <c r="C1034" s="9" t="s">
        <v>789</v>
      </c>
      <c r="E1034" s="9" t="s">
        <v>790</v>
      </c>
      <c r="G1034" s="9">
        <v>2011</v>
      </c>
      <c r="H1034" s="9">
        <v>1</v>
      </c>
      <c r="I1034" s="9">
        <v>0</v>
      </c>
      <c r="J1034" s="9" t="s">
        <v>78</v>
      </c>
      <c r="K1034" s="158">
        <v>10</v>
      </c>
      <c r="L1034" s="9">
        <f>G1034+K1034</f>
        <v>2021</v>
      </c>
      <c r="M1034" s="127">
        <f>+L1034+(H1034/12)</f>
        <v>2021.0833333333333</v>
      </c>
      <c r="N1034" s="13">
        <v>0</v>
      </c>
      <c r="O1034" s="13">
        <f>N1034-N1034*I1034</f>
        <v>0</v>
      </c>
      <c r="P1034" s="13">
        <f>O1034/K1034/12</f>
        <v>0</v>
      </c>
      <c r="Q1034" s="13">
        <f>P1034*12</f>
        <v>0</v>
      </c>
      <c r="R1034" s="13"/>
      <c r="S1034" s="13">
        <f>+IF(M1034&lt;=$O$5,0,IF(L1034&gt;$O$4,Q1034,(P1034*H1034)))</f>
        <v>0</v>
      </c>
      <c r="T1034" s="13">
        <f>+IF(S1034=0,N1034,IF($O$3-G1034&lt;1,0,(($O$3-G1034)*Q1034)))</f>
        <v>0</v>
      </c>
      <c r="U1034" s="13">
        <f>+IF(S1034=0,T1034,T1034+S1034)</f>
        <v>0</v>
      </c>
      <c r="V1034" s="13"/>
      <c r="W1034" s="13">
        <f>+N1034-U1034</f>
        <v>0</v>
      </c>
    </row>
    <row r="1035" spans="2:23" s="9" customFormat="1">
      <c r="K1035" s="158"/>
      <c r="M1035" s="146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</row>
    <row r="1036" spans="2:23" s="9" customFormat="1">
      <c r="B1036" s="9">
        <v>2</v>
      </c>
      <c r="C1036" s="9" t="s">
        <v>560</v>
      </c>
      <c r="G1036" s="9">
        <v>1993</v>
      </c>
      <c r="H1036" s="9">
        <v>7</v>
      </c>
      <c r="I1036" s="9">
        <v>0</v>
      </c>
      <c r="J1036" s="9" t="s">
        <v>78</v>
      </c>
      <c r="K1036" s="158" t="s">
        <v>449</v>
      </c>
      <c r="L1036" s="9">
        <f t="shared" ref="L1036:L1053" si="437">G1036+K1036</f>
        <v>2003</v>
      </c>
      <c r="M1036" s="127">
        <f t="shared" ref="M1036:M1053" si="438">+L1036+(H1036/12)</f>
        <v>2003.5833333333333</v>
      </c>
      <c r="N1036" s="13">
        <v>8497</v>
      </c>
      <c r="O1036" s="13">
        <f t="shared" ref="O1036:O1053" si="439">N1036-N1036*I1036</f>
        <v>8497</v>
      </c>
      <c r="P1036" s="13">
        <f t="shared" ref="P1036:P1053" si="440">O1036/K1036/12</f>
        <v>70.808333333333337</v>
      </c>
      <c r="Q1036" s="13">
        <f t="shared" ref="Q1036:Q1053" si="441">P1036*12</f>
        <v>849.7</v>
      </c>
      <c r="R1036" s="13"/>
      <c r="S1036" s="13">
        <f t="shared" ref="S1036:S1053" si="442">+IF(M1036&lt;=$O$5,0,IF(L1036&gt;$O$4,Q1036,(P1036*H1036)))</f>
        <v>0</v>
      </c>
      <c r="T1036" s="13">
        <f t="shared" ref="T1036:T1053" si="443">+IF(S1036=0,N1036,IF($O$3-G1036&lt;1,0,(($O$3-G1036)*Q1036)))</f>
        <v>8497</v>
      </c>
      <c r="U1036" s="13">
        <f t="shared" ref="U1036:U1053" si="444">+IF(S1036=0,T1036,T1036+S1036)</f>
        <v>8497</v>
      </c>
      <c r="V1036" s="13"/>
      <c r="W1036" s="13">
        <f t="shared" ref="W1036:W1053" si="445">+N1036-U1036</f>
        <v>0</v>
      </c>
    </row>
    <row r="1037" spans="2:23" s="9" customFormat="1">
      <c r="B1037" s="9">
        <v>1</v>
      </c>
      <c r="C1037" s="9" t="s">
        <v>560</v>
      </c>
      <c r="G1037" s="9">
        <v>1993</v>
      </c>
      <c r="H1037" s="9">
        <v>7</v>
      </c>
      <c r="I1037" s="9">
        <v>0</v>
      </c>
      <c r="J1037" s="9" t="s">
        <v>78</v>
      </c>
      <c r="K1037" s="158" t="s">
        <v>449</v>
      </c>
      <c r="L1037" s="9">
        <f t="shared" si="437"/>
        <v>2003</v>
      </c>
      <c r="M1037" s="127">
        <f t="shared" si="438"/>
        <v>2003.5833333333333</v>
      </c>
      <c r="N1037" s="13">
        <v>5665</v>
      </c>
      <c r="O1037" s="13">
        <f t="shared" si="439"/>
        <v>5665</v>
      </c>
      <c r="P1037" s="13">
        <f t="shared" si="440"/>
        <v>47.208333333333336</v>
      </c>
      <c r="Q1037" s="13">
        <f t="shared" si="441"/>
        <v>566.5</v>
      </c>
      <c r="R1037" s="13"/>
      <c r="S1037" s="13">
        <f t="shared" si="442"/>
        <v>0</v>
      </c>
      <c r="T1037" s="13">
        <f t="shared" si="443"/>
        <v>5665</v>
      </c>
      <c r="U1037" s="13">
        <f t="shared" si="444"/>
        <v>5665</v>
      </c>
      <c r="V1037" s="13"/>
      <c r="W1037" s="13">
        <f t="shared" si="445"/>
        <v>0</v>
      </c>
    </row>
    <row r="1038" spans="2:23" s="9" customFormat="1">
      <c r="B1038" s="9">
        <v>2</v>
      </c>
      <c r="C1038" s="9" t="s">
        <v>791</v>
      </c>
      <c r="G1038" s="9">
        <v>1993</v>
      </c>
      <c r="H1038" s="9">
        <v>7</v>
      </c>
      <c r="I1038" s="9">
        <v>0</v>
      </c>
      <c r="J1038" s="9" t="s">
        <v>78</v>
      </c>
      <c r="K1038" s="158" t="s">
        <v>449</v>
      </c>
      <c r="L1038" s="9">
        <f t="shared" si="437"/>
        <v>2003</v>
      </c>
      <c r="M1038" s="127">
        <f t="shared" si="438"/>
        <v>2003.5833333333333</v>
      </c>
      <c r="N1038" s="13">
        <v>5660</v>
      </c>
      <c r="O1038" s="13">
        <f t="shared" si="439"/>
        <v>5660</v>
      </c>
      <c r="P1038" s="13">
        <f t="shared" si="440"/>
        <v>47.166666666666664</v>
      </c>
      <c r="Q1038" s="13">
        <f t="shared" si="441"/>
        <v>566</v>
      </c>
      <c r="R1038" s="13"/>
      <c r="S1038" s="13">
        <f t="shared" si="442"/>
        <v>0</v>
      </c>
      <c r="T1038" s="13">
        <f t="shared" si="443"/>
        <v>5660</v>
      </c>
      <c r="U1038" s="13">
        <f t="shared" si="444"/>
        <v>5660</v>
      </c>
      <c r="V1038" s="13"/>
      <c r="W1038" s="13">
        <f t="shared" si="445"/>
        <v>0</v>
      </c>
    </row>
    <row r="1039" spans="2:23" s="9" customFormat="1">
      <c r="B1039" s="9">
        <v>1</v>
      </c>
      <c r="C1039" s="9" t="s">
        <v>792</v>
      </c>
      <c r="G1039" s="9">
        <v>1993</v>
      </c>
      <c r="H1039" s="9">
        <v>7</v>
      </c>
      <c r="I1039" s="9">
        <v>0</v>
      </c>
      <c r="J1039" s="9" t="s">
        <v>78</v>
      </c>
      <c r="K1039" s="158" t="s">
        <v>449</v>
      </c>
      <c r="L1039" s="9">
        <f t="shared" si="437"/>
        <v>2003</v>
      </c>
      <c r="M1039" s="127">
        <f t="shared" si="438"/>
        <v>2003.5833333333333</v>
      </c>
      <c r="N1039" s="13">
        <v>2830</v>
      </c>
      <c r="O1039" s="13">
        <f t="shared" si="439"/>
        <v>2830</v>
      </c>
      <c r="P1039" s="13">
        <f t="shared" si="440"/>
        <v>23.583333333333332</v>
      </c>
      <c r="Q1039" s="13">
        <f t="shared" si="441"/>
        <v>283</v>
      </c>
      <c r="R1039" s="13"/>
      <c r="S1039" s="13">
        <f t="shared" si="442"/>
        <v>0</v>
      </c>
      <c r="T1039" s="13">
        <f t="shared" si="443"/>
        <v>2830</v>
      </c>
      <c r="U1039" s="13">
        <f t="shared" si="444"/>
        <v>2830</v>
      </c>
      <c r="V1039" s="13"/>
      <c r="W1039" s="13">
        <f t="shared" si="445"/>
        <v>0</v>
      </c>
    </row>
    <row r="1040" spans="2:23" s="9" customFormat="1">
      <c r="B1040" s="9">
        <v>1</v>
      </c>
      <c r="C1040" s="9" t="s">
        <v>793</v>
      </c>
      <c r="G1040" s="9">
        <v>1993</v>
      </c>
      <c r="H1040" s="9">
        <v>7</v>
      </c>
      <c r="I1040" s="9">
        <v>0</v>
      </c>
      <c r="J1040" s="9" t="s">
        <v>78</v>
      </c>
      <c r="K1040" s="158" t="s">
        <v>449</v>
      </c>
      <c r="L1040" s="9">
        <f t="shared" si="437"/>
        <v>2003</v>
      </c>
      <c r="M1040" s="127">
        <f t="shared" si="438"/>
        <v>2003.5833333333333</v>
      </c>
      <c r="N1040" s="13">
        <v>2830</v>
      </c>
      <c r="O1040" s="13">
        <f t="shared" si="439"/>
        <v>2830</v>
      </c>
      <c r="P1040" s="13">
        <f t="shared" si="440"/>
        <v>23.583333333333332</v>
      </c>
      <c r="Q1040" s="13">
        <f t="shared" si="441"/>
        <v>283</v>
      </c>
      <c r="R1040" s="13"/>
      <c r="S1040" s="13">
        <f t="shared" si="442"/>
        <v>0</v>
      </c>
      <c r="T1040" s="13">
        <f t="shared" si="443"/>
        <v>2830</v>
      </c>
      <c r="U1040" s="13">
        <f t="shared" si="444"/>
        <v>2830</v>
      </c>
      <c r="V1040" s="13"/>
      <c r="W1040" s="13">
        <f t="shared" si="445"/>
        <v>0</v>
      </c>
    </row>
    <row r="1041" spans="2:23" s="9" customFormat="1">
      <c r="B1041" s="9">
        <v>1</v>
      </c>
      <c r="C1041" s="9" t="s">
        <v>794</v>
      </c>
      <c r="G1041" s="9">
        <v>1993</v>
      </c>
      <c r="H1041" s="9">
        <v>7</v>
      </c>
      <c r="I1041" s="9">
        <v>0</v>
      </c>
      <c r="J1041" s="9" t="s">
        <v>78</v>
      </c>
      <c r="K1041" s="158" t="s">
        <v>449</v>
      </c>
      <c r="L1041" s="9">
        <f t="shared" si="437"/>
        <v>2003</v>
      </c>
      <c r="M1041" s="127">
        <f t="shared" si="438"/>
        <v>2003.5833333333333</v>
      </c>
      <c r="N1041" s="13">
        <v>2830</v>
      </c>
      <c r="O1041" s="13">
        <f t="shared" si="439"/>
        <v>2830</v>
      </c>
      <c r="P1041" s="13">
        <f t="shared" si="440"/>
        <v>23.583333333333332</v>
      </c>
      <c r="Q1041" s="13">
        <f t="shared" si="441"/>
        <v>283</v>
      </c>
      <c r="R1041" s="13"/>
      <c r="S1041" s="13">
        <f t="shared" si="442"/>
        <v>0</v>
      </c>
      <c r="T1041" s="13">
        <f t="shared" si="443"/>
        <v>2830</v>
      </c>
      <c r="U1041" s="13">
        <f t="shared" si="444"/>
        <v>2830</v>
      </c>
      <c r="V1041" s="13"/>
      <c r="W1041" s="13">
        <f t="shared" si="445"/>
        <v>0</v>
      </c>
    </row>
    <row r="1042" spans="2:23" s="9" customFormat="1">
      <c r="B1042" s="9">
        <v>4</v>
      </c>
      <c r="C1042" s="9" t="s">
        <v>793</v>
      </c>
      <c r="G1042" s="9">
        <v>1993</v>
      </c>
      <c r="H1042" s="9">
        <v>8</v>
      </c>
      <c r="I1042" s="9">
        <v>0</v>
      </c>
      <c r="J1042" s="9" t="s">
        <v>78</v>
      </c>
      <c r="K1042" s="158" t="s">
        <v>449</v>
      </c>
      <c r="L1042" s="9">
        <f t="shared" si="437"/>
        <v>2003</v>
      </c>
      <c r="M1042" s="127">
        <f t="shared" si="438"/>
        <v>2003.6666666666667</v>
      </c>
      <c r="N1042" s="13">
        <v>11794</v>
      </c>
      <c r="O1042" s="13">
        <f t="shared" si="439"/>
        <v>11794</v>
      </c>
      <c r="P1042" s="13">
        <f t="shared" si="440"/>
        <v>98.283333333333346</v>
      </c>
      <c r="Q1042" s="13">
        <f t="shared" si="441"/>
        <v>1179.4000000000001</v>
      </c>
      <c r="R1042" s="13"/>
      <c r="S1042" s="13">
        <f t="shared" si="442"/>
        <v>0</v>
      </c>
      <c r="T1042" s="13">
        <f t="shared" si="443"/>
        <v>11794</v>
      </c>
      <c r="U1042" s="13">
        <f t="shared" si="444"/>
        <v>11794</v>
      </c>
      <c r="V1042" s="13"/>
      <c r="W1042" s="13">
        <f t="shared" si="445"/>
        <v>0</v>
      </c>
    </row>
    <row r="1043" spans="2:23" s="9" customFormat="1">
      <c r="B1043" s="9">
        <v>2</v>
      </c>
      <c r="C1043" s="9" t="s">
        <v>560</v>
      </c>
      <c r="G1043" s="9">
        <v>1993</v>
      </c>
      <c r="H1043" s="9">
        <v>10</v>
      </c>
      <c r="I1043" s="9">
        <v>0</v>
      </c>
      <c r="J1043" s="9" t="s">
        <v>78</v>
      </c>
      <c r="K1043" s="158" t="s">
        <v>449</v>
      </c>
      <c r="L1043" s="9">
        <f t="shared" si="437"/>
        <v>2003</v>
      </c>
      <c r="M1043" s="127">
        <f t="shared" si="438"/>
        <v>2003.8333333333333</v>
      </c>
      <c r="N1043" s="13">
        <v>6708</v>
      </c>
      <c r="O1043" s="13">
        <f t="shared" si="439"/>
        <v>6708</v>
      </c>
      <c r="P1043" s="13">
        <f t="shared" si="440"/>
        <v>55.9</v>
      </c>
      <c r="Q1043" s="13">
        <f t="shared" si="441"/>
        <v>670.8</v>
      </c>
      <c r="R1043" s="13"/>
      <c r="S1043" s="13">
        <f t="shared" si="442"/>
        <v>0</v>
      </c>
      <c r="T1043" s="13">
        <f t="shared" si="443"/>
        <v>6708</v>
      </c>
      <c r="U1043" s="13">
        <f t="shared" si="444"/>
        <v>6708</v>
      </c>
      <c r="V1043" s="13"/>
      <c r="W1043" s="13">
        <f t="shared" si="445"/>
        <v>0</v>
      </c>
    </row>
    <row r="1044" spans="2:23" s="9" customFormat="1">
      <c r="B1044" s="9">
        <v>1</v>
      </c>
      <c r="C1044" s="9" t="s">
        <v>795</v>
      </c>
      <c r="G1044" s="9">
        <v>1994</v>
      </c>
      <c r="H1044" s="9">
        <v>3</v>
      </c>
      <c r="I1044" s="9">
        <v>0</v>
      </c>
      <c r="J1044" s="9" t="s">
        <v>78</v>
      </c>
      <c r="K1044" s="158" t="s">
        <v>449</v>
      </c>
      <c r="L1044" s="9">
        <f t="shared" si="437"/>
        <v>2004</v>
      </c>
      <c r="M1044" s="127">
        <f t="shared" si="438"/>
        <v>2004.25</v>
      </c>
      <c r="N1044" s="13">
        <v>2368</v>
      </c>
      <c r="O1044" s="13">
        <f t="shared" si="439"/>
        <v>2368</v>
      </c>
      <c r="P1044" s="13">
        <f t="shared" si="440"/>
        <v>19.733333333333334</v>
      </c>
      <c r="Q1044" s="13">
        <f t="shared" si="441"/>
        <v>236.8</v>
      </c>
      <c r="R1044" s="13"/>
      <c r="S1044" s="13">
        <f t="shared" si="442"/>
        <v>0</v>
      </c>
      <c r="T1044" s="13">
        <f t="shared" si="443"/>
        <v>2368</v>
      </c>
      <c r="U1044" s="13">
        <f t="shared" si="444"/>
        <v>2368</v>
      </c>
      <c r="V1044" s="13"/>
      <c r="W1044" s="13">
        <f t="shared" si="445"/>
        <v>0</v>
      </c>
    </row>
    <row r="1045" spans="2:23" s="9" customFormat="1">
      <c r="B1045" s="9">
        <v>1</v>
      </c>
      <c r="C1045" s="9" t="s">
        <v>795</v>
      </c>
      <c r="G1045" s="9">
        <v>1994</v>
      </c>
      <c r="H1045" s="9">
        <v>3</v>
      </c>
      <c r="I1045" s="9">
        <v>0</v>
      </c>
      <c r="J1045" s="9" t="s">
        <v>78</v>
      </c>
      <c r="K1045" s="158" t="s">
        <v>449</v>
      </c>
      <c r="L1045" s="9">
        <f t="shared" si="437"/>
        <v>2004</v>
      </c>
      <c r="M1045" s="127">
        <f t="shared" si="438"/>
        <v>2004.25</v>
      </c>
      <c r="N1045" s="13">
        <v>2368</v>
      </c>
      <c r="O1045" s="13">
        <f t="shared" si="439"/>
        <v>2368</v>
      </c>
      <c r="P1045" s="13">
        <f t="shared" si="440"/>
        <v>19.733333333333334</v>
      </c>
      <c r="Q1045" s="13">
        <f t="shared" si="441"/>
        <v>236.8</v>
      </c>
      <c r="R1045" s="13"/>
      <c r="S1045" s="13">
        <f t="shared" si="442"/>
        <v>0</v>
      </c>
      <c r="T1045" s="13">
        <f t="shared" si="443"/>
        <v>2368</v>
      </c>
      <c r="U1045" s="13">
        <f t="shared" si="444"/>
        <v>2368</v>
      </c>
      <c r="V1045" s="13"/>
      <c r="W1045" s="13">
        <f t="shared" si="445"/>
        <v>0</v>
      </c>
    </row>
    <row r="1046" spans="2:23" s="9" customFormat="1">
      <c r="B1046" s="9">
        <v>1</v>
      </c>
      <c r="C1046" s="9" t="s">
        <v>795</v>
      </c>
      <c r="G1046" s="9">
        <v>1994</v>
      </c>
      <c r="H1046" s="9">
        <v>3</v>
      </c>
      <c r="I1046" s="9">
        <v>0</v>
      </c>
      <c r="J1046" s="9" t="s">
        <v>78</v>
      </c>
      <c r="K1046" s="158" t="s">
        <v>449</v>
      </c>
      <c r="L1046" s="9">
        <f t="shared" si="437"/>
        <v>2004</v>
      </c>
      <c r="M1046" s="127">
        <f t="shared" si="438"/>
        <v>2004.25</v>
      </c>
      <c r="N1046" s="13">
        <v>2320</v>
      </c>
      <c r="O1046" s="13">
        <f t="shared" si="439"/>
        <v>2320</v>
      </c>
      <c r="P1046" s="13">
        <f t="shared" si="440"/>
        <v>19.333333333333332</v>
      </c>
      <c r="Q1046" s="13">
        <f t="shared" si="441"/>
        <v>232</v>
      </c>
      <c r="R1046" s="13"/>
      <c r="S1046" s="13">
        <f t="shared" si="442"/>
        <v>0</v>
      </c>
      <c r="T1046" s="13">
        <f t="shared" si="443"/>
        <v>2320</v>
      </c>
      <c r="U1046" s="13">
        <f t="shared" si="444"/>
        <v>2320</v>
      </c>
      <c r="V1046" s="13"/>
      <c r="W1046" s="13">
        <f t="shared" si="445"/>
        <v>0</v>
      </c>
    </row>
    <row r="1047" spans="2:23" s="9" customFormat="1">
      <c r="B1047" s="9">
        <v>1</v>
      </c>
      <c r="C1047" s="9" t="s">
        <v>796</v>
      </c>
      <c r="G1047" s="9">
        <v>1994</v>
      </c>
      <c r="H1047" s="9">
        <v>3</v>
      </c>
      <c r="I1047" s="9">
        <v>0</v>
      </c>
      <c r="J1047" s="9" t="s">
        <v>78</v>
      </c>
      <c r="K1047" s="158" t="s">
        <v>449</v>
      </c>
      <c r="L1047" s="9">
        <f t="shared" si="437"/>
        <v>2004</v>
      </c>
      <c r="M1047" s="127">
        <f t="shared" si="438"/>
        <v>2004.25</v>
      </c>
      <c r="N1047" s="13">
        <v>2833</v>
      </c>
      <c r="O1047" s="13">
        <f t="shared" si="439"/>
        <v>2833</v>
      </c>
      <c r="P1047" s="13">
        <f t="shared" si="440"/>
        <v>23.608333333333334</v>
      </c>
      <c r="Q1047" s="13">
        <f t="shared" si="441"/>
        <v>283.3</v>
      </c>
      <c r="R1047" s="13"/>
      <c r="S1047" s="13">
        <f t="shared" si="442"/>
        <v>0</v>
      </c>
      <c r="T1047" s="13">
        <f t="shared" si="443"/>
        <v>2833</v>
      </c>
      <c r="U1047" s="13">
        <f t="shared" si="444"/>
        <v>2833</v>
      </c>
      <c r="V1047" s="13"/>
      <c r="W1047" s="13">
        <f t="shared" si="445"/>
        <v>0</v>
      </c>
    </row>
    <row r="1048" spans="2:23" s="9" customFormat="1">
      <c r="B1048" s="9">
        <v>1</v>
      </c>
      <c r="C1048" s="9" t="s">
        <v>796</v>
      </c>
      <c r="G1048" s="9">
        <v>1994</v>
      </c>
      <c r="H1048" s="9">
        <v>3</v>
      </c>
      <c r="I1048" s="9">
        <v>0</v>
      </c>
      <c r="J1048" s="9" t="s">
        <v>78</v>
      </c>
      <c r="K1048" s="158" t="s">
        <v>449</v>
      </c>
      <c r="L1048" s="9">
        <f t="shared" si="437"/>
        <v>2004</v>
      </c>
      <c r="M1048" s="127">
        <f t="shared" si="438"/>
        <v>2004.25</v>
      </c>
      <c r="N1048" s="13">
        <v>2832</v>
      </c>
      <c r="O1048" s="13">
        <f t="shared" si="439"/>
        <v>2832</v>
      </c>
      <c r="P1048" s="13">
        <f t="shared" si="440"/>
        <v>23.599999999999998</v>
      </c>
      <c r="Q1048" s="13">
        <f t="shared" si="441"/>
        <v>283.2</v>
      </c>
      <c r="R1048" s="13"/>
      <c r="S1048" s="13">
        <f t="shared" si="442"/>
        <v>0</v>
      </c>
      <c r="T1048" s="13">
        <f t="shared" si="443"/>
        <v>2832</v>
      </c>
      <c r="U1048" s="13">
        <f t="shared" si="444"/>
        <v>2832</v>
      </c>
      <c r="V1048" s="13"/>
      <c r="W1048" s="13">
        <f t="shared" si="445"/>
        <v>0</v>
      </c>
    </row>
    <row r="1049" spans="2:23" s="9" customFormat="1">
      <c r="B1049" s="9">
        <v>3</v>
      </c>
      <c r="C1049" s="9" t="s">
        <v>797</v>
      </c>
      <c r="G1049" s="9">
        <v>1994</v>
      </c>
      <c r="H1049" s="9">
        <v>4</v>
      </c>
      <c r="I1049" s="9">
        <v>0</v>
      </c>
      <c r="J1049" s="9" t="s">
        <v>78</v>
      </c>
      <c r="K1049" s="158" t="s">
        <v>449</v>
      </c>
      <c r="L1049" s="9">
        <f t="shared" si="437"/>
        <v>2004</v>
      </c>
      <c r="M1049" s="127">
        <f t="shared" si="438"/>
        <v>2004.3333333333333</v>
      </c>
      <c r="N1049" s="13">
        <v>8020</v>
      </c>
      <c r="O1049" s="13">
        <f t="shared" si="439"/>
        <v>8020</v>
      </c>
      <c r="P1049" s="13">
        <f t="shared" si="440"/>
        <v>66.833333333333329</v>
      </c>
      <c r="Q1049" s="13">
        <f t="shared" si="441"/>
        <v>802</v>
      </c>
      <c r="R1049" s="13"/>
      <c r="S1049" s="13">
        <f t="shared" si="442"/>
        <v>0</v>
      </c>
      <c r="T1049" s="13">
        <f t="shared" si="443"/>
        <v>8020</v>
      </c>
      <c r="U1049" s="13">
        <f t="shared" si="444"/>
        <v>8020</v>
      </c>
      <c r="V1049" s="13"/>
      <c r="W1049" s="13">
        <f t="shared" si="445"/>
        <v>0</v>
      </c>
    </row>
    <row r="1050" spans="2:23" s="9" customFormat="1">
      <c r="B1050" s="9">
        <v>1</v>
      </c>
      <c r="C1050" s="9" t="s">
        <v>560</v>
      </c>
      <c r="G1050" s="9">
        <v>1994</v>
      </c>
      <c r="H1050" s="9">
        <v>5</v>
      </c>
      <c r="I1050" s="9">
        <v>0</v>
      </c>
      <c r="J1050" s="9" t="s">
        <v>78</v>
      </c>
      <c r="K1050" s="158" t="s">
        <v>449</v>
      </c>
      <c r="L1050" s="9">
        <f t="shared" si="437"/>
        <v>2004</v>
      </c>
      <c r="M1050" s="127">
        <f t="shared" si="438"/>
        <v>2004.4166666666667</v>
      </c>
      <c r="N1050" s="13">
        <v>2320</v>
      </c>
      <c r="O1050" s="13">
        <f t="shared" si="439"/>
        <v>2320</v>
      </c>
      <c r="P1050" s="13">
        <f t="shared" si="440"/>
        <v>19.333333333333332</v>
      </c>
      <c r="Q1050" s="13">
        <f t="shared" si="441"/>
        <v>232</v>
      </c>
      <c r="R1050" s="13"/>
      <c r="S1050" s="13">
        <f t="shared" si="442"/>
        <v>0</v>
      </c>
      <c r="T1050" s="13">
        <f t="shared" si="443"/>
        <v>2320</v>
      </c>
      <c r="U1050" s="13">
        <f t="shared" si="444"/>
        <v>2320</v>
      </c>
      <c r="V1050" s="13"/>
      <c r="W1050" s="13">
        <f t="shared" si="445"/>
        <v>0</v>
      </c>
    </row>
    <row r="1051" spans="2:23" s="9" customFormat="1">
      <c r="B1051" s="9">
        <v>5</v>
      </c>
      <c r="C1051" s="9" t="s">
        <v>560</v>
      </c>
      <c r="G1051" s="9">
        <v>1994</v>
      </c>
      <c r="H1051" s="9">
        <v>6</v>
      </c>
      <c r="I1051" s="9">
        <v>0</v>
      </c>
      <c r="J1051" s="9" t="s">
        <v>78</v>
      </c>
      <c r="K1051" s="158" t="s">
        <v>449</v>
      </c>
      <c r="L1051" s="9">
        <f t="shared" si="437"/>
        <v>2004</v>
      </c>
      <c r="M1051" s="127">
        <f t="shared" si="438"/>
        <v>2004.5</v>
      </c>
      <c r="N1051" s="13">
        <v>16771</v>
      </c>
      <c r="O1051" s="13">
        <f t="shared" si="439"/>
        <v>16771</v>
      </c>
      <c r="P1051" s="13">
        <f t="shared" si="440"/>
        <v>139.75833333333333</v>
      </c>
      <c r="Q1051" s="13">
        <f t="shared" si="441"/>
        <v>1677.1</v>
      </c>
      <c r="R1051" s="13"/>
      <c r="S1051" s="13">
        <f t="shared" si="442"/>
        <v>0</v>
      </c>
      <c r="T1051" s="13">
        <f t="shared" si="443"/>
        <v>16771</v>
      </c>
      <c r="U1051" s="13">
        <f t="shared" si="444"/>
        <v>16771</v>
      </c>
      <c r="V1051" s="13"/>
      <c r="W1051" s="13">
        <f t="shared" si="445"/>
        <v>0</v>
      </c>
    </row>
    <row r="1052" spans="2:23" s="9" customFormat="1">
      <c r="B1052" s="9">
        <v>2</v>
      </c>
      <c r="C1052" s="9" t="s">
        <v>560</v>
      </c>
      <c r="G1052" s="9">
        <v>1994</v>
      </c>
      <c r="H1052" s="9">
        <v>6</v>
      </c>
      <c r="I1052" s="9">
        <v>0</v>
      </c>
      <c r="J1052" s="9" t="s">
        <v>78</v>
      </c>
      <c r="K1052" s="158" t="s">
        <v>449</v>
      </c>
      <c r="L1052" s="9">
        <f t="shared" si="437"/>
        <v>2004</v>
      </c>
      <c r="M1052" s="127">
        <f t="shared" si="438"/>
        <v>2004.5</v>
      </c>
      <c r="N1052" s="13">
        <v>5665</v>
      </c>
      <c r="O1052" s="13">
        <f t="shared" si="439"/>
        <v>5665</v>
      </c>
      <c r="P1052" s="13">
        <f t="shared" si="440"/>
        <v>47.208333333333336</v>
      </c>
      <c r="Q1052" s="13">
        <f t="shared" si="441"/>
        <v>566.5</v>
      </c>
      <c r="R1052" s="13"/>
      <c r="S1052" s="13">
        <f t="shared" si="442"/>
        <v>0</v>
      </c>
      <c r="T1052" s="13">
        <f t="shared" si="443"/>
        <v>5665</v>
      </c>
      <c r="U1052" s="13">
        <f t="shared" si="444"/>
        <v>5665</v>
      </c>
      <c r="V1052" s="13"/>
      <c r="W1052" s="13">
        <f t="shared" si="445"/>
        <v>0</v>
      </c>
    </row>
    <row r="1053" spans="2:23" s="9" customFormat="1">
      <c r="B1053" s="9">
        <v>2</v>
      </c>
      <c r="C1053" s="9" t="s">
        <v>560</v>
      </c>
      <c r="G1053" s="9">
        <v>1994</v>
      </c>
      <c r="H1053" s="9">
        <v>6</v>
      </c>
      <c r="I1053" s="9">
        <v>0</v>
      </c>
      <c r="J1053" s="9" t="s">
        <v>78</v>
      </c>
      <c r="K1053" s="158" t="s">
        <v>449</v>
      </c>
      <c r="L1053" s="9">
        <f t="shared" si="437"/>
        <v>2004</v>
      </c>
      <c r="M1053" s="127">
        <f t="shared" si="438"/>
        <v>2004.5</v>
      </c>
      <c r="N1053" s="13">
        <v>6708</v>
      </c>
      <c r="O1053" s="13">
        <f t="shared" si="439"/>
        <v>6708</v>
      </c>
      <c r="P1053" s="13">
        <f t="shared" si="440"/>
        <v>55.9</v>
      </c>
      <c r="Q1053" s="13">
        <f t="shared" si="441"/>
        <v>670.8</v>
      </c>
      <c r="R1053" s="13"/>
      <c r="S1053" s="13">
        <f t="shared" si="442"/>
        <v>0</v>
      </c>
      <c r="T1053" s="13">
        <f t="shared" si="443"/>
        <v>6708</v>
      </c>
      <c r="U1053" s="13">
        <f t="shared" si="444"/>
        <v>6708</v>
      </c>
      <c r="V1053" s="13"/>
      <c r="W1053" s="13">
        <f t="shared" si="445"/>
        <v>0</v>
      </c>
    </row>
    <row r="1054" spans="2:23" s="9" customFormat="1">
      <c r="K1054" s="158"/>
      <c r="M1054" s="146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</row>
    <row r="1055" spans="2:23" s="9" customFormat="1">
      <c r="B1055" s="9">
        <f>SUM(B1036:B1054)</f>
        <v>32</v>
      </c>
      <c r="C1055" s="9" t="s">
        <v>798</v>
      </c>
      <c r="K1055" s="158"/>
      <c r="M1055" s="146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</row>
    <row r="1056" spans="2:23" s="9" customFormat="1">
      <c r="K1056" s="158"/>
      <c r="M1056" s="146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</row>
    <row r="1057" spans="2:23" s="9" customFormat="1">
      <c r="B1057" s="9">
        <v>24</v>
      </c>
      <c r="C1057" s="9" t="s">
        <v>799</v>
      </c>
      <c r="E1057" s="9" t="s">
        <v>800</v>
      </c>
      <c r="G1057" s="9">
        <v>2011</v>
      </c>
      <c r="H1057" s="9">
        <v>1</v>
      </c>
      <c r="I1057" s="9">
        <v>0</v>
      </c>
      <c r="J1057" s="9" t="s">
        <v>78</v>
      </c>
      <c r="K1057" s="158">
        <v>10</v>
      </c>
      <c r="L1057" s="9">
        <f t="shared" ref="L1057:L1065" si="446">G1057+K1057</f>
        <v>2021</v>
      </c>
      <c r="M1057" s="127">
        <f t="shared" ref="M1057:M1065" si="447">+L1057+(H1057/12)</f>
        <v>2021.0833333333333</v>
      </c>
      <c r="N1057" s="13">
        <v>0</v>
      </c>
      <c r="O1057" s="13">
        <f t="shared" ref="O1057:O1065" si="448">N1057-N1057*I1057</f>
        <v>0</v>
      </c>
      <c r="P1057" s="13">
        <f t="shared" ref="P1057:P1065" si="449">O1057/K1057/12</f>
        <v>0</v>
      </c>
      <c r="Q1057" s="13">
        <f t="shared" ref="Q1057:Q1065" si="450">P1057*12</f>
        <v>0</v>
      </c>
      <c r="R1057" s="13"/>
      <c r="S1057" s="13">
        <f t="shared" ref="S1057:S1065" si="451">+IF(M1057&lt;=$O$5,0,IF(L1057&gt;$O$4,Q1057,(P1057*H1057)))</f>
        <v>0</v>
      </c>
      <c r="T1057" s="13">
        <f t="shared" ref="T1057:T1065" si="452">+IF(S1057=0,N1057,IF($O$3-G1057&lt;1,0,(($O$3-G1057)*Q1057)))</f>
        <v>0</v>
      </c>
      <c r="U1057" s="13">
        <f t="shared" ref="U1057:U1065" si="453">+IF(S1057=0,T1057,T1057+S1057)</f>
        <v>0</v>
      </c>
      <c r="V1057" s="13"/>
      <c r="W1057" s="13">
        <f t="shared" ref="W1057:W1065" si="454">+N1057-U1057</f>
        <v>0</v>
      </c>
    </row>
    <row r="1058" spans="2:23" s="9" customFormat="1">
      <c r="B1058" s="9">
        <v>1</v>
      </c>
      <c r="C1058" s="9" t="s">
        <v>799</v>
      </c>
      <c r="G1058" s="9">
        <v>1992</v>
      </c>
      <c r="H1058" s="9">
        <v>5</v>
      </c>
      <c r="I1058" s="9">
        <v>0</v>
      </c>
      <c r="J1058" s="9" t="s">
        <v>78</v>
      </c>
      <c r="K1058" s="158" t="s">
        <v>449</v>
      </c>
      <c r="L1058" s="9">
        <f t="shared" si="446"/>
        <v>2002</v>
      </c>
      <c r="M1058" s="127">
        <f t="shared" si="447"/>
        <v>2002.4166666666667</v>
      </c>
      <c r="N1058" s="13">
        <v>3435</v>
      </c>
      <c r="O1058" s="13">
        <f t="shared" si="448"/>
        <v>3435</v>
      </c>
      <c r="P1058" s="13">
        <f t="shared" si="449"/>
        <v>28.625</v>
      </c>
      <c r="Q1058" s="13">
        <f t="shared" si="450"/>
        <v>343.5</v>
      </c>
      <c r="R1058" s="13"/>
      <c r="S1058" s="13">
        <f t="shared" si="451"/>
        <v>0</v>
      </c>
      <c r="T1058" s="13">
        <f t="shared" si="452"/>
        <v>3435</v>
      </c>
      <c r="U1058" s="13">
        <f t="shared" si="453"/>
        <v>3435</v>
      </c>
      <c r="V1058" s="13"/>
      <c r="W1058" s="13">
        <f t="shared" si="454"/>
        <v>0</v>
      </c>
    </row>
    <row r="1059" spans="2:23" s="9" customFormat="1">
      <c r="B1059" s="9">
        <v>2</v>
      </c>
      <c r="C1059" s="9" t="s">
        <v>801</v>
      </c>
      <c r="G1059" s="9">
        <v>1993</v>
      </c>
      <c r="H1059" s="9">
        <v>2</v>
      </c>
      <c r="I1059" s="9">
        <v>0</v>
      </c>
      <c r="J1059" s="9" t="s">
        <v>78</v>
      </c>
      <c r="K1059" s="158" t="s">
        <v>449</v>
      </c>
      <c r="L1059" s="9">
        <f t="shared" si="446"/>
        <v>2003</v>
      </c>
      <c r="M1059" s="127">
        <f t="shared" si="447"/>
        <v>2003.1666666666667</v>
      </c>
      <c r="N1059" s="13">
        <v>5660</v>
      </c>
      <c r="O1059" s="13">
        <f t="shared" si="448"/>
        <v>5660</v>
      </c>
      <c r="P1059" s="13">
        <f t="shared" si="449"/>
        <v>47.166666666666664</v>
      </c>
      <c r="Q1059" s="13">
        <f t="shared" si="450"/>
        <v>566</v>
      </c>
      <c r="R1059" s="13"/>
      <c r="S1059" s="13">
        <f t="shared" si="451"/>
        <v>0</v>
      </c>
      <c r="T1059" s="13">
        <f t="shared" si="452"/>
        <v>5660</v>
      </c>
      <c r="U1059" s="13">
        <f t="shared" si="453"/>
        <v>5660</v>
      </c>
      <c r="V1059" s="13"/>
      <c r="W1059" s="13">
        <f t="shared" si="454"/>
        <v>0</v>
      </c>
    </row>
    <row r="1060" spans="2:23" s="9" customFormat="1">
      <c r="B1060" s="9">
        <v>8</v>
      </c>
      <c r="C1060" s="9" t="s">
        <v>799</v>
      </c>
      <c r="G1060" s="9">
        <v>1993</v>
      </c>
      <c r="H1060" s="9">
        <v>3</v>
      </c>
      <c r="I1060" s="9">
        <v>0</v>
      </c>
      <c r="J1060" s="9" t="s">
        <v>78</v>
      </c>
      <c r="K1060" s="158" t="s">
        <v>449</v>
      </c>
      <c r="L1060" s="9">
        <f t="shared" si="446"/>
        <v>2003</v>
      </c>
      <c r="M1060" s="127">
        <f t="shared" si="447"/>
        <v>2003.25</v>
      </c>
      <c r="N1060" s="13">
        <v>20342</v>
      </c>
      <c r="O1060" s="13">
        <f t="shared" si="448"/>
        <v>20342</v>
      </c>
      <c r="P1060" s="13">
        <f t="shared" si="449"/>
        <v>169.51666666666668</v>
      </c>
      <c r="Q1060" s="13">
        <f t="shared" si="450"/>
        <v>2034.2000000000003</v>
      </c>
      <c r="R1060" s="13"/>
      <c r="S1060" s="13">
        <f t="shared" si="451"/>
        <v>0</v>
      </c>
      <c r="T1060" s="13">
        <f t="shared" si="452"/>
        <v>20342</v>
      </c>
      <c r="U1060" s="13">
        <f t="shared" si="453"/>
        <v>20342</v>
      </c>
      <c r="V1060" s="13"/>
      <c r="W1060" s="13">
        <f t="shared" si="454"/>
        <v>0</v>
      </c>
    </row>
    <row r="1061" spans="2:23" s="9" customFormat="1">
      <c r="B1061" s="9">
        <v>2</v>
      </c>
      <c r="C1061" s="9" t="s">
        <v>799</v>
      </c>
      <c r="G1061" s="9">
        <v>1993</v>
      </c>
      <c r="H1061" s="9">
        <v>4</v>
      </c>
      <c r="I1061" s="9">
        <v>0</v>
      </c>
      <c r="J1061" s="9" t="s">
        <v>78</v>
      </c>
      <c r="K1061" s="158" t="s">
        <v>449</v>
      </c>
      <c r="L1061" s="9">
        <f t="shared" si="446"/>
        <v>2003</v>
      </c>
      <c r="M1061" s="127">
        <f t="shared" si="447"/>
        <v>2003.3333333333333</v>
      </c>
      <c r="N1061" s="13">
        <v>4517</v>
      </c>
      <c r="O1061" s="13">
        <f t="shared" si="448"/>
        <v>4517</v>
      </c>
      <c r="P1061" s="13">
        <f t="shared" si="449"/>
        <v>37.641666666666666</v>
      </c>
      <c r="Q1061" s="13">
        <f t="shared" si="450"/>
        <v>451.7</v>
      </c>
      <c r="R1061" s="13"/>
      <c r="S1061" s="13">
        <f t="shared" si="451"/>
        <v>0</v>
      </c>
      <c r="T1061" s="13">
        <f t="shared" si="452"/>
        <v>4517</v>
      </c>
      <c r="U1061" s="13">
        <f t="shared" si="453"/>
        <v>4517</v>
      </c>
      <c r="V1061" s="13"/>
      <c r="W1061" s="13">
        <f t="shared" si="454"/>
        <v>0</v>
      </c>
    </row>
    <row r="1062" spans="2:23" s="9" customFormat="1">
      <c r="B1062" s="9">
        <v>1</v>
      </c>
      <c r="C1062" s="9" t="s">
        <v>802</v>
      </c>
      <c r="G1062" s="9">
        <v>1993</v>
      </c>
      <c r="H1062" s="9">
        <v>5</v>
      </c>
      <c r="I1062" s="9">
        <v>0</v>
      </c>
      <c r="J1062" s="9" t="s">
        <v>78</v>
      </c>
      <c r="K1062" s="158" t="s">
        <v>449</v>
      </c>
      <c r="L1062" s="9">
        <f t="shared" si="446"/>
        <v>2003</v>
      </c>
      <c r="M1062" s="127">
        <f t="shared" si="447"/>
        <v>2003.4166666666667</v>
      </c>
      <c r="N1062" s="13">
        <v>2830</v>
      </c>
      <c r="O1062" s="13">
        <f t="shared" si="448"/>
        <v>2830</v>
      </c>
      <c r="P1062" s="13">
        <f t="shared" si="449"/>
        <v>23.583333333333332</v>
      </c>
      <c r="Q1062" s="13">
        <f t="shared" si="450"/>
        <v>283</v>
      </c>
      <c r="R1062" s="13"/>
      <c r="S1062" s="13">
        <f t="shared" si="451"/>
        <v>0</v>
      </c>
      <c r="T1062" s="13">
        <f t="shared" si="452"/>
        <v>2830</v>
      </c>
      <c r="U1062" s="13">
        <f t="shared" si="453"/>
        <v>2830</v>
      </c>
      <c r="V1062" s="13"/>
      <c r="W1062" s="13">
        <f t="shared" si="454"/>
        <v>0</v>
      </c>
    </row>
    <row r="1063" spans="2:23" s="9" customFormat="1">
      <c r="B1063" s="9">
        <v>1</v>
      </c>
      <c r="C1063" s="9" t="s">
        <v>803</v>
      </c>
      <c r="G1063" s="9">
        <v>1993</v>
      </c>
      <c r="H1063" s="9">
        <v>5</v>
      </c>
      <c r="I1063" s="9">
        <v>0</v>
      </c>
      <c r="J1063" s="9" t="s">
        <v>78</v>
      </c>
      <c r="K1063" s="158" t="s">
        <v>449</v>
      </c>
      <c r="L1063" s="9">
        <f t="shared" si="446"/>
        <v>2003</v>
      </c>
      <c r="M1063" s="127">
        <f t="shared" si="447"/>
        <v>2003.4166666666667</v>
      </c>
      <c r="N1063" s="13">
        <v>2830</v>
      </c>
      <c r="O1063" s="13">
        <f t="shared" si="448"/>
        <v>2830</v>
      </c>
      <c r="P1063" s="13">
        <f t="shared" si="449"/>
        <v>23.583333333333332</v>
      </c>
      <c r="Q1063" s="13">
        <f t="shared" si="450"/>
        <v>283</v>
      </c>
      <c r="R1063" s="13"/>
      <c r="S1063" s="13">
        <f t="shared" si="451"/>
        <v>0</v>
      </c>
      <c r="T1063" s="13">
        <f t="shared" si="452"/>
        <v>2830</v>
      </c>
      <c r="U1063" s="13">
        <f t="shared" si="453"/>
        <v>2830</v>
      </c>
      <c r="V1063" s="13"/>
      <c r="W1063" s="13">
        <f t="shared" si="454"/>
        <v>0</v>
      </c>
    </row>
    <row r="1064" spans="2:23" s="9" customFormat="1">
      <c r="B1064" s="9">
        <v>1</v>
      </c>
      <c r="C1064" s="9" t="s">
        <v>804</v>
      </c>
      <c r="G1064" s="9">
        <v>1993</v>
      </c>
      <c r="H1064" s="9">
        <v>6</v>
      </c>
      <c r="I1064" s="9">
        <v>0</v>
      </c>
      <c r="J1064" s="9" t="s">
        <v>78</v>
      </c>
      <c r="K1064" s="158" t="s">
        <v>449</v>
      </c>
      <c r="L1064" s="9">
        <f t="shared" si="446"/>
        <v>2003</v>
      </c>
      <c r="M1064" s="127">
        <f t="shared" si="447"/>
        <v>2003.5</v>
      </c>
      <c r="N1064" s="13">
        <v>2832</v>
      </c>
      <c r="O1064" s="13">
        <f t="shared" si="448"/>
        <v>2832</v>
      </c>
      <c r="P1064" s="13">
        <f t="shared" si="449"/>
        <v>23.599999999999998</v>
      </c>
      <c r="Q1064" s="13">
        <f t="shared" si="450"/>
        <v>283.2</v>
      </c>
      <c r="R1064" s="13"/>
      <c r="S1064" s="13">
        <f t="shared" si="451"/>
        <v>0</v>
      </c>
      <c r="T1064" s="13">
        <f t="shared" si="452"/>
        <v>2832</v>
      </c>
      <c r="U1064" s="13">
        <f t="shared" si="453"/>
        <v>2832</v>
      </c>
      <c r="V1064" s="13"/>
      <c r="W1064" s="13">
        <f t="shared" si="454"/>
        <v>0</v>
      </c>
    </row>
    <row r="1065" spans="2:23" s="9" customFormat="1">
      <c r="B1065" s="9">
        <v>1</v>
      </c>
      <c r="C1065" s="9" t="s">
        <v>805</v>
      </c>
      <c r="G1065" s="9">
        <v>1993</v>
      </c>
      <c r="H1065" s="9">
        <v>6</v>
      </c>
      <c r="I1065" s="9">
        <v>0</v>
      </c>
      <c r="J1065" s="9" t="s">
        <v>78</v>
      </c>
      <c r="K1065" s="158" t="s">
        <v>449</v>
      </c>
      <c r="L1065" s="9">
        <f t="shared" si="446"/>
        <v>2003</v>
      </c>
      <c r="M1065" s="127">
        <f t="shared" si="447"/>
        <v>2003.5</v>
      </c>
      <c r="N1065" s="13">
        <v>2830</v>
      </c>
      <c r="O1065" s="13">
        <f t="shared" si="448"/>
        <v>2830</v>
      </c>
      <c r="P1065" s="13">
        <f t="shared" si="449"/>
        <v>23.583333333333332</v>
      </c>
      <c r="Q1065" s="13">
        <f t="shared" si="450"/>
        <v>283</v>
      </c>
      <c r="R1065" s="13"/>
      <c r="S1065" s="13">
        <f t="shared" si="451"/>
        <v>0</v>
      </c>
      <c r="T1065" s="13">
        <f t="shared" si="452"/>
        <v>2830</v>
      </c>
      <c r="U1065" s="13">
        <f t="shared" si="453"/>
        <v>2830</v>
      </c>
      <c r="V1065" s="13"/>
      <c r="W1065" s="13">
        <f t="shared" si="454"/>
        <v>0</v>
      </c>
    </row>
    <row r="1066" spans="2:23" s="9" customFormat="1">
      <c r="K1066" s="158"/>
      <c r="M1066" s="146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</row>
    <row r="1067" spans="2:23" s="9" customFormat="1">
      <c r="B1067" s="9">
        <f>SUM(B1057:B1066)</f>
        <v>41</v>
      </c>
      <c r="C1067" s="9" t="s">
        <v>806</v>
      </c>
      <c r="K1067" s="158"/>
      <c r="M1067" s="146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</row>
    <row r="1068" spans="2:23" s="9" customFormat="1">
      <c r="K1068" s="158"/>
      <c r="M1068" s="146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</row>
    <row r="1069" spans="2:23" s="9" customFormat="1">
      <c r="B1069" s="9">
        <v>1</v>
      </c>
      <c r="C1069" s="9" t="s">
        <v>807</v>
      </c>
      <c r="G1069" s="9">
        <v>1990</v>
      </c>
      <c r="H1069" s="9">
        <v>7</v>
      </c>
      <c r="I1069" s="9">
        <v>0</v>
      </c>
      <c r="J1069" s="9" t="s">
        <v>78</v>
      </c>
      <c r="K1069" s="158" t="s">
        <v>449</v>
      </c>
      <c r="L1069" s="9">
        <f t="shared" ref="L1069:L1132" si="455">G1069+K1069</f>
        <v>2000</v>
      </c>
      <c r="M1069" s="127">
        <f t="shared" ref="M1069:M1132" si="456">+L1069+(H1069/12)</f>
        <v>2000.5833333333333</v>
      </c>
      <c r="N1069" s="13">
        <v>7135</v>
      </c>
      <c r="O1069" s="13">
        <f t="shared" ref="O1069:O1132" si="457">N1069-N1069*I1069</f>
        <v>7135</v>
      </c>
      <c r="P1069" s="13">
        <f t="shared" ref="P1069:P1132" si="458">O1069/K1069/12</f>
        <v>59.458333333333336</v>
      </c>
      <c r="Q1069" s="13">
        <f t="shared" ref="Q1069:Q1132" si="459">P1069*12</f>
        <v>713.5</v>
      </c>
      <c r="R1069" s="13"/>
      <c r="S1069" s="13">
        <f t="shared" ref="S1069:S1132" si="460">+IF(M1069&lt;=$O$5,0,IF(L1069&gt;$O$4,Q1069,(P1069*H1069)))</f>
        <v>0</v>
      </c>
      <c r="T1069" s="13">
        <f t="shared" ref="T1069:T1132" si="461">+IF(S1069=0,N1069,IF($O$3-G1069&lt;1,0,(($O$3-G1069)*Q1069)))</f>
        <v>7135</v>
      </c>
      <c r="U1069" s="13">
        <f t="shared" ref="U1069:U1132" si="462">+IF(S1069=0,T1069,T1069+S1069)</f>
        <v>7135</v>
      </c>
      <c r="V1069" s="13"/>
      <c r="W1069" s="13">
        <f t="shared" ref="W1069:W1132" si="463">+N1069-U1069</f>
        <v>0</v>
      </c>
    </row>
    <row r="1070" spans="2:23" s="9" customFormat="1">
      <c r="B1070" s="9">
        <v>1</v>
      </c>
      <c r="C1070" s="9" t="s">
        <v>562</v>
      </c>
      <c r="G1070" s="9">
        <v>1991</v>
      </c>
      <c r="H1070" s="9">
        <v>7</v>
      </c>
      <c r="I1070" s="9">
        <v>0</v>
      </c>
      <c r="J1070" s="9" t="s">
        <v>78</v>
      </c>
      <c r="K1070" s="158" t="s">
        <v>449</v>
      </c>
      <c r="L1070" s="9">
        <f t="shared" si="455"/>
        <v>2001</v>
      </c>
      <c r="M1070" s="127">
        <f t="shared" si="456"/>
        <v>2001.5833333333333</v>
      </c>
      <c r="N1070" s="13">
        <v>3868</v>
      </c>
      <c r="O1070" s="13">
        <f t="shared" si="457"/>
        <v>3868</v>
      </c>
      <c r="P1070" s="13">
        <f t="shared" si="458"/>
        <v>32.233333333333334</v>
      </c>
      <c r="Q1070" s="13">
        <f t="shared" si="459"/>
        <v>386.8</v>
      </c>
      <c r="R1070" s="13"/>
      <c r="S1070" s="13">
        <f t="shared" si="460"/>
        <v>0</v>
      </c>
      <c r="T1070" s="13">
        <f t="shared" si="461"/>
        <v>3868</v>
      </c>
      <c r="U1070" s="13">
        <f t="shared" si="462"/>
        <v>3868</v>
      </c>
      <c r="V1070" s="13"/>
      <c r="W1070" s="13">
        <f t="shared" si="463"/>
        <v>0</v>
      </c>
    </row>
    <row r="1071" spans="2:23" s="9" customFormat="1">
      <c r="B1071" s="9">
        <v>1</v>
      </c>
      <c r="C1071" s="9" t="s">
        <v>562</v>
      </c>
      <c r="G1071" s="9">
        <v>1991</v>
      </c>
      <c r="H1071" s="9">
        <v>11</v>
      </c>
      <c r="I1071" s="9">
        <v>0</v>
      </c>
      <c r="J1071" s="9" t="s">
        <v>78</v>
      </c>
      <c r="K1071" s="158" t="s">
        <v>449</v>
      </c>
      <c r="L1071" s="9">
        <f t="shared" si="455"/>
        <v>2001</v>
      </c>
      <c r="M1071" s="127">
        <f t="shared" si="456"/>
        <v>2001.9166666666667</v>
      </c>
      <c r="N1071" s="13">
        <v>3868</v>
      </c>
      <c r="O1071" s="13">
        <f t="shared" si="457"/>
        <v>3868</v>
      </c>
      <c r="P1071" s="13">
        <f t="shared" si="458"/>
        <v>32.233333333333334</v>
      </c>
      <c r="Q1071" s="13">
        <f t="shared" si="459"/>
        <v>386.8</v>
      </c>
      <c r="R1071" s="13"/>
      <c r="S1071" s="13">
        <f t="shared" si="460"/>
        <v>0</v>
      </c>
      <c r="T1071" s="13">
        <f t="shared" si="461"/>
        <v>3868</v>
      </c>
      <c r="U1071" s="13">
        <f t="shared" si="462"/>
        <v>3868</v>
      </c>
      <c r="V1071" s="13"/>
      <c r="W1071" s="13">
        <f t="shared" si="463"/>
        <v>0</v>
      </c>
    </row>
    <row r="1072" spans="2:23" s="9" customFormat="1">
      <c r="B1072" s="9">
        <v>1</v>
      </c>
      <c r="C1072" s="9" t="s">
        <v>808</v>
      </c>
      <c r="G1072" s="9">
        <v>1993</v>
      </c>
      <c r="H1072" s="9">
        <v>2</v>
      </c>
      <c r="I1072" s="9">
        <v>0</v>
      </c>
      <c r="J1072" s="9" t="s">
        <v>78</v>
      </c>
      <c r="K1072" s="158" t="s">
        <v>449</v>
      </c>
      <c r="L1072" s="9">
        <f t="shared" si="455"/>
        <v>2003</v>
      </c>
      <c r="M1072" s="127">
        <f t="shared" si="456"/>
        <v>2003.1666666666667</v>
      </c>
      <c r="N1072" s="13">
        <v>3110</v>
      </c>
      <c r="O1072" s="13">
        <f t="shared" si="457"/>
        <v>3110</v>
      </c>
      <c r="P1072" s="13">
        <f t="shared" si="458"/>
        <v>25.916666666666668</v>
      </c>
      <c r="Q1072" s="13">
        <f t="shared" si="459"/>
        <v>311</v>
      </c>
      <c r="R1072" s="13"/>
      <c r="S1072" s="13">
        <f t="shared" si="460"/>
        <v>0</v>
      </c>
      <c r="T1072" s="13">
        <f t="shared" si="461"/>
        <v>3110</v>
      </c>
      <c r="U1072" s="13">
        <f t="shared" si="462"/>
        <v>3110</v>
      </c>
      <c r="V1072" s="13"/>
      <c r="W1072" s="13">
        <f t="shared" si="463"/>
        <v>0</v>
      </c>
    </row>
    <row r="1073" spans="2:23" s="9" customFormat="1">
      <c r="B1073" s="9">
        <v>2</v>
      </c>
      <c r="C1073" s="9" t="s">
        <v>809</v>
      </c>
      <c r="G1073" s="9">
        <v>1993</v>
      </c>
      <c r="H1073" s="9">
        <v>2</v>
      </c>
      <c r="I1073" s="9">
        <v>0</v>
      </c>
      <c r="J1073" s="9" t="s">
        <v>78</v>
      </c>
      <c r="K1073" s="158" t="s">
        <v>449</v>
      </c>
      <c r="L1073" s="9">
        <f t="shared" si="455"/>
        <v>2003</v>
      </c>
      <c r="M1073" s="127">
        <f t="shared" si="456"/>
        <v>2003.1666666666667</v>
      </c>
      <c r="N1073" s="13">
        <v>6220</v>
      </c>
      <c r="O1073" s="13">
        <f t="shared" si="457"/>
        <v>6220</v>
      </c>
      <c r="P1073" s="13">
        <f t="shared" si="458"/>
        <v>51.833333333333336</v>
      </c>
      <c r="Q1073" s="13">
        <f t="shared" si="459"/>
        <v>622</v>
      </c>
      <c r="R1073" s="13"/>
      <c r="S1073" s="13">
        <f t="shared" si="460"/>
        <v>0</v>
      </c>
      <c r="T1073" s="13">
        <f t="shared" si="461"/>
        <v>6220</v>
      </c>
      <c r="U1073" s="13">
        <f t="shared" si="462"/>
        <v>6220</v>
      </c>
      <c r="V1073" s="13"/>
      <c r="W1073" s="13">
        <f t="shared" si="463"/>
        <v>0</v>
      </c>
    </row>
    <row r="1074" spans="2:23" s="9" customFormat="1">
      <c r="B1074" s="9">
        <v>1</v>
      </c>
      <c r="C1074" s="9" t="s">
        <v>562</v>
      </c>
      <c r="G1074" s="9">
        <v>1993</v>
      </c>
      <c r="H1074" s="9">
        <v>3</v>
      </c>
      <c r="I1074" s="9">
        <v>0</v>
      </c>
      <c r="J1074" s="9" t="s">
        <v>78</v>
      </c>
      <c r="K1074" s="158" t="s">
        <v>449</v>
      </c>
      <c r="L1074" s="9">
        <f t="shared" si="455"/>
        <v>2003</v>
      </c>
      <c r="M1074" s="127">
        <f t="shared" si="456"/>
        <v>2003.25</v>
      </c>
      <c r="N1074" s="13">
        <v>4030.45</v>
      </c>
      <c r="O1074" s="13">
        <f t="shared" si="457"/>
        <v>4030.45</v>
      </c>
      <c r="P1074" s="13">
        <f t="shared" si="458"/>
        <v>33.587083333333332</v>
      </c>
      <c r="Q1074" s="13">
        <f t="shared" si="459"/>
        <v>403.04499999999996</v>
      </c>
      <c r="R1074" s="13"/>
      <c r="S1074" s="13">
        <f t="shared" si="460"/>
        <v>0</v>
      </c>
      <c r="T1074" s="13">
        <f t="shared" si="461"/>
        <v>4030.45</v>
      </c>
      <c r="U1074" s="13">
        <f t="shared" si="462"/>
        <v>4030.45</v>
      </c>
      <c r="V1074" s="13"/>
      <c r="W1074" s="13">
        <f t="shared" si="463"/>
        <v>0</v>
      </c>
    </row>
    <row r="1075" spans="2:23" s="9" customFormat="1">
      <c r="B1075" s="9">
        <v>2</v>
      </c>
      <c r="C1075" s="9" t="s">
        <v>562</v>
      </c>
      <c r="G1075" s="9">
        <v>1993</v>
      </c>
      <c r="H1075" s="9">
        <v>5</v>
      </c>
      <c r="I1075" s="9">
        <v>0</v>
      </c>
      <c r="J1075" s="9" t="s">
        <v>78</v>
      </c>
      <c r="K1075" s="158" t="s">
        <v>449</v>
      </c>
      <c r="L1075" s="9">
        <f t="shared" si="455"/>
        <v>2003</v>
      </c>
      <c r="M1075" s="127">
        <f t="shared" si="456"/>
        <v>2003.4166666666667</v>
      </c>
      <c r="N1075" s="13">
        <v>8115</v>
      </c>
      <c r="O1075" s="13">
        <f t="shared" si="457"/>
        <v>8115</v>
      </c>
      <c r="P1075" s="13">
        <f t="shared" si="458"/>
        <v>67.625</v>
      </c>
      <c r="Q1075" s="13">
        <f t="shared" si="459"/>
        <v>811.5</v>
      </c>
      <c r="R1075" s="13"/>
      <c r="S1075" s="13">
        <f t="shared" si="460"/>
        <v>0</v>
      </c>
      <c r="T1075" s="13">
        <f t="shared" si="461"/>
        <v>8115</v>
      </c>
      <c r="U1075" s="13">
        <f t="shared" si="462"/>
        <v>8115</v>
      </c>
      <c r="V1075" s="13"/>
      <c r="W1075" s="13">
        <f t="shared" si="463"/>
        <v>0</v>
      </c>
    </row>
    <row r="1076" spans="2:23" s="9" customFormat="1">
      <c r="B1076" s="9">
        <v>1</v>
      </c>
      <c r="C1076" s="9" t="s">
        <v>810</v>
      </c>
      <c r="G1076" s="9">
        <v>1993</v>
      </c>
      <c r="H1076" s="9">
        <v>5</v>
      </c>
      <c r="I1076" s="9">
        <v>0</v>
      </c>
      <c r="J1076" s="9" t="s">
        <v>78</v>
      </c>
      <c r="K1076" s="158" t="s">
        <v>449</v>
      </c>
      <c r="L1076" s="9">
        <f t="shared" si="455"/>
        <v>2003</v>
      </c>
      <c r="M1076" s="127">
        <f t="shared" si="456"/>
        <v>2003.4166666666667</v>
      </c>
      <c r="N1076" s="13">
        <v>3110</v>
      </c>
      <c r="O1076" s="13">
        <f t="shared" si="457"/>
        <v>3110</v>
      </c>
      <c r="P1076" s="13">
        <f t="shared" si="458"/>
        <v>25.916666666666668</v>
      </c>
      <c r="Q1076" s="13">
        <f t="shared" si="459"/>
        <v>311</v>
      </c>
      <c r="R1076" s="13"/>
      <c r="S1076" s="13">
        <f t="shared" si="460"/>
        <v>0</v>
      </c>
      <c r="T1076" s="13">
        <f t="shared" si="461"/>
        <v>3110</v>
      </c>
      <c r="U1076" s="13">
        <f t="shared" si="462"/>
        <v>3110</v>
      </c>
      <c r="V1076" s="13"/>
      <c r="W1076" s="13">
        <f t="shared" si="463"/>
        <v>0</v>
      </c>
    </row>
    <row r="1077" spans="2:23" s="9" customFormat="1">
      <c r="B1077" s="9">
        <v>2</v>
      </c>
      <c r="C1077" s="9" t="s">
        <v>811</v>
      </c>
      <c r="G1077" s="9">
        <v>1993</v>
      </c>
      <c r="H1077" s="9">
        <v>5</v>
      </c>
      <c r="I1077" s="9">
        <v>0</v>
      </c>
      <c r="J1077" s="9" t="s">
        <v>78</v>
      </c>
      <c r="K1077" s="158" t="s">
        <v>449</v>
      </c>
      <c r="L1077" s="9">
        <f t="shared" si="455"/>
        <v>2003</v>
      </c>
      <c r="M1077" s="127">
        <f t="shared" si="456"/>
        <v>2003.4166666666667</v>
      </c>
      <c r="N1077" s="13">
        <v>7033</v>
      </c>
      <c r="O1077" s="13">
        <f t="shared" si="457"/>
        <v>7033</v>
      </c>
      <c r="P1077" s="13">
        <f t="shared" si="458"/>
        <v>58.608333333333327</v>
      </c>
      <c r="Q1077" s="13">
        <f t="shared" si="459"/>
        <v>703.3</v>
      </c>
      <c r="R1077" s="13"/>
      <c r="S1077" s="13">
        <f t="shared" si="460"/>
        <v>0</v>
      </c>
      <c r="T1077" s="13">
        <f t="shared" si="461"/>
        <v>7033</v>
      </c>
      <c r="U1077" s="13">
        <f t="shared" si="462"/>
        <v>7033</v>
      </c>
      <c r="V1077" s="13"/>
      <c r="W1077" s="13">
        <f t="shared" si="463"/>
        <v>0</v>
      </c>
    </row>
    <row r="1078" spans="2:23" s="9" customFormat="1">
      <c r="B1078" s="9">
        <v>1</v>
      </c>
      <c r="C1078" s="9" t="s">
        <v>811</v>
      </c>
      <c r="G1078" s="9">
        <v>1993</v>
      </c>
      <c r="H1078" s="9">
        <v>5</v>
      </c>
      <c r="I1078" s="9">
        <v>0</v>
      </c>
      <c r="J1078" s="9" t="s">
        <v>78</v>
      </c>
      <c r="K1078" s="158" t="s">
        <v>449</v>
      </c>
      <c r="L1078" s="9">
        <f t="shared" si="455"/>
        <v>2003</v>
      </c>
      <c r="M1078" s="127">
        <f t="shared" si="456"/>
        <v>2003.4166666666667</v>
      </c>
      <c r="N1078" s="13">
        <v>3110</v>
      </c>
      <c r="O1078" s="13">
        <f t="shared" si="457"/>
        <v>3110</v>
      </c>
      <c r="P1078" s="13">
        <f t="shared" si="458"/>
        <v>25.916666666666668</v>
      </c>
      <c r="Q1078" s="13">
        <f t="shared" si="459"/>
        <v>311</v>
      </c>
      <c r="R1078" s="13"/>
      <c r="S1078" s="13">
        <f t="shared" si="460"/>
        <v>0</v>
      </c>
      <c r="T1078" s="13">
        <f t="shared" si="461"/>
        <v>3110</v>
      </c>
      <c r="U1078" s="13">
        <f t="shared" si="462"/>
        <v>3110</v>
      </c>
      <c r="V1078" s="13"/>
      <c r="W1078" s="13">
        <f t="shared" si="463"/>
        <v>0</v>
      </c>
    </row>
    <row r="1079" spans="2:23" s="9" customFormat="1">
      <c r="B1079" s="9">
        <v>2</v>
      </c>
      <c r="C1079" s="9" t="s">
        <v>812</v>
      </c>
      <c r="G1079" s="9">
        <v>1993</v>
      </c>
      <c r="H1079" s="9">
        <v>5</v>
      </c>
      <c r="I1079" s="9">
        <v>0</v>
      </c>
      <c r="J1079" s="9" t="s">
        <v>78</v>
      </c>
      <c r="K1079" s="158" t="s">
        <v>449</v>
      </c>
      <c r="L1079" s="9">
        <f t="shared" si="455"/>
        <v>2003</v>
      </c>
      <c r="M1079" s="127">
        <f t="shared" si="456"/>
        <v>2003.4166666666667</v>
      </c>
      <c r="N1079" s="13">
        <v>6220</v>
      </c>
      <c r="O1079" s="13">
        <f t="shared" si="457"/>
        <v>6220</v>
      </c>
      <c r="P1079" s="13">
        <f t="shared" si="458"/>
        <v>51.833333333333336</v>
      </c>
      <c r="Q1079" s="13">
        <f t="shared" si="459"/>
        <v>622</v>
      </c>
      <c r="R1079" s="13"/>
      <c r="S1079" s="13">
        <f t="shared" si="460"/>
        <v>0</v>
      </c>
      <c r="T1079" s="13">
        <f t="shared" si="461"/>
        <v>6220</v>
      </c>
      <c r="U1079" s="13">
        <f t="shared" si="462"/>
        <v>6220</v>
      </c>
      <c r="V1079" s="13"/>
      <c r="W1079" s="13">
        <f t="shared" si="463"/>
        <v>0</v>
      </c>
    </row>
    <row r="1080" spans="2:23" s="9" customFormat="1">
      <c r="B1080" s="9">
        <v>1</v>
      </c>
      <c r="C1080" s="9" t="s">
        <v>810</v>
      </c>
      <c r="G1080" s="9">
        <v>1993</v>
      </c>
      <c r="H1080" s="9">
        <v>6</v>
      </c>
      <c r="I1080" s="9">
        <v>0</v>
      </c>
      <c r="J1080" s="9" t="s">
        <v>78</v>
      </c>
      <c r="K1080" s="158" t="s">
        <v>449</v>
      </c>
      <c r="L1080" s="9">
        <f t="shared" si="455"/>
        <v>2003</v>
      </c>
      <c r="M1080" s="127">
        <f t="shared" si="456"/>
        <v>2003.5</v>
      </c>
      <c r="N1080" s="13">
        <v>3110</v>
      </c>
      <c r="O1080" s="13">
        <f t="shared" si="457"/>
        <v>3110</v>
      </c>
      <c r="P1080" s="13">
        <f t="shared" si="458"/>
        <v>25.916666666666668</v>
      </c>
      <c r="Q1080" s="13">
        <f t="shared" si="459"/>
        <v>311</v>
      </c>
      <c r="R1080" s="13"/>
      <c r="S1080" s="13">
        <f t="shared" si="460"/>
        <v>0</v>
      </c>
      <c r="T1080" s="13">
        <f t="shared" si="461"/>
        <v>3110</v>
      </c>
      <c r="U1080" s="13">
        <f t="shared" si="462"/>
        <v>3110</v>
      </c>
      <c r="V1080" s="13"/>
      <c r="W1080" s="13">
        <f t="shared" si="463"/>
        <v>0</v>
      </c>
    </row>
    <row r="1081" spans="2:23" s="9" customFormat="1">
      <c r="B1081" s="9">
        <v>1</v>
      </c>
      <c r="C1081" s="9" t="s">
        <v>813</v>
      </c>
      <c r="G1081" s="9">
        <v>1993</v>
      </c>
      <c r="H1081" s="9">
        <v>6</v>
      </c>
      <c r="I1081" s="9">
        <v>0</v>
      </c>
      <c r="J1081" s="9" t="s">
        <v>78</v>
      </c>
      <c r="K1081" s="158" t="s">
        <v>449</v>
      </c>
      <c r="L1081" s="9">
        <f t="shared" si="455"/>
        <v>2003</v>
      </c>
      <c r="M1081" s="127">
        <f t="shared" si="456"/>
        <v>2003.5</v>
      </c>
      <c r="N1081" s="13">
        <v>3110</v>
      </c>
      <c r="O1081" s="13">
        <f t="shared" si="457"/>
        <v>3110</v>
      </c>
      <c r="P1081" s="13">
        <f t="shared" si="458"/>
        <v>25.916666666666668</v>
      </c>
      <c r="Q1081" s="13">
        <f t="shared" si="459"/>
        <v>311</v>
      </c>
      <c r="R1081" s="13"/>
      <c r="S1081" s="13">
        <f t="shared" si="460"/>
        <v>0</v>
      </c>
      <c r="T1081" s="13">
        <f t="shared" si="461"/>
        <v>3110</v>
      </c>
      <c r="U1081" s="13">
        <f t="shared" si="462"/>
        <v>3110</v>
      </c>
      <c r="V1081" s="13"/>
      <c r="W1081" s="13">
        <f t="shared" si="463"/>
        <v>0</v>
      </c>
    </row>
    <row r="1082" spans="2:23" s="9" customFormat="1">
      <c r="B1082" s="9">
        <v>1</v>
      </c>
      <c r="C1082" s="9" t="s">
        <v>813</v>
      </c>
      <c r="G1082" s="9">
        <v>1993</v>
      </c>
      <c r="H1082" s="9">
        <v>6</v>
      </c>
      <c r="I1082" s="9">
        <v>0</v>
      </c>
      <c r="J1082" s="9" t="s">
        <v>78</v>
      </c>
      <c r="K1082" s="158" t="s">
        <v>449</v>
      </c>
      <c r="L1082" s="9">
        <f t="shared" si="455"/>
        <v>2003</v>
      </c>
      <c r="M1082" s="127">
        <f t="shared" si="456"/>
        <v>2003.5</v>
      </c>
      <c r="N1082" s="13">
        <v>3110</v>
      </c>
      <c r="O1082" s="13">
        <f t="shared" si="457"/>
        <v>3110</v>
      </c>
      <c r="P1082" s="13">
        <f t="shared" si="458"/>
        <v>25.916666666666668</v>
      </c>
      <c r="Q1082" s="13">
        <f t="shared" si="459"/>
        <v>311</v>
      </c>
      <c r="R1082" s="13"/>
      <c r="S1082" s="13">
        <f t="shared" si="460"/>
        <v>0</v>
      </c>
      <c r="T1082" s="13">
        <f t="shared" si="461"/>
        <v>3110</v>
      </c>
      <c r="U1082" s="13">
        <f t="shared" si="462"/>
        <v>3110</v>
      </c>
      <c r="V1082" s="13"/>
      <c r="W1082" s="13">
        <f t="shared" si="463"/>
        <v>0</v>
      </c>
    </row>
    <row r="1083" spans="2:23" s="9" customFormat="1">
      <c r="B1083" s="9">
        <v>1</v>
      </c>
      <c r="C1083" s="9" t="s">
        <v>809</v>
      </c>
      <c r="G1083" s="9">
        <v>1993</v>
      </c>
      <c r="H1083" s="9">
        <v>7</v>
      </c>
      <c r="I1083" s="9">
        <v>0</v>
      </c>
      <c r="J1083" s="9" t="s">
        <v>78</v>
      </c>
      <c r="K1083" s="158" t="s">
        <v>449</v>
      </c>
      <c r="L1083" s="9">
        <f t="shared" si="455"/>
        <v>2003</v>
      </c>
      <c r="M1083" s="127">
        <f t="shared" si="456"/>
        <v>2003.5833333333333</v>
      </c>
      <c r="N1083" s="13">
        <v>3110</v>
      </c>
      <c r="O1083" s="13">
        <f t="shared" si="457"/>
        <v>3110</v>
      </c>
      <c r="P1083" s="13">
        <f t="shared" si="458"/>
        <v>25.916666666666668</v>
      </c>
      <c r="Q1083" s="13">
        <f t="shared" si="459"/>
        <v>311</v>
      </c>
      <c r="R1083" s="13"/>
      <c r="S1083" s="13">
        <f t="shared" si="460"/>
        <v>0</v>
      </c>
      <c r="T1083" s="13">
        <f t="shared" si="461"/>
        <v>3110</v>
      </c>
      <c r="U1083" s="13">
        <f t="shared" si="462"/>
        <v>3110</v>
      </c>
      <c r="V1083" s="13"/>
      <c r="W1083" s="13">
        <f t="shared" si="463"/>
        <v>0</v>
      </c>
    </row>
    <row r="1084" spans="2:23" s="9" customFormat="1">
      <c r="B1084" s="9">
        <v>1</v>
      </c>
      <c r="C1084" s="9" t="s">
        <v>814</v>
      </c>
      <c r="G1084" s="9">
        <v>1993</v>
      </c>
      <c r="H1084" s="9">
        <v>7</v>
      </c>
      <c r="I1084" s="9">
        <v>0</v>
      </c>
      <c r="J1084" s="9" t="s">
        <v>78</v>
      </c>
      <c r="K1084" s="158" t="s">
        <v>449</v>
      </c>
      <c r="L1084" s="9">
        <f t="shared" si="455"/>
        <v>2003</v>
      </c>
      <c r="M1084" s="127">
        <f t="shared" si="456"/>
        <v>2003.5833333333333</v>
      </c>
      <c r="N1084" s="13">
        <v>3110</v>
      </c>
      <c r="O1084" s="13">
        <f t="shared" si="457"/>
        <v>3110</v>
      </c>
      <c r="P1084" s="13">
        <f t="shared" si="458"/>
        <v>25.916666666666668</v>
      </c>
      <c r="Q1084" s="13">
        <f t="shared" si="459"/>
        <v>311</v>
      </c>
      <c r="R1084" s="13"/>
      <c r="S1084" s="13">
        <f t="shared" si="460"/>
        <v>0</v>
      </c>
      <c r="T1084" s="13">
        <f t="shared" si="461"/>
        <v>3110</v>
      </c>
      <c r="U1084" s="13">
        <f t="shared" si="462"/>
        <v>3110</v>
      </c>
      <c r="V1084" s="13"/>
      <c r="W1084" s="13">
        <f t="shared" si="463"/>
        <v>0</v>
      </c>
    </row>
    <row r="1085" spans="2:23" s="9" customFormat="1">
      <c r="B1085" s="9">
        <v>4</v>
      </c>
      <c r="C1085" s="9" t="s">
        <v>812</v>
      </c>
      <c r="G1085" s="9">
        <v>1993</v>
      </c>
      <c r="H1085" s="9">
        <v>10</v>
      </c>
      <c r="I1085" s="9">
        <v>0</v>
      </c>
      <c r="J1085" s="9" t="s">
        <v>78</v>
      </c>
      <c r="K1085" s="158" t="s">
        <v>449</v>
      </c>
      <c r="L1085" s="9">
        <f t="shared" si="455"/>
        <v>2003</v>
      </c>
      <c r="M1085" s="127">
        <f t="shared" si="456"/>
        <v>2003.8333333333333</v>
      </c>
      <c r="N1085" s="13">
        <v>14627</v>
      </c>
      <c r="O1085" s="13">
        <f t="shared" si="457"/>
        <v>14627</v>
      </c>
      <c r="P1085" s="13">
        <f t="shared" si="458"/>
        <v>121.89166666666667</v>
      </c>
      <c r="Q1085" s="13">
        <f t="shared" si="459"/>
        <v>1462.7</v>
      </c>
      <c r="R1085" s="13"/>
      <c r="S1085" s="13">
        <f t="shared" si="460"/>
        <v>0</v>
      </c>
      <c r="T1085" s="13">
        <f t="shared" si="461"/>
        <v>14627</v>
      </c>
      <c r="U1085" s="13">
        <f t="shared" si="462"/>
        <v>14627</v>
      </c>
      <c r="V1085" s="13"/>
      <c r="W1085" s="13">
        <f t="shared" si="463"/>
        <v>0</v>
      </c>
    </row>
    <row r="1086" spans="2:23" s="9" customFormat="1">
      <c r="B1086" s="9">
        <v>1</v>
      </c>
      <c r="C1086" s="9" t="s">
        <v>808</v>
      </c>
      <c r="G1086" s="9">
        <v>1994</v>
      </c>
      <c r="H1086" s="9">
        <v>3</v>
      </c>
      <c r="I1086" s="9">
        <v>0</v>
      </c>
      <c r="J1086" s="9" t="s">
        <v>78</v>
      </c>
      <c r="K1086" s="158" t="s">
        <v>449</v>
      </c>
      <c r="L1086" s="9">
        <f t="shared" si="455"/>
        <v>2004</v>
      </c>
      <c r="M1086" s="127">
        <f t="shared" si="456"/>
        <v>2004.25</v>
      </c>
      <c r="N1086" s="13">
        <v>3113</v>
      </c>
      <c r="O1086" s="13">
        <f t="shared" si="457"/>
        <v>3113</v>
      </c>
      <c r="P1086" s="13">
        <f t="shared" si="458"/>
        <v>25.941666666666666</v>
      </c>
      <c r="Q1086" s="13">
        <f t="shared" si="459"/>
        <v>311.3</v>
      </c>
      <c r="R1086" s="13"/>
      <c r="S1086" s="13">
        <f t="shared" si="460"/>
        <v>0</v>
      </c>
      <c r="T1086" s="13">
        <f t="shared" si="461"/>
        <v>3113</v>
      </c>
      <c r="U1086" s="13">
        <f t="shared" si="462"/>
        <v>3113</v>
      </c>
      <c r="V1086" s="13"/>
      <c r="W1086" s="13">
        <f t="shared" si="463"/>
        <v>0</v>
      </c>
    </row>
    <row r="1087" spans="2:23" s="9" customFormat="1">
      <c r="B1087" s="9">
        <v>1</v>
      </c>
      <c r="C1087" s="9" t="s">
        <v>815</v>
      </c>
      <c r="G1087" s="9">
        <v>1994</v>
      </c>
      <c r="H1087" s="9">
        <v>4</v>
      </c>
      <c r="I1087" s="9">
        <v>0</v>
      </c>
      <c r="J1087" s="9" t="s">
        <v>78</v>
      </c>
      <c r="K1087" s="158" t="s">
        <v>449</v>
      </c>
      <c r="L1087" s="9">
        <f t="shared" si="455"/>
        <v>2004</v>
      </c>
      <c r="M1087" s="127">
        <f t="shared" si="456"/>
        <v>2004.3333333333333</v>
      </c>
      <c r="N1087" s="13">
        <v>2832</v>
      </c>
      <c r="O1087" s="13">
        <f t="shared" si="457"/>
        <v>2832</v>
      </c>
      <c r="P1087" s="13">
        <f t="shared" si="458"/>
        <v>23.599999999999998</v>
      </c>
      <c r="Q1087" s="13">
        <f t="shared" si="459"/>
        <v>283.2</v>
      </c>
      <c r="R1087" s="13"/>
      <c r="S1087" s="13">
        <f t="shared" si="460"/>
        <v>0</v>
      </c>
      <c r="T1087" s="13">
        <f t="shared" si="461"/>
        <v>2832</v>
      </c>
      <c r="U1087" s="13">
        <f t="shared" si="462"/>
        <v>2832</v>
      </c>
      <c r="V1087" s="13"/>
      <c r="W1087" s="13">
        <f t="shared" si="463"/>
        <v>0</v>
      </c>
    </row>
    <row r="1088" spans="2:23" s="9" customFormat="1">
      <c r="B1088" s="9">
        <v>1</v>
      </c>
      <c r="C1088" s="9" t="s">
        <v>815</v>
      </c>
      <c r="G1088" s="9">
        <v>1994</v>
      </c>
      <c r="H1088" s="9">
        <v>5</v>
      </c>
      <c r="I1088" s="9">
        <v>0</v>
      </c>
      <c r="J1088" s="9" t="s">
        <v>78</v>
      </c>
      <c r="K1088" s="158" t="s">
        <v>449</v>
      </c>
      <c r="L1088" s="9">
        <f t="shared" si="455"/>
        <v>2004</v>
      </c>
      <c r="M1088" s="127">
        <f t="shared" si="456"/>
        <v>2004.4166666666667</v>
      </c>
      <c r="N1088" s="13">
        <v>2832</v>
      </c>
      <c r="O1088" s="13">
        <f t="shared" si="457"/>
        <v>2832</v>
      </c>
      <c r="P1088" s="13">
        <f t="shared" si="458"/>
        <v>23.599999999999998</v>
      </c>
      <c r="Q1088" s="13">
        <f t="shared" si="459"/>
        <v>283.2</v>
      </c>
      <c r="R1088" s="13"/>
      <c r="S1088" s="13">
        <f t="shared" si="460"/>
        <v>0</v>
      </c>
      <c r="T1088" s="13">
        <f t="shared" si="461"/>
        <v>2832</v>
      </c>
      <c r="U1088" s="13">
        <f t="shared" si="462"/>
        <v>2832</v>
      </c>
      <c r="V1088" s="13"/>
      <c r="W1088" s="13">
        <f t="shared" si="463"/>
        <v>0</v>
      </c>
    </row>
    <row r="1089" spans="2:23" s="9" customFormat="1">
      <c r="B1089" s="9">
        <v>3</v>
      </c>
      <c r="C1089" s="9" t="s">
        <v>562</v>
      </c>
      <c r="G1089" s="9">
        <v>1994</v>
      </c>
      <c r="H1089" s="9">
        <v>7</v>
      </c>
      <c r="I1089" s="9">
        <v>0</v>
      </c>
      <c r="J1089" s="9" t="s">
        <v>78</v>
      </c>
      <c r="K1089" s="158" t="s">
        <v>449</v>
      </c>
      <c r="L1089" s="9">
        <f t="shared" si="455"/>
        <v>2004</v>
      </c>
      <c r="M1089" s="127">
        <f t="shared" si="456"/>
        <v>2004.5833333333333</v>
      </c>
      <c r="N1089" s="13">
        <v>8277</v>
      </c>
      <c r="O1089" s="13">
        <f t="shared" si="457"/>
        <v>8277</v>
      </c>
      <c r="P1089" s="13">
        <f t="shared" si="458"/>
        <v>68.975000000000009</v>
      </c>
      <c r="Q1089" s="13">
        <f t="shared" si="459"/>
        <v>827.7</v>
      </c>
      <c r="R1089" s="13"/>
      <c r="S1089" s="13">
        <f t="shared" si="460"/>
        <v>0</v>
      </c>
      <c r="T1089" s="13">
        <f t="shared" si="461"/>
        <v>8277</v>
      </c>
      <c r="U1089" s="13">
        <f t="shared" si="462"/>
        <v>8277</v>
      </c>
      <c r="V1089" s="13"/>
      <c r="W1089" s="13">
        <f t="shared" si="463"/>
        <v>0</v>
      </c>
    </row>
    <row r="1090" spans="2:23" s="9" customFormat="1">
      <c r="B1090" s="9">
        <v>2</v>
      </c>
      <c r="C1090" s="9" t="s">
        <v>816</v>
      </c>
      <c r="G1090" s="9">
        <v>1994</v>
      </c>
      <c r="H1090" s="9">
        <v>9</v>
      </c>
      <c r="I1090" s="9">
        <v>0</v>
      </c>
      <c r="J1090" s="9" t="s">
        <v>78</v>
      </c>
      <c r="K1090" s="158" t="s">
        <v>449</v>
      </c>
      <c r="L1090" s="9">
        <f t="shared" si="455"/>
        <v>2004</v>
      </c>
      <c r="M1090" s="127">
        <f t="shared" si="456"/>
        <v>2004.75</v>
      </c>
      <c r="N1090" s="13">
        <v>7304</v>
      </c>
      <c r="O1090" s="13">
        <f t="shared" si="457"/>
        <v>7304</v>
      </c>
      <c r="P1090" s="13">
        <f t="shared" si="458"/>
        <v>60.866666666666667</v>
      </c>
      <c r="Q1090" s="13">
        <f t="shared" si="459"/>
        <v>730.4</v>
      </c>
      <c r="R1090" s="13"/>
      <c r="S1090" s="13">
        <f t="shared" si="460"/>
        <v>0</v>
      </c>
      <c r="T1090" s="13">
        <f t="shared" si="461"/>
        <v>7304</v>
      </c>
      <c r="U1090" s="13">
        <f t="shared" si="462"/>
        <v>7304</v>
      </c>
      <c r="V1090" s="13"/>
      <c r="W1090" s="13">
        <f t="shared" si="463"/>
        <v>0</v>
      </c>
    </row>
    <row r="1091" spans="2:23" s="9" customFormat="1">
      <c r="B1091" s="9">
        <v>2</v>
      </c>
      <c r="C1091" s="9" t="s">
        <v>562</v>
      </c>
      <c r="G1091" s="9">
        <v>1994</v>
      </c>
      <c r="H1091" s="9">
        <v>10</v>
      </c>
      <c r="I1091" s="9">
        <v>0</v>
      </c>
      <c r="J1091" s="9" t="s">
        <v>78</v>
      </c>
      <c r="K1091" s="158" t="s">
        <v>449</v>
      </c>
      <c r="L1091" s="9">
        <f t="shared" si="455"/>
        <v>2004</v>
      </c>
      <c r="M1091" s="127">
        <f t="shared" si="456"/>
        <v>2004.8333333333333</v>
      </c>
      <c r="N1091" s="13">
        <v>10955</v>
      </c>
      <c r="O1091" s="13">
        <f t="shared" si="457"/>
        <v>10955</v>
      </c>
      <c r="P1091" s="13">
        <f t="shared" si="458"/>
        <v>91.291666666666671</v>
      </c>
      <c r="Q1091" s="13">
        <f t="shared" si="459"/>
        <v>1095.5</v>
      </c>
      <c r="R1091" s="13"/>
      <c r="S1091" s="13">
        <f t="shared" si="460"/>
        <v>0</v>
      </c>
      <c r="T1091" s="13">
        <f t="shared" si="461"/>
        <v>10955</v>
      </c>
      <c r="U1091" s="13">
        <f t="shared" si="462"/>
        <v>10955</v>
      </c>
      <c r="V1091" s="13"/>
      <c r="W1091" s="13">
        <f t="shared" si="463"/>
        <v>0</v>
      </c>
    </row>
    <row r="1092" spans="2:23" s="9" customFormat="1">
      <c r="B1092" s="9">
        <v>1</v>
      </c>
      <c r="C1092" s="9" t="s">
        <v>562</v>
      </c>
      <c r="G1092" s="9">
        <v>1995</v>
      </c>
      <c r="H1092" s="9">
        <v>1</v>
      </c>
      <c r="I1092" s="9">
        <v>0</v>
      </c>
      <c r="J1092" s="9" t="s">
        <v>78</v>
      </c>
      <c r="K1092" s="158" t="s">
        <v>449</v>
      </c>
      <c r="L1092" s="9">
        <f t="shared" si="455"/>
        <v>2005</v>
      </c>
      <c r="M1092" s="127">
        <f t="shared" si="456"/>
        <v>2005.0833333333333</v>
      </c>
      <c r="N1092" s="13">
        <v>3128</v>
      </c>
      <c r="O1092" s="13">
        <f t="shared" si="457"/>
        <v>3128</v>
      </c>
      <c r="P1092" s="13">
        <f t="shared" si="458"/>
        <v>26.066666666666666</v>
      </c>
      <c r="Q1092" s="13">
        <f t="shared" si="459"/>
        <v>312.8</v>
      </c>
      <c r="R1092" s="13"/>
      <c r="S1092" s="13">
        <f t="shared" si="460"/>
        <v>0</v>
      </c>
      <c r="T1092" s="13">
        <f t="shared" si="461"/>
        <v>3128</v>
      </c>
      <c r="U1092" s="13">
        <f t="shared" si="462"/>
        <v>3128</v>
      </c>
      <c r="V1092" s="13"/>
      <c r="W1092" s="13">
        <f t="shared" si="463"/>
        <v>0</v>
      </c>
    </row>
    <row r="1093" spans="2:23" s="9" customFormat="1">
      <c r="B1093" s="9">
        <v>1</v>
      </c>
      <c r="C1093" s="9" t="s">
        <v>562</v>
      </c>
      <c r="G1093" s="9">
        <v>1995</v>
      </c>
      <c r="H1093" s="9">
        <v>1</v>
      </c>
      <c r="I1093" s="9">
        <v>0</v>
      </c>
      <c r="J1093" s="9" t="s">
        <v>78</v>
      </c>
      <c r="K1093" s="158" t="s">
        <v>449</v>
      </c>
      <c r="L1093" s="9">
        <f t="shared" si="455"/>
        <v>2005</v>
      </c>
      <c r="M1093" s="127">
        <f t="shared" si="456"/>
        <v>2005.0833333333333</v>
      </c>
      <c r="N1093" s="13">
        <v>3128</v>
      </c>
      <c r="O1093" s="13">
        <f t="shared" si="457"/>
        <v>3128</v>
      </c>
      <c r="P1093" s="13">
        <f t="shared" si="458"/>
        <v>26.066666666666666</v>
      </c>
      <c r="Q1093" s="13">
        <f t="shared" si="459"/>
        <v>312.8</v>
      </c>
      <c r="R1093" s="13"/>
      <c r="S1093" s="13">
        <f t="shared" si="460"/>
        <v>0</v>
      </c>
      <c r="T1093" s="13">
        <f t="shared" si="461"/>
        <v>3128</v>
      </c>
      <c r="U1093" s="13">
        <f t="shared" si="462"/>
        <v>3128</v>
      </c>
      <c r="V1093" s="13"/>
      <c r="W1093" s="13">
        <f t="shared" si="463"/>
        <v>0</v>
      </c>
    </row>
    <row r="1094" spans="2:23" s="9" customFormat="1">
      <c r="B1094" s="9">
        <v>3</v>
      </c>
      <c r="C1094" s="9" t="s">
        <v>817</v>
      </c>
      <c r="G1094" s="9">
        <v>1995</v>
      </c>
      <c r="H1094" s="9">
        <v>2</v>
      </c>
      <c r="I1094" s="9">
        <v>0</v>
      </c>
      <c r="J1094" s="9" t="s">
        <v>78</v>
      </c>
      <c r="K1094" s="158" t="s">
        <v>449</v>
      </c>
      <c r="L1094" s="9">
        <f t="shared" si="455"/>
        <v>2005</v>
      </c>
      <c r="M1094" s="127">
        <f t="shared" si="456"/>
        <v>2005.1666666666667</v>
      </c>
      <c r="N1094" s="13">
        <v>11020</v>
      </c>
      <c r="O1094" s="13">
        <f t="shared" si="457"/>
        <v>11020</v>
      </c>
      <c r="P1094" s="13">
        <f t="shared" si="458"/>
        <v>91.833333333333329</v>
      </c>
      <c r="Q1094" s="13">
        <f t="shared" si="459"/>
        <v>1102</v>
      </c>
      <c r="R1094" s="13"/>
      <c r="S1094" s="13">
        <f t="shared" si="460"/>
        <v>0</v>
      </c>
      <c r="T1094" s="13">
        <f t="shared" si="461"/>
        <v>11020</v>
      </c>
      <c r="U1094" s="13">
        <f t="shared" si="462"/>
        <v>11020</v>
      </c>
      <c r="V1094" s="13"/>
      <c r="W1094" s="13">
        <f t="shared" si="463"/>
        <v>0</v>
      </c>
    </row>
    <row r="1095" spans="2:23" s="9" customFormat="1">
      <c r="B1095" s="9">
        <v>2</v>
      </c>
      <c r="C1095" s="9" t="s">
        <v>562</v>
      </c>
      <c r="G1095" s="9">
        <v>1995</v>
      </c>
      <c r="H1095" s="9">
        <v>2</v>
      </c>
      <c r="I1095" s="9">
        <v>0</v>
      </c>
      <c r="J1095" s="9" t="s">
        <v>78</v>
      </c>
      <c r="K1095" s="158" t="s">
        <v>449</v>
      </c>
      <c r="L1095" s="9">
        <f t="shared" si="455"/>
        <v>2005</v>
      </c>
      <c r="M1095" s="127">
        <f t="shared" si="456"/>
        <v>2005.1666666666667</v>
      </c>
      <c r="N1095" s="13">
        <v>11020</v>
      </c>
      <c r="O1095" s="13">
        <f t="shared" si="457"/>
        <v>11020</v>
      </c>
      <c r="P1095" s="13">
        <f t="shared" si="458"/>
        <v>91.833333333333329</v>
      </c>
      <c r="Q1095" s="13">
        <f t="shared" si="459"/>
        <v>1102</v>
      </c>
      <c r="R1095" s="13"/>
      <c r="S1095" s="13">
        <f t="shared" si="460"/>
        <v>0</v>
      </c>
      <c r="T1095" s="13">
        <f t="shared" si="461"/>
        <v>11020</v>
      </c>
      <c r="U1095" s="13">
        <f t="shared" si="462"/>
        <v>11020</v>
      </c>
      <c r="V1095" s="13"/>
      <c r="W1095" s="13">
        <f t="shared" si="463"/>
        <v>0</v>
      </c>
    </row>
    <row r="1096" spans="2:23" s="9" customFormat="1">
      <c r="B1096" s="9">
        <v>4</v>
      </c>
      <c r="C1096" s="9" t="s">
        <v>818</v>
      </c>
      <c r="G1096" s="9">
        <v>1995</v>
      </c>
      <c r="H1096" s="9">
        <v>4</v>
      </c>
      <c r="I1096" s="9">
        <v>0</v>
      </c>
      <c r="J1096" s="9" t="s">
        <v>78</v>
      </c>
      <c r="K1096" s="158" t="s">
        <v>449</v>
      </c>
      <c r="L1096" s="9">
        <f t="shared" si="455"/>
        <v>2005</v>
      </c>
      <c r="M1096" s="127">
        <f t="shared" si="456"/>
        <v>2005.3333333333333</v>
      </c>
      <c r="N1096" s="13">
        <v>13806</v>
      </c>
      <c r="O1096" s="13">
        <f t="shared" si="457"/>
        <v>13806</v>
      </c>
      <c r="P1096" s="13">
        <f t="shared" si="458"/>
        <v>115.05</v>
      </c>
      <c r="Q1096" s="13">
        <f t="shared" si="459"/>
        <v>1380.6</v>
      </c>
      <c r="R1096" s="13"/>
      <c r="S1096" s="13">
        <f t="shared" si="460"/>
        <v>0</v>
      </c>
      <c r="T1096" s="13">
        <f t="shared" si="461"/>
        <v>13806</v>
      </c>
      <c r="U1096" s="13">
        <f t="shared" si="462"/>
        <v>13806</v>
      </c>
      <c r="V1096" s="13"/>
      <c r="W1096" s="13">
        <f t="shared" si="463"/>
        <v>0</v>
      </c>
    </row>
    <row r="1097" spans="2:23" s="9" customFormat="1">
      <c r="B1097" s="9">
        <v>1</v>
      </c>
      <c r="C1097" s="9" t="s">
        <v>562</v>
      </c>
      <c r="G1097" s="9">
        <v>1995</v>
      </c>
      <c r="H1097" s="9">
        <v>5</v>
      </c>
      <c r="I1097" s="9">
        <v>0</v>
      </c>
      <c r="J1097" s="9" t="s">
        <v>78</v>
      </c>
      <c r="K1097" s="158" t="s">
        <v>449</v>
      </c>
      <c r="L1097" s="9">
        <f t="shared" si="455"/>
        <v>2005</v>
      </c>
      <c r="M1097" s="127">
        <f t="shared" si="456"/>
        <v>2005.4166666666667</v>
      </c>
      <c r="N1097" s="13">
        <v>1645.48</v>
      </c>
      <c r="O1097" s="13">
        <f t="shared" si="457"/>
        <v>1645.48</v>
      </c>
      <c r="P1097" s="13">
        <f t="shared" si="458"/>
        <v>13.712333333333333</v>
      </c>
      <c r="Q1097" s="13">
        <f t="shared" si="459"/>
        <v>164.548</v>
      </c>
      <c r="R1097" s="13"/>
      <c r="S1097" s="13">
        <f t="shared" si="460"/>
        <v>0</v>
      </c>
      <c r="T1097" s="13">
        <f t="shared" si="461"/>
        <v>1645.48</v>
      </c>
      <c r="U1097" s="13">
        <f t="shared" si="462"/>
        <v>1645.48</v>
      </c>
      <c r="V1097" s="13"/>
      <c r="W1097" s="13">
        <f t="shared" si="463"/>
        <v>0</v>
      </c>
    </row>
    <row r="1098" spans="2:23" s="9" customFormat="1">
      <c r="B1098" s="9">
        <v>3</v>
      </c>
      <c r="C1098" s="9" t="s">
        <v>562</v>
      </c>
      <c r="G1098" s="9">
        <v>1995</v>
      </c>
      <c r="H1098" s="9">
        <v>8</v>
      </c>
      <c r="I1098" s="9">
        <v>0</v>
      </c>
      <c r="J1098" s="9" t="s">
        <v>78</v>
      </c>
      <c r="K1098" s="158" t="s">
        <v>449</v>
      </c>
      <c r="L1098" s="9">
        <f t="shared" si="455"/>
        <v>2005</v>
      </c>
      <c r="M1098" s="127">
        <f t="shared" si="456"/>
        <v>2005.6666666666667</v>
      </c>
      <c r="N1098" s="13">
        <v>8724</v>
      </c>
      <c r="O1098" s="13">
        <f t="shared" si="457"/>
        <v>8724</v>
      </c>
      <c r="P1098" s="13">
        <f t="shared" si="458"/>
        <v>72.7</v>
      </c>
      <c r="Q1098" s="13">
        <f t="shared" si="459"/>
        <v>872.40000000000009</v>
      </c>
      <c r="R1098" s="13"/>
      <c r="S1098" s="13">
        <f t="shared" si="460"/>
        <v>0</v>
      </c>
      <c r="T1098" s="13">
        <f t="shared" si="461"/>
        <v>8724</v>
      </c>
      <c r="U1098" s="13">
        <f t="shared" si="462"/>
        <v>8724</v>
      </c>
      <c r="V1098" s="13"/>
      <c r="W1098" s="13">
        <f t="shared" si="463"/>
        <v>0</v>
      </c>
    </row>
    <row r="1099" spans="2:23" s="9" customFormat="1">
      <c r="B1099" s="9">
        <v>5</v>
      </c>
      <c r="C1099" s="9" t="s">
        <v>562</v>
      </c>
      <c r="G1099" s="9">
        <v>1996</v>
      </c>
      <c r="H1099" s="9">
        <v>4</v>
      </c>
      <c r="I1099" s="9">
        <v>0</v>
      </c>
      <c r="J1099" s="9" t="s">
        <v>78</v>
      </c>
      <c r="K1099" s="158" t="s">
        <v>449</v>
      </c>
      <c r="L1099" s="9">
        <f t="shared" si="455"/>
        <v>2006</v>
      </c>
      <c r="M1099" s="127">
        <f t="shared" si="456"/>
        <v>2006.3333333333333</v>
      </c>
      <c r="N1099" s="13">
        <v>14472</v>
      </c>
      <c r="O1099" s="13">
        <f t="shared" si="457"/>
        <v>14472</v>
      </c>
      <c r="P1099" s="13">
        <f t="shared" si="458"/>
        <v>120.60000000000001</v>
      </c>
      <c r="Q1099" s="13">
        <f t="shared" si="459"/>
        <v>1447.2</v>
      </c>
      <c r="R1099" s="13"/>
      <c r="S1099" s="13">
        <f t="shared" si="460"/>
        <v>0</v>
      </c>
      <c r="T1099" s="13">
        <f t="shared" si="461"/>
        <v>14472</v>
      </c>
      <c r="U1099" s="13">
        <f t="shared" si="462"/>
        <v>14472</v>
      </c>
      <c r="V1099" s="13"/>
      <c r="W1099" s="13">
        <f t="shared" si="463"/>
        <v>0</v>
      </c>
    </row>
    <row r="1100" spans="2:23" s="9" customFormat="1">
      <c r="B1100" s="9">
        <v>3</v>
      </c>
      <c r="C1100" s="9" t="s">
        <v>562</v>
      </c>
      <c r="G1100" s="9">
        <v>1996</v>
      </c>
      <c r="H1100" s="9">
        <v>4</v>
      </c>
      <c r="I1100" s="9">
        <v>0</v>
      </c>
      <c r="J1100" s="9" t="s">
        <v>78</v>
      </c>
      <c r="K1100" s="158" t="s">
        <v>449</v>
      </c>
      <c r="L1100" s="9">
        <f t="shared" si="455"/>
        <v>2006</v>
      </c>
      <c r="M1100" s="127">
        <f t="shared" si="456"/>
        <v>2006.3333333333333</v>
      </c>
      <c r="N1100" s="13">
        <v>8683</v>
      </c>
      <c r="O1100" s="13">
        <f t="shared" si="457"/>
        <v>8683</v>
      </c>
      <c r="P1100" s="13">
        <f t="shared" si="458"/>
        <v>72.358333333333334</v>
      </c>
      <c r="Q1100" s="13">
        <f t="shared" si="459"/>
        <v>868.3</v>
      </c>
      <c r="R1100" s="13"/>
      <c r="S1100" s="13">
        <f t="shared" si="460"/>
        <v>0</v>
      </c>
      <c r="T1100" s="13">
        <f t="shared" si="461"/>
        <v>8683</v>
      </c>
      <c r="U1100" s="13">
        <f t="shared" si="462"/>
        <v>8683</v>
      </c>
      <c r="V1100" s="13"/>
      <c r="W1100" s="13">
        <f t="shared" si="463"/>
        <v>0</v>
      </c>
    </row>
    <row r="1101" spans="2:23" s="9" customFormat="1">
      <c r="B1101" s="9">
        <v>2</v>
      </c>
      <c r="C1101" s="9" t="s">
        <v>562</v>
      </c>
      <c r="G1101" s="9">
        <v>1996</v>
      </c>
      <c r="H1101" s="9">
        <v>4</v>
      </c>
      <c r="I1101" s="9">
        <v>0</v>
      </c>
      <c r="J1101" s="9" t="s">
        <v>78</v>
      </c>
      <c r="K1101" s="158" t="s">
        <v>449</v>
      </c>
      <c r="L1101" s="9">
        <f t="shared" si="455"/>
        <v>2006</v>
      </c>
      <c r="M1101" s="127">
        <f t="shared" si="456"/>
        <v>2006.3333333333333</v>
      </c>
      <c r="N1101" s="13">
        <v>7347</v>
      </c>
      <c r="O1101" s="13">
        <f t="shared" si="457"/>
        <v>7347</v>
      </c>
      <c r="P1101" s="13">
        <f t="shared" si="458"/>
        <v>61.225000000000001</v>
      </c>
      <c r="Q1101" s="13">
        <f t="shared" si="459"/>
        <v>734.7</v>
      </c>
      <c r="R1101" s="13"/>
      <c r="S1101" s="13">
        <f t="shared" si="460"/>
        <v>0</v>
      </c>
      <c r="T1101" s="13">
        <f t="shared" si="461"/>
        <v>7347</v>
      </c>
      <c r="U1101" s="13">
        <f t="shared" si="462"/>
        <v>7347</v>
      </c>
      <c r="V1101" s="13"/>
      <c r="W1101" s="13">
        <f t="shared" si="463"/>
        <v>0</v>
      </c>
    </row>
    <row r="1102" spans="2:23" s="9" customFormat="1">
      <c r="B1102" s="9">
        <v>2</v>
      </c>
      <c r="C1102" s="9" t="s">
        <v>819</v>
      </c>
      <c r="G1102" s="9">
        <v>1996</v>
      </c>
      <c r="H1102" s="9">
        <v>4</v>
      </c>
      <c r="I1102" s="9">
        <v>0</v>
      </c>
      <c r="J1102" s="9" t="s">
        <v>78</v>
      </c>
      <c r="K1102" s="158" t="s">
        <v>449</v>
      </c>
      <c r="L1102" s="9">
        <f t="shared" si="455"/>
        <v>2006</v>
      </c>
      <c r="M1102" s="127">
        <f t="shared" si="456"/>
        <v>2006.3333333333333</v>
      </c>
      <c r="N1102" s="13">
        <v>5287</v>
      </c>
      <c r="O1102" s="13">
        <f t="shared" si="457"/>
        <v>5287</v>
      </c>
      <c r="P1102" s="13">
        <f t="shared" si="458"/>
        <v>44.058333333333337</v>
      </c>
      <c r="Q1102" s="13">
        <f t="shared" si="459"/>
        <v>528.70000000000005</v>
      </c>
      <c r="R1102" s="13"/>
      <c r="S1102" s="13">
        <f t="shared" si="460"/>
        <v>0</v>
      </c>
      <c r="T1102" s="13">
        <f t="shared" si="461"/>
        <v>5287</v>
      </c>
      <c r="U1102" s="13">
        <f t="shared" si="462"/>
        <v>5287</v>
      </c>
      <c r="V1102" s="13"/>
      <c r="W1102" s="13">
        <f t="shared" si="463"/>
        <v>0</v>
      </c>
    </row>
    <row r="1103" spans="2:23" s="9" customFormat="1">
      <c r="B1103" s="9">
        <v>3</v>
      </c>
      <c r="C1103" s="9" t="s">
        <v>562</v>
      </c>
      <c r="G1103" s="9">
        <v>1996</v>
      </c>
      <c r="H1103" s="9">
        <v>6</v>
      </c>
      <c r="I1103" s="9">
        <v>0</v>
      </c>
      <c r="J1103" s="9" t="s">
        <v>78</v>
      </c>
      <c r="K1103" s="158" t="s">
        <v>449</v>
      </c>
      <c r="L1103" s="9">
        <f t="shared" si="455"/>
        <v>2006</v>
      </c>
      <c r="M1103" s="127">
        <f t="shared" si="456"/>
        <v>2006.5</v>
      </c>
      <c r="N1103" s="13">
        <v>11020</v>
      </c>
      <c r="O1103" s="13">
        <f t="shared" si="457"/>
        <v>11020</v>
      </c>
      <c r="P1103" s="13">
        <f t="shared" si="458"/>
        <v>91.833333333333329</v>
      </c>
      <c r="Q1103" s="13">
        <f t="shared" si="459"/>
        <v>1102</v>
      </c>
      <c r="R1103" s="13"/>
      <c r="S1103" s="13">
        <f t="shared" si="460"/>
        <v>0</v>
      </c>
      <c r="T1103" s="13">
        <f t="shared" si="461"/>
        <v>11020</v>
      </c>
      <c r="U1103" s="13">
        <f t="shared" si="462"/>
        <v>11020</v>
      </c>
      <c r="V1103" s="13"/>
      <c r="W1103" s="13">
        <f t="shared" si="463"/>
        <v>0</v>
      </c>
    </row>
    <row r="1104" spans="2:23" s="9" customFormat="1">
      <c r="B1104" s="9">
        <v>3</v>
      </c>
      <c r="C1104" s="9" t="s">
        <v>562</v>
      </c>
      <c r="G1104" s="9">
        <v>1996</v>
      </c>
      <c r="H1104" s="9">
        <v>6</v>
      </c>
      <c r="I1104" s="9">
        <v>0</v>
      </c>
      <c r="J1104" s="9" t="s">
        <v>78</v>
      </c>
      <c r="K1104" s="158" t="s">
        <v>449</v>
      </c>
      <c r="L1104" s="9">
        <f t="shared" si="455"/>
        <v>2006</v>
      </c>
      <c r="M1104" s="127">
        <f t="shared" si="456"/>
        <v>2006.5</v>
      </c>
      <c r="N1104" s="13">
        <v>8683</v>
      </c>
      <c r="O1104" s="13">
        <f t="shared" si="457"/>
        <v>8683</v>
      </c>
      <c r="P1104" s="13">
        <f t="shared" si="458"/>
        <v>72.358333333333334</v>
      </c>
      <c r="Q1104" s="13">
        <f t="shared" si="459"/>
        <v>868.3</v>
      </c>
      <c r="R1104" s="13"/>
      <c r="S1104" s="13">
        <f t="shared" si="460"/>
        <v>0</v>
      </c>
      <c r="T1104" s="13">
        <f t="shared" si="461"/>
        <v>8683</v>
      </c>
      <c r="U1104" s="13">
        <f t="shared" si="462"/>
        <v>8683</v>
      </c>
      <c r="V1104" s="13"/>
      <c r="W1104" s="13">
        <f t="shared" si="463"/>
        <v>0</v>
      </c>
    </row>
    <row r="1105" spans="2:23" s="9" customFormat="1">
      <c r="B1105" s="9">
        <v>2</v>
      </c>
      <c r="C1105" s="9" t="s">
        <v>562</v>
      </c>
      <c r="G1105" s="9">
        <v>1997</v>
      </c>
      <c r="H1105" s="9">
        <v>3</v>
      </c>
      <c r="I1105" s="9">
        <v>0</v>
      </c>
      <c r="J1105" s="9" t="s">
        <v>78</v>
      </c>
      <c r="K1105" s="158" t="s">
        <v>449</v>
      </c>
      <c r="L1105" s="9">
        <f t="shared" si="455"/>
        <v>2007</v>
      </c>
      <c r="M1105" s="127">
        <f t="shared" si="456"/>
        <v>2007.25</v>
      </c>
      <c r="N1105" s="13">
        <v>7065</v>
      </c>
      <c r="O1105" s="13">
        <f t="shared" si="457"/>
        <v>7065</v>
      </c>
      <c r="P1105" s="13">
        <f t="shared" si="458"/>
        <v>58.875</v>
      </c>
      <c r="Q1105" s="13">
        <f t="shared" si="459"/>
        <v>706.5</v>
      </c>
      <c r="R1105" s="13"/>
      <c r="S1105" s="13">
        <f t="shared" si="460"/>
        <v>0</v>
      </c>
      <c r="T1105" s="13">
        <f t="shared" si="461"/>
        <v>7065</v>
      </c>
      <c r="U1105" s="13">
        <f t="shared" si="462"/>
        <v>7065</v>
      </c>
      <c r="V1105" s="13"/>
      <c r="W1105" s="13">
        <f t="shared" si="463"/>
        <v>0</v>
      </c>
    </row>
    <row r="1106" spans="2:23" s="9" customFormat="1">
      <c r="B1106" s="9">
        <v>10</v>
      </c>
      <c r="C1106" s="9" t="s">
        <v>562</v>
      </c>
      <c r="G1106" s="9">
        <v>1997</v>
      </c>
      <c r="H1106" s="9">
        <v>5</v>
      </c>
      <c r="I1106" s="9">
        <v>0</v>
      </c>
      <c r="J1106" s="9" t="s">
        <v>78</v>
      </c>
      <c r="K1106" s="158" t="s">
        <v>449</v>
      </c>
      <c r="L1106" s="9">
        <f t="shared" si="455"/>
        <v>2007</v>
      </c>
      <c r="M1106" s="127">
        <f t="shared" si="456"/>
        <v>2007.4166666666667</v>
      </c>
      <c r="N1106" s="13">
        <v>36870</v>
      </c>
      <c r="O1106" s="13">
        <f t="shared" si="457"/>
        <v>36870</v>
      </c>
      <c r="P1106" s="13">
        <f t="shared" si="458"/>
        <v>307.25</v>
      </c>
      <c r="Q1106" s="13">
        <f t="shared" si="459"/>
        <v>3687</v>
      </c>
      <c r="R1106" s="13"/>
      <c r="S1106" s="13">
        <f t="shared" si="460"/>
        <v>0</v>
      </c>
      <c r="T1106" s="13">
        <f t="shared" si="461"/>
        <v>36870</v>
      </c>
      <c r="U1106" s="13">
        <f t="shared" si="462"/>
        <v>36870</v>
      </c>
      <c r="V1106" s="13"/>
      <c r="W1106" s="13">
        <f t="shared" si="463"/>
        <v>0</v>
      </c>
    </row>
    <row r="1107" spans="2:23" s="9" customFormat="1">
      <c r="B1107" s="9">
        <v>1</v>
      </c>
      <c r="C1107" s="9" t="s">
        <v>820</v>
      </c>
      <c r="G1107" s="9">
        <v>1997</v>
      </c>
      <c r="H1107" s="9">
        <v>5</v>
      </c>
      <c r="I1107" s="9">
        <v>0</v>
      </c>
      <c r="J1107" s="9" t="s">
        <v>78</v>
      </c>
      <c r="K1107" s="158" t="s">
        <v>449</v>
      </c>
      <c r="L1107" s="9">
        <f t="shared" si="455"/>
        <v>2007</v>
      </c>
      <c r="M1107" s="127">
        <f t="shared" si="456"/>
        <v>2007.4166666666667</v>
      </c>
      <c r="N1107" s="13">
        <v>3887.31</v>
      </c>
      <c r="O1107" s="13">
        <f t="shared" si="457"/>
        <v>3887.31</v>
      </c>
      <c r="P1107" s="13">
        <f t="shared" si="458"/>
        <v>32.39425</v>
      </c>
      <c r="Q1107" s="13">
        <f t="shared" si="459"/>
        <v>388.73099999999999</v>
      </c>
      <c r="R1107" s="13"/>
      <c r="S1107" s="13">
        <f t="shared" si="460"/>
        <v>0</v>
      </c>
      <c r="T1107" s="13">
        <f t="shared" si="461"/>
        <v>3887.31</v>
      </c>
      <c r="U1107" s="13">
        <f t="shared" si="462"/>
        <v>3887.31</v>
      </c>
      <c r="V1107" s="13"/>
      <c r="W1107" s="13">
        <f t="shared" si="463"/>
        <v>0</v>
      </c>
    </row>
    <row r="1108" spans="2:23" s="9" customFormat="1">
      <c r="B1108" s="9">
        <v>1</v>
      </c>
      <c r="C1108" s="9" t="s">
        <v>562</v>
      </c>
      <c r="G1108" s="9">
        <v>1997</v>
      </c>
      <c r="H1108" s="9">
        <v>5</v>
      </c>
      <c r="I1108" s="9">
        <v>0</v>
      </c>
      <c r="J1108" s="9" t="s">
        <v>78</v>
      </c>
      <c r="K1108" s="158" t="s">
        <v>449</v>
      </c>
      <c r="L1108" s="9">
        <f t="shared" si="455"/>
        <v>2007</v>
      </c>
      <c r="M1108" s="127">
        <f t="shared" si="456"/>
        <v>2007.4166666666667</v>
      </c>
      <c r="N1108" s="13">
        <v>3111</v>
      </c>
      <c r="O1108" s="13">
        <f t="shared" si="457"/>
        <v>3111</v>
      </c>
      <c r="P1108" s="13">
        <f t="shared" si="458"/>
        <v>25.925000000000001</v>
      </c>
      <c r="Q1108" s="13">
        <f t="shared" si="459"/>
        <v>311.10000000000002</v>
      </c>
      <c r="R1108" s="13"/>
      <c r="S1108" s="13">
        <f t="shared" si="460"/>
        <v>0</v>
      </c>
      <c r="T1108" s="13">
        <f t="shared" si="461"/>
        <v>3111</v>
      </c>
      <c r="U1108" s="13">
        <f t="shared" si="462"/>
        <v>3111</v>
      </c>
      <c r="V1108" s="13"/>
      <c r="W1108" s="13">
        <f t="shared" si="463"/>
        <v>0</v>
      </c>
    </row>
    <row r="1109" spans="2:23" s="9" customFormat="1">
      <c r="B1109" s="9">
        <v>3</v>
      </c>
      <c r="C1109" s="9" t="s">
        <v>562</v>
      </c>
      <c r="G1109" s="9">
        <v>1997</v>
      </c>
      <c r="H1109" s="9">
        <v>5</v>
      </c>
      <c r="I1109" s="9">
        <v>0</v>
      </c>
      <c r="J1109" s="9" t="s">
        <v>78</v>
      </c>
      <c r="K1109" s="158" t="s">
        <v>449</v>
      </c>
      <c r="L1109" s="9">
        <f t="shared" si="455"/>
        <v>2007</v>
      </c>
      <c r="M1109" s="127">
        <f t="shared" si="456"/>
        <v>2007.4166666666667</v>
      </c>
      <c r="N1109" s="13">
        <v>13521</v>
      </c>
      <c r="O1109" s="13">
        <f t="shared" si="457"/>
        <v>13521</v>
      </c>
      <c r="P1109" s="13">
        <f t="shared" si="458"/>
        <v>112.675</v>
      </c>
      <c r="Q1109" s="13">
        <f t="shared" si="459"/>
        <v>1352.1</v>
      </c>
      <c r="R1109" s="13"/>
      <c r="S1109" s="13">
        <f t="shared" si="460"/>
        <v>0</v>
      </c>
      <c r="T1109" s="13">
        <f t="shared" si="461"/>
        <v>13521</v>
      </c>
      <c r="U1109" s="13">
        <f t="shared" si="462"/>
        <v>13521</v>
      </c>
      <c r="V1109" s="13"/>
      <c r="W1109" s="13">
        <f t="shared" si="463"/>
        <v>0</v>
      </c>
    </row>
    <row r="1110" spans="2:23" s="9" customFormat="1">
      <c r="B1110" s="9">
        <v>2</v>
      </c>
      <c r="C1110" s="9" t="s">
        <v>562</v>
      </c>
      <c r="G1110" s="9">
        <v>1997</v>
      </c>
      <c r="H1110" s="9">
        <v>5</v>
      </c>
      <c r="I1110" s="9">
        <v>0</v>
      </c>
      <c r="J1110" s="9" t="s">
        <v>78</v>
      </c>
      <c r="K1110" s="158" t="s">
        <v>449</v>
      </c>
      <c r="L1110" s="9">
        <f t="shared" si="455"/>
        <v>2007</v>
      </c>
      <c r="M1110" s="127">
        <f t="shared" si="456"/>
        <v>2007.4166666666667</v>
      </c>
      <c r="N1110" s="13">
        <v>7374</v>
      </c>
      <c r="O1110" s="13">
        <f t="shared" si="457"/>
        <v>7374</v>
      </c>
      <c r="P1110" s="13">
        <f t="shared" si="458"/>
        <v>61.449999999999996</v>
      </c>
      <c r="Q1110" s="13">
        <f t="shared" si="459"/>
        <v>737.4</v>
      </c>
      <c r="R1110" s="13"/>
      <c r="S1110" s="13">
        <f t="shared" si="460"/>
        <v>0</v>
      </c>
      <c r="T1110" s="13">
        <f t="shared" si="461"/>
        <v>7374</v>
      </c>
      <c r="U1110" s="13">
        <f t="shared" si="462"/>
        <v>7374</v>
      </c>
      <c r="V1110" s="13"/>
      <c r="W1110" s="13">
        <f t="shared" si="463"/>
        <v>0</v>
      </c>
    </row>
    <row r="1111" spans="2:23" s="9" customFormat="1">
      <c r="B1111" s="9">
        <v>5</v>
      </c>
      <c r="C1111" s="9" t="s">
        <v>562</v>
      </c>
      <c r="G1111" s="9">
        <v>1997</v>
      </c>
      <c r="H1111" s="9">
        <v>6</v>
      </c>
      <c r="I1111" s="9">
        <v>0</v>
      </c>
      <c r="J1111" s="9" t="s">
        <v>78</v>
      </c>
      <c r="K1111" s="158" t="s">
        <v>449</v>
      </c>
      <c r="L1111" s="9">
        <f t="shared" si="455"/>
        <v>2007</v>
      </c>
      <c r="M1111" s="127">
        <f t="shared" si="456"/>
        <v>2007.5</v>
      </c>
      <c r="N1111" s="13">
        <v>17322</v>
      </c>
      <c r="O1111" s="13">
        <f t="shared" si="457"/>
        <v>17322</v>
      </c>
      <c r="P1111" s="13">
        <f t="shared" si="458"/>
        <v>144.35</v>
      </c>
      <c r="Q1111" s="13">
        <f t="shared" si="459"/>
        <v>1732.1999999999998</v>
      </c>
      <c r="R1111" s="13"/>
      <c r="S1111" s="13">
        <f t="shared" si="460"/>
        <v>0</v>
      </c>
      <c r="T1111" s="13">
        <f t="shared" si="461"/>
        <v>17322</v>
      </c>
      <c r="U1111" s="13">
        <f t="shared" si="462"/>
        <v>17322</v>
      </c>
      <c r="V1111" s="13"/>
      <c r="W1111" s="13">
        <f t="shared" si="463"/>
        <v>0</v>
      </c>
    </row>
    <row r="1112" spans="2:23" s="9" customFormat="1">
      <c r="B1112" s="9">
        <v>6</v>
      </c>
      <c r="C1112" s="9" t="s">
        <v>562</v>
      </c>
      <c r="G1112" s="9">
        <v>1997</v>
      </c>
      <c r="H1112" s="9">
        <v>6</v>
      </c>
      <c r="I1112" s="9">
        <v>0</v>
      </c>
      <c r="J1112" s="9" t="s">
        <v>78</v>
      </c>
      <c r="K1112" s="158" t="s">
        <v>449</v>
      </c>
      <c r="L1112" s="9">
        <f t="shared" si="455"/>
        <v>2007</v>
      </c>
      <c r="M1112" s="127">
        <f t="shared" si="456"/>
        <v>2007.5</v>
      </c>
      <c r="N1112" s="13">
        <v>20786</v>
      </c>
      <c r="O1112" s="13">
        <f t="shared" si="457"/>
        <v>20786</v>
      </c>
      <c r="P1112" s="13">
        <f t="shared" si="458"/>
        <v>173.21666666666667</v>
      </c>
      <c r="Q1112" s="13">
        <f t="shared" si="459"/>
        <v>2078.6</v>
      </c>
      <c r="R1112" s="13"/>
      <c r="S1112" s="13">
        <f t="shared" si="460"/>
        <v>0</v>
      </c>
      <c r="T1112" s="13">
        <f t="shared" si="461"/>
        <v>20786</v>
      </c>
      <c r="U1112" s="13">
        <f t="shared" si="462"/>
        <v>20786</v>
      </c>
      <c r="V1112" s="13"/>
      <c r="W1112" s="13">
        <f t="shared" si="463"/>
        <v>0</v>
      </c>
    </row>
    <row r="1113" spans="2:23" s="9" customFormat="1">
      <c r="B1113" s="9">
        <v>2</v>
      </c>
      <c r="C1113" s="9" t="s">
        <v>821</v>
      </c>
      <c r="G1113" s="9">
        <v>1997</v>
      </c>
      <c r="H1113" s="9">
        <v>7</v>
      </c>
      <c r="I1113" s="9">
        <v>0</v>
      </c>
      <c r="J1113" s="9" t="s">
        <v>78</v>
      </c>
      <c r="K1113" s="158" t="s">
        <v>449</v>
      </c>
      <c r="L1113" s="9">
        <f t="shared" si="455"/>
        <v>2007</v>
      </c>
      <c r="M1113" s="127">
        <f t="shared" si="456"/>
        <v>2007.5833333333333</v>
      </c>
      <c r="N1113" s="13">
        <v>4947</v>
      </c>
      <c r="O1113" s="13">
        <f t="shared" si="457"/>
        <v>4947</v>
      </c>
      <c r="P1113" s="13">
        <f t="shared" si="458"/>
        <v>41.225000000000001</v>
      </c>
      <c r="Q1113" s="13">
        <f t="shared" si="459"/>
        <v>494.70000000000005</v>
      </c>
      <c r="R1113" s="13"/>
      <c r="S1113" s="13">
        <f t="shared" si="460"/>
        <v>0</v>
      </c>
      <c r="T1113" s="13">
        <f t="shared" si="461"/>
        <v>4947</v>
      </c>
      <c r="U1113" s="13">
        <f t="shared" si="462"/>
        <v>4947</v>
      </c>
      <c r="V1113" s="13"/>
      <c r="W1113" s="13">
        <f t="shared" si="463"/>
        <v>0</v>
      </c>
    </row>
    <row r="1114" spans="2:23" s="9" customFormat="1">
      <c r="B1114" s="9">
        <v>1</v>
      </c>
      <c r="C1114" s="9" t="s">
        <v>562</v>
      </c>
      <c r="G1114" s="9">
        <v>1997</v>
      </c>
      <c r="H1114" s="9">
        <v>8</v>
      </c>
      <c r="I1114" s="9">
        <v>0</v>
      </c>
      <c r="J1114" s="9" t="s">
        <v>78</v>
      </c>
      <c r="K1114" s="158" t="s">
        <v>449</v>
      </c>
      <c r="L1114" s="9">
        <f t="shared" si="455"/>
        <v>2007</v>
      </c>
      <c r="M1114" s="127">
        <f t="shared" si="456"/>
        <v>2007.6666666666667</v>
      </c>
      <c r="N1114" s="13">
        <v>3029.78</v>
      </c>
      <c r="O1114" s="13">
        <f t="shared" si="457"/>
        <v>3029.78</v>
      </c>
      <c r="P1114" s="13">
        <f t="shared" si="458"/>
        <v>25.248166666666666</v>
      </c>
      <c r="Q1114" s="13">
        <f t="shared" si="459"/>
        <v>302.97800000000001</v>
      </c>
      <c r="R1114" s="13"/>
      <c r="S1114" s="13">
        <f t="shared" si="460"/>
        <v>0</v>
      </c>
      <c r="T1114" s="13">
        <f t="shared" si="461"/>
        <v>3029.78</v>
      </c>
      <c r="U1114" s="13">
        <f t="shared" si="462"/>
        <v>3029.78</v>
      </c>
      <c r="V1114" s="13"/>
      <c r="W1114" s="13">
        <f t="shared" si="463"/>
        <v>0</v>
      </c>
    </row>
    <row r="1115" spans="2:23" s="9" customFormat="1">
      <c r="B1115" s="9">
        <v>5</v>
      </c>
      <c r="C1115" s="9" t="s">
        <v>562</v>
      </c>
      <c r="G1115" s="9">
        <v>1997</v>
      </c>
      <c r="H1115" s="9">
        <v>9</v>
      </c>
      <c r="I1115" s="9">
        <v>0</v>
      </c>
      <c r="J1115" s="9" t="s">
        <v>78</v>
      </c>
      <c r="K1115" s="158" t="s">
        <v>449</v>
      </c>
      <c r="L1115" s="9">
        <f t="shared" si="455"/>
        <v>2007</v>
      </c>
      <c r="M1115" s="127">
        <f t="shared" si="456"/>
        <v>2007.75</v>
      </c>
      <c r="N1115" s="13">
        <v>19140.75</v>
      </c>
      <c r="O1115" s="13">
        <f t="shared" si="457"/>
        <v>19140.75</v>
      </c>
      <c r="P1115" s="13">
        <f t="shared" si="458"/>
        <v>159.50624999999999</v>
      </c>
      <c r="Q1115" s="13">
        <f t="shared" si="459"/>
        <v>1914.0749999999998</v>
      </c>
      <c r="R1115" s="13"/>
      <c r="S1115" s="13">
        <f t="shared" si="460"/>
        <v>0</v>
      </c>
      <c r="T1115" s="13">
        <f t="shared" si="461"/>
        <v>19140.75</v>
      </c>
      <c r="U1115" s="13">
        <f t="shared" si="462"/>
        <v>19140.75</v>
      </c>
      <c r="V1115" s="13"/>
      <c r="W1115" s="13">
        <f t="shared" si="463"/>
        <v>0</v>
      </c>
    </row>
    <row r="1116" spans="2:23" s="9" customFormat="1">
      <c r="B1116" s="9">
        <v>5</v>
      </c>
      <c r="C1116" s="9" t="s">
        <v>562</v>
      </c>
      <c r="G1116" s="9">
        <v>1997</v>
      </c>
      <c r="H1116" s="9">
        <v>10</v>
      </c>
      <c r="I1116" s="9">
        <v>0</v>
      </c>
      <c r="J1116" s="9" t="s">
        <v>78</v>
      </c>
      <c r="K1116" s="158" t="s">
        <v>449</v>
      </c>
      <c r="L1116" s="9">
        <f t="shared" si="455"/>
        <v>2007</v>
      </c>
      <c r="M1116" s="127">
        <f t="shared" si="456"/>
        <v>2007.8333333333333</v>
      </c>
      <c r="N1116" s="13">
        <v>17864.7</v>
      </c>
      <c r="O1116" s="13">
        <f t="shared" si="457"/>
        <v>17864.7</v>
      </c>
      <c r="P1116" s="13">
        <f t="shared" si="458"/>
        <v>148.8725</v>
      </c>
      <c r="Q1116" s="13">
        <f t="shared" si="459"/>
        <v>1786.47</v>
      </c>
      <c r="R1116" s="13"/>
      <c r="S1116" s="13">
        <f t="shared" si="460"/>
        <v>0</v>
      </c>
      <c r="T1116" s="13">
        <f t="shared" si="461"/>
        <v>17864.7</v>
      </c>
      <c r="U1116" s="13">
        <f t="shared" si="462"/>
        <v>17864.7</v>
      </c>
      <c r="V1116" s="13"/>
      <c r="W1116" s="13">
        <f t="shared" si="463"/>
        <v>0</v>
      </c>
    </row>
    <row r="1117" spans="2:23" s="9" customFormat="1">
      <c r="B1117" s="9">
        <v>1</v>
      </c>
      <c r="C1117" s="9" t="s">
        <v>562</v>
      </c>
      <c r="G1117" s="9">
        <v>1997</v>
      </c>
      <c r="H1117" s="9">
        <v>11</v>
      </c>
      <c r="I1117" s="9">
        <v>0</v>
      </c>
      <c r="J1117" s="9" t="s">
        <v>78</v>
      </c>
      <c r="K1117" s="158" t="s">
        <v>449</v>
      </c>
      <c r="L1117" s="9">
        <f t="shared" si="455"/>
        <v>2007</v>
      </c>
      <c r="M1117" s="127">
        <f t="shared" si="456"/>
        <v>2007.9166666666667</v>
      </c>
      <c r="N1117" s="13">
        <v>3029.78</v>
      </c>
      <c r="O1117" s="13">
        <f t="shared" si="457"/>
        <v>3029.78</v>
      </c>
      <c r="P1117" s="13">
        <f t="shared" si="458"/>
        <v>25.248166666666666</v>
      </c>
      <c r="Q1117" s="13">
        <f t="shared" si="459"/>
        <v>302.97800000000001</v>
      </c>
      <c r="R1117" s="13"/>
      <c r="S1117" s="13">
        <f t="shared" si="460"/>
        <v>0</v>
      </c>
      <c r="T1117" s="13">
        <f t="shared" si="461"/>
        <v>3029.78</v>
      </c>
      <c r="U1117" s="13">
        <f t="shared" si="462"/>
        <v>3029.78</v>
      </c>
      <c r="V1117" s="13"/>
      <c r="W1117" s="13">
        <f t="shared" si="463"/>
        <v>0</v>
      </c>
    </row>
    <row r="1118" spans="2:23" s="9" customFormat="1">
      <c r="B1118" s="9">
        <v>2</v>
      </c>
      <c r="C1118" s="9" t="s">
        <v>822</v>
      </c>
      <c r="G1118" s="9">
        <v>1997</v>
      </c>
      <c r="H1118" s="9">
        <v>12</v>
      </c>
      <c r="I1118" s="9">
        <v>0</v>
      </c>
      <c r="J1118" s="9" t="s">
        <v>78</v>
      </c>
      <c r="K1118" s="158" t="s">
        <v>449</v>
      </c>
      <c r="L1118" s="9">
        <f t="shared" si="455"/>
        <v>2007</v>
      </c>
      <c r="M1118" s="127">
        <f t="shared" si="456"/>
        <v>2008</v>
      </c>
      <c r="N1118" s="13">
        <v>7308.78</v>
      </c>
      <c r="O1118" s="13">
        <f t="shared" si="457"/>
        <v>7308.78</v>
      </c>
      <c r="P1118" s="13">
        <f t="shared" si="458"/>
        <v>60.906499999999994</v>
      </c>
      <c r="Q1118" s="13">
        <f t="shared" si="459"/>
        <v>730.87799999999993</v>
      </c>
      <c r="R1118" s="13"/>
      <c r="S1118" s="13">
        <f t="shared" si="460"/>
        <v>0</v>
      </c>
      <c r="T1118" s="13">
        <f t="shared" si="461"/>
        <v>7308.78</v>
      </c>
      <c r="U1118" s="13">
        <f t="shared" si="462"/>
        <v>7308.78</v>
      </c>
      <c r="V1118" s="13"/>
      <c r="W1118" s="13">
        <f t="shared" si="463"/>
        <v>0</v>
      </c>
    </row>
    <row r="1119" spans="2:23" s="9" customFormat="1">
      <c r="B1119" s="9">
        <v>1</v>
      </c>
      <c r="C1119" s="9" t="s">
        <v>562</v>
      </c>
      <c r="G1119" s="9">
        <v>1998</v>
      </c>
      <c r="H1119" s="9">
        <v>2</v>
      </c>
      <c r="I1119" s="9">
        <v>0</v>
      </c>
      <c r="J1119" s="9" t="s">
        <v>78</v>
      </c>
      <c r="K1119" s="158" t="s">
        <v>449</v>
      </c>
      <c r="L1119" s="9">
        <f t="shared" si="455"/>
        <v>2008</v>
      </c>
      <c r="M1119" s="127">
        <f t="shared" si="456"/>
        <v>2008.1666666666667</v>
      </c>
      <c r="N1119" s="13">
        <v>3029.78</v>
      </c>
      <c r="O1119" s="13">
        <f t="shared" si="457"/>
        <v>3029.78</v>
      </c>
      <c r="P1119" s="13">
        <f t="shared" si="458"/>
        <v>25.248166666666666</v>
      </c>
      <c r="Q1119" s="13">
        <f t="shared" si="459"/>
        <v>302.97800000000001</v>
      </c>
      <c r="R1119" s="13"/>
      <c r="S1119" s="13">
        <f t="shared" si="460"/>
        <v>0</v>
      </c>
      <c r="T1119" s="13">
        <f t="shared" si="461"/>
        <v>3029.78</v>
      </c>
      <c r="U1119" s="13">
        <f t="shared" si="462"/>
        <v>3029.78</v>
      </c>
      <c r="V1119" s="13"/>
      <c r="W1119" s="13">
        <f t="shared" si="463"/>
        <v>0</v>
      </c>
    </row>
    <row r="1120" spans="2:23" s="9" customFormat="1">
      <c r="B1120" s="9">
        <v>1</v>
      </c>
      <c r="C1120" s="9" t="s">
        <v>562</v>
      </c>
      <c r="G1120" s="9">
        <v>1998</v>
      </c>
      <c r="H1120" s="9">
        <v>3</v>
      </c>
      <c r="I1120" s="9">
        <v>0</v>
      </c>
      <c r="J1120" s="9" t="s">
        <v>78</v>
      </c>
      <c r="K1120" s="158" t="s">
        <v>449</v>
      </c>
      <c r="L1120" s="9">
        <f t="shared" si="455"/>
        <v>2008</v>
      </c>
      <c r="M1120" s="127">
        <f t="shared" si="456"/>
        <v>2008.25</v>
      </c>
      <c r="N1120" s="13">
        <v>3029.78</v>
      </c>
      <c r="O1120" s="13">
        <f t="shared" si="457"/>
        <v>3029.78</v>
      </c>
      <c r="P1120" s="13">
        <f t="shared" si="458"/>
        <v>25.248166666666666</v>
      </c>
      <c r="Q1120" s="13">
        <f t="shared" si="459"/>
        <v>302.97800000000001</v>
      </c>
      <c r="R1120" s="13"/>
      <c r="S1120" s="13">
        <f t="shared" si="460"/>
        <v>0</v>
      </c>
      <c r="T1120" s="13">
        <f t="shared" si="461"/>
        <v>3029.78</v>
      </c>
      <c r="U1120" s="13">
        <f t="shared" si="462"/>
        <v>3029.78</v>
      </c>
      <c r="V1120" s="13"/>
      <c r="W1120" s="13">
        <f t="shared" si="463"/>
        <v>0</v>
      </c>
    </row>
    <row r="1121" spans="2:23" s="9" customFormat="1">
      <c r="B1121" s="9">
        <v>1</v>
      </c>
      <c r="C1121" s="9" t="s">
        <v>562</v>
      </c>
      <c r="G1121" s="9">
        <v>1998</v>
      </c>
      <c r="H1121" s="9">
        <v>3</v>
      </c>
      <c r="I1121" s="9">
        <v>0</v>
      </c>
      <c r="J1121" s="9" t="s">
        <v>78</v>
      </c>
      <c r="K1121" s="158" t="s">
        <v>449</v>
      </c>
      <c r="L1121" s="9">
        <f t="shared" si="455"/>
        <v>2008</v>
      </c>
      <c r="M1121" s="127">
        <f t="shared" si="456"/>
        <v>2008.25</v>
      </c>
      <c r="N1121" s="13">
        <v>3029.78</v>
      </c>
      <c r="O1121" s="13">
        <f t="shared" si="457"/>
        <v>3029.78</v>
      </c>
      <c r="P1121" s="13">
        <f t="shared" si="458"/>
        <v>25.248166666666666</v>
      </c>
      <c r="Q1121" s="13">
        <f t="shared" si="459"/>
        <v>302.97800000000001</v>
      </c>
      <c r="R1121" s="13"/>
      <c r="S1121" s="13">
        <f t="shared" si="460"/>
        <v>0</v>
      </c>
      <c r="T1121" s="13">
        <f t="shared" si="461"/>
        <v>3029.78</v>
      </c>
      <c r="U1121" s="13">
        <f t="shared" si="462"/>
        <v>3029.78</v>
      </c>
      <c r="V1121" s="13"/>
      <c r="W1121" s="13">
        <f t="shared" si="463"/>
        <v>0</v>
      </c>
    </row>
    <row r="1122" spans="2:23" s="9" customFormat="1">
      <c r="B1122" s="9">
        <v>1</v>
      </c>
      <c r="C1122" s="9" t="s">
        <v>562</v>
      </c>
      <c r="G1122" s="9">
        <v>1998</v>
      </c>
      <c r="H1122" s="9">
        <v>4</v>
      </c>
      <c r="I1122" s="9">
        <v>0</v>
      </c>
      <c r="J1122" s="9" t="s">
        <v>78</v>
      </c>
      <c r="K1122" s="158" t="s">
        <v>449</v>
      </c>
      <c r="L1122" s="9">
        <f t="shared" si="455"/>
        <v>2008</v>
      </c>
      <c r="M1122" s="127">
        <f t="shared" si="456"/>
        <v>2008.3333333333333</v>
      </c>
      <c r="N1122" s="13">
        <v>3029.78</v>
      </c>
      <c r="O1122" s="13">
        <f t="shared" si="457"/>
        <v>3029.78</v>
      </c>
      <c r="P1122" s="13">
        <f t="shared" si="458"/>
        <v>25.248166666666666</v>
      </c>
      <c r="Q1122" s="13">
        <f t="shared" si="459"/>
        <v>302.97800000000001</v>
      </c>
      <c r="R1122" s="13"/>
      <c r="S1122" s="13">
        <f t="shared" si="460"/>
        <v>0</v>
      </c>
      <c r="T1122" s="13">
        <f t="shared" si="461"/>
        <v>3029.78</v>
      </c>
      <c r="U1122" s="13">
        <f t="shared" si="462"/>
        <v>3029.78</v>
      </c>
      <c r="V1122" s="13"/>
      <c r="W1122" s="13">
        <f t="shared" si="463"/>
        <v>0</v>
      </c>
    </row>
    <row r="1123" spans="2:23" s="9" customFormat="1">
      <c r="B1123" s="9">
        <v>5</v>
      </c>
      <c r="C1123" s="9" t="s">
        <v>562</v>
      </c>
      <c r="G1123" s="9">
        <v>1998</v>
      </c>
      <c r="H1123" s="9">
        <v>5</v>
      </c>
      <c r="I1123" s="9">
        <v>0</v>
      </c>
      <c r="J1123" s="9" t="s">
        <v>78</v>
      </c>
      <c r="K1123" s="158" t="s">
        <v>449</v>
      </c>
      <c r="L1123" s="9">
        <f t="shared" si="455"/>
        <v>2008</v>
      </c>
      <c r="M1123" s="127">
        <f t="shared" si="456"/>
        <v>2008.4166666666667</v>
      </c>
      <c r="N1123" s="13">
        <v>19140.75</v>
      </c>
      <c r="O1123" s="13">
        <f t="shared" si="457"/>
        <v>19140.75</v>
      </c>
      <c r="P1123" s="13">
        <f t="shared" si="458"/>
        <v>159.50624999999999</v>
      </c>
      <c r="Q1123" s="13">
        <f t="shared" si="459"/>
        <v>1914.0749999999998</v>
      </c>
      <c r="R1123" s="13"/>
      <c r="S1123" s="13">
        <f t="shared" si="460"/>
        <v>0</v>
      </c>
      <c r="T1123" s="13">
        <f t="shared" si="461"/>
        <v>19140.75</v>
      </c>
      <c r="U1123" s="13">
        <f t="shared" si="462"/>
        <v>19140.75</v>
      </c>
      <c r="V1123" s="13"/>
      <c r="W1123" s="13">
        <f t="shared" si="463"/>
        <v>0</v>
      </c>
    </row>
    <row r="1124" spans="2:23" s="9" customFormat="1">
      <c r="B1124" s="9">
        <v>2</v>
      </c>
      <c r="C1124" s="9" t="s">
        <v>562</v>
      </c>
      <c r="G1124" s="9">
        <v>1998</v>
      </c>
      <c r="H1124" s="9">
        <v>7</v>
      </c>
      <c r="I1124" s="9">
        <v>0</v>
      </c>
      <c r="J1124" s="9" t="s">
        <v>78</v>
      </c>
      <c r="K1124" s="158" t="s">
        <v>449</v>
      </c>
      <c r="L1124" s="9">
        <f t="shared" si="455"/>
        <v>2008</v>
      </c>
      <c r="M1124" s="127">
        <f t="shared" si="456"/>
        <v>2008.5833333333333</v>
      </c>
      <c r="N1124" s="13">
        <v>8402.48</v>
      </c>
      <c r="O1124" s="13">
        <f t="shared" si="457"/>
        <v>8402.48</v>
      </c>
      <c r="P1124" s="13">
        <f t="shared" si="458"/>
        <v>70.020666666666656</v>
      </c>
      <c r="Q1124" s="13">
        <f t="shared" si="459"/>
        <v>840.24799999999982</v>
      </c>
      <c r="R1124" s="13"/>
      <c r="S1124" s="13">
        <f t="shared" si="460"/>
        <v>0</v>
      </c>
      <c r="T1124" s="13">
        <f t="shared" si="461"/>
        <v>8402.48</v>
      </c>
      <c r="U1124" s="13">
        <f t="shared" si="462"/>
        <v>8402.48</v>
      </c>
      <c r="V1124" s="13"/>
      <c r="W1124" s="13">
        <f t="shared" si="463"/>
        <v>0</v>
      </c>
    </row>
    <row r="1125" spans="2:23" s="9" customFormat="1">
      <c r="B1125" s="9">
        <v>2</v>
      </c>
      <c r="C1125" s="9" t="s">
        <v>562</v>
      </c>
      <c r="G1125" s="9">
        <v>1998</v>
      </c>
      <c r="H1125" s="9">
        <v>7</v>
      </c>
      <c r="I1125" s="9">
        <v>0</v>
      </c>
      <c r="J1125" s="9" t="s">
        <v>78</v>
      </c>
      <c r="K1125" s="158" t="s">
        <v>449</v>
      </c>
      <c r="L1125" s="9">
        <f t="shared" si="455"/>
        <v>2008</v>
      </c>
      <c r="M1125" s="127">
        <f t="shared" si="456"/>
        <v>2008.5833333333333</v>
      </c>
      <c r="N1125" s="13">
        <v>10785.82</v>
      </c>
      <c r="O1125" s="13">
        <f t="shared" si="457"/>
        <v>10785.82</v>
      </c>
      <c r="P1125" s="13">
        <f t="shared" si="458"/>
        <v>89.881833333333319</v>
      </c>
      <c r="Q1125" s="13">
        <f t="shared" si="459"/>
        <v>1078.5819999999999</v>
      </c>
      <c r="R1125" s="13"/>
      <c r="S1125" s="13">
        <f t="shared" si="460"/>
        <v>0</v>
      </c>
      <c r="T1125" s="13">
        <f t="shared" si="461"/>
        <v>10785.82</v>
      </c>
      <c r="U1125" s="13">
        <f t="shared" si="462"/>
        <v>10785.82</v>
      </c>
      <c r="V1125" s="13"/>
      <c r="W1125" s="13">
        <f t="shared" si="463"/>
        <v>0</v>
      </c>
    </row>
    <row r="1126" spans="2:23" s="9" customFormat="1">
      <c r="B1126" s="9">
        <v>3</v>
      </c>
      <c r="C1126" s="9" t="s">
        <v>562</v>
      </c>
      <c r="G1126" s="9">
        <v>1998</v>
      </c>
      <c r="H1126" s="9">
        <v>7</v>
      </c>
      <c r="I1126" s="9">
        <v>0</v>
      </c>
      <c r="J1126" s="9" t="s">
        <v>78</v>
      </c>
      <c r="K1126" s="158" t="s">
        <v>449</v>
      </c>
      <c r="L1126" s="9">
        <f t="shared" si="455"/>
        <v>2008</v>
      </c>
      <c r="M1126" s="127">
        <f t="shared" si="456"/>
        <v>2008.5833333333333</v>
      </c>
      <c r="N1126" s="13">
        <v>11484.45</v>
      </c>
      <c r="O1126" s="13">
        <f t="shared" si="457"/>
        <v>11484.45</v>
      </c>
      <c r="P1126" s="13">
        <f t="shared" si="458"/>
        <v>95.703750000000014</v>
      </c>
      <c r="Q1126" s="13">
        <f t="shared" si="459"/>
        <v>1148.4450000000002</v>
      </c>
      <c r="R1126" s="13"/>
      <c r="S1126" s="13">
        <f t="shared" si="460"/>
        <v>0</v>
      </c>
      <c r="T1126" s="13">
        <f t="shared" si="461"/>
        <v>11484.45</v>
      </c>
      <c r="U1126" s="13">
        <f t="shared" si="462"/>
        <v>11484.45</v>
      </c>
      <c r="V1126" s="13"/>
      <c r="W1126" s="13">
        <f t="shared" si="463"/>
        <v>0</v>
      </c>
    </row>
    <row r="1127" spans="2:23" s="9" customFormat="1">
      <c r="B1127" s="9">
        <v>1</v>
      </c>
      <c r="C1127" s="9" t="s">
        <v>823</v>
      </c>
      <c r="G1127" s="9">
        <v>1998</v>
      </c>
      <c r="H1127" s="9">
        <v>8</v>
      </c>
      <c r="I1127" s="9">
        <v>0</v>
      </c>
      <c r="J1127" s="9" t="s">
        <v>78</v>
      </c>
      <c r="K1127" s="158" t="s">
        <v>449</v>
      </c>
      <c r="L1127" s="9">
        <f t="shared" si="455"/>
        <v>2008</v>
      </c>
      <c r="M1127" s="127">
        <f t="shared" si="456"/>
        <v>2008.6666666666667</v>
      </c>
      <c r="N1127" s="13">
        <v>4669.8</v>
      </c>
      <c r="O1127" s="13">
        <f t="shared" si="457"/>
        <v>4669.8</v>
      </c>
      <c r="P1127" s="13">
        <f t="shared" si="458"/>
        <v>38.914999999999999</v>
      </c>
      <c r="Q1127" s="13">
        <f t="shared" si="459"/>
        <v>466.98</v>
      </c>
      <c r="R1127" s="13"/>
      <c r="S1127" s="13">
        <f t="shared" si="460"/>
        <v>0</v>
      </c>
      <c r="T1127" s="13">
        <f t="shared" si="461"/>
        <v>4669.8</v>
      </c>
      <c r="U1127" s="13">
        <f t="shared" si="462"/>
        <v>4669.8</v>
      </c>
      <c r="V1127" s="13"/>
      <c r="W1127" s="13">
        <f t="shared" si="463"/>
        <v>0</v>
      </c>
    </row>
    <row r="1128" spans="2:23" s="9" customFormat="1">
      <c r="B1128" s="9">
        <v>5</v>
      </c>
      <c r="C1128" s="9" t="s">
        <v>824</v>
      </c>
      <c r="G1128" s="9">
        <v>1998</v>
      </c>
      <c r="H1128" s="9">
        <v>8</v>
      </c>
      <c r="I1128" s="9">
        <v>0</v>
      </c>
      <c r="J1128" s="9" t="s">
        <v>78</v>
      </c>
      <c r="K1128" s="158" t="s">
        <v>449</v>
      </c>
      <c r="L1128" s="9">
        <f t="shared" si="455"/>
        <v>2008</v>
      </c>
      <c r="M1128" s="127">
        <f t="shared" si="456"/>
        <v>2008.6666666666667</v>
      </c>
      <c r="N1128" s="13">
        <v>30625.200000000001</v>
      </c>
      <c r="O1128" s="13">
        <f t="shared" si="457"/>
        <v>30625.200000000001</v>
      </c>
      <c r="P1128" s="13">
        <f t="shared" si="458"/>
        <v>255.21</v>
      </c>
      <c r="Q1128" s="13">
        <f t="shared" si="459"/>
        <v>3062.52</v>
      </c>
      <c r="R1128" s="13"/>
      <c r="S1128" s="13">
        <f t="shared" si="460"/>
        <v>0</v>
      </c>
      <c r="T1128" s="13">
        <f t="shared" si="461"/>
        <v>30625.200000000001</v>
      </c>
      <c r="U1128" s="13">
        <f t="shared" si="462"/>
        <v>30625.200000000001</v>
      </c>
      <c r="V1128" s="13"/>
      <c r="W1128" s="13">
        <f t="shared" si="463"/>
        <v>0</v>
      </c>
    </row>
    <row r="1129" spans="2:23" s="9" customFormat="1">
      <c r="B1129" s="9">
        <v>6</v>
      </c>
      <c r="C1129" s="9" t="s">
        <v>822</v>
      </c>
      <c r="G1129" s="9">
        <v>1998</v>
      </c>
      <c r="H1129" s="9">
        <v>9</v>
      </c>
      <c r="I1129" s="9">
        <v>0</v>
      </c>
      <c r="J1129" s="9" t="s">
        <v>78</v>
      </c>
      <c r="K1129" s="158" t="s">
        <v>449</v>
      </c>
      <c r="L1129" s="9">
        <f t="shared" si="455"/>
        <v>2008</v>
      </c>
      <c r="M1129" s="127">
        <f t="shared" si="456"/>
        <v>2008.75</v>
      </c>
      <c r="N1129" s="13">
        <v>27693</v>
      </c>
      <c r="O1129" s="13">
        <f t="shared" si="457"/>
        <v>27693</v>
      </c>
      <c r="P1129" s="13">
        <f t="shared" si="458"/>
        <v>230.77500000000001</v>
      </c>
      <c r="Q1129" s="13">
        <f t="shared" si="459"/>
        <v>2769.3</v>
      </c>
      <c r="R1129" s="13"/>
      <c r="S1129" s="13">
        <f t="shared" si="460"/>
        <v>0</v>
      </c>
      <c r="T1129" s="13">
        <f t="shared" si="461"/>
        <v>27693</v>
      </c>
      <c r="U1129" s="13">
        <f t="shared" si="462"/>
        <v>27693</v>
      </c>
      <c r="V1129" s="13"/>
      <c r="W1129" s="13">
        <f t="shared" si="463"/>
        <v>0</v>
      </c>
    </row>
    <row r="1130" spans="2:23" s="9" customFormat="1">
      <c r="B1130" s="9">
        <v>2</v>
      </c>
      <c r="C1130" s="9" t="s">
        <v>825</v>
      </c>
      <c r="G1130" s="9">
        <v>1998</v>
      </c>
      <c r="H1130" s="9">
        <v>9</v>
      </c>
      <c r="I1130" s="9">
        <v>0</v>
      </c>
      <c r="J1130" s="9" t="s">
        <v>78</v>
      </c>
      <c r="K1130" s="158" t="s">
        <v>449</v>
      </c>
      <c r="L1130" s="9">
        <f t="shared" si="455"/>
        <v>2008</v>
      </c>
      <c r="M1130" s="127">
        <f t="shared" si="456"/>
        <v>2008.75</v>
      </c>
      <c r="N1130" s="13">
        <v>9328.74</v>
      </c>
      <c r="O1130" s="13">
        <f t="shared" si="457"/>
        <v>9328.74</v>
      </c>
      <c r="P1130" s="13">
        <f t="shared" si="458"/>
        <v>77.739500000000007</v>
      </c>
      <c r="Q1130" s="13">
        <f t="shared" si="459"/>
        <v>932.87400000000002</v>
      </c>
      <c r="R1130" s="13"/>
      <c r="S1130" s="13">
        <f t="shared" si="460"/>
        <v>0</v>
      </c>
      <c r="T1130" s="13">
        <f t="shared" si="461"/>
        <v>9328.74</v>
      </c>
      <c r="U1130" s="13">
        <f t="shared" si="462"/>
        <v>9328.74</v>
      </c>
      <c r="V1130" s="13"/>
      <c r="W1130" s="13">
        <f t="shared" si="463"/>
        <v>0</v>
      </c>
    </row>
    <row r="1131" spans="2:23" s="9" customFormat="1">
      <c r="B1131" s="9">
        <v>8</v>
      </c>
      <c r="C1131" s="9" t="s">
        <v>816</v>
      </c>
      <c r="G1131" s="9">
        <v>1998</v>
      </c>
      <c r="H1131" s="9">
        <v>9</v>
      </c>
      <c r="I1131" s="9">
        <v>0</v>
      </c>
      <c r="J1131" s="9" t="s">
        <v>78</v>
      </c>
      <c r="K1131" s="158" t="s">
        <v>449</v>
      </c>
      <c r="L1131" s="9">
        <f t="shared" si="455"/>
        <v>2008</v>
      </c>
      <c r="M1131" s="127">
        <f t="shared" si="456"/>
        <v>2008.75</v>
      </c>
      <c r="N1131" s="13">
        <v>35729.4</v>
      </c>
      <c r="O1131" s="13">
        <f t="shared" si="457"/>
        <v>35729.4</v>
      </c>
      <c r="P1131" s="13">
        <f t="shared" si="458"/>
        <v>297.745</v>
      </c>
      <c r="Q1131" s="13">
        <f t="shared" si="459"/>
        <v>3572.94</v>
      </c>
      <c r="R1131" s="13"/>
      <c r="S1131" s="13">
        <f t="shared" si="460"/>
        <v>0</v>
      </c>
      <c r="T1131" s="13">
        <f t="shared" si="461"/>
        <v>35729.4</v>
      </c>
      <c r="U1131" s="13">
        <f t="shared" si="462"/>
        <v>35729.4</v>
      </c>
      <c r="V1131" s="13"/>
      <c r="W1131" s="13">
        <f t="shared" si="463"/>
        <v>0</v>
      </c>
    </row>
    <row r="1132" spans="2:23" s="9" customFormat="1">
      <c r="B1132" s="9">
        <v>9</v>
      </c>
      <c r="C1132" s="9" t="s">
        <v>816</v>
      </c>
      <c r="G1132" s="9">
        <v>1998</v>
      </c>
      <c r="H1132" s="9">
        <v>10</v>
      </c>
      <c r="I1132" s="9">
        <v>0</v>
      </c>
      <c r="J1132" s="9" t="s">
        <v>78</v>
      </c>
      <c r="K1132" s="158" t="s">
        <v>449</v>
      </c>
      <c r="L1132" s="9">
        <f t="shared" si="455"/>
        <v>2008</v>
      </c>
      <c r="M1132" s="127">
        <f t="shared" si="456"/>
        <v>2008.8333333333333</v>
      </c>
      <c r="N1132" s="13">
        <v>38281.5</v>
      </c>
      <c r="O1132" s="13">
        <f t="shared" si="457"/>
        <v>38281.5</v>
      </c>
      <c r="P1132" s="13">
        <f t="shared" si="458"/>
        <v>319.01249999999999</v>
      </c>
      <c r="Q1132" s="13">
        <f t="shared" si="459"/>
        <v>3828.1499999999996</v>
      </c>
      <c r="R1132" s="13"/>
      <c r="S1132" s="13">
        <f t="shared" si="460"/>
        <v>0</v>
      </c>
      <c r="T1132" s="13">
        <f t="shared" si="461"/>
        <v>38281.5</v>
      </c>
      <c r="U1132" s="13">
        <f t="shared" si="462"/>
        <v>38281.5</v>
      </c>
      <c r="V1132" s="13"/>
      <c r="W1132" s="13">
        <f t="shared" si="463"/>
        <v>0</v>
      </c>
    </row>
    <row r="1133" spans="2:23" s="9" customFormat="1">
      <c r="B1133" s="9">
        <v>4</v>
      </c>
      <c r="C1133" s="9" t="s">
        <v>826</v>
      </c>
      <c r="G1133" s="9">
        <v>1999</v>
      </c>
      <c r="H1133" s="9">
        <v>5</v>
      </c>
      <c r="I1133" s="9">
        <v>0</v>
      </c>
      <c r="J1133" s="9" t="s">
        <v>78</v>
      </c>
      <c r="K1133" s="158" t="s">
        <v>449</v>
      </c>
      <c r="L1133" s="9">
        <f t="shared" ref="L1133:L1146" si="464">G1133+K1133</f>
        <v>2009</v>
      </c>
      <c r="M1133" s="127">
        <f t="shared" ref="M1133:M1146" si="465">+L1133+(H1133/12)</f>
        <v>2009.4166666666667</v>
      </c>
      <c r="N1133" s="13">
        <v>14291.76</v>
      </c>
      <c r="O1133" s="13">
        <f t="shared" ref="O1133:O1146" si="466">N1133-N1133*I1133</f>
        <v>14291.76</v>
      </c>
      <c r="P1133" s="13">
        <f t="shared" ref="P1133:P1146" si="467">O1133/K1133/12</f>
        <v>119.098</v>
      </c>
      <c r="Q1133" s="13">
        <f t="shared" ref="Q1133:Q1146" si="468">P1133*12</f>
        <v>1429.1759999999999</v>
      </c>
      <c r="R1133" s="13"/>
      <c r="S1133" s="13">
        <f t="shared" ref="S1133:S1146" si="469">+IF(M1133&lt;=$O$5,0,IF(L1133&gt;$O$4,Q1133,(P1133*H1133)))</f>
        <v>0</v>
      </c>
      <c r="T1133" s="13">
        <f t="shared" ref="T1133:T1146" si="470">+IF(S1133=0,N1133,IF($O$3-G1133&lt;1,0,(($O$3-G1133)*Q1133)))</f>
        <v>14291.76</v>
      </c>
      <c r="U1133" s="13">
        <f t="shared" ref="U1133:U1146" si="471">+IF(S1133=0,T1133,T1133+S1133)</f>
        <v>14291.76</v>
      </c>
      <c r="V1133" s="13"/>
      <c r="W1133" s="13">
        <f t="shared" ref="W1133:W1146" si="472">+N1133-U1133</f>
        <v>0</v>
      </c>
    </row>
    <row r="1134" spans="2:23" s="9" customFormat="1">
      <c r="B1134" s="9">
        <v>3</v>
      </c>
      <c r="C1134" s="9" t="s">
        <v>562</v>
      </c>
      <c r="G1134" s="9">
        <v>1999</v>
      </c>
      <c r="H1134" s="9">
        <v>7</v>
      </c>
      <c r="I1134" s="9">
        <v>0</v>
      </c>
      <c r="J1134" s="9" t="s">
        <v>78</v>
      </c>
      <c r="K1134" s="158" t="s">
        <v>449</v>
      </c>
      <c r="L1134" s="9">
        <f t="shared" si="464"/>
        <v>2009</v>
      </c>
      <c r="M1134" s="127">
        <f t="shared" si="465"/>
        <v>2009.5833333333333</v>
      </c>
      <c r="N1134" s="13">
        <v>15312.6</v>
      </c>
      <c r="O1134" s="13">
        <f t="shared" si="466"/>
        <v>15312.6</v>
      </c>
      <c r="P1134" s="13">
        <f t="shared" si="467"/>
        <v>127.605</v>
      </c>
      <c r="Q1134" s="13">
        <f t="shared" si="468"/>
        <v>1531.26</v>
      </c>
      <c r="R1134" s="13"/>
      <c r="S1134" s="13">
        <f t="shared" si="469"/>
        <v>0</v>
      </c>
      <c r="T1134" s="13">
        <f t="shared" si="470"/>
        <v>15312.6</v>
      </c>
      <c r="U1134" s="13">
        <f t="shared" si="471"/>
        <v>15312.6</v>
      </c>
      <c r="V1134" s="13"/>
      <c r="W1134" s="13">
        <f t="shared" si="472"/>
        <v>0</v>
      </c>
    </row>
    <row r="1135" spans="2:23" s="9" customFormat="1">
      <c r="B1135" s="9">
        <v>3</v>
      </c>
      <c r="C1135" s="9" t="s">
        <v>562</v>
      </c>
      <c r="G1135" s="9">
        <v>1999</v>
      </c>
      <c r="H1135" s="9">
        <v>7</v>
      </c>
      <c r="I1135" s="9">
        <v>0</v>
      </c>
      <c r="J1135" s="9" t="s">
        <v>78</v>
      </c>
      <c r="K1135" s="158" t="s">
        <v>449</v>
      </c>
      <c r="L1135" s="9">
        <f t="shared" si="464"/>
        <v>2009</v>
      </c>
      <c r="M1135" s="127">
        <f t="shared" si="465"/>
        <v>2009.5833333333333</v>
      </c>
      <c r="N1135" s="13">
        <v>15312.6</v>
      </c>
      <c r="O1135" s="13">
        <f t="shared" si="466"/>
        <v>15312.6</v>
      </c>
      <c r="P1135" s="13">
        <f t="shared" si="467"/>
        <v>127.605</v>
      </c>
      <c r="Q1135" s="13">
        <f t="shared" si="468"/>
        <v>1531.26</v>
      </c>
      <c r="R1135" s="13"/>
      <c r="S1135" s="13">
        <f t="shared" si="469"/>
        <v>0</v>
      </c>
      <c r="T1135" s="13">
        <f t="shared" si="470"/>
        <v>15312.6</v>
      </c>
      <c r="U1135" s="13">
        <f t="shared" si="471"/>
        <v>15312.6</v>
      </c>
      <c r="V1135" s="13"/>
      <c r="W1135" s="13">
        <f t="shared" si="472"/>
        <v>0</v>
      </c>
    </row>
    <row r="1136" spans="2:23" s="9" customFormat="1">
      <c r="B1136" s="9">
        <v>3</v>
      </c>
      <c r="C1136" s="9" t="s">
        <v>827</v>
      </c>
      <c r="G1136" s="9">
        <v>1999</v>
      </c>
      <c r="H1136" s="9">
        <v>7</v>
      </c>
      <c r="I1136" s="9">
        <v>0</v>
      </c>
      <c r="J1136" s="9" t="s">
        <v>78</v>
      </c>
      <c r="K1136" s="158" t="s">
        <v>449</v>
      </c>
      <c r="L1136" s="9">
        <f t="shared" si="464"/>
        <v>2009</v>
      </c>
      <c r="M1136" s="127">
        <f t="shared" si="465"/>
        <v>2009.5833333333333</v>
      </c>
      <c r="N1136" s="13">
        <v>14291.76</v>
      </c>
      <c r="O1136" s="13">
        <f t="shared" si="466"/>
        <v>14291.76</v>
      </c>
      <c r="P1136" s="13">
        <f t="shared" si="467"/>
        <v>119.098</v>
      </c>
      <c r="Q1136" s="13">
        <f t="shared" si="468"/>
        <v>1429.1759999999999</v>
      </c>
      <c r="R1136" s="13"/>
      <c r="S1136" s="13">
        <f t="shared" si="469"/>
        <v>0</v>
      </c>
      <c r="T1136" s="13">
        <f t="shared" si="470"/>
        <v>14291.76</v>
      </c>
      <c r="U1136" s="13">
        <f t="shared" si="471"/>
        <v>14291.76</v>
      </c>
      <c r="V1136" s="13"/>
      <c r="W1136" s="13">
        <f t="shared" si="472"/>
        <v>0</v>
      </c>
    </row>
    <row r="1137" spans="2:23" s="9" customFormat="1">
      <c r="B1137" s="9">
        <v>4</v>
      </c>
      <c r="C1137" s="9" t="s">
        <v>822</v>
      </c>
      <c r="G1137" s="9">
        <v>1999</v>
      </c>
      <c r="H1137" s="9">
        <v>8</v>
      </c>
      <c r="I1137" s="9">
        <v>0</v>
      </c>
      <c r="J1137" s="9" t="s">
        <v>78</v>
      </c>
      <c r="K1137" s="158" t="s">
        <v>449</v>
      </c>
      <c r="L1137" s="9">
        <f t="shared" si="464"/>
        <v>2009</v>
      </c>
      <c r="M1137" s="127">
        <f t="shared" si="465"/>
        <v>2009.6666666666667</v>
      </c>
      <c r="N1137" s="13">
        <v>14291.76</v>
      </c>
      <c r="O1137" s="13">
        <f t="shared" si="466"/>
        <v>14291.76</v>
      </c>
      <c r="P1137" s="13">
        <f t="shared" si="467"/>
        <v>119.098</v>
      </c>
      <c r="Q1137" s="13">
        <f t="shared" si="468"/>
        <v>1429.1759999999999</v>
      </c>
      <c r="R1137" s="13"/>
      <c r="S1137" s="13">
        <f t="shared" si="469"/>
        <v>0</v>
      </c>
      <c r="T1137" s="13">
        <f t="shared" si="470"/>
        <v>14291.76</v>
      </c>
      <c r="U1137" s="13">
        <f t="shared" si="471"/>
        <v>14291.76</v>
      </c>
      <c r="V1137" s="13"/>
      <c r="W1137" s="13">
        <f t="shared" si="472"/>
        <v>0</v>
      </c>
    </row>
    <row r="1138" spans="2:23" s="9" customFormat="1">
      <c r="B1138" s="9">
        <v>2</v>
      </c>
      <c r="C1138" s="9" t="s">
        <v>562</v>
      </c>
      <c r="G1138" s="9">
        <v>1999</v>
      </c>
      <c r="H1138" s="9">
        <v>11</v>
      </c>
      <c r="I1138" s="9">
        <v>0</v>
      </c>
      <c r="J1138" s="9" t="s">
        <v>78</v>
      </c>
      <c r="K1138" s="158" t="s">
        <v>449</v>
      </c>
      <c r="L1138" s="9">
        <f t="shared" si="464"/>
        <v>2009</v>
      </c>
      <c r="M1138" s="127">
        <f t="shared" si="465"/>
        <v>2009.9166666666667</v>
      </c>
      <c r="N1138" s="13">
        <v>7330.5</v>
      </c>
      <c r="O1138" s="13">
        <f t="shared" si="466"/>
        <v>7330.5</v>
      </c>
      <c r="P1138" s="13">
        <f t="shared" si="467"/>
        <v>61.087499999999999</v>
      </c>
      <c r="Q1138" s="13">
        <f t="shared" si="468"/>
        <v>733.05</v>
      </c>
      <c r="R1138" s="13"/>
      <c r="S1138" s="13">
        <f t="shared" si="469"/>
        <v>0</v>
      </c>
      <c r="T1138" s="13">
        <f t="shared" si="470"/>
        <v>7330.5</v>
      </c>
      <c r="U1138" s="13">
        <f t="shared" si="471"/>
        <v>7330.5</v>
      </c>
      <c r="V1138" s="13"/>
      <c r="W1138" s="13">
        <f t="shared" si="472"/>
        <v>0</v>
      </c>
    </row>
    <row r="1139" spans="2:23" s="9" customFormat="1">
      <c r="B1139" s="9">
        <v>2</v>
      </c>
      <c r="C1139" s="9" t="s">
        <v>562</v>
      </c>
      <c r="G1139" s="9">
        <v>1999</v>
      </c>
      <c r="H1139" s="9">
        <v>11</v>
      </c>
      <c r="I1139" s="9">
        <v>0</v>
      </c>
      <c r="J1139" s="9" t="s">
        <v>78</v>
      </c>
      <c r="K1139" s="158" t="s">
        <v>449</v>
      </c>
      <c r="L1139" s="9">
        <f t="shared" si="464"/>
        <v>2009</v>
      </c>
      <c r="M1139" s="127">
        <f t="shared" si="465"/>
        <v>2009.9166666666667</v>
      </c>
      <c r="N1139" s="13">
        <v>7439.1</v>
      </c>
      <c r="O1139" s="13">
        <f t="shared" si="466"/>
        <v>7439.1</v>
      </c>
      <c r="P1139" s="13">
        <f t="shared" si="467"/>
        <v>61.992500000000007</v>
      </c>
      <c r="Q1139" s="13">
        <f t="shared" si="468"/>
        <v>743.91000000000008</v>
      </c>
      <c r="R1139" s="13"/>
      <c r="S1139" s="13">
        <f t="shared" si="469"/>
        <v>0</v>
      </c>
      <c r="T1139" s="13">
        <f t="shared" si="470"/>
        <v>7439.1</v>
      </c>
      <c r="U1139" s="13">
        <f t="shared" si="471"/>
        <v>7439.1</v>
      </c>
      <c r="V1139" s="13"/>
      <c r="W1139" s="13">
        <f t="shared" si="472"/>
        <v>0</v>
      </c>
    </row>
    <row r="1140" spans="2:23" s="9" customFormat="1">
      <c r="B1140" s="9">
        <v>1</v>
      </c>
      <c r="C1140" s="9" t="s">
        <v>562</v>
      </c>
      <c r="G1140" s="9">
        <v>1999</v>
      </c>
      <c r="H1140" s="9">
        <v>11</v>
      </c>
      <c r="I1140" s="9">
        <v>0</v>
      </c>
      <c r="J1140" s="9" t="s">
        <v>78</v>
      </c>
      <c r="K1140" s="158" t="s">
        <v>449</v>
      </c>
      <c r="L1140" s="9">
        <f t="shared" si="464"/>
        <v>2009</v>
      </c>
      <c r="M1140" s="127">
        <f t="shared" si="465"/>
        <v>2009.9166666666667</v>
      </c>
      <c r="N1140" s="13">
        <v>3094.82</v>
      </c>
      <c r="O1140" s="13">
        <f t="shared" si="466"/>
        <v>3094.82</v>
      </c>
      <c r="P1140" s="13">
        <f t="shared" si="467"/>
        <v>25.790166666666668</v>
      </c>
      <c r="Q1140" s="13">
        <f t="shared" si="468"/>
        <v>309.48200000000003</v>
      </c>
      <c r="R1140" s="13"/>
      <c r="S1140" s="13">
        <f t="shared" si="469"/>
        <v>0</v>
      </c>
      <c r="T1140" s="13">
        <f t="shared" si="470"/>
        <v>3094.82</v>
      </c>
      <c r="U1140" s="13">
        <f t="shared" si="471"/>
        <v>3094.82</v>
      </c>
      <c r="V1140" s="13"/>
      <c r="W1140" s="13">
        <f t="shared" si="472"/>
        <v>0</v>
      </c>
    </row>
    <row r="1141" spans="2:23" s="9" customFormat="1">
      <c r="B1141" s="9">
        <v>2</v>
      </c>
      <c r="C1141" s="9" t="s">
        <v>562</v>
      </c>
      <c r="G1141" s="9">
        <v>1999</v>
      </c>
      <c r="H1141" s="9">
        <v>12</v>
      </c>
      <c r="I1141" s="9">
        <v>0</v>
      </c>
      <c r="J1141" s="9" t="s">
        <v>78</v>
      </c>
      <c r="K1141" s="158" t="s">
        <v>449</v>
      </c>
      <c r="L1141" s="9">
        <f t="shared" si="464"/>
        <v>2009</v>
      </c>
      <c r="M1141" s="127">
        <f t="shared" si="465"/>
        <v>2010</v>
      </c>
      <c r="N1141" s="13">
        <v>8948.64</v>
      </c>
      <c r="O1141" s="13">
        <f t="shared" si="466"/>
        <v>8948.64</v>
      </c>
      <c r="P1141" s="13">
        <f t="shared" si="467"/>
        <v>74.571999999999989</v>
      </c>
      <c r="Q1141" s="13">
        <f t="shared" si="468"/>
        <v>894.86399999999981</v>
      </c>
      <c r="R1141" s="13"/>
      <c r="S1141" s="13">
        <f t="shared" si="469"/>
        <v>0</v>
      </c>
      <c r="T1141" s="13">
        <f t="shared" si="470"/>
        <v>8948.64</v>
      </c>
      <c r="U1141" s="13">
        <f t="shared" si="471"/>
        <v>8948.64</v>
      </c>
      <c r="V1141" s="13"/>
      <c r="W1141" s="13">
        <f t="shared" si="472"/>
        <v>0</v>
      </c>
    </row>
    <row r="1142" spans="2:23" s="9" customFormat="1">
      <c r="B1142" s="9">
        <v>8</v>
      </c>
      <c r="C1142" s="9" t="s">
        <v>562</v>
      </c>
      <c r="G1142" s="9">
        <v>2000</v>
      </c>
      <c r="H1142" s="9">
        <v>2</v>
      </c>
      <c r="I1142" s="9">
        <v>0</v>
      </c>
      <c r="J1142" s="9" t="s">
        <v>78</v>
      </c>
      <c r="K1142" s="158" t="s">
        <v>449</v>
      </c>
      <c r="L1142" s="9">
        <f t="shared" si="464"/>
        <v>2010</v>
      </c>
      <c r="M1142" s="127">
        <f t="shared" si="465"/>
        <v>2010.1666666666667</v>
      </c>
      <c r="N1142" s="13">
        <v>35566.5</v>
      </c>
      <c r="O1142" s="13">
        <f t="shared" si="466"/>
        <v>35566.5</v>
      </c>
      <c r="P1142" s="13">
        <f t="shared" si="467"/>
        <v>296.38749999999999</v>
      </c>
      <c r="Q1142" s="13">
        <f t="shared" si="468"/>
        <v>3556.6499999999996</v>
      </c>
      <c r="R1142" s="13"/>
      <c r="S1142" s="13">
        <f t="shared" si="469"/>
        <v>0</v>
      </c>
      <c r="T1142" s="13">
        <f t="shared" si="470"/>
        <v>35566.5</v>
      </c>
      <c r="U1142" s="13">
        <f t="shared" si="471"/>
        <v>35566.5</v>
      </c>
      <c r="V1142" s="13"/>
      <c r="W1142" s="13">
        <f t="shared" si="472"/>
        <v>0</v>
      </c>
    </row>
    <row r="1143" spans="2:23" s="9" customFormat="1">
      <c r="B1143" s="9">
        <v>7</v>
      </c>
      <c r="C1143" s="9" t="s">
        <v>562</v>
      </c>
      <c r="G1143" s="9">
        <v>2000</v>
      </c>
      <c r="H1143" s="9">
        <v>2</v>
      </c>
      <c r="I1143" s="9">
        <v>0</v>
      </c>
      <c r="J1143" s="9" t="s">
        <v>78</v>
      </c>
      <c r="K1143" s="158" t="s">
        <v>449</v>
      </c>
      <c r="L1143" s="9">
        <f t="shared" si="464"/>
        <v>2010</v>
      </c>
      <c r="M1143" s="127">
        <f t="shared" si="465"/>
        <v>2010.1666666666667</v>
      </c>
      <c r="N1143" s="13">
        <v>39421.800000000003</v>
      </c>
      <c r="O1143" s="13">
        <f t="shared" si="466"/>
        <v>39421.800000000003</v>
      </c>
      <c r="P1143" s="13">
        <f t="shared" si="467"/>
        <v>328.51500000000004</v>
      </c>
      <c r="Q1143" s="13">
        <f t="shared" si="468"/>
        <v>3942.1800000000003</v>
      </c>
      <c r="R1143" s="13"/>
      <c r="S1143" s="13">
        <f t="shared" si="469"/>
        <v>0</v>
      </c>
      <c r="T1143" s="13">
        <f t="shared" si="470"/>
        <v>39421.800000000003</v>
      </c>
      <c r="U1143" s="13">
        <f t="shared" si="471"/>
        <v>39421.800000000003</v>
      </c>
      <c r="V1143" s="13"/>
      <c r="W1143" s="13">
        <f t="shared" si="472"/>
        <v>0</v>
      </c>
    </row>
    <row r="1144" spans="2:23" s="9" customFormat="1">
      <c r="B1144" s="9">
        <v>2</v>
      </c>
      <c r="C1144" s="9" t="s">
        <v>828</v>
      </c>
      <c r="G1144" s="9">
        <v>2000</v>
      </c>
      <c r="H1144" s="9">
        <v>4</v>
      </c>
      <c r="I1144" s="9">
        <v>0</v>
      </c>
      <c r="J1144" s="9" t="s">
        <v>78</v>
      </c>
      <c r="K1144" s="158" t="s">
        <v>449</v>
      </c>
      <c r="L1144" s="9">
        <f t="shared" si="464"/>
        <v>2010</v>
      </c>
      <c r="M1144" s="127">
        <f t="shared" si="465"/>
        <v>2010.3333333333333</v>
      </c>
      <c r="N1144" s="13">
        <v>10507.05</v>
      </c>
      <c r="O1144" s="13">
        <f t="shared" si="466"/>
        <v>10507.05</v>
      </c>
      <c r="P1144" s="13">
        <f t="shared" si="467"/>
        <v>87.558749999999989</v>
      </c>
      <c r="Q1144" s="13">
        <f t="shared" si="468"/>
        <v>1050.7049999999999</v>
      </c>
      <c r="R1144" s="13"/>
      <c r="S1144" s="13">
        <f t="shared" si="469"/>
        <v>0</v>
      </c>
      <c r="T1144" s="13">
        <f t="shared" si="470"/>
        <v>10507.05</v>
      </c>
      <c r="U1144" s="13">
        <f t="shared" si="471"/>
        <v>10507.05</v>
      </c>
      <c r="V1144" s="13"/>
      <c r="W1144" s="13">
        <f t="shared" si="472"/>
        <v>0</v>
      </c>
    </row>
    <row r="1145" spans="2:23" s="9" customFormat="1">
      <c r="B1145" s="9">
        <v>9</v>
      </c>
      <c r="C1145" s="9" t="s">
        <v>560</v>
      </c>
      <c r="G1145" s="9">
        <v>2000</v>
      </c>
      <c r="H1145" s="9">
        <v>4</v>
      </c>
      <c r="I1145" s="9">
        <v>0</v>
      </c>
      <c r="J1145" s="9" t="s">
        <v>78</v>
      </c>
      <c r="K1145" s="158" t="s">
        <v>449</v>
      </c>
      <c r="L1145" s="9">
        <f t="shared" si="464"/>
        <v>2010</v>
      </c>
      <c r="M1145" s="127">
        <f t="shared" si="465"/>
        <v>2010.3333333333333</v>
      </c>
      <c r="N1145" s="13">
        <v>36109.5</v>
      </c>
      <c r="O1145" s="13">
        <f t="shared" si="466"/>
        <v>36109.5</v>
      </c>
      <c r="P1145" s="13">
        <f t="shared" si="467"/>
        <v>300.91249999999997</v>
      </c>
      <c r="Q1145" s="13">
        <f t="shared" si="468"/>
        <v>3610.95</v>
      </c>
      <c r="R1145" s="13"/>
      <c r="S1145" s="13">
        <f t="shared" si="469"/>
        <v>0</v>
      </c>
      <c r="T1145" s="13">
        <f t="shared" si="470"/>
        <v>36109.5</v>
      </c>
      <c r="U1145" s="13">
        <f t="shared" si="471"/>
        <v>36109.5</v>
      </c>
      <c r="V1145" s="13"/>
      <c r="W1145" s="13">
        <f t="shared" si="472"/>
        <v>0</v>
      </c>
    </row>
    <row r="1146" spans="2:23" s="9" customFormat="1">
      <c r="B1146" s="9">
        <v>4</v>
      </c>
      <c r="C1146" s="9" t="s">
        <v>560</v>
      </c>
      <c r="G1146" s="9">
        <v>2000</v>
      </c>
      <c r="H1146" s="9">
        <v>4</v>
      </c>
      <c r="I1146" s="9">
        <v>0</v>
      </c>
      <c r="J1146" s="9" t="s">
        <v>78</v>
      </c>
      <c r="K1146" s="158" t="s">
        <v>449</v>
      </c>
      <c r="L1146" s="9">
        <f t="shared" si="464"/>
        <v>2010</v>
      </c>
      <c r="M1146" s="127">
        <f t="shared" si="465"/>
        <v>2010.3333333333333</v>
      </c>
      <c r="N1146" s="13">
        <v>18326.25</v>
      </c>
      <c r="O1146" s="13">
        <f t="shared" si="466"/>
        <v>18326.25</v>
      </c>
      <c r="P1146" s="13">
        <f t="shared" si="467"/>
        <v>152.71875</v>
      </c>
      <c r="Q1146" s="13">
        <f t="shared" si="468"/>
        <v>1832.625</v>
      </c>
      <c r="R1146" s="13"/>
      <c r="S1146" s="13">
        <f t="shared" si="469"/>
        <v>0</v>
      </c>
      <c r="T1146" s="13">
        <f t="shared" si="470"/>
        <v>18326.25</v>
      </c>
      <c r="U1146" s="13">
        <f t="shared" si="471"/>
        <v>18326.25</v>
      </c>
      <c r="V1146" s="13"/>
      <c r="W1146" s="13">
        <f t="shared" si="472"/>
        <v>0</v>
      </c>
    </row>
    <row r="1147" spans="2:23" s="9" customFormat="1">
      <c r="K1147" s="158"/>
      <c r="M1147" s="146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</row>
    <row r="1148" spans="2:23" s="9" customFormat="1">
      <c r="B1148" s="9">
        <f>SUM(B1069:B1147)</f>
        <v>214</v>
      </c>
      <c r="C1148" s="9" t="s">
        <v>829</v>
      </c>
      <c r="K1148" s="158"/>
      <c r="M1148" s="146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</row>
    <row r="1149" spans="2:23" s="9" customFormat="1">
      <c r="K1149" s="158"/>
      <c r="M1149" s="146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</row>
    <row r="1150" spans="2:23" s="9" customFormat="1">
      <c r="B1150" s="9">
        <v>500</v>
      </c>
      <c r="C1150" s="9" t="s">
        <v>626</v>
      </c>
      <c r="E1150" s="9">
        <v>65433</v>
      </c>
      <c r="G1150" s="9">
        <v>2009</v>
      </c>
      <c r="H1150" s="9">
        <v>4</v>
      </c>
      <c r="I1150" s="9">
        <v>0</v>
      </c>
      <c r="J1150" s="9" t="s">
        <v>78</v>
      </c>
      <c r="K1150" s="158">
        <v>7</v>
      </c>
      <c r="L1150" s="9">
        <f>G1150+K1150</f>
        <v>2016</v>
      </c>
      <c r="M1150" s="127">
        <f>+L1150+(H1150/12)</f>
        <v>2016.3333333333333</v>
      </c>
      <c r="N1150" s="13">
        <v>17214.75</v>
      </c>
      <c r="O1150" s="13">
        <f>N1150-N1150*I1150</f>
        <v>17214.75</v>
      </c>
      <c r="P1150" s="13">
        <f>O1150/K1150/12</f>
        <v>204.9375</v>
      </c>
      <c r="Q1150" s="13">
        <f>P1150*12</f>
        <v>2459.25</v>
      </c>
      <c r="R1150" s="13"/>
      <c r="S1150" s="13">
        <f>+IF(M1150&lt;=$O$5,0,IF(L1150&gt;$O$4,Q1150,(P1150*H1150)))</f>
        <v>0</v>
      </c>
      <c r="T1150" s="13">
        <f>+IF(S1150=0,N1150,IF($O$3-G1150&lt;1,0,(($O$3-G1150)*Q1150)))</f>
        <v>17214.75</v>
      </c>
      <c r="U1150" s="13">
        <f>+IF(S1150=0,T1150,T1150+S1150)</f>
        <v>17214.75</v>
      </c>
      <c r="V1150" s="13"/>
      <c r="W1150" s="13">
        <f>+N1150-U1150</f>
        <v>0</v>
      </c>
    </row>
    <row r="1151" spans="2:23" s="9" customFormat="1">
      <c r="B1151" s="9">
        <v>360</v>
      </c>
      <c r="C1151" s="9" t="s">
        <v>626</v>
      </c>
      <c r="E1151" s="9">
        <v>82068</v>
      </c>
      <c r="G1151" s="9">
        <v>2011</v>
      </c>
      <c r="H1151" s="9">
        <v>4</v>
      </c>
      <c r="I1151" s="9">
        <v>0</v>
      </c>
      <c r="J1151" s="9" t="s">
        <v>78</v>
      </c>
      <c r="K1151" s="158">
        <v>7</v>
      </c>
      <c r="L1151" s="9">
        <f>G1151+K1151</f>
        <v>2018</v>
      </c>
      <c r="M1151" s="127">
        <f>+L1151+(H1151/12)</f>
        <v>2018.3333333333333</v>
      </c>
      <c r="N1151" s="13">
        <v>12721.21</v>
      </c>
      <c r="O1151" s="13">
        <f>N1151-N1151*I1151</f>
        <v>12721.21</v>
      </c>
      <c r="P1151" s="13">
        <f>O1151/K1151/12</f>
        <v>151.44297619047617</v>
      </c>
      <c r="Q1151" s="13">
        <f>P1151*12</f>
        <v>1817.315714285714</v>
      </c>
      <c r="R1151" s="13"/>
      <c r="S1151" s="13">
        <f>+IF(M1151&lt;=$O$5,0,IF(L1151&gt;$O$4,Q1151,(P1151*H1151)))</f>
        <v>0</v>
      </c>
      <c r="T1151" s="13">
        <f>+IF(S1151=0,N1151,IF($O$3-G1151&lt;1,0,(($O$3-G1151)*Q1151)))</f>
        <v>12721.21</v>
      </c>
      <c r="U1151" s="13">
        <f>+IF(S1151=0,T1151,T1151+S1151)</f>
        <v>12721.21</v>
      </c>
      <c r="V1151" s="13"/>
      <c r="W1151" s="13">
        <f>+N1151-U1151</f>
        <v>0</v>
      </c>
    </row>
    <row r="1152" spans="2:23" s="9" customFormat="1">
      <c r="B1152" s="9">
        <v>440</v>
      </c>
      <c r="C1152" s="9" t="s">
        <v>626</v>
      </c>
      <c r="E1152" s="9">
        <v>82070</v>
      </c>
      <c r="G1152" s="9">
        <v>2011</v>
      </c>
      <c r="H1152" s="9">
        <v>4</v>
      </c>
      <c r="I1152" s="9">
        <v>0</v>
      </c>
      <c r="J1152" s="9" t="s">
        <v>78</v>
      </c>
      <c r="K1152" s="158">
        <v>7</v>
      </c>
      <c r="L1152" s="9">
        <f>G1152+K1152</f>
        <v>2018</v>
      </c>
      <c r="M1152" s="127">
        <f>+L1152+(H1152/12)</f>
        <v>2018.3333333333333</v>
      </c>
      <c r="N1152" s="13">
        <v>15548.14</v>
      </c>
      <c r="O1152" s="13">
        <f>N1152-N1152*I1152</f>
        <v>15548.14</v>
      </c>
      <c r="P1152" s="13">
        <f>O1152/K1152/12</f>
        <v>185.09690476190474</v>
      </c>
      <c r="Q1152" s="13">
        <f>P1152*12</f>
        <v>2221.1628571428569</v>
      </c>
      <c r="R1152" s="13"/>
      <c r="S1152" s="13">
        <f>+IF(M1152&lt;=$O$5,0,IF(L1152&gt;$O$4,Q1152,(P1152*H1152)))</f>
        <v>0</v>
      </c>
      <c r="T1152" s="13">
        <f>+IF(S1152=0,N1152,IF($O$3-G1152&lt;1,0,(($O$3-G1152)*Q1152)))</f>
        <v>15548.14</v>
      </c>
      <c r="U1152" s="13">
        <f>+IF(S1152=0,T1152,T1152+S1152)</f>
        <v>15548.14</v>
      </c>
      <c r="V1152" s="13"/>
      <c r="W1152" s="13">
        <f>+N1152-U1152</f>
        <v>0</v>
      </c>
    </row>
    <row r="1153" spans="2:23" s="9" customFormat="1">
      <c r="K1153" s="158"/>
      <c r="M1153" s="146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</row>
    <row r="1154" spans="2:23" s="9" customFormat="1">
      <c r="B1154" s="9">
        <f>SUM(B1150:B1153)</f>
        <v>1300</v>
      </c>
      <c r="C1154" s="9" t="s">
        <v>830</v>
      </c>
      <c r="K1154" s="158"/>
      <c r="M1154" s="146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</row>
    <row r="1155" spans="2:23" s="9" customFormat="1">
      <c r="K1155" s="158"/>
      <c r="M1155" s="146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</row>
    <row r="1156" spans="2:23" s="9" customFormat="1">
      <c r="B1156" s="9">
        <v>21</v>
      </c>
      <c r="C1156" s="9" t="s">
        <v>565</v>
      </c>
      <c r="G1156" s="9">
        <v>2001</v>
      </c>
      <c r="H1156" s="9">
        <v>6</v>
      </c>
      <c r="I1156" s="9">
        <v>0</v>
      </c>
      <c r="J1156" s="9" t="s">
        <v>78</v>
      </c>
      <c r="K1156" s="158" t="s">
        <v>449</v>
      </c>
      <c r="L1156" s="9">
        <f t="shared" ref="L1156:L1168" si="473">G1156+K1156</f>
        <v>2011</v>
      </c>
      <c r="M1156" s="127">
        <f t="shared" ref="M1156:M1168" si="474">+L1156+(H1156/12)</f>
        <v>2011.5</v>
      </c>
      <c r="N1156" s="13">
        <v>110845.44</v>
      </c>
      <c r="O1156" s="13">
        <f t="shared" ref="O1156:O1168" si="475">N1156-N1156*I1156</f>
        <v>110845.44</v>
      </c>
      <c r="P1156" s="13">
        <f t="shared" ref="P1156:P1168" si="476">O1156/K1156/12</f>
        <v>923.71199999999999</v>
      </c>
      <c r="Q1156" s="13">
        <f t="shared" ref="Q1156:Q1168" si="477">P1156*12</f>
        <v>11084.544</v>
      </c>
      <c r="R1156" s="13"/>
      <c r="S1156" s="13">
        <f t="shared" ref="S1156:S1168" si="478">+IF(M1156&lt;=$O$5,0,IF(L1156&gt;$O$4,Q1156,(P1156*H1156)))</f>
        <v>0</v>
      </c>
      <c r="T1156" s="13">
        <f t="shared" ref="T1156:T1168" si="479">+IF(S1156=0,N1156,IF($O$3-G1156&lt;1,0,(($O$3-G1156)*Q1156)))</f>
        <v>110845.44</v>
      </c>
      <c r="U1156" s="13">
        <f t="shared" ref="U1156:U1168" si="480">+IF(S1156=0,T1156,T1156+S1156)</f>
        <v>110845.44</v>
      </c>
      <c r="V1156" s="13"/>
      <c r="W1156" s="13">
        <f t="shared" ref="W1156:W1168" si="481">+N1156-U1156</f>
        <v>0</v>
      </c>
    </row>
    <row r="1157" spans="2:23" s="9" customFormat="1">
      <c r="B1157" s="9">
        <v>2</v>
      </c>
      <c r="C1157" s="9" t="s">
        <v>565</v>
      </c>
      <c r="G1157" s="9">
        <v>2002</v>
      </c>
      <c r="H1157" s="9">
        <v>3</v>
      </c>
      <c r="I1157" s="9">
        <v>0</v>
      </c>
      <c r="J1157" s="9" t="s">
        <v>78</v>
      </c>
      <c r="K1157" s="158" t="s">
        <v>449</v>
      </c>
      <c r="L1157" s="9">
        <f t="shared" si="473"/>
        <v>2012</v>
      </c>
      <c r="M1157" s="127">
        <f t="shared" si="474"/>
        <v>2012.25</v>
      </c>
      <c r="N1157" s="13">
        <v>9617.92</v>
      </c>
      <c r="O1157" s="13">
        <f t="shared" si="475"/>
        <v>9617.92</v>
      </c>
      <c r="P1157" s="13">
        <f t="shared" si="476"/>
        <v>80.149333333333331</v>
      </c>
      <c r="Q1157" s="13">
        <f t="shared" si="477"/>
        <v>961.79199999999992</v>
      </c>
      <c r="R1157" s="13"/>
      <c r="S1157" s="13">
        <f t="shared" si="478"/>
        <v>0</v>
      </c>
      <c r="T1157" s="13">
        <f t="shared" si="479"/>
        <v>9617.92</v>
      </c>
      <c r="U1157" s="13">
        <f t="shared" si="480"/>
        <v>9617.92</v>
      </c>
      <c r="V1157" s="13"/>
      <c r="W1157" s="13">
        <f t="shared" si="481"/>
        <v>0</v>
      </c>
    </row>
    <row r="1158" spans="2:23" s="9" customFormat="1">
      <c r="B1158" s="9">
        <v>123</v>
      </c>
      <c r="C1158" s="9" t="s">
        <v>831</v>
      </c>
      <c r="G1158" s="9">
        <v>2002</v>
      </c>
      <c r="H1158" s="9">
        <v>10</v>
      </c>
      <c r="I1158" s="9">
        <v>0</v>
      </c>
      <c r="J1158" s="9" t="s">
        <v>78</v>
      </c>
      <c r="K1158" s="158" t="s">
        <v>449</v>
      </c>
      <c r="L1158" s="9">
        <f t="shared" si="473"/>
        <v>2012</v>
      </c>
      <c r="M1158" s="127">
        <f t="shared" si="474"/>
        <v>2012.8333333333333</v>
      </c>
      <c r="N1158" s="13">
        <v>50607.040000000001</v>
      </c>
      <c r="O1158" s="13">
        <f t="shared" si="475"/>
        <v>50607.040000000001</v>
      </c>
      <c r="P1158" s="13">
        <f t="shared" si="476"/>
        <v>421.72533333333331</v>
      </c>
      <c r="Q1158" s="13">
        <f t="shared" si="477"/>
        <v>5060.7039999999997</v>
      </c>
      <c r="R1158" s="13"/>
      <c r="S1158" s="13">
        <f t="shared" si="478"/>
        <v>0</v>
      </c>
      <c r="T1158" s="13">
        <f t="shared" si="479"/>
        <v>50607.040000000001</v>
      </c>
      <c r="U1158" s="13">
        <f t="shared" si="480"/>
        <v>50607.040000000001</v>
      </c>
      <c r="V1158" s="13"/>
      <c r="W1158" s="13">
        <f t="shared" si="481"/>
        <v>0</v>
      </c>
    </row>
    <row r="1159" spans="2:23" s="9" customFormat="1">
      <c r="B1159" s="9">
        <v>6</v>
      </c>
      <c r="C1159" s="9" t="s">
        <v>565</v>
      </c>
      <c r="G1159" s="9">
        <v>2003</v>
      </c>
      <c r="H1159" s="9">
        <v>1</v>
      </c>
      <c r="I1159" s="9">
        <v>0</v>
      </c>
      <c r="J1159" s="9" t="s">
        <v>78</v>
      </c>
      <c r="K1159" s="158" t="s">
        <v>449</v>
      </c>
      <c r="L1159" s="9">
        <f t="shared" si="473"/>
        <v>2013</v>
      </c>
      <c r="M1159" s="127">
        <f t="shared" si="474"/>
        <v>2013.0833333333333</v>
      </c>
      <c r="N1159" s="13">
        <v>32634.560000000001</v>
      </c>
      <c r="O1159" s="13">
        <f t="shared" si="475"/>
        <v>32634.560000000001</v>
      </c>
      <c r="P1159" s="13">
        <f t="shared" si="476"/>
        <v>271.9546666666667</v>
      </c>
      <c r="Q1159" s="13">
        <f t="shared" si="477"/>
        <v>3263.4560000000001</v>
      </c>
      <c r="R1159" s="13"/>
      <c r="S1159" s="13">
        <f t="shared" si="478"/>
        <v>0</v>
      </c>
      <c r="T1159" s="13">
        <f t="shared" si="479"/>
        <v>32634.560000000001</v>
      </c>
      <c r="U1159" s="13">
        <f t="shared" si="480"/>
        <v>32634.560000000001</v>
      </c>
      <c r="V1159" s="13"/>
      <c r="W1159" s="13">
        <f t="shared" si="481"/>
        <v>0</v>
      </c>
    </row>
    <row r="1160" spans="2:23" s="9" customFormat="1">
      <c r="B1160" s="9">
        <v>3</v>
      </c>
      <c r="C1160" s="9" t="s">
        <v>565</v>
      </c>
      <c r="G1160" s="9">
        <v>2003</v>
      </c>
      <c r="H1160" s="9">
        <v>4</v>
      </c>
      <c r="I1160" s="9">
        <v>0</v>
      </c>
      <c r="J1160" s="9" t="s">
        <v>78</v>
      </c>
      <c r="K1160" s="158" t="s">
        <v>449</v>
      </c>
      <c r="L1160" s="9">
        <f t="shared" si="473"/>
        <v>2013</v>
      </c>
      <c r="M1160" s="127">
        <f t="shared" si="474"/>
        <v>2013.3333333333333</v>
      </c>
      <c r="N1160" s="13">
        <v>18648.32</v>
      </c>
      <c r="O1160" s="13">
        <f t="shared" si="475"/>
        <v>18648.32</v>
      </c>
      <c r="P1160" s="13">
        <f t="shared" si="476"/>
        <v>155.40266666666665</v>
      </c>
      <c r="Q1160" s="13">
        <f t="shared" si="477"/>
        <v>1864.8319999999999</v>
      </c>
      <c r="R1160" s="13"/>
      <c r="S1160" s="13">
        <f t="shared" si="478"/>
        <v>0</v>
      </c>
      <c r="T1160" s="13">
        <f t="shared" si="479"/>
        <v>18648.32</v>
      </c>
      <c r="U1160" s="13">
        <f t="shared" si="480"/>
        <v>18648.32</v>
      </c>
      <c r="V1160" s="13"/>
      <c r="W1160" s="13">
        <f t="shared" si="481"/>
        <v>0</v>
      </c>
    </row>
    <row r="1161" spans="2:23" s="9" customFormat="1">
      <c r="B1161" s="9">
        <v>2</v>
      </c>
      <c r="C1161" s="9" t="s">
        <v>832</v>
      </c>
      <c r="G1161" s="9">
        <v>2003</v>
      </c>
      <c r="H1161" s="9">
        <v>8</v>
      </c>
      <c r="I1161" s="9">
        <v>0</v>
      </c>
      <c r="J1161" s="9" t="s">
        <v>78</v>
      </c>
      <c r="K1161" s="158" t="s">
        <v>449</v>
      </c>
      <c r="L1161" s="9">
        <f t="shared" si="473"/>
        <v>2013</v>
      </c>
      <c r="M1161" s="127">
        <f t="shared" si="474"/>
        <v>2013.6666666666667</v>
      </c>
      <c r="N1161" s="13">
        <v>9324.16</v>
      </c>
      <c r="O1161" s="13">
        <f t="shared" si="475"/>
        <v>9324.16</v>
      </c>
      <c r="P1161" s="13">
        <f t="shared" si="476"/>
        <v>77.701333333333324</v>
      </c>
      <c r="Q1161" s="13">
        <f t="shared" si="477"/>
        <v>932.41599999999994</v>
      </c>
      <c r="R1161" s="13"/>
      <c r="S1161" s="13">
        <f t="shared" si="478"/>
        <v>0</v>
      </c>
      <c r="T1161" s="13">
        <f t="shared" si="479"/>
        <v>9324.16</v>
      </c>
      <c r="U1161" s="13">
        <f t="shared" si="480"/>
        <v>9324.16</v>
      </c>
      <c r="V1161" s="13"/>
      <c r="W1161" s="13">
        <f t="shared" si="481"/>
        <v>0</v>
      </c>
    </row>
    <row r="1162" spans="2:23" s="9" customFormat="1">
      <c r="B1162" s="9">
        <v>3</v>
      </c>
      <c r="C1162" s="9" t="s">
        <v>565</v>
      </c>
      <c r="G1162" s="9">
        <v>2003</v>
      </c>
      <c r="H1162" s="9">
        <v>11</v>
      </c>
      <c r="I1162" s="9">
        <v>0</v>
      </c>
      <c r="J1162" s="9" t="s">
        <v>78</v>
      </c>
      <c r="K1162" s="158" t="s">
        <v>449</v>
      </c>
      <c r="L1162" s="9">
        <f t="shared" si="473"/>
        <v>2013</v>
      </c>
      <c r="M1162" s="127">
        <f t="shared" si="474"/>
        <v>2013.9166666666667</v>
      </c>
      <c r="N1162" s="13">
        <v>18648.32</v>
      </c>
      <c r="O1162" s="13">
        <f t="shared" si="475"/>
        <v>18648.32</v>
      </c>
      <c r="P1162" s="13">
        <f t="shared" si="476"/>
        <v>155.40266666666665</v>
      </c>
      <c r="Q1162" s="13">
        <f t="shared" si="477"/>
        <v>1864.8319999999999</v>
      </c>
      <c r="R1162" s="13"/>
      <c r="S1162" s="13">
        <f t="shared" si="478"/>
        <v>0</v>
      </c>
      <c r="T1162" s="13">
        <f t="shared" si="479"/>
        <v>18648.32</v>
      </c>
      <c r="U1162" s="13">
        <f t="shared" si="480"/>
        <v>18648.32</v>
      </c>
      <c r="V1162" s="13"/>
      <c r="W1162" s="13">
        <f t="shared" si="481"/>
        <v>0</v>
      </c>
    </row>
    <row r="1163" spans="2:23" s="9" customFormat="1">
      <c r="B1163" s="9">
        <v>2</v>
      </c>
      <c r="C1163" s="9" t="s">
        <v>565</v>
      </c>
      <c r="G1163" s="9">
        <v>2004</v>
      </c>
      <c r="H1163" s="9">
        <v>3</v>
      </c>
      <c r="I1163" s="9">
        <v>0</v>
      </c>
      <c r="J1163" s="9" t="s">
        <v>78</v>
      </c>
      <c r="K1163" s="158" t="s">
        <v>449</v>
      </c>
      <c r="L1163" s="9">
        <f t="shared" si="473"/>
        <v>2014</v>
      </c>
      <c r="M1163" s="127">
        <f t="shared" si="474"/>
        <v>2014.25</v>
      </c>
      <c r="N1163" s="13">
        <v>12158.4</v>
      </c>
      <c r="O1163" s="13">
        <f t="shared" si="475"/>
        <v>12158.4</v>
      </c>
      <c r="P1163" s="13">
        <f t="shared" si="476"/>
        <v>101.32</v>
      </c>
      <c r="Q1163" s="13">
        <f t="shared" si="477"/>
        <v>1215.8399999999999</v>
      </c>
      <c r="R1163" s="13"/>
      <c r="S1163" s="13">
        <f t="shared" si="478"/>
        <v>0</v>
      </c>
      <c r="T1163" s="13">
        <f t="shared" si="479"/>
        <v>12158.4</v>
      </c>
      <c r="U1163" s="13">
        <f t="shared" si="480"/>
        <v>12158.4</v>
      </c>
      <c r="V1163" s="13"/>
      <c r="W1163" s="13">
        <f t="shared" si="481"/>
        <v>0</v>
      </c>
    </row>
    <row r="1164" spans="2:23" s="9" customFormat="1">
      <c r="B1164" s="9">
        <v>4</v>
      </c>
      <c r="C1164" s="9" t="s">
        <v>565</v>
      </c>
      <c r="G1164" s="9">
        <v>2004</v>
      </c>
      <c r="H1164" s="9">
        <v>4</v>
      </c>
      <c r="I1164" s="9">
        <v>0</v>
      </c>
      <c r="J1164" s="9" t="s">
        <v>78</v>
      </c>
      <c r="K1164" s="158" t="s">
        <v>449</v>
      </c>
      <c r="L1164" s="9">
        <f t="shared" si="473"/>
        <v>2014</v>
      </c>
      <c r="M1164" s="127">
        <f t="shared" si="474"/>
        <v>2014.3333333333333</v>
      </c>
      <c r="N1164" s="13">
        <v>20084.48</v>
      </c>
      <c r="O1164" s="13">
        <f t="shared" si="475"/>
        <v>20084.48</v>
      </c>
      <c r="P1164" s="13">
        <f t="shared" si="476"/>
        <v>167.37066666666666</v>
      </c>
      <c r="Q1164" s="13">
        <f t="shared" si="477"/>
        <v>2008.4479999999999</v>
      </c>
      <c r="R1164" s="13"/>
      <c r="S1164" s="13">
        <f t="shared" si="478"/>
        <v>0</v>
      </c>
      <c r="T1164" s="13">
        <f t="shared" si="479"/>
        <v>20084.48</v>
      </c>
      <c r="U1164" s="13">
        <f t="shared" si="480"/>
        <v>20084.48</v>
      </c>
      <c r="V1164" s="13"/>
      <c r="W1164" s="13">
        <f t="shared" si="481"/>
        <v>0</v>
      </c>
    </row>
    <row r="1165" spans="2:23" s="9" customFormat="1">
      <c r="B1165" s="9">
        <v>4</v>
      </c>
      <c r="C1165" s="9" t="s">
        <v>565</v>
      </c>
      <c r="G1165" s="9">
        <v>2004</v>
      </c>
      <c r="H1165" s="9">
        <v>5</v>
      </c>
      <c r="I1165" s="9">
        <v>0</v>
      </c>
      <c r="J1165" s="9" t="s">
        <v>78</v>
      </c>
      <c r="K1165" s="158" t="s">
        <v>449</v>
      </c>
      <c r="L1165" s="9">
        <f t="shared" si="473"/>
        <v>2014</v>
      </c>
      <c r="M1165" s="127">
        <f t="shared" si="474"/>
        <v>2014.4166666666667</v>
      </c>
      <c r="N1165" s="13">
        <v>21716.48</v>
      </c>
      <c r="O1165" s="13">
        <f t="shared" si="475"/>
        <v>21716.48</v>
      </c>
      <c r="P1165" s="13">
        <f t="shared" si="476"/>
        <v>180.97066666666669</v>
      </c>
      <c r="Q1165" s="13">
        <f t="shared" si="477"/>
        <v>2171.6480000000001</v>
      </c>
      <c r="R1165" s="13"/>
      <c r="S1165" s="13">
        <f t="shared" si="478"/>
        <v>0</v>
      </c>
      <c r="T1165" s="13">
        <f t="shared" si="479"/>
        <v>21716.48</v>
      </c>
      <c r="U1165" s="13">
        <f t="shared" si="480"/>
        <v>21716.48</v>
      </c>
      <c r="V1165" s="13"/>
      <c r="W1165" s="13">
        <f t="shared" si="481"/>
        <v>0</v>
      </c>
    </row>
    <row r="1166" spans="2:23" s="9" customFormat="1">
      <c r="B1166" s="9">
        <v>7</v>
      </c>
      <c r="C1166" s="9" t="s">
        <v>565</v>
      </c>
      <c r="G1166" s="9">
        <v>2004</v>
      </c>
      <c r="H1166" s="9">
        <v>6</v>
      </c>
      <c r="I1166" s="9">
        <v>0</v>
      </c>
      <c r="J1166" s="9" t="s">
        <v>78</v>
      </c>
      <c r="K1166" s="158" t="s">
        <v>449</v>
      </c>
      <c r="L1166" s="9">
        <f t="shared" si="473"/>
        <v>2014</v>
      </c>
      <c r="M1166" s="127">
        <f t="shared" si="474"/>
        <v>2014.5</v>
      </c>
      <c r="N1166" s="13">
        <v>37764.480000000003</v>
      </c>
      <c r="O1166" s="13">
        <f t="shared" si="475"/>
        <v>37764.480000000003</v>
      </c>
      <c r="P1166" s="13">
        <f t="shared" si="476"/>
        <v>314.70400000000001</v>
      </c>
      <c r="Q1166" s="13">
        <f t="shared" si="477"/>
        <v>3776.4480000000003</v>
      </c>
      <c r="R1166" s="13"/>
      <c r="S1166" s="13">
        <f t="shared" si="478"/>
        <v>0</v>
      </c>
      <c r="T1166" s="13">
        <f t="shared" si="479"/>
        <v>37764.480000000003</v>
      </c>
      <c r="U1166" s="13">
        <f t="shared" si="480"/>
        <v>37764.480000000003</v>
      </c>
      <c r="V1166" s="13"/>
      <c r="W1166" s="13">
        <f t="shared" si="481"/>
        <v>0</v>
      </c>
    </row>
    <row r="1167" spans="2:23" s="9" customFormat="1">
      <c r="B1167" s="9">
        <v>5</v>
      </c>
      <c r="C1167" s="9" t="s">
        <v>565</v>
      </c>
      <c r="G1167" s="9">
        <v>2004</v>
      </c>
      <c r="H1167" s="9">
        <v>12</v>
      </c>
      <c r="I1167" s="9">
        <v>0</v>
      </c>
      <c r="J1167" s="9" t="s">
        <v>78</v>
      </c>
      <c r="K1167" s="158" t="s">
        <v>449</v>
      </c>
      <c r="L1167" s="9">
        <f t="shared" si="473"/>
        <v>2014</v>
      </c>
      <c r="M1167" s="127">
        <f t="shared" si="474"/>
        <v>2015</v>
      </c>
      <c r="N1167" s="13">
        <v>25393.919999999998</v>
      </c>
      <c r="O1167" s="13">
        <f t="shared" si="475"/>
        <v>25393.919999999998</v>
      </c>
      <c r="P1167" s="13">
        <f t="shared" si="476"/>
        <v>211.61599999999999</v>
      </c>
      <c r="Q1167" s="13">
        <f t="shared" si="477"/>
        <v>2539.3919999999998</v>
      </c>
      <c r="R1167" s="13"/>
      <c r="S1167" s="13">
        <f t="shared" si="478"/>
        <v>0</v>
      </c>
      <c r="T1167" s="13">
        <f t="shared" si="479"/>
        <v>25393.919999999998</v>
      </c>
      <c r="U1167" s="13">
        <f t="shared" si="480"/>
        <v>25393.919999999998</v>
      </c>
      <c r="V1167" s="13"/>
      <c r="W1167" s="13">
        <f t="shared" si="481"/>
        <v>0</v>
      </c>
    </row>
    <row r="1168" spans="2:23" s="9" customFormat="1">
      <c r="B1168" s="9">
        <v>160</v>
      </c>
      <c r="C1168" s="9" t="s">
        <v>833</v>
      </c>
      <c r="E1168" s="9">
        <v>182369</v>
      </c>
      <c r="G1168" s="9">
        <v>2008</v>
      </c>
      <c r="H1168" s="9">
        <v>11</v>
      </c>
      <c r="I1168" s="9">
        <v>0</v>
      </c>
      <c r="J1168" s="9" t="s">
        <v>78</v>
      </c>
      <c r="K1168" s="158">
        <v>7</v>
      </c>
      <c r="L1168" s="9">
        <f t="shared" si="473"/>
        <v>2015</v>
      </c>
      <c r="M1168" s="127">
        <f t="shared" si="474"/>
        <v>2015.9166666666667</v>
      </c>
      <c r="N1168" s="13">
        <v>72645.960000000006</v>
      </c>
      <c r="O1168" s="13">
        <f t="shared" si="475"/>
        <v>72645.960000000006</v>
      </c>
      <c r="P1168" s="13">
        <f t="shared" si="476"/>
        <v>864.83285714285728</v>
      </c>
      <c r="Q1168" s="13">
        <f t="shared" si="477"/>
        <v>10377.994285714287</v>
      </c>
      <c r="R1168" s="13"/>
      <c r="S1168" s="13">
        <f t="shared" si="478"/>
        <v>0</v>
      </c>
      <c r="T1168" s="13">
        <f t="shared" si="479"/>
        <v>72645.960000000006</v>
      </c>
      <c r="U1168" s="13">
        <f t="shared" si="480"/>
        <v>72645.960000000006</v>
      </c>
      <c r="V1168" s="13"/>
      <c r="W1168" s="13">
        <f t="shared" si="481"/>
        <v>0</v>
      </c>
    </row>
    <row r="1169" spans="2:23" s="9" customFormat="1">
      <c r="K1169" s="158"/>
      <c r="M1169" s="146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</row>
    <row r="1170" spans="2:23" s="9" customFormat="1">
      <c r="B1170" s="9">
        <f>SUM(B1156:B1169)</f>
        <v>342</v>
      </c>
      <c r="C1170" s="9" t="s">
        <v>834</v>
      </c>
      <c r="K1170" s="158"/>
      <c r="M1170" s="146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</row>
    <row r="1171" spans="2:23" s="9" customFormat="1">
      <c r="K1171" s="158"/>
      <c r="M1171" s="146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</row>
    <row r="1172" spans="2:23" s="9" customFormat="1">
      <c r="B1172" s="9">
        <v>277</v>
      </c>
      <c r="C1172" s="9" t="s">
        <v>835</v>
      </c>
      <c r="G1172" s="9">
        <v>2005</v>
      </c>
      <c r="H1172" s="9">
        <v>5</v>
      </c>
      <c r="I1172" s="9">
        <v>0</v>
      </c>
      <c r="J1172" s="9" t="s">
        <v>78</v>
      </c>
      <c r="K1172" s="158">
        <v>7</v>
      </c>
      <c r="L1172" s="9">
        <f>G1172+K1172</f>
        <v>2012</v>
      </c>
      <c r="M1172" s="127">
        <f>+L1172+(H1172/12)</f>
        <v>2012.4166666666667</v>
      </c>
      <c r="N1172" s="13">
        <v>12998.34</v>
      </c>
      <c r="O1172" s="13">
        <f>N1172-N1172*I1172</f>
        <v>12998.34</v>
      </c>
      <c r="P1172" s="13">
        <f>O1172/K1172/12</f>
        <v>154.74214285714285</v>
      </c>
      <c r="Q1172" s="13">
        <f>P1172*12</f>
        <v>1856.9057142857141</v>
      </c>
      <c r="R1172" s="13"/>
      <c r="S1172" s="13">
        <f>+IF(M1172&lt;=$O$5,0,IF(L1172&gt;$O$4,Q1172,(P1172*H1172)))</f>
        <v>0</v>
      </c>
      <c r="T1172" s="13">
        <f>+IF(S1172=0,N1172,IF($O$3-G1172&lt;1,0,(($O$3-G1172)*Q1172)))</f>
        <v>12998.34</v>
      </c>
      <c r="U1172" s="13">
        <f>+IF(S1172=0,T1172,T1172+S1172)</f>
        <v>12998.34</v>
      </c>
      <c r="V1172" s="13"/>
      <c r="W1172" s="13">
        <f>+N1172-U1172</f>
        <v>0</v>
      </c>
    </row>
    <row r="1173" spans="2:23" s="9" customFormat="1">
      <c r="B1173" s="9">
        <v>270</v>
      </c>
      <c r="C1173" s="9" t="s">
        <v>836</v>
      </c>
      <c r="G1173" s="9">
        <v>2005</v>
      </c>
      <c r="H1173" s="9">
        <v>3</v>
      </c>
      <c r="I1173" s="9">
        <v>0</v>
      </c>
      <c r="J1173" s="9" t="s">
        <v>78</v>
      </c>
      <c r="K1173" s="158">
        <v>7</v>
      </c>
      <c r="L1173" s="9">
        <f>G1173+K1173</f>
        <v>2012</v>
      </c>
      <c r="M1173" s="127">
        <f>+L1173+(H1173/12)</f>
        <v>2012.25</v>
      </c>
      <c r="N1173" s="13">
        <v>12694.78</v>
      </c>
      <c r="O1173" s="13">
        <f>N1173-N1173*I1173</f>
        <v>12694.78</v>
      </c>
      <c r="P1173" s="13">
        <f>O1173/K1173/12</f>
        <v>151.12833333333336</v>
      </c>
      <c r="Q1173" s="13">
        <f>P1173*12</f>
        <v>1813.5400000000004</v>
      </c>
      <c r="R1173" s="13"/>
      <c r="S1173" s="13">
        <f>+IF(M1173&lt;=$O$5,0,IF(L1173&gt;$O$4,Q1173,(P1173*H1173)))</f>
        <v>0</v>
      </c>
      <c r="T1173" s="13">
        <f>+IF(S1173=0,N1173,IF($O$3-G1173&lt;1,0,(($O$3-G1173)*Q1173)))</f>
        <v>12694.78</v>
      </c>
      <c r="U1173" s="13">
        <f>+IF(S1173=0,T1173,T1173+S1173)</f>
        <v>12694.78</v>
      </c>
      <c r="V1173" s="13"/>
      <c r="W1173" s="13">
        <f>+N1173-U1173</f>
        <v>0</v>
      </c>
    </row>
    <row r="1174" spans="2:23" s="9" customFormat="1" ht="15.75" thickBot="1">
      <c r="K1174" s="158"/>
      <c r="M1174" s="146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</row>
    <row r="1175" spans="2:23" s="9" customFormat="1" ht="15.75" thickBot="1">
      <c r="B1175" s="166">
        <f>SUM(B1172:B1174)</f>
        <v>547</v>
      </c>
      <c r="C1175" s="167" t="s">
        <v>837</v>
      </c>
      <c r="K1175" s="158"/>
      <c r="M1175" s="146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</row>
    <row r="1176" spans="2:23" s="9" customFormat="1">
      <c r="K1176" s="158"/>
      <c r="M1176" s="146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</row>
    <row r="1177" spans="2:23" s="9" customFormat="1">
      <c r="B1177" s="9">
        <v>200</v>
      </c>
      <c r="C1177" s="9" t="s">
        <v>838</v>
      </c>
      <c r="G1177" s="9">
        <v>1993</v>
      </c>
      <c r="H1177" s="9">
        <v>9</v>
      </c>
      <c r="I1177" s="9">
        <v>0</v>
      </c>
      <c r="J1177" s="9" t="s">
        <v>78</v>
      </c>
      <c r="K1177" s="158">
        <v>7</v>
      </c>
      <c r="L1177" s="9">
        <f t="shared" ref="L1177:L1204" si="482">G1177+K1177</f>
        <v>2000</v>
      </c>
      <c r="M1177" s="127">
        <f t="shared" ref="M1177:M1204" si="483">+L1177+(H1177/12)</f>
        <v>2000.75</v>
      </c>
      <c r="N1177" s="13">
        <v>9271</v>
      </c>
      <c r="O1177" s="13">
        <f t="shared" ref="O1177:O1204" si="484">N1177-N1177*I1177</f>
        <v>9271</v>
      </c>
      <c r="P1177" s="13">
        <f t="shared" ref="P1177:P1204" si="485">O1177/K1177/12</f>
        <v>110.36904761904761</v>
      </c>
      <c r="Q1177" s="13">
        <f t="shared" ref="Q1177:Q1204" si="486">P1177*12</f>
        <v>1324.4285714285713</v>
      </c>
      <c r="R1177" s="13"/>
      <c r="S1177" s="13">
        <f t="shared" ref="S1177:S1204" si="487">+IF(M1177&lt;=$O$5,0,IF(L1177&gt;$O$4,Q1177,(P1177*H1177)))</f>
        <v>0</v>
      </c>
      <c r="T1177" s="13">
        <f t="shared" ref="T1177:T1204" si="488">+IF(S1177=0,N1177,IF($O$3-G1177&lt;1,0,(($O$3-G1177)*Q1177)))</f>
        <v>9271</v>
      </c>
      <c r="U1177" s="13">
        <f t="shared" ref="U1177:U1204" si="489">+IF(S1177=0,T1177,T1177+S1177)</f>
        <v>9271</v>
      </c>
      <c r="V1177" s="13"/>
      <c r="W1177" s="13">
        <f t="shared" ref="W1177:W1204" si="490">+N1177-U1177</f>
        <v>0</v>
      </c>
    </row>
    <row r="1178" spans="2:23" s="9" customFormat="1">
      <c r="B1178" s="9">
        <v>517</v>
      </c>
      <c r="C1178" s="9" t="s">
        <v>839</v>
      </c>
      <c r="G1178" s="9">
        <v>1994</v>
      </c>
      <c r="H1178" s="9">
        <v>12</v>
      </c>
      <c r="I1178" s="9">
        <v>0</v>
      </c>
      <c r="J1178" s="9" t="s">
        <v>78</v>
      </c>
      <c r="K1178" s="158">
        <v>7</v>
      </c>
      <c r="L1178" s="9">
        <f t="shared" si="482"/>
        <v>2001</v>
      </c>
      <c r="M1178" s="127">
        <f t="shared" si="483"/>
        <v>2002</v>
      </c>
      <c r="N1178" s="13">
        <v>24278</v>
      </c>
      <c r="O1178" s="13">
        <f t="shared" si="484"/>
        <v>24278</v>
      </c>
      <c r="P1178" s="13">
        <f t="shared" si="485"/>
        <v>289.02380952380952</v>
      </c>
      <c r="Q1178" s="13">
        <f t="shared" si="486"/>
        <v>3468.2857142857142</v>
      </c>
      <c r="R1178" s="13"/>
      <c r="S1178" s="13">
        <f t="shared" si="487"/>
        <v>0</v>
      </c>
      <c r="T1178" s="13">
        <f t="shared" si="488"/>
        <v>24278</v>
      </c>
      <c r="U1178" s="13">
        <f t="shared" si="489"/>
        <v>24278</v>
      </c>
      <c r="V1178" s="13"/>
      <c r="W1178" s="13">
        <f t="shared" si="490"/>
        <v>0</v>
      </c>
    </row>
    <row r="1179" spans="2:23" s="9" customFormat="1">
      <c r="B1179" s="9">
        <v>500</v>
      </c>
      <c r="C1179" s="9" t="s">
        <v>839</v>
      </c>
      <c r="G1179" s="9">
        <v>1995</v>
      </c>
      <c r="H1179" s="9">
        <v>8</v>
      </c>
      <c r="I1179" s="9">
        <v>0</v>
      </c>
      <c r="J1179" s="9" t="s">
        <v>78</v>
      </c>
      <c r="K1179" s="158">
        <v>7</v>
      </c>
      <c r="L1179" s="9">
        <f t="shared" si="482"/>
        <v>2002</v>
      </c>
      <c r="M1179" s="127">
        <f t="shared" si="483"/>
        <v>2002.6666666666667</v>
      </c>
      <c r="N1179" s="13">
        <v>24278</v>
      </c>
      <c r="O1179" s="13">
        <f t="shared" si="484"/>
        <v>24278</v>
      </c>
      <c r="P1179" s="13">
        <f t="shared" si="485"/>
        <v>289.02380952380952</v>
      </c>
      <c r="Q1179" s="13">
        <f t="shared" si="486"/>
        <v>3468.2857142857142</v>
      </c>
      <c r="R1179" s="13"/>
      <c r="S1179" s="13">
        <f t="shared" si="487"/>
        <v>0</v>
      </c>
      <c r="T1179" s="13">
        <f t="shared" si="488"/>
        <v>24278</v>
      </c>
      <c r="U1179" s="13">
        <f t="shared" si="489"/>
        <v>24278</v>
      </c>
      <c r="V1179" s="13"/>
      <c r="W1179" s="13">
        <f t="shared" si="490"/>
        <v>0</v>
      </c>
    </row>
    <row r="1180" spans="2:23" s="9" customFormat="1">
      <c r="B1180" s="9">
        <v>500</v>
      </c>
      <c r="C1180" s="9" t="s">
        <v>839</v>
      </c>
      <c r="G1180" s="9">
        <v>1995</v>
      </c>
      <c r="H1180" s="9">
        <v>9</v>
      </c>
      <c r="I1180" s="9">
        <v>0</v>
      </c>
      <c r="J1180" s="9" t="s">
        <v>78</v>
      </c>
      <c r="K1180" s="158">
        <v>7</v>
      </c>
      <c r="L1180" s="9">
        <f t="shared" si="482"/>
        <v>2002</v>
      </c>
      <c r="M1180" s="127">
        <f t="shared" si="483"/>
        <v>2002.75</v>
      </c>
      <c r="N1180" s="13">
        <v>24278</v>
      </c>
      <c r="O1180" s="13">
        <f t="shared" si="484"/>
        <v>24278</v>
      </c>
      <c r="P1180" s="13">
        <f t="shared" si="485"/>
        <v>289.02380952380952</v>
      </c>
      <c r="Q1180" s="13">
        <f t="shared" si="486"/>
        <v>3468.2857142857142</v>
      </c>
      <c r="R1180" s="13"/>
      <c r="S1180" s="13">
        <f t="shared" si="487"/>
        <v>0</v>
      </c>
      <c r="T1180" s="13">
        <f t="shared" si="488"/>
        <v>24278</v>
      </c>
      <c r="U1180" s="13">
        <f t="shared" si="489"/>
        <v>24278</v>
      </c>
      <c r="V1180" s="13"/>
      <c r="W1180" s="13">
        <f t="shared" si="490"/>
        <v>0</v>
      </c>
    </row>
    <row r="1181" spans="2:23" s="9" customFormat="1">
      <c r="B1181" s="9">
        <v>500</v>
      </c>
      <c r="C1181" s="9" t="s">
        <v>838</v>
      </c>
      <c r="G1181" s="9">
        <v>1995</v>
      </c>
      <c r="H1181" s="9">
        <v>10</v>
      </c>
      <c r="I1181" s="9">
        <v>0</v>
      </c>
      <c r="J1181" s="9" t="s">
        <v>78</v>
      </c>
      <c r="K1181" s="158">
        <v>7</v>
      </c>
      <c r="L1181" s="9">
        <f t="shared" si="482"/>
        <v>2002</v>
      </c>
      <c r="M1181" s="127">
        <f t="shared" si="483"/>
        <v>2002.8333333333333</v>
      </c>
      <c r="N1181" s="13">
        <v>21500</v>
      </c>
      <c r="O1181" s="13">
        <f t="shared" si="484"/>
        <v>21500</v>
      </c>
      <c r="P1181" s="13">
        <f t="shared" si="485"/>
        <v>255.95238095238096</v>
      </c>
      <c r="Q1181" s="13">
        <f t="shared" si="486"/>
        <v>3071.4285714285716</v>
      </c>
      <c r="R1181" s="13"/>
      <c r="S1181" s="13">
        <f t="shared" si="487"/>
        <v>0</v>
      </c>
      <c r="T1181" s="13">
        <f t="shared" si="488"/>
        <v>21500</v>
      </c>
      <c r="U1181" s="13">
        <f t="shared" si="489"/>
        <v>21500</v>
      </c>
      <c r="V1181" s="13"/>
      <c r="W1181" s="13">
        <f t="shared" si="490"/>
        <v>0</v>
      </c>
    </row>
    <row r="1182" spans="2:23" s="9" customFormat="1">
      <c r="B1182" s="9">
        <v>1446</v>
      </c>
      <c r="C1182" s="9" t="s">
        <v>840</v>
      </c>
      <c r="G1182" s="9">
        <v>1996</v>
      </c>
      <c r="H1182" s="9">
        <v>2</v>
      </c>
      <c r="I1182" s="9">
        <v>0</v>
      </c>
      <c r="J1182" s="9" t="s">
        <v>78</v>
      </c>
      <c r="K1182" s="158">
        <v>7</v>
      </c>
      <c r="L1182" s="9">
        <f t="shared" si="482"/>
        <v>2003</v>
      </c>
      <c r="M1182" s="127">
        <f t="shared" si="483"/>
        <v>2003.1666666666667</v>
      </c>
      <c r="N1182" s="13">
        <v>67977</v>
      </c>
      <c r="O1182" s="13">
        <f t="shared" si="484"/>
        <v>67977</v>
      </c>
      <c r="P1182" s="13">
        <f t="shared" si="485"/>
        <v>809.25</v>
      </c>
      <c r="Q1182" s="13">
        <f t="shared" si="486"/>
        <v>9711</v>
      </c>
      <c r="R1182" s="13"/>
      <c r="S1182" s="13">
        <f t="shared" si="487"/>
        <v>0</v>
      </c>
      <c r="T1182" s="13">
        <f t="shared" si="488"/>
        <v>67977</v>
      </c>
      <c r="U1182" s="13">
        <f t="shared" si="489"/>
        <v>67977</v>
      </c>
      <c r="V1182" s="13"/>
      <c r="W1182" s="13">
        <f t="shared" si="490"/>
        <v>0</v>
      </c>
    </row>
    <row r="1183" spans="2:23" s="9" customFormat="1">
      <c r="B1183" s="9">
        <v>482</v>
      </c>
      <c r="C1183" s="9" t="s">
        <v>838</v>
      </c>
      <c r="G1183" s="9">
        <v>1996</v>
      </c>
      <c r="H1183" s="9">
        <v>4</v>
      </c>
      <c r="I1183" s="9">
        <v>0</v>
      </c>
      <c r="J1183" s="9" t="s">
        <v>78</v>
      </c>
      <c r="K1183" s="158">
        <v>7</v>
      </c>
      <c r="L1183" s="9">
        <f t="shared" si="482"/>
        <v>2003</v>
      </c>
      <c r="M1183" s="127">
        <f t="shared" si="483"/>
        <v>2003.3333333333333</v>
      </c>
      <c r="N1183" s="13">
        <v>22659</v>
      </c>
      <c r="O1183" s="13">
        <f t="shared" si="484"/>
        <v>22659</v>
      </c>
      <c r="P1183" s="13">
        <f t="shared" si="485"/>
        <v>269.75</v>
      </c>
      <c r="Q1183" s="13">
        <f t="shared" si="486"/>
        <v>3237</v>
      </c>
      <c r="R1183" s="13"/>
      <c r="S1183" s="13">
        <f t="shared" si="487"/>
        <v>0</v>
      </c>
      <c r="T1183" s="13">
        <f t="shared" si="488"/>
        <v>22659</v>
      </c>
      <c r="U1183" s="13">
        <f t="shared" si="489"/>
        <v>22659</v>
      </c>
      <c r="V1183" s="13"/>
      <c r="W1183" s="13">
        <f t="shared" si="490"/>
        <v>0</v>
      </c>
    </row>
    <row r="1184" spans="2:23" s="9" customFormat="1">
      <c r="B1184" s="9">
        <v>964</v>
      </c>
      <c r="C1184" s="9" t="s">
        <v>838</v>
      </c>
      <c r="G1184" s="9">
        <v>1996</v>
      </c>
      <c r="H1184" s="9">
        <v>5</v>
      </c>
      <c r="I1184" s="9">
        <v>0</v>
      </c>
      <c r="J1184" s="9" t="s">
        <v>78</v>
      </c>
      <c r="K1184" s="158">
        <v>7</v>
      </c>
      <c r="L1184" s="9">
        <f t="shared" si="482"/>
        <v>2003</v>
      </c>
      <c r="M1184" s="127">
        <f t="shared" si="483"/>
        <v>2003.4166666666667</v>
      </c>
      <c r="N1184" s="13">
        <v>45318</v>
      </c>
      <c r="O1184" s="13">
        <f t="shared" si="484"/>
        <v>45318</v>
      </c>
      <c r="P1184" s="13">
        <f t="shared" si="485"/>
        <v>539.5</v>
      </c>
      <c r="Q1184" s="13">
        <f t="shared" si="486"/>
        <v>6474</v>
      </c>
      <c r="R1184" s="13"/>
      <c r="S1184" s="13">
        <f t="shared" si="487"/>
        <v>0</v>
      </c>
      <c r="T1184" s="13">
        <f t="shared" si="488"/>
        <v>45318</v>
      </c>
      <c r="U1184" s="13">
        <f t="shared" si="489"/>
        <v>45318</v>
      </c>
      <c r="V1184" s="13"/>
      <c r="W1184" s="13">
        <f t="shared" si="490"/>
        <v>0</v>
      </c>
    </row>
    <row r="1185" spans="2:23" s="9" customFormat="1">
      <c r="B1185" s="9">
        <v>486</v>
      </c>
      <c r="C1185" s="9" t="s">
        <v>838</v>
      </c>
      <c r="G1185" s="9">
        <v>1996</v>
      </c>
      <c r="H1185" s="9">
        <v>5</v>
      </c>
      <c r="I1185" s="9">
        <v>0</v>
      </c>
      <c r="J1185" s="9" t="s">
        <v>78</v>
      </c>
      <c r="K1185" s="158">
        <v>7</v>
      </c>
      <c r="L1185" s="9">
        <f t="shared" si="482"/>
        <v>2003</v>
      </c>
      <c r="M1185" s="127">
        <f t="shared" si="483"/>
        <v>2003.4166666666667</v>
      </c>
      <c r="N1185" s="13">
        <v>22840</v>
      </c>
      <c r="O1185" s="13">
        <f t="shared" si="484"/>
        <v>22840</v>
      </c>
      <c r="P1185" s="13">
        <f t="shared" si="485"/>
        <v>271.90476190476187</v>
      </c>
      <c r="Q1185" s="13">
        <f t="shared" si="486"/>
        <v>3262.8571428571422</v>
      </c>
      <c r="R1185" s="13"/>
      <c r="S1185" s="13">
        <f t="shared" si="487"/>
        <v>0</v>
      </c>
      <c r="T1185" s="13">
        <f t="shared" si="488"/>
        <v>22840</v>
      </c>
      <c r="U1185" s="13">
        <f t="shared" si="489"/>
        <v>22840</v>
      </c>
      <c r="V1185" s="13"/>
      <c r="W1185" s="13">
        <f t="shared" si="490"/>
        <v>0</v>
      </c>
    </row>
    <row r="1186" spans="2:23" s="9" customFormat="1">
      <c r="B1186" s="9">
        <v>478</v>
      </c>
      <c r="C1186" s="9" t="s">
        <v>838</v>
      </c>
      <c r="G1186" s="9">
        <v>1996</v>
      </c>
      <c r="H1186" s="9">
        <v>5</v>
      </c>
      <c r="I1186" s="9">
        <v>0</v>
      </c>
      <c r="J1186" s="9" t="s">
        <v>78</v>
      </c>
      <c r="K1186" s="158">
        <v>7</v>
      </c>
      <c r="L1186" s="9">
        <f t="shared" si="482"/>
        <v>2003</v>
      </c>
      <c r="M1186" s="127">
        <f t="shared" si="483"/>
        <v>2003.4166666666667</v>
      </c>
      <c r="N1186" s="13">
        <v>22478</v>
      </c>
      <c r="O1186" s="13">
        <f t="shared" si="484"/>
        <v>22478</v>
      </c>
      <c r="P1186" s="13">
        <f t="shared" si="485"/>
        <v>267.59523809523813</v>
      </c>
      <c r="Q1186" s="13">
        <f t="shared" si="486"/>
        <v>3211.1428571428578</v>
      </c>
      <c r="R1186" s="13"/>
      <c r="S1186" s="13">
        <f t="shared" si="487"/>
        <v>0</v>
      </c>
      <c r="T1186" s="13">
        <f t="shared" si="488"/>
        <v>22478</v>
      </c>
      <c r="U1186" s="13">
        <f t="shared" si="489"/>
        <v>22478</v>
      </c>
      <c r="V1186" s="13"/>
      <c r="W1186" s="13">
        <f t="shared" si="490"/>
        <v>0</v>
      </c>
    </row>
    <row r="1187" spans="2:23" s="9" customFormat="1">
      <c r="B1187" s="9">
        <v>260</v>
      </c>
      <c r="C1187" s="9" t="s">
        <v>838</v>
      </c>
      <c r="G1187" s="9">
        <v>1996</v>
      </c>
      <c r="H1187" s="9">
        <v>8</v>
      </c>
      <c r="I1187" s="9">
        <v>0</v>
      </c>
      <c r="J1187" s="9" t="s">
        <v>78</v>
      </c>
      <c r="K1187" s="158">
        <v>7</v>
      </c>
      <c r="L1187" s="9">
        <f t="shared" si="482"/>
        <v>2003</v>
      </c>
      <c r="M1187" s="127">
        <f t="shared" si="483"/>
        <v>2003.6666666666667</v>
      </c>
      <c r="N1187" s="13">
        <v>11794</v>
      </c>
      <c r="O1187" s="13">
        <f t="shared" si="484"/>
        <v>11794</v>
      </c>
      <c r="P1187" s="13">
        <f t="shared" si="485"/>
        <v>140.4047619047619</v>
      </c>
      <c r="Q1187" s="13">
        <f t="shared" si="486"/>
        <v>1684.8571428571427</v>
      </c>
      <c r="R1187" s="13"/>
      <c r="S1187" s="13">
        <f t="shared" si="487"/>
        <v>0</v>
      </c>
      <c r="T1187" s="13">
        <f t="shared" si="488"/>
        <v>11794</v>
      </c>
      <c r="U1187" s="13">
        <f t="shared" si="489"/>
        <v>11794</v>
      </c>
      <c r="V1187" s="13"/>
      <c r="W1187" s="13">
        <f t="shared" si="490"/>
        <v>0</v>
      </c>
    </row>
    <row r="1188" spans="2:23" s="9" customFormat="1">
      <c r="B1188" s="9">
        <v>1587</v>
      </c>
      <c r="C1188" s="9" t="s">
        <v>841</v>
      </c>
      <c r="G1188" s="9">
        <v>1996</v>
      </c>
      <c r="H1188" s="9">
        <v>8</v>
      </c>
      <c r="I1188" s="9">
        <v>0</v>
      </c>
      <c r="J1188" s="9" t="s">
        <v>78</v>
      </c>
      <c r="K1188" s="158">
        <v>7</v>
      </c>
      <c r="L1188" s="9">
        <f t="shared" si="482"/>
        <v>2003</v>
      </c>
      <c r="M1188" s="127">
        <f t="shared" si="483"/>
        <v>2003.6666666666667</v>
      </c>
      <c r="N1188" s="13">
        <v>35993</v>
      </c>
      <c r="O1188" s="13">
        <f t="shared" si="484"/>
        <v>35993</v>
      </c>
      <c r="P1188" s="13">
        <f t="shared" si="485"/>
        <v>428.48809523809524</v>
      </c>
      <c r="Q1188" s="13">
        <f t="shared" si="486"/>
        <v>5141.8571428571431</v>
      </c>
      <c r="R1188" s="13"/>
      <c r="S1188" s="13">
        <f t="shared" si="487"/>
        <v>0</v>
      </c>
      <c r="T1188" s="13">
        <f t="shared" si="488"/>
        <v>35993</v>
      </c>
      <c r="U1188" s="13">
        <f t="shared" si="489"/>
        <v>35993</v>
      </c>
      <c r="V1188" s="13"/>
      <c r="W1188" s="13">
        <f t="shared" si="490"/>
        <v>0</v>
      </c>
    </row>
    <row r="1189" spans="2:23" s="9" customFormat="1">
      <c r="B1189" s="9">
        <v>766</v>
      </c>
      <c r="C1189" s="9" t="s">
        <v>842</v>
      </c>
      <c r="G1189" s="9">
        <v>1996</v>
      </c>
      <c r="H1189" s="9">
        <v>8</v>
      </c>
      <c r="I1189" s="9">
        <v>0</v>
      </c>
      <c r="J1189" s="9" t="s">
        <v>78</v>
      </c>
      <c r="K1189" s="158">
        <v>7</v>
      </c>
      <c r="L1189" s="9">
        <f t="shared" si="482"/>
        <v>2003</v>
      </c>
      <c r="M1189" s="127">
        <f t="shared" si="483"/>
        <v>2003.6666666666667</v>
      </c>
      <c r="N1189" s="13">
        <v>35993</v>
      </c>
      <c r="O1189" s="13">
        <f t="shared" si="484"/>
        <v>35993</v>
      </c>
      <c r="P1189" s="13">
        <f t="shared" si="485"/>
        <v>428.48809523809524</v>
      </c>
      <c r="Q1189" s="13">
        <f t="shared" si="486"/>
        <v>5141.8571428571431</v>
      </c>
      <c r="R1189" s="13"/>
      <c r="S1189" s="13">
        <f t="shared" si="487"/>
        <v>0</v>
      </c>
      <c r="T1189" s="13">
        <f t="shared" si="488"/>
        <v>35993</v>
      </c>
      <c r="U1189" s="13">
        <f t="shared" si="489"/>
        <v>35993</v>
      </c>
      <c r="V1189" s="13"/>
      <c r="W1189" s="13">
        <f t="shared" si="490"/>
        <v>0</v>
      </c>
    </row>
    <row r="1190" spans="2:23" s="9" customFormat="1">
      <c r="B1190" s="9">
        <v>954</v>
      </c>
      <c r="C1190" s="9" t="s">
        <v>838</v>
      </c>
      <c r="G1190" s="9">
        <v>1997</v>
      </c>
      <c r="H1190" s="9">
        <v>2</v>
      </c>
      <c r="I1190" s="9">
        <v>0</v>
      </c>
      <c r="J1190" s="9" t="s">
        <v>78</v>
      </c>
      <c r="K1190" s="158">
        <v>7</v>
      </c>
      <c r="L1190" s="9">
        <f t="shared" si="482"/>
        <v>2004</v>
      </c>
      <c r="M1190" s="127">
        <f t="shared" si="483"/>
        <v>2004.1666666666667</v>
      </c>
      <c r="N1190" s="13">
        <v>44688</v>
      </c>
      <c r="O1190" s="13">
        <f t="shared" si="484"/>
        <v>44688</v>
      </c>
      <c r="P1190" s="13">
        <f t="shared" si="485"/>
        <v>532</v>
      </c>
      <c r="Q1190" s="13">
        <f t="shared" si="486"/>
        <v>6384</v>
      </c>
      <c r="R1190" s="13"/>
      <c r="S1190" s="13">
        <f t="shared" si="487"/>
        <v>0</v>
      </c>
      <c r="T1190" s="13">
        <f t="shared" si="488"/>
        <v>44688</v>
      </c>
      <c r="U1190" s="13">
        <f t="shared" si="489"/>
        <v>44688</v>
      </c>
      <c r="V1190" s="13"/>
      <c r="W1190" s="13">
        <f t="shared" si="490"/>
        <v>0</v>
      </c>
    </row>
    <row r="1191" spans="2:23" s="9" customFormat="1">
      <c r="B1191" s="9">
        <v>560</v>
      </c>
      <c r="C1191" s="9" t="s">
        <v>838</v>
      </c>
      <c r="G1191" s="9">
        <v>1997</v>
      </c>
      <c r="H1191" s="9">
        <v>3</v>
      </c>
      <c r="I1191" s="9">
        <v>0</v>
      </c>
      <c r="J1191" s="9" t="s">
        <v>78</v>
      </c>
      <c r="K1191" s="158">
        <v>7</v>
      </c>
      <c r="L1191" s="9">
        <f t="shared" si="482"/>
        <v>2004</v>
      </c>
      <c r="M1191" s="127">
        <f t="shared" si="483"/>
        <v>2004.25</v>
      </c>
      <c r="N1191" s="13">
        <v>25402</v>
      </c>
      <c r="O1191" s="13">
        <f t="shared" si="484"/>
        <v>25402</v>
      </c>
      <c r="P1191" s="13">
        <f t="shared" si="485"/>
        <v>302.40476190476187</v>
      </c>
      <c r="Q1191" s="13">
        <f t="shared" si="486"/>
        <v>3628.8571428571422</v>
      </c>
      <c r="R1191" s="13"/>
      <c r="S1191" s="13">
        <f t="shared" si="487"/>
        <v>0</v>
      </c>
      <c r="T1191" s="13">
        <f t="shared" si="488"/>
        <v>25402</v>
      </c>
      <c r="U1191" s="13">
        <f t="shared" si="489"/>
        <v>25402</v>
      </c>
      <c r="V1191" s="13"/>
      <c r="W1191" s="13">
        <f t="shared" si="490"/>
        <v>0</v>
      </c>
    </row>
    <row r="1192" spans="2:23" s="9" customFormat="1">
      <c r="B1192" s="9">
        <v>560</v>
      </c>
      <c r="C1192" s="9" t="s">
        <v>838</v>
      </c>
      <c r="G1192" s="9">
        <v>1997</v>
      </c>
      <c r="H1192" s="9">
        <v>3</v>
      </c>
      <c r="I1192" s="9">
        <v>0</v>
      </c>
      <c r="J1192" s="9" t="s">
        <v>78</v>
      </c>
      <c r="K1192" s="158">
        <v>7</v>
      </c>
      <c r="L1192" s="9">
        <f t="shared" si="482"/>
        <v>2004</v>
      </c>
      <c r="M1192" s="127">
        <f t="shared" si="483"/>
        <v>2004.25</v>
      </c>
      <c r="N1192" s="13">
        <v>25402</v>
      </c>
      <c r="O1192" s="13">
        <f t="shared" si="484"/>
        <v>25402</v>
      </c>
      <c r="P1192" s="13">
        <f t="shared" si="485"/>
        <v>302.40476190476187</v>
      </c>
      <c r="Q1192" s="13">
        <f t="shared" si="486"/>
        <v>3628.8571428571422</v>
      </c>
      <c r="R1192" s="13"/>
      <c r="S1192" s="13">
        <f t="shared" si="487"/>
        <v>0</v>
      </c>
      <c r="T1192" s="13">
        <f t="shared" si="488"/>
        <v>25402</v>
      </c>
      <c r="U1192" s="13">
        <f t="shared" si="489"/>
        <v>25402</v>
      </c>
      <c r="V1192" s="13"/>
      <c r="W1192" s="13">
        <f t="shared" si="490"/>
        <v>0</v>
      </c>
    </row>
    <row r="1193" spans="2:23" s="9" customFormat="1">
      <c r="B1193" s="9">
        <v>580</v>
      </c>
      <c r="C1193" s="9" t="s">
        <v>613</v>
      </c>
      <c r="G1193" s="9">
        <v>1998</v>
      </c>
      <c r="H1193" s="9">
        <v>4</v>
      </c>
      <c r="I1193" s="9">
        <v>0</v>
      </c>
      <c r="J1193" s="9" t="s">
        <v>78</v>
      </c>
      <c r="K1193" s="158">
        <v>7</v>
      </c>
      <c r="L1193" s="9">
        <f t="shared" si="482"/>
        <v>2005</v>
      </c>
      <c r="M1193" s="127">
        <f t="shared" si="483"/>
        <v>2005.3333333333333</v>
      </c>
      <c r="N1193" s="13">
        <v>48636</v>
      </c>
      <c r="O1193" s="13">
        <f t="shared" si="484"/>
        <v>48636</v>
      </c>
      <c r="P1193" s="13">
        <f t="shared" si="485"/>
        <v>579</v>
      </c>
      <c r="Q1193" s="13">
        <f t="shared" si="486"/>
        <v>6948</v>
      </c>
      <c r="R1193" s="13"/>
      <c r="S1193" s="13">
        <f t="shared" si="487"/>
        <v>0</v>
      </c>
      <c r="T1193" s="13">
        <f t="shared" si="488"/>
        <v>48636</v>
      </c>
      <c r="U1193" s="13">
        <f t="shared" si="489"/>
        <v>48636</v>
      </c>
      <c r="V1193" s="13"/>
      <c r="W1193" s="13">
        <f t="shared" si="490"/>
        <v>0</v>
      </c>
    </row>
    <row r="1194" spans="2:23" s="9" customFormat="1">
      <c r="B1194" s="9">
        <v>280</v>
      </c>
      <c r="C1194" s="9" t="s">
        <v>843</v>
      </c>
      <c r="G1194" s="9">
        <v>1999</v>
      </c>
      <c r="H1194" s="9">
        <v>1</v>
      </c>
      <c r="I1194" s="9">
        <v>0</v>
      </c>
      <c r="J1194" s="9" t="s">
        <v>78</v>
      </c>
      <c r="K1194" s="158">
        <v>7</v>
      </c>
      <c r="L1194" s="9">
        <f t="shared" si="482"/>
        <v>2006</v>
      </c>
      <c r="M1194" s="127">
        <f t="shared" si="483"/>
        <v>2006.0833333333333</v>
      </c>
      <c r="N1194" s="13">
        <v>13142.22</v>
      </c>
      <c r="O1194" s="13">
        <f t="shared" si="484"/>
        <v>13142.22</v>
      </c>
      <c r="P1194" s="13">
        <f t="shared" si="485"/>
        <v>156.45499999999998</v>
      </c>
      <c r="Q1194" s="13">
        <f t="shared" si="486"/>
        <v>1877.4599999999998</v>
      </c>
      <c r="R1194" s="13"/>
      <c r="S1194" s="13">
        <f t="shared" si="487"/>
        <v>0</v>
      </c>
      <c r="T1194" s="13">
        <f t="shared" si="488"/>
        <v>13142.22</v>
      </c>
      <c r="U1194" s="13">
        <f t="shared" si="489"/>
        <v>13142.22</v>
      </c>
      <c r="V1194" s="13"/>
      <c r="W1194" s="13">
        <f t="shared" si="490"/>
        <v>0</v>
      </c>
    </row>
    <row r="1195" spans="2:23" s="9" customFormat="1">
      <c r="B1195" s="9">
        <v>534</v>
      </c>
      <c r="C1195" s="9" t="s">
        <v>844</v>
      </c>
      <c r="G1195" s="9">
        <v>1999</v>
      </c>
      <c r="H1195" s="9">
        <v>3</v>
      </c>
      <c r="I1195" s="9">
        <v>0</v>
      </c>
      <c r="J1195" s="9" t="s">
        <v>78</v>
      </c>
      <c r="K1195" s="158">
        <v>7</v>
      </c>
      <c r="L1195" s="9">
        <f t="shared" si="482"/>
        <v>2006</v>
      </c>
      <c r="M1195" s="127">
        <f t="shared" si="483"/>
        <v>2006.25</v>
      </c>
      <c r="N1195" s="13">
        <v>24663.17</v>
      </c>
      <c r="O1195" s="13">
        <f t="shared" si="484"/>
        <v>24663.17</v>
      </c>
      <c r="P1195" s="13">
        <f t="shared" si="485"/>
        <v>293.60916666666668</v>
      </c>
      <c r="Q1195" s="13">
        <f t="shared" si="486"/>
        <v>3523.3100000000004</v>
      </c>
      <c r="R1195" s="13"/>
      <c r="S1195" s="13">
        <f t="shared" si="487"/>
        <v>0</v>
      </c>
      <c r="T1195" s="13">
        <f t="shared" si="488"/>
        <v>24663.17</v>
      </c>
      <c r="U1195" s="13">
        <f t="shared" si="489"/>
        <v>24663.17</v>
      </c>
      <c r="V1195" s="13"/>
      <c r="W1195" s="13">
        <f t="shared" si="490"/>
        <v>0</v>
      </c>
    </row>
    <row r="1196" spans="2:23" s="9" customFormat="1">
      <c r="B1196" s="9">
        <v>534</v>
      </c>
      <c r="C1196" s="9" t="s">
        <v>611</v>
      </c>
      <c r="G1196" s="9">
        <v>1999</v>
      </c>
      <c r="H1196" s="9">
        <v>3</v>
      </c>
      <c r="I1196" s="9">
        <v>0</v>
      </c>
      <c r="J1196" s="9" t="s">
        <v>78</v>
      </c>
      <c r="K1196" s="158">
        <v>7</v>
      </c>
      <c r="L1196" s="9">
        <f t="shared" si="482"/>
        <v>2006</v>
      </c>
      <c r="M1196" s="127">
        <f t="shared" si="483"/>
        <v>2006.25</v>
      </c>
      <c r="N1196" s="13">
        <v>24663.17</v>
      </c>
      <c r="O1196" s="13">
        <f t="shared" si="484"/>
        <v>24663.17</v>
      </c>
      <c r="P1196" s="13">
        <f t="shared" si="485"/>
        <v>293.60916666666668</v>
      </c>
      <c r="Q1196" s="13">
        <f t="shared" si="486"/>
        <v>3523.3100000000004</v>
      </c>
      <c r="R1196" s="13"/>
      <c r="S1196" s="13">
        <f t="shared" si="487"/>
        <v>0</v>
      </c>
      <c r="T1196" s="13">
        <f t="shared" si="488"/>
        <v>24663.17</v>
      </c>
      <c r="U1196" s="13">
        <f t="shared" si="489"/>
        <v>24663.17</v>
      </c>
      <c r="V1196" s="13"/>
      <c r="W1196" s="13">
        <f t="shared" si="490"/>
        <v>0</v>
      </c>
    </row>
    <row r="1197" spans="2:23" s="9" customFormat="1">
      <c r="B1197" s="9">
        <v>380</v>
      </c>
      <c r="C1197" s="9" t="s">
        <v>611</v>
      </c>
      <c r="G1197" s="9">
        <v>1999</v>
      </c>
      <c r="H1197" s="9">
        <v>3</v>
      </c>
      <c r="I1197" s="9">
        <v>0</v>
      </c>
      <c r="J1197" s="9" t="s">
        <v>78</v>
      </c>
      <c r="K1197" s="158">
        <v>7</v>
      </c>
      <c r="L1197" s="9">
        <f t="shared" si="482"/>
        <v>2006</v>
      </c>
      <c r="M1197" s="127">
        <f t="shared" si="483"/>
        <v>2006.25</v>
      </c>
      <c r="N1197" s="13">
        <v>16784.66</v>
      </c>
      <c r="O1197" s="13">
        <f t="shared" si="484"/>
        <v>16784.66</v>
      </c>
      <c r="P1197" s="13">
        <f t="shared" si="485"/>
        <v>199.81738095238094</v>
      </c>
      <c r="Q1197" s="13">
        <f t="shared" si="486"/>
        <v>2397.8085714285712</v>
      </c>
      <c r="R1197" s="13"/>
      <c r="S1197" s="13">
        <f t="shared" si="487"/>
        <v>0</v>
      </c>
      <c r="T1197" s="13">
        <f t="shared" si="488"/>
        <v>16784.66</v>
      </c>
      <c r="U1197" s="13">
        <f t="shared" si="489"/>
        <v>16784.66</v>
      </c>
      <c r="V1197" s="13"/>
      <c r="W1197" s="13">
        <f t="shared" si="490"/>
        <v>0</v>
      </c>
    </row>
    <row r="1198" spans="2:23" s="9" customFormat="1">
      <c r="B1198" s="9">
        <v>1068</v>
      </c>
      <c r="C1198" s="9" t="s">
        <v>611</v>
      </c>
      <c r="G1198" s="9">
        <v>1999</v>
      </c>
      <c r="H1198" s="9">
        <v>4</v>
      </c>
      <c r="I1198" s="9">
        <v>0</v>
      </c>
      <c r="J1198" s="9" t="s">
        <v>78</v>
      </c>
      <c r="K1198" s="158">
        <v>7</v>
      </c>
      <c r="L1198" s="9">
        <f t="shared" si="482"/>
        <v>2006</v>
      </c>
      <c r="M1198" s="127">
        <f t="shared" si="483"/>
        <v>2006.3333333333333</v>
      </c>
      <c r="N1198" s="13">
        <v>49326.34</v>
      </c>
      <c r="O1198" s="13">
        <f t="shared" si="484"/>
        <v>49326.34</v>
      </c>
      <c r="P1198" s="13">
        <f t="shared" si="485"/>
        <v>587.21833333333336</v>
      </c>
      <c r="Q1198" s="13">
        <f t="shared" si="486"/>
        <v>7046.6200000000008</v>
      </c>
      <c r="R1198" s="13"/>
      <c r="S1198" s="13">
        <f t="shared" si="487"/>
        <v>0</v>
      </c>
      <c r="T1198" s="13">
        <f t="shared" si="488"/>
        <v>49326.34</v>
      </c>
      <c r="U1198" s="13">
        <f t="shared" si="489"/>
        <v>49326.34</v>
      </c>
      <c r="V1198" s="13"/>
      <c r="W1198" s="13">
        <f t="shared" si="490"/>
        <v>0</v>
      </c>
    </row>
    <row r="1199" spans="2:23" s="9" customFormat="1">
      <c r="B1199" s="9">
        <v>534</v>
      </c>
      <c r="C1199" s="9" t="s">
        <v>611</v>
      </c>
      <c r="G1199" s="9">
        <v>1999</v>
      </c>
      <c r="H1199" s="9">
        <v>5</v>
      </c>
      <c r="I1199" s="9">
        <v>0</v>
      </c>
      <c r="J1199" s="9" t="s">
        <v>78</v>
      </c>
      <c r="K1199" s="158">
        <v>7</v>
      </c>
      <c r="L1199" s="9">
        <f t="shared" si="482"/>
        <v>2006</v>
      </c>
      <c r="M1199" s="127">
        <f t="shared" si="483"/>
        <v>2006.4166666666667</v>
      </c>
      <c r="N1199" s="13">
        <v>24663.17</v>
      </c>
      <c r="O1199" s="13">
        <f t="shared" si="484"/>
        <v>24663.17</v>
      </c>
      <c r="P1199" s="13">
        <f t="shared" si="485"/>
        <v>293.60916666666668</v>
      </c>
      <c r="Q1199" s="13">
        <f t="shared" si="486"/>
        <v>3523.3100000000004</v>
      </c>
      <c r="R1199" s="13"/>
      <c r="S1199" s="13">
        <f t="shared" si="487"/>
        <v>0</v>
      </c>
      <c r="T1199" s="13">
        <f t="shared" si="488"/>
        <v>24663.17</v>
      </c>
      <c r="U1199" s="13">
        <f t="shared" si="489"/>
        <v>24663.17</v>
      </c>
      <c r="V1199" s="13"/>
      <c r="W1199" s="13">
        <f t="shared" si="490"/>
        <v>0</v>
      </c>
    </row>
    <row r="1200" spans="2:23" s="9" customFormat="1">
      <c r="B1200" s="9">
        <v>534</v>
      </c>
      <c r="C1200" s="9" t="s">
        <v>611</v>
      </c>
      <c r="G1200" s="9">
        <v>1999</v>
      </c>
      <c r="H1200" s="9">
        <v>5</v>
      </c>
      <c r="I1200" s="9">
        <v>0</v>
      </c>
      <c r="J1200" s="9" t="s">
        <v>78</v>
      </c>
      <c r="K1200" s="158">
        <v>7</v>
      </c>
      <c r="L1200" s="9">
        <f t="shared" si="482"/>
        <v>2006</v>
      </c>
      <c r="M1200" s="127">
        <f t="shared" si="483"/>
        <v>2006.4166666666667</v>
      </c>
      <c r="N1200" s="13">
        <v>24663.17</v>
      </c>
      <c r="O1200" s="13">
        <f t="shared" si="484"/>
        <v>24663.17</v>
      </c>
      <c r="P1200" s="13">
        <f t="shared" si="485"/>
        <v>293.60916666666668</v>
      </c>
      <c r="Q1200" s="13">
        <f t="shared" si="486"/>
        <v>3523.3100000000004</v>
      </c>
      <c r="R1200" s="13"/>
      <c r="S1200" s="13">
        <f t="shared" si="487"/>
        <v>0</v>
      </c>
      <c r="T1200" s="13">
        <f t="shared" si="488"/>
        <v>24663.17</v>
      </c>
      <c r="U1200" s="13">
        <f t="shared" si="489"/>
        <v>24663.17</v>
      </c>
      <c r="V1200" s="13"/>
      <c r="W1200" s="13">
        <f t="shared" si="490"/>
        <v>0</v>
      </c>
    </row>
    <row r="1201" spans="2:23" s="9" customFormat="1">
      <c r="B1201" s="9">
        <v>534</v>
      </c>
      <c r="C1201" s="9" t="s">
        <v>611</v>
      </c>
      <c r="G1201" s="9">
        <v>1999</v>
      </c>
      <c r="H1201" s="9">
        <v>6</v>
      </c>
      <c r="I1201" s="9">
        <v>0</v>
      </c>
      <c r="J1201" s="9" t="s">
        <v>78</v>
      </c>
      <c r="K1201" s="158">
        <v>7</v>
      </c>
      <c r="L1201" s="9">
        <f t="shared" si="482"/>
        <v>2006</v>
      </c>
      <c r="M1201" s="127">
        <f t="shared" si="483"/>
        <v>2006.5</v>
      </c>
      <c r="N1201" s="13">
        <v>24663.17</v>
      </c>
      <c r="O1201" s="13">
        <f t="shared" si="484"/>
        <v>24663.17</v>
      </c>
      <c r="P1201" s="13">
        <f t="shared" si="485"/>
        <v>293.60916666666668</v>
      </c>
      <c r="Q1201" s="13">
        <f t="shared" si="486"/>
        <v>3523.3100000000004</v>
      </c>
      <c r="R1201" s="13"/>
      <c r="S1201" s="13">
        <f t="shared" si="487"/>
        <v>0</v>
      </c>
      <c r="T1201" s="13">
        <f t="shared" si="488"/>
        <v>24663.17</v>
      </c>
      <c r="U1201" s="13">
        <f t="shared" si="489"/>
        <v>24663.17</v>
      </c>
      <c r="V1201" s="13"/>
      <c r="W1201" s="13">
        <f t="shared" si="490"/>
        <v>0</v>
      </c>
    </row>
    <row r="1202" spans="2:23" s="9" customFormat="1">
      <c r="B1202" s="9">
        <v>480</v>
      </c>
      <c r="C1202" s="9" t="s">
        <v>845</v>
      </c>
      <c r="G1202" s="9">
        <v>1999</v>
      </c>
      <c r="H1202" s="9">
        <v>6</v>
      </c>
      <c r="I1202" s="9">
        <v>0</v>
      </c>
      <c r="J1202" s="9" t="s">
        <v>78</v>
      </c>
      <c r="K1202" s="158">
        <v>7</v>
      </c>
      <c r="L1202" s="9">
        <f t="shared" si="482"/>
        <v>2006</v>
      </c>
      <c r="M1202" s="127">
        <f t="shared" si="483"/>
        <v>2006.5</v>
      </c>
      <c r="N1202" s="13">
        <v>21922.82</v>
      </c>
      <c r="O1202" s="13">
        <f t="shared" si="484"/>
        <v>21922.82</v>
      </c>
      <c r="P1202" s="13">
        <f t="shared" si="485"/>
        <v>260.98595238095237</v>
      </c>
      <c r="Q1202" s="13">
        <f t="shared" si="486"/>
        <v>3131.8314285714287</v>
      </c>
      <c r="R1202" s="13"/>
      <c r="S1202" s="13">
        <f t="shared" si="487"/>
        <v>0</v>
      </c>
      <c r="T1202" s="13">
        <f t="shared" si="488"/>
        <v>21922.82</v>
      </c>
      <c r="U1202" s="13">
        <f t="shared" si="489"/>
        <v>21922.82</v>
      </c>
      <c r="V1202" s="13"/>
      <c r="W1202" s="13">
        <f t="shared" si="490"/>
        <v>0</v>
      </c>
    </row>
    <row r="1203" spans="2:23" s="9" customFormat="1">
      <c r="B1203" s="9">
        <v>534</v>
      </c>
      <c r="C1203" s="9" t="s">
        <v>845</v>
      </c>
      <c r="G1203" s="9">
        <v>1999</v>
      </c>
      <c r="H1203" s="9">
        <v>7</v>
      </c>
      <c r="I1203" s="9">
        <v>0</v>
      </c>
      <c r="J1203" s="9" t="s">
        <v>78</v>
      </c>
      <c r="K1203" s="158">
        <v>7</v>
      </c>
      <c r="L1203" s="9">
        <f t="shared" si="482"/>
        <v>2006</v>
      </c>
      <c r="M1203" s="127">
        <f t="shared" si="483"/>
        <v>2006.5833333333333</v>
      </c>
      <c r="N1203" s="13">
        <v>24663.17</v>
      </c>
      <c r="O1203" s="13">
        <f t="shared" si="484"/>
        <v>24663.17</v>
      </c>
      <c r="P1203" s="13">
        <f t="shared" si="485"/>
        <v>293.60916666666668</v>
      </c>
      <c r="Q1203" s="13">
        <f t="shared" si="486"/>
        <v>3523.3100000000004</v>
      </c>
      <c r="R1203" s="13"/>
      <c r="S1203" s="13">
        <f t="shared" si="487"/>
        <v>0</v>
      </c>
      <c r="T1203" s="13">
        <f t="shared" si="488"/>
        <v>24663.17</v>
      </c>
      <c r="U1203" s="13">
        <f t="shared" si="489"/>
        <v>24663.17</v>
      </c>
      <c r="V1203" s="13"/>
      <c r="W1203" s="13">
        <f t="shared" si="490"/>
        <v>0</v>
      </c>
    </row>
    <row r="1204" spans="2:23" s="9" customFormat="1">
      <c r="B1204" s="9">
        <v>534</v>
      </c>
      <c r="C1204" s="9" t="s">
        <v>611</v>
      </c>
      <c r="G1204" s="9">
        <v>1999</v>
      </c>
      <c r="H1204" s="9">
        <v>8</v>
      </c>
      <c r="I1204" s="9">
        <v>0</v>
      </c>
      <c r="J1204" s="9" t="s">
        <v>78</v>
      </c>
      <c r="K1204" s="158">
        <v>7</v>
      </c>
      <c r="L1204" s="9">
        <f t="shared" si="482"/>
        <v>2006</v>
      </c>
      <c r="M1204" s="127">
        <f t="shared" si="483"/>
        <v>2006.6666666666667</v>
      </c>
      <c r="N1204" s="13">
        <v>24663.17</v>
      </c>
      <c r="O1204" s="13">
        <f t="shared" si="484"/>
        <v>24663.17</v>
      </c>
      <c r="P1204" s="13">
        <f t="shared" si="485"/>
        <v>293.60916666666668</v>
      </c>
      <c r="Q1204" s="13">
        <f t="shared" si="486"/>
        <v>3523.3100000000004</v>
      </c>
      <c r="R1204" s="13"/>
      <c r="S1204" s="13">
        <f t="shared" si="487"/>
        <v>0</v>
      </c>
      <c r="T1204" s="13">
        <f t="shared" si="488"/>
        <v>24663.17</v>
      </c>
      <c r="U1204" s="13">
        <f t="shared" si="489"/>
        <v>24663.17</v>
      </c>
      <c r="V1204" s="13"/>
      <c r="W1204" s="13">
        <f t="shared" si="490"/>
        <v>0</v>
      </c>
    </row>
    <row r="1205" spans="2:23" s="9" customFormat="1">
      <c r="K1205" s="158"/>
      <c r="M1205" s="146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</row>
    <row r="1206" spans="2:23" s="9" customFormat="1">
      <c r="B1206" s="9">
        <f>SUM(B1177:B1205)</f>
        <v>17286</v>
      </c>
      <c r="C1206" s="9" t="s">
        <v>846</v>
      </c>
      <c r="K1206" s="158"/>
      <c r="M1206" s="146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</row>
    <row r="1207" spans="2:23" s="9" customFormat="1">
      <c r="K1207" s="158"/>
      <c r="M1207" s="146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</row>
    <row r="1208" spans="2:23" s="9" customFormat="1">
      <c r="B1208" s="9">
        <v>715</v>
      </c>
      <c r="C1208" s="9" t="s">
        <v>847</v>
      </c>
      <c r="G1208" s="9">
        <v>2007</v>
      </c>
      <c r="H1208" s="9">
        <v>10</v>
      </c>
      <c r="I1208" s="9">
        <v>0</v>
      </c>
      <c r="J1208" s="9" t="s">
        <v>78</v>
      </c>
      <c r="K1208" s="158">
        <v>7</v>
      </c>
      <c r="L1208" s="9">
        <f>G1208+K1208</f>
        <v>2014</v>
      </c>
      <c r="M1208" s="127">
        <f>+L1208+(H1208/12)</f>
        <v>2014.8333333333333</v>
      </c>
      <c r="N1208" s="13">
        <v>33604.300000000003</v>
      </c>
      <c r="O1208" s="13">
        <f>N1208-N1208*I1208</f>
        <v>33604.300000000003</v>
      </c>
      <c r="P1208" s="13">
        <f>O1208/K1208/12</f>
        <v>400.05119047619047</v>
      </c>
      <c r="Q1208" s="13">
        <f>P1208*12</f>
        <v>4800.6142857142859</v>
      </c>
      <c r="R1208" s="13"/>
      <c r="S1208" s="13">
        <f>+IF(M1208&lt;=$O$5,0,IF(L1208&gt;$O$4,Q1208,(P1208*H1208)))</f>
        <v>0</v>
      </c>
      <c r="T1208" s="13">
        <f>+IF(S1208=0,N1208,IF($O$3-G1208&lt;1,0,(($O$3-G1208)*Q1208)))</f>
        <v>33604.300000000003</v>
      </c>
      <c r="U1208" s="13">
        <f>+IF(S1208=0,T1208,T1208+S1208)</f>
        <v>33604.300000000003</v>
      </c>
      <c r="V1208" s="13"/>
      <c r="W1208" s="13">
        <f>+N1208-U1208</f>
        <v>0</v>
      </c>
    </row>
    <row r="1209" spans="2:23" s="9" customFormat="1">
      <c r="B1209" s="9">
        <v>3403</v>
      </c>
      <c r="C1209" s="9" t="s">
        <v>848</v>
      </c>
      <c r="G1209" s="9">
        <v>2005</v>
      </c>
      <c r="H1209" s="9">
        <v>3</v>
      </c>
      <c r="I1209" s="9">
        <v>0</v>
      </c>
      <c r="J1209" s="9" t="s">
        <v>78</v>
      </c>
      <c r="K1209" s="158">
        <v>7</v>
      </c>
      <c r="L1209" s="9">
        <f>G1209+K1209</f>
        <v>2012</v>
      </c>
      <c r="M1209" s="127">
        <f>+L1209+(H1209/12)</f>
        <v>2012.25</v>
      </c>
      <c r="N1209" s="13">
        <v>159935.70000000001</v>
      </c>
      <c r="O1209" s="13">
        <f>N1209-N1209*I1209</f>
        <v>159935.70000000001</v>
      </c>
      <c r="P1209" s="13">
        <f>O1209/K1209/12</f>
        <v>1903.9964285714286</v>
      </c>
      <c r="Q1209" s="13">
        <f>P1209*12</f>
        <v>22847.957142857143</v>
      </c>
      <c r="R1209" s="13"/>
      <c r="S1209" s="13">
        <f>+IF(M1209&lt;=$O$5,0,IF(L1209&gt;$O$4,Q1209,(P1209*H1209)))</f>
        <v>0</v>
      </c>
      <c r="T1209" s="13">
        <f>+IF(S1209=0,N1209,IF($O$3-G1209&lt;1,0,(($O$3-G1209)*Q1209)))</f>
        <v>159935.70000000001</v>
      </c>
      <c r="U1209" s="13">
        <f>+IF(S1209=0,T1209,T1209+S1209)</f>
        <v>159935.70000000001</v>
      </c>
      <c r="V1209" s="13"/>
      <c r="W1209" s="13">
        <f>+N1209-U1209</f>
        <v>0</v>
      </c>
    </row>
    <row r="1210" spans="2:23" s="9" customFormat="1">
      <c r="B1210" s="9">
        <v>567</v>
      </c>
      <c r="C1210" s="9" t="s">
        <v>849</v>
      </c>
      <c r="G1210" s="9">
        <v>2005</v>
      </c>
      <c r="H1210" s="9">
        <v>9</v>
      </c>
      <c r="I1210" s="9">
        <v>0</v>
      </c>
      <c r="J1210" s="9" t="s">
        <v>78</v>
      </c>
      <c r="K1210" s="158">
        <v>7</v>
      </c>
      <c r="L1210" s="9">
        <f>G1210+K1210</f>
        <v>2012</v>
      </c>
      <c r="M1210" s="127">
        <f>+L1210+(H1210/12)</f>
        <v>2012.75</v>
      </c>
      <c r="N1210" s="13">
        <v>26641.09</v>
      </c>
      <c r="O1210" s="13">
        <f>N1210-N1210*I1210</f>
        <v>26641.09</v>
      </c>
      <c r="P1210" s="13">
        <f>O1210/K1210/12</f>
        <v>317.15583333333331</v>
      </c>
      <c r="Q1210" s="13">
        <f>P1210*12</f>
        <v>3805.87</v>
      </c>
      <c r="R1210" s="13"/>
      <c r="S1210" s="13">
        <f>+IF(M1210&lt;=$O$5,0,IF(L1210&gt;$O$4,Q1210,(P1210*H1210)))</f>
        <v>0</v>
      </c>
      <c r="T1210" s="13">
        <f>+IF(S1210=0,N1210,IF($O$3-G1210&lt;1,0,(($O$3-G1210)*Q1210)))</f>
        <v>26641.09</v>
      </c>
      <c r="U1210" s="13">
        <f>+IF(S1210=0,T1210,T1210+S1210)</f>
        <v>26641.09</v>
      </c>
      <c r="V1210" s="13"/>
      <c r="W1210" s="13">
        <f>+N1210-U1210</f>
        <v>0</v>
      </c>
    </row>
    <row r="1211" spans="2:23" s="9" customFormat="1">
      <c r="K1211" s="158"/>
      <c r="M1211" s="146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</row>
    <row r="1212" spans="2:23" s="9" customFormat="1">
      <c r="B1212" s="9">
        <f>SUM(B1208:B1211)</f>
        <v>4685</v>
      </c>
      <c r="C1212" s="9" t="s">
        <v>850</v>
      </c>
      <c r="K1212" s="158"/>
      <c r="M1212" s="146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</row>
    <row r="1213" spans="2:23" s="9" customFormat="1">
      <c r="K1213" s="158"/>
      <c r="M1213" s="146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</row>
    <row r="1214" spans="2:23" s="9" customFormat="1">
      <c r="B1214" s="9">
        <v>581</v>
      </c>
      <c r="C1214" s="9" t="s">
        <v>851</v>
      </c>
      <c r="G1214" s="9">
        <v>2005</v>
      </c>
      <c r="H1214" s="9">
        <v>5</v>
      </c>
      <c r="I1214" s="9">
        <v>0</v>
      </c>
      <c r="J1214" s="9" t="s">
        <v>78</v>
      </c>
      <c r="K1214" s="158">
        <v>7</v>
      </c>
      <c r="L1214" s="9">
        <f>G1214+K1214</f>
        <v>2012</v>
      </c>
      <c r="M1214" s="127">
        <f>+L1214+(H1214/12)</f>
        <v>2012.4166666666667</v>
      </c>
      <c r="N1214" s="13">
        <v>27315.599999999999</v>
      </c>
      <c r="O1214" s="13">
        <f>N1214-N1214*I1214</f>
        <v>27315.599999999999</v>
      </c>
      <c r="P1214" s="13">
        <f>O1214/K1214/12</f>
        <v>325.18571428571425</v>
      </c>
      <c r="Q1214" s="13">
        <f>P1214*12</f>
        <v>3902.2285714285708</v>
      </c>
      <c r="R1214" s="13"/>
      <c r="S1214" s="13">
        <f>+IF(M1214&lt;=$O$5,0,IF(L1214&gt;$O$4,Q1214,(P1214*H1214)))</f>
        <v>0</v>
      </c>
      <c r="T1214" s="13">
        <f>+IF(S1214=0,N1214,IF($O$3-G1214&lt;1,0,(($O$3-G1214)*Q1214)))</f>
        <v>27315.599999999999</v>
      </c>
      <c r="U1214" s="13">
        <f>+IF(S1214=0,T1214,T1214+S1214)</f>
        <v>27315.599999999999</v>
      </c>
      <c r="V1214" s="13"/>
      <c r="W1214" s="13">
        <f>+N1214-U1214</f>
        <v>0</v>
      </c>
    </row>
    <row r="1215" spans="2:23" s="9" customFormat="1">
      <c r="B1215" s="9">
        <v>358</v>
      </c>
      <c r="C1215" s="9" t="s">
        <v>851</v>
      </c>
      <c r="G1215" s="9">
        <v>2006</v>
      </c>
      <c r="H1215" s="9">
        <v>1</v>
      </c>
      <c r="I1215" s="9">
        <v>0</v>
      </c>
      <c r="J1215" s="9" t="s">
        <v>78</v>
      </c>
      <c r="K1215" s="158">
        <v>7</v>
      </c>
      <c r="L1215" s="9">
        <f>G1215+K1215</f>
        <v>2013</v>
      </c>
      <c r="M1215" s="127">
        <f>+L1215+(H1215/12)</f>
        <v>2013.0833333333333</v>
      </c>
      <c r="N1215" s="13">
        <v>16840.53</v>
      </c>
      <c r="O1215" s="13">
        <f>N1215-N1215*I1215</f>
        <v>16840.53</v>
      </c>
      <c r="P1215" s="13">
        <f>O1215/K1215/12</f>
        <v>200.48249999999999</v>
      </c>
      <c r="Q1215" s="13">
        <f>P1215*12</f>
        <v>2405.79</v>
      </c>
      <c r="R1215" s="13"/>
      <c r="S1215" s="13">
        <f>+IF(M1215&lt;=$O$5,0,IF(L1215&gt;$O$4,Q1215,(P1215*H1215)))</f>
        <v>0</v>
      </c>
      <c r="T1215" s="13">
        <f>+IF(S1215=0,N1215,IF($O$3-G1215&lt;1,0,(($O$3-G1215)*Q1215)))</f>
        <v>16840.53</v>
      </c>
      <c r="U1215" s="13">
        <f>+IF(S1215=0,T1215,T1215+S1215)</f>
        <v>16840.53</v>
      </c>
      <c r="V1215" s="13"/>
      <c r="W1215" s="13">
        <f>+N1215-U1215</f>
        <v>0</v>
      </c>
    </row>
    <row r="1216" spans="2:23" s="9" customFormat="1">
      <c r="B1216" s="9">
        <v>320</v>
      </c>
      <c r="C1216" s="9" t="s">
        <v>851</v>
      </c>
      <c r="G1216" s="9">
        <v>2006</v>
      </c>
      <c r="H1216" s="9">
        <v>7</v>
      </c>
      <c r="I1216" s="9">
        <v>0</v>
      </c>
      <c r="J1216" s="9" t="s">
        <v>78</v>
      </c>
      <c r="K1216" s="158">
        <v>7</v>
      </c>
      <c r="L1216" s="9">
        <f>G1216+K1216</f>
        <v>2013</v>
      </c>
      <c r="M1216" s="127">
        <f>+L1216+(H1216/12)</f>
        <v>2013.5833333333333</v>
      </c>
      <c r="N1216" s="13">
        <v>15049.72</v>
      </c>
      <c r="O1216" s="13">
        <f>N1216-N1216*I1216</f>
        <v>15049.72</v>
      </c>
      <c r="P1216" s="13">
        <f>O1216/K1216/12</f>
        <v>179.16333333333333</v>
      </c>
      <c r="Q1216" s="13">
        <f>P1216*12</f>
        <v>2149.96</v>
      </c>
      <c r="R1216" s="13"/>
      <c r="S1216" s="13">
        <f>+IF(M1216&lt;=$O$5,0,IF(L1216&gt;$O$4,Q1216,(P1216*H1216)))</f>
        <v>0</v>
      </c>
      <c r="T1216" s="13">
        <f>+IF(S1216=0,N1216,IF($O$3-G1216&lt;1,0,(($O$3-G1216)*Q1216)))</f>
        <v>15049.72</v>
      </c>
      <c r="U1216" s="13">
        <f>+IF(S1216=0,T1216,T1216+S1216)</f>
        <v>15049.72</v>
      </c>
      <c r="V1216" s="13"/>
      <c r="W1216" s="13">
        <f>+N1216-U1216</f>
        <v>0</v>
      </c>
    </row>
    <row r="1217" spans="2:23" s="9" customFormat="1">
      <c r="B1217" s="9">
        <v>313</v>
      </c>
      <c r="C1217" s="9" t="s">
        <v>851</v>
      </c>
      <c r="G1217" s="9">
        <v>2006</v>
      </c>
      <c r="H1217" s="9">
        <v>10</v>
      </c>
      <c r="I1217" s="9">
        <v>0</v>
      </c>
      <c r="J1217" s="9" t="s">
        <v>78</v>
      </c>
      <c r="K1217" s="158">
        <v>7</v>
      </c>
      <c r="L1217" s="9">
        <f>G1217+K1217</f>
        <v>2013</v>
      </c>
      <c r="M1217" s="127">
        <f>+L1217+(H1217/12)</f>
        <v>2013.8333333333333</v>
      </c>
      <c r="N1217" s="13">
        <v>14711.32</v>
      </c>
      <c r="O1217" s="13">
        <f>N1217-N1217*I1217</f>
        <v>14711.32</v>
      </c>
      <c r="P1217" s="13">
        <f>O1217/K1217/12</f>
        <v>175.13476190476192</v>
      </c>
      <c r="Q1217" s="13">
        <f>P1217*12</f>
        <v>2101.6171428571429</v>
      </c>
      <c r="R1217" s="13"/>
      <c r="S1217" s="13">
        <f>+IF(M1217&lt;=$O$5,0,IF(L1217&gt;$O$4,Q1217,(P1217*H1217)))</f>
        <v>0</v>
      </c>
      <c r="T1217" s="13">
        <f>+IF(S1217=0,N1217,IF($O$3-G1217&lt;1,0,(($O$3-G1217)*Q1217)))</f>
        <v>14711.32</v>
      </c>
      <c r="U1217" s="13">
        <f>+IF(S1217=0,T1217,T1217+S1217)</f>
        <v>14711.32</v>
      </c>
      <c r="V1217" s="13"/>
      <c r="W1217" s="13">
        <f>+N1217-U1217</f>
        <v>0</v>
      </c>
    </row>
    <row r="1218" spans="2:23" s="9" customFormat="1">
      <c r="B1218" s="9">
        <v>234</v>
      </c>
      <c r="C1218" s="9" t="s">
        <v>851</v>
      </c>
      <c r="G1218" s="9">
        <v>2008</v>
      </c>
      <c r="H1218" s="9">
        <v>5</v>
      </c>
      <c r="I1218" s="9">
        <v>0</v>
      </c>
      <c r="J1218" s="9" t="s">
        <v>78</v>
      </c>
      <c r="K1218" s="158">
        <v>7</v>
      </c>
      <c r="L1218" s="9">
        <f>G1218+K1218</f>
        <v>2015</v>
      </c>
      <c r="M1218" s="127">
        <f>+L1218+(H1218/12)</f>
        <v>2015.4166666666667</v>
      </c>
      <c r="N1218" s="13">
        <v>10979.78</v>
      </c>
      <c r="O1218" s="13">
        <f>N1218-N1218*I1218</f>
        <v>10979.78</v>
      </c>
      <c r="P1218" s="13">
        <f>O1218/K1218/12</f>
        <v>130.71166666666667</v>
      </c>
      <c r="Q1218" s="13">
        <f>P1218*12</f>
        <v>1568.54</v>
      </c>
      <c r="R1218" s="13"/>
      <c r="S1218" s="13">
        <f>+IF(M1218&lt;=$O$5,0,IF(L1218&gt;$O$4,Q1218,(P1218*H1218)))</f>
        <v>0</v>
      </c>
      <c r="T1218" s="13">
        <f>+IF(S1218=0,N1218,IF($O$3-G1218&lt;1,0,(($O$3-G1218)*Q1218)))</f>
        <v>10979.78</v>
      </c>
      <c r="U1218" s="13">
        <f>+IF(S1218=0,T1218,T1218+S1218)</f>
        <v>10979.78</v>
      </c>
      <c r="V1218" s="13"/>
      <c r="W1218" s="13">
        <f>+N1218-U1218</f>
        <v>0</v>
      </c>
    </row>
    <row r="1219" spans="2:23" s="9" customFormat="1">
      <c r="K1219" s="158"/>
      <c r="M1219" s="146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</row>
    <row r="1220" spans="2:23" s="9" customFormat="1">
      <c r="B1220" s="9">
        <f>SUM(B1214:B1219)</f>
        <v>1806</v>
      </c>
      <c r="C1220" s="9" t="s">
        <v>852</v>
      </c>
      <c r="K1220" s="158"/>
      <c r="M1220" s="146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</row>
    <row r="1221" spans="2:23" s="9" customFormat="1" ht="15.75" thickBot="1">
      <c r="K1221" s="158"/>
      <c r="M1221" s="146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</row>
    <row r="1222" spans="2:23" s="9" customFormat="1" ht="15.75" thickBot="1">
      <c r="B1222" s="168">
        <f>+B1220+B1212+B1206</f>
        <v>23777</v>
      </c>
      <c r="C1222" s="167" t="s">
        <v>853</v>
      </c>
      <c r="K1222" s="158"/>
      <c r="M1222" s="146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</row>
    <row r="1223" spans="2:23" s="9" customFormat="1">
      <c r="K1223" s="158"/>
      <c r="M1223" s="146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</row>
    <row r="1224" spans="2:23" s="9" customFormat="1">
      <c r="K1224" s="158"/>
      <c r="M1224" s="146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</row>
    <row r="1225" spans="2:23" s="9" customFormat="1">
      <c r="K1225" s="158"/>
      <c r="M1225" s="146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</row>
    <row r="1226" spans="2:23" s="9" customFormat="1">
      <c r="B1226" s="9">
        <v>432</v>
      </c>
      <c r="C1226" s="9" t="s">
        <v>854</v>
      </c>
      <c r="G1226" s="9">
        <v>1997</v>
      </c>
      <c r="H1226" s="9">
        <v>1</v>
      </c>
      <c r="I1226" s="9">
        <v>0</v>
      </c>
      <c r="J1226" s="9" t="s">
        <v>78</v>
      </c>
      <c r="K1226" s="158">
        <v>7</v>
      </c>
      <c r="L1226" s="9">
        <f t="shared" ref="L1226:L1253" si="491">G1226+K1226</f>
        <v>2004</v>
      </c>
      <c r="M1226" s="127">
        <f t="shared" ref="M1226:M1253" si="492">+L1226+(H1226/12)</f>
        <v>2004.0833333333333</v>
      </c>
      <c r="N1226" s="13">
        <v>6840</v>
      </c>
      <c r="O1226" s="13">
        <f t="shared" ref="O1226:O1253" si="493">N1226-N1226*I1226</f>
        <v>6840</v>
      </c>
      <c r="P1226" s="13">
        <f t="shared" ref="P1226:P1253" si="494">O1226/K1226/12</f>
        <v>81.428571428571431</v>
      </c>
      <c r="Q1226" s="13">
        <f t="shared" ref="Q1226:Q1253" si="495">P1226*12</f>
        <v>977.14285714285711</v>
      </c>
      <c r="R1226" s="13"/>
      <c r="S1226" s="13">
        <f t="shared" ref="S1226:S1253" si="496">+IF(M1226&lt;=$O$5,0,IF(L1226&gt;$O$4,Q1226,(P1226*H1226)))</f>
        <v>0</v>
      </c>
      <c r="T1226" s="13">
        <f t="shared" ref="T1226:T1253" si="497">+IF(S1226=0,N1226,IF($O$3-G1226&lt;1,0,(($O$3-G1226)*Q1226)))</f>
        <v>6840</v>
      </c>
      <c r="U1226" s="13">
        <f t="shared" ref="U1226:U1253" si="498">+IF(S1226=0,T1226,T1226+S1226)</f>
        <v>6840</v>
      </c>
      <c r="V1226" s="13"/>
      <c r="W1226" s="13">
        <f t="shared" ref="W1226:W1253" si="499">+N1226-U1226</f>
        <v>0</v>
      </c>
    </row>
    <row r="1227" spans="2:23" s="9" customFormat="1">
      <c r="B1227" s="9">
        <v>394</v>
      </c>
      <c r="C1227" s="9" t="s">
        <v>854</v>
      </c>
      <c r="G1227" s="9">
        <v>1997</v>
      </c>
      <c r="H1227" s="9">
        <v>1</v>
      </c>
      <c r="I1227" s="9">
        <v>0</v>
      </c>
      <c r="J1227" s="9" t="s">
        <v>78</v>
      </c>
      <c r="K1227" s="158">
        <v>7</v>
      </c>
      <c r="L1227" s="9">
        <f t="shared" si="491"/>
        <v>2004</v>
      </c>
      <c r="M1227" s="127">
        <f t="shared" si="492"/>
        <v>2004.0833333333333</v>
      </c>
      <c r="N1227" s="13">
        <v>19894</v>
      </c>
      <c r="O1227" s="13">
        <f t="shared" si="493"/>
        <v>19894</v>
      </c>
      <c r="P1227" s="13">
        <f t="shared" si="494"/>
        <v>236.83333333333334</v>
      </c>
      <c r="Q1227" s="13">
        <f t="shared" si="495"/>
        <v>2842</v>
      </c>
      <c r="R1227" s="13"/>
      <c r="S1227" s="13">
        <f t="shared" si="496"/>
        <v>0</v>
      </c>
      <c r="T1227" s="13">
        <f t="shared" si="497"/>
        <v>19894</v>
      </c>
      <c r="U1227" s="13">
        <f t="shared" si="498"/>
        <v>19894</v>
      </c>
      <c r="V1227" s="13"/>
      <c r="W1227" s="13">
        <f t="shared" si="499"/>
        <v>0</v>
      </c>
    </row>
    <row r="1228" spans="2:23" s="9" customFormat="1">
      <c r="B1228" s="9">
        <v>212</v>
      </c>
      <c r="C1228" s="9" t="s">
        <v>855</v>
      </c>
      <c r="G1228" s="9">
        <v>1999</v>
      </c>
      <c r="H1228" s="9">
        <v>1</v>
      </c>
      <c r="I1228" s="9">
        <v>0</v>
      </c>
      <c r="J1228" s="9" t="s">
        <v>78</v>
      </c>
      <c r="K1228" s="158">
        <v>7</v>
      </c>
      <c r="L1228" s="9">
        <f t="shared" si="491"/>
        <v>2006</v>
      </c>
      <c r="M1228" s="127">
        <f t="shared" si="492"/>
        <v>2006.0833333333333</v>
      </c>
      <c r="N1228" s="13">
        <v>10199.25</v>
      </c>
      <c r="O1228" s="13">
        <f t="shared" si="493"/>
        <v>10199.25</v>
      </c>
      <c r="P1228" s="13">
        <f t="shared" si="494"/>
        <v>121.41964285714285</v>
      </c>
      <c r="Q1228" s="13">
        <f t="shared" si="495"/>
        <v>1457.0357142857142</v>
      </c>
      <c r="R1228" s="13"/>
      <c r="S1228" s="13">
        <f t="shared" si="496"/>
        <v>0</v>
      </c>
      <c r="T1228" s="13">
        <f t="shared" si="497"/>
        <v>10199.25</v>
      </c>
      <c r="U1228" s="13">
        <f t="shared" si="498"/>
        <v>10199.25</v>
      </c>
      <c r="V1228" s="13"/>
      <c r="W1228" s="13">
        <f t="shared" si="499"/>
        <v>0</v>
      </c>
    </row>
    <row r="1229" spans="2:23" s="9" customFormat="1">
      <c r="B1229" s="9">
        <v>270</v>
      </c>
      <c r="C1229" s="9" t="s">
        <v>856</v>
      </c>
      <c r="G1229" s="9">
        <v>1999</v>
      </c>
      <c r="H1229" s="9">
        <v>11</v>
      </c>
      <c r="I1229" s="9">
        <v>0</v>
      </c>
      <c r="J1229" s="9" t="s">
        <v>78</v>
      </c>
      <c r="K1229" s="158">
        <v>7</v>
      </c>
      <c r="L1229" s="9">
        <f t="shared" si="491"/>
        <v>2006</v>
      </c>
      <c r="M1229" s="127">
        <f t="shared" si="492"/>
        <v>2006.9166666666667</v>
      </c>
      <c r="N1229" s="13">
        <v>12357.6</v>
      </c>
      <c r="O1229" s="13">
        <f t="shared" si="493"/>
        <v>12357.6</v>
      </c>
      <c r="P1229" s="13">
        <f t="shared" si="494"/>
        <v>147.11428571428573</v>
      </c>
      <c r="Q1229" s="13">
        <f t="shared" si="495"/>
        <v>1765.3714285714286</v>
      </c>
      <c r="R1229" s="13"/>
      <c r="S1229" s="13">
        <f t="shared" si="496"/>
        <v>0</v>
      </c>
      <c r="T1229" s="13">
        <f t="shared" si="497"/>
        <v>12357.6</v>
      </c>
      <c r="U1229" s="13">
        <f t="shared" si="498"/>
        <v>12357.6</v>
      </c>
      <c r="V1229" s="13"/>
      <c r="W1229" s="13">
        <f t="shared" si="499"/>
        <v>0</v>
      </c>
    </row>
    <row r="1230" spans="2:23" s="9" customFormat="1">
      <c r="B1230" s="9">
        <v>419</v>
      </c>
      <c r="C1230" s="9" t="s">
        <v>617</v>
      </c>
      <c r="G1230" s="9">
        <v>2003</v>
      </c>
      <c r="H1230" s="9">
        <v>3</v>
      </c>
      <c r="I1230" s="9">
        <v>0</v>
      </c>
      <c r="J1230" s="9" t="s">
        <v>78</v>
      </c>
      <c r="K1230" s="158">
        <v>7</v>
      </c>
      <c r="L1230" s="9">
        <f t="shared" si="491"/>
        <v>2010</v>
      </c>
      <c r="M1230" s="127">
        <f t="shared" si="492"/>
        <v>2010.25</v>
      </c>
      <c r="N1230" s="13">
        <v>20093.03</v>
      </c>
      <c r="O1230" s="13">
        <f t="shared" si="493"/>
        <v>20093.03</v>
      </c>
      <c r="P1230" s="13">
        <f t="shared" si="494"/>
        <v>239.20273809523806</v>
      </c>
      <c r="Q1230" s="13">
        <f t="shared" si="495"/>
        <v>2870.4328571428568</v>
      </c>
      <c r="R1230" s="13"/>
      <c r="S1230" s="13">
        <f t="shared" si="496"/>
        <v>0</v>
      </c>
      <c r="T1230" s="13">
        <f t="shared" si="497"/>
        <v>20093.03</v>
      </c>
      <c r="U1230" s="13">
        <f t="shared" si="498"/>
        <v>20093.03</v>
      </c>
      <c r="V1230" s="13"/>
      <c r="W1230" s="13">
        <f t="shared" si="499"/>
        <v>0</v>
      </c>
    </row>
    <row r="1231" spans="2:23" s="9" customFormat="1">
      <c r="B1231" s="9">
        <v>423</v>
      </c>
      <c r="C1231" s="9" t="s">
        <v>617</v>
      </c>
      <c r="G1231" s="9">
        <v>2003</v>
      </c>
      <c r="H1231" s="9">
        <v>8</v>
      </c>
      <c r="I1231" s="9">
        <v>0</v>
      </c>
      <c r="J1231" s="9" t="s">
        <v>78</v>
      </c>
      <c r="K1231" s="158">
        <v>7</v>
      </c>
      <c r="L1231" s="9">
        <f t="shared" si="491"/>
        <v>2010</v>
      </c>
      <c r="M1231" s="127">
        <f t="shared" si="492"/>
        <v>2010.6666666666667</v>
      </c>
      <c r="N1231" s="13">
        <v>20295.990000000002</v>
      </c>
      <c r="O1231" s="13">
        <f t="shared" si="493"/>
        <v>20295.990000000002</v>
      </c>
      <c r="P1231" s="13">
        <f t="shared" si="494"/>
        <v>241.6189285714286</v>
      </c>
      <c r="Q1231" s="13">
        <f t="shared" si="495"/>
        <v>2899.4271428571433</v>
      </c>
      <c r="R1231" s="13"/>
      <c r="S1231" s="13">
        <f t="shared" si="496"/>
        <v>0</v>
      </c>
      <c r="T1231" s="13">
        <f t="shared" si="497"/>
        <v>20295.990000000002</v>
      </c>
      <c r="U1231" s="13">
        <f t="shared" si="498"/>
        <v>20295.990000000002</v>
      </c>
      <c r="V1231" s="13"/>
      <c r="W1231" s="13">
        <f t="shared" si="499"/>
        <v>0</v>
      </c>
    </row>
    <row r="1232" spans="2:23" s="9" customFormat="1">
      <c r="B1232" s="9">
        <v>440</v>
      </c>
      <c r="C1232" s="9" t="s">
        <v>617</v>
      </c>
      <c r="G1232" s="9">
        <v>2004</v>
      </c>
      <c r="H1232" s="9">
        <v>1</v>
      </c>
      <c r="I1232" s="9">
        <v>0</v>
      </c>
      <c r="J1232" s="9" t="s">
        <v>78</v>
      </c>
      <c r="K1232" s="158">
        <v>7</v>
      </c>
      <c r="L1232" s="9">
        <f t="shared" si="491"/>
        <v>2011</v>
      </c>
      <c r="M1232" s="127">
        <f t="shared" si="492"/>
        <v>2011.0833333333333</v>
      </c>
      <c r="N1232" s="13">
        <v>21097.15</v>
      </c>
      <c r="O1232" s="13">
        <f t="shared" si="493"/>
        <v>21097.15</v>
      </c>
      <c r="P1232" s="13">
        <f t="shared" si="494"/>
        <v>251.15654761904764</v>
      </c>
      <c r="Q1232" s="13">
        <f t="shared" si="495"/>
        <v>3013.8785714285718</v>
      </c>
      <c r="R1232" s="13"/>
      <c r="S1232" s="13">
        <f t="shared" si="496"/>
        <v>0</v>
      </c>
      <c r="T1232" s="13">
        <f t="shared" si="497"/>
        <v>21097.15</v>
      </c>
      <c r="U1232" s="13">
        <f t="shared" si="498"/>
        <v>21097.15</v>
      </c>
      <c r="V1232" s="13"/>
      <c r="W1232" s="13">
        <f t="shared" si="499"/>
        <v>0</v>
      </c>
    </row>
    <row r="1233" spans="2:23" s="9" customFormat="1">
      <c r="B1233" s="9">
        <v>421</v>
      </c>
      <c r="C1233" s="9" t="s">
        <v>617</v>
      </c>
      <c r="G1233" s="9">
        <v>2004</v>
      </c>
      <c r="H1233" s="9">
        <v>6</v>
      </c>
      <c r="I1233" s="9">
        <v>0</v>
      </c>
      <c r="J1233" s="9" t="s">
        <v>78</v>
      </c>
      <c r="K1233" s="158">
        <v>7</v>
      </c>
      <c r="L1233" s="9">
        <f t="shared" si="491"/>
        <v>2011</v>
      </c>
      <c r="M1233" s="127">
        <f t="shared" si="492"/>
        <v>2011.5</v>
      </c>
      <c r="N1233" s="13">
        <v>20215.59</v>
      </c>
      <c r="O1233" s="13">
        <f t="shared" si="493"/>
        <v>20215.59</v>
      </c>
      <c r="P1233" s="13">
        <f t="shared" si="494"/>
        <v>240.66178571428574</v>
      </c>
      <c r="Q1233" s="13">
        <f t="shared" si="495"/>
        <v>2887.9414285714288</v>
      </c>
      <c r="R1233" s="13"/>
      <c r="S1233" s="13">
        <f t="shared" si="496"/>
        <v>0</v>
      </c>
      <c r="T1233" s="13">
        <f t="shared" si="497"/>
        <v>20215.59</v>
      </c>
      <c r="U1233" s="13">
        <f t="shared" si="498"/>
        <v>20215.59</v>
      </c>
      <c r="V1233" s="13"/>
      <c r="W1233" s="13">
        <f t="shared" si="499"/>
        <v>0</v>
      </c>
    </row>
    <row r="1234" spans="2:23" s="9" customFormat="1">
      <c r="B1234" s="9">
        <v>401</v>
      </c>
      <c r="C1234" s="9" t="s">
        <v>617</v>
      </c>
      <c r="G1234" s="9">
        <v>2004</v>
      </c>
      <c r="H1234" s="9">
        <v>6</v>
      </c>
      <c r="I1234" s="9">
        <v>0</v>
      </c>
      <c r="J1234" s="9" t="s">
        <v>78</v>
      </c>
      <c r="K1234" s="158">
        <v>7</v>
      </c>
      <c r="L1234" s="9">
        <f t="shared" si="491"/>
        <v>2011</v>
      </c>
      <c r="M1234" s="127">
        <f t="shared" si="492"/>
        <v>2011.5</v>
      </c>
      <c r="N1234" s="13">
        <v>19270.66</v>
      </c>
      <c r="O1234" s="13">
        <f t="shared" si="493"/>
        <v>19270.66</v>
      </c>
      <c r="P1234" s="13">
        <f t="shared" si="494"/>
        <v>229.41261904761905</v>
      </c>
      <c r="Q1234" s="13">
        <f t="shared" si="495"/>
        <v>2752.9514285714286</v>
      </c>
      <c r="R1234" s="13"/>
      <c r="S1234" s="13">
        <f t="shared" si="496"/>
        <v>0</v>
      </c>
      <c r="T1234" s="13">
        <f t="shared" si="497"/>
        <v>19270.66</v>
      </c>
      <c r="U1234" s="13">
        <f t="shared" si="498"/>
        <v>19270.66</v>
      </c>
      <c r="V1234" s="13"/>
      <c r="W1234" s="13">
        <f t="shared" si="499"/>
        <v>0</v>
      </c>
    </row>
    <row r="1235" spans="2:23" s="9" customFormat="1">
      <c r="B1235" s="9">
        <v>204</v>
      </c>
      <c r="C1235" s="9" t="s">
        <v>617</v>
      </c>
      <c r="G1235" s="9">
        <v>2004</v>
      </c>
      <c r="H1235" s="9">
        <v>12</v>
      </c>
      <c r="I1235" s="9">
        <v>0</v>
      </c>
      <c r="J1235" s="9" t="s">
        <v>78</v>
      </c>
      <c r="K1235" s="158">
        <v>7</v>
      </c>
      <c r="L1235" s="9">
        <f t="shared" si="491"/>
        <v>2011</v>
      </c>
      <c r="M1235" s="127">
        <f t="shared" si="492"/>
        <v>2012</v>
      </c>
      <c r="N1235" s="13">
        <v>9769.8799999999992</v>
      </c>
      <c r="O1235" s="13">
        <f t="shared" si="493"/>
        <v>9769.8799999999992</v>
      </c>
      <c r="P1235" s="13">
        <f t="shared" si="494"/>
        <v>116.30809523809523</v>
      </c>
      <c r="Q1235" s="13">
        <f t="shared" si="495"/>
        <v>1395.6971428571428</v>
      </c>
      <c r="R1235" s="13"/>
      <c r="S1235" s="13">
        <f t="shared" si="496"/>
        <v>0</v>
      </c>
      <c r="T1235" s="13">
        <f t="shared" si="497"/>
        <v>9769.8799999999992</v>
      </c>
      <c r="U1235" s="13">
        <f t="shared" si="498"/>
        <v>9769.8799999999992</v>
      </c>
      <c r="V1235" s="13"/>
      <c r="W1235" s="13">
        <f t="shared" si="499"/>
        <v>0</v>
      </c>
    </row>
    <row r="1236" spans="2:23" s="9" customFormat="1">
      <c r="B1236" s="9">
        <v>421</v>
      </c>
      <c r="C1236" s="9" t="s">
        <v>617</v>
      </c>
      <c r="G1236" s="9">
        <v>2005</v>
      </c>
      <c r="H1236" s="9">
        <v>1</v>
      </c>
      <c r="I1236" s="9">
        <v>0</v>
      </c>
      <c r="J1236" s="9" t="s">
        <v>78</v>
      </c>
      <c r="K1236" s="158">
        <v>7</v>
      </c>
      <c r="L1236" s="9">
        <f t="shared" si="491"/>
        <v>2012</v>
      </c>
      <c r="M1236" s="127">
        <f t="shared" si="492"/>
        <v>2012.0833333333333</v>
      </c>
      <c r="N1236" s="13">
        <v>19764.61</v>
      </c>
      <c r="O1236" s="13">
        <f t="shared" si="493"/>
        <v>19764.61</v>
      </c>
      <c r="P1236" s="13">
        <f t="shared" si="494"/>
        <v>235.2929761904762</v>
      </c>
      <c r="Q1236" s="13">
        <f t="shared" si="495"/>
        <v>2823.5157142857142</v>
      </c>
      <c r="R1236" s="13"/>
      <c r="S1236" s="13">
        <f t="shared" si="496"/>
        <v>0</v>
      </c>
      <c r="T1236" s="13">
        <f t="shared" si="497"/>
        <v>19764.61</v>
      </c>
      <c r="U1236" s="13">
        <f t="shared" si="498"/>
        <v>19764.61</v>
      </c>
      <c r="V1236" s="13"/>
      <c r="W1236" s="13">
        <f t="shared" si="499"/>
        <v>0</v>
      </c>
    </row>
    <row r="1237" spans="2:23" s="9" customFormat="1">
      <c r="B1237" s="9">
        <v>418</v>
      </c>
      <c r="C1237" s="9" t="s">
        <v>617</v>
      </c>
      <c r="G1237" s="9">
        <v>2005</v>
      </c>
      <c r="H1237" s="9">
        <v>1</v>
      </c>
      <c r="I1237" s="9">
        <v>0</v>
      </c>
      <c r="J1237" s="9" t="s">
        <v>78</v>
      </c>
      <c r="K1237" s="158">
        <v>7</v>
      </c>
      <c r="L1237" s="9">
        <f t="shared" si="491"/>
        <v>2012</v>
      </c>
      <c r="M1237" s="127">
        <f t="shared" si="492"/>
        <v>2012.0833333333333</v>
      </c>
      <c r="N1237" s="13">
        <v>20084.599999999999</v>
      </c>
      <c r="O1237" s="13">
        <f t="shared" si="493"/>
        <v>20084.599999999999</v>
      </c>
      <c r="P1237" s="13">
        <f t="shared" si="494"/>
        <v>239.10238095238094</v>
      </c>
      <c r="Q1237" s="13">
        <f t="shared" si="495"/>
        <v>2869.2285714285713</v>
      </c>
      <c r="R1237" s="13"/>
      <c r="S1237" s="13">
        <f t="shared" si="496"/>
        <v>0</v>
      </c>
      <c r="T1237" s="13">
        <f t="shared" si="497"/>
        <v>20084.599999999999</v>
      </c>
      <c r="U1237" s="13">
        <f t="shared" si="498"/>
        <v>20084.599999999999</v>
      </c>
      <c r="V1237" s="13"/>
      <c r="W1237" s="13">
        <f t="shared" si="499"/>
        <v>0</v>
      </c>
    </row>
    <row r="1238" spans="2:23" s="9" customFormat="1">
      <c r="B1238" s="9">
        <v>418</v>
      </c>
      <c r="C1238" s="9" t="s">
        <v>617</v>
      </c>
      <c r="G1238" s="9">
        <v>2005</v>
      </c>
      <c r="H1238" s="9">
        <v>1</v>
      </c>
      <c r="I1238" s="9">
        <v>0</v>
      </c>
      <c r="J1238" s="9" t="s">
        <v>78</v>
      </c>
      <c r="K1238" s="158">
        <v>7</v>
      </c>
      <c r="L1238" s="9">
        <f t="shared" si="491"/>
        <v>2012</v>
      </c>
      <c r="M1238" s="127">
        <f t="shared" si="492"/>
        <v>2012.0833333333333</v>
      </c>
      <c r="N1238" s="13">
        <v>20084.599999999999</v>
      </c>
      <c r="O1238" s="13">
        <f t="shared" si="493"/>
        <v>20084.599999999999</v>
      </c>
      <c r="P1238" s="13">
        <f t="shared" si="494"/>
        <v>239.10238095238094</v>
      </c>
      <c r="Q1238" s="13">
        <f t="shared" si="495"/>
        <v>2869.2285714285713</v>
      </c>
      <c r="R1238" s="13"/>
      <c r="S1238" s="13">
        <f t="shared" si="496"/>
        <v>0</v>
      </c>
      <c r="T1238" s="13">
        <f t="shared" si="497"/>
        <v>20084.599999999999</v>
      </c>
      <c r="U1238" s="13">
        <f t="shared" si="498"/>
        <v>20084.599999999999</v>
      </c>
      <c r="V1238" s="13"/>
      <c r="W1238" s="13">
        <f t="shared" si="499"/>
        <v>0</v>
      </c>
    </row>
    <row r="1239" spans="2:23" s="9" customFormat="1">
      <c r="B1239" s="9">
        <v>480</v>
      </c>
      <c r="C1239" s="9" t="s">
        <v>617</v>
      </c>
      <c r="G1239" s="9">
        <v>2005</v>
      </c>
      <c r="H1239" s="9">
        <v>6</v>
      </c>
      <c r="I1239" s="9">
        <v>0</v>
      </c>
      <c r="J1239" s="9" t="s">
        <v>78</v>
      </c>
      <c r="K1239" s="158">
        <v>7</v>
      </c>
      <c r="L1239" s="9">
        <f t="shared" si="491"/>
        <v>2012</v>
      </c>
      <c r="M1239" s="127">
        <f t="shared" si="492"/>
        <v>2012.5</v>
      </c>
      <c r="N1239" s="13">
        <v>23038.25</v>
      </c>
      <c r="O1239" s="13">
        <f t="shared" si="493"/>
        <v>23038.25</v>
      </c>
      <c r="P1239" s="13">
        <f t="shared" si="494"/>
        <v>274.26488095238096</v>
      </c>
      <c r="Q1239" s="13">
        <f t="shared" si="495"/>
        <v>3291.1785714285716</v>
      </c>
      <c r="R1239" s="13"/>
      <c r="S1239" s="13">
        <f t="shared" si="496"/>
        <v>0</v>
      </c>
      <c r="T1239" s="13">
        <f t="shared" si="497"/>
        <v>23038.25</v>
      </c>
      <c r="U1239" s="13">
        <f t="shared" si="498"/>
        <v>23038.25</v>
      </c>
      <c r="V1239" s="13"/>
      <c r="W1239" s="13">
        <f t="shared" si="499"/>
        <v>0</v>
      </c>
    </row>
    <row r="1240" spans="2:23" s="9" customFormat="1">
      <c r="B1240" s="9">
        <v>512</v>
      </c>
      <c r="C1240" s="9" t="s">
        <v>617</v>
      </c>
      <c r="G1240" s="9">
        <v>2006</v>
      </c>
      <c r="H1240" s="9">
        <v>2</v>
      </c>
      <c r="I1240" s="9">
        <v>0</v>
      </c>
      <c r="J1240" s="9" t="s">
        <v>78</v>
      </c>
      <c r="K1240" s="158">
        <v>7</v>
      </c>
      <c r="L1240" s="9">
        <f t="shared" si="491"/>
        <v>2013</v>
      </c>
      <c r="M1240" s="127">
        <f t="shared" si="492"/>
        <v>2013.1666666666667</v>
      </c>
      <c r="N1240" s="13">
        <v>24597.360000000001</v>
      </c>
      <c r="O1240" s="13">
        <f t="shared" si="493"/>
        <v>24597.360000000001</v>
      </c>
      <c r="P1240" s="13">
        <f t="shared" si="494"/>
        <v>292.8257142857143</v>
      </c>
      <c r="Q1240" s="13">
        <f t="shared" si="495"/>
        <v>3513.9085714285716</v>
      </c>
      <c r="R1240" s="13"/>
      <c r="S1240" s="13">
        <f t="shared" si="496"/>
        <v>0</v>
      </c>
      <c r="T1240" s="13">
        <f t="shared" si="497"/>
        <v>24597.360000000001</v>
      </c>
      <c r="U1240" s="13">
        <f t="shared" si="498"/>
        <v>24597.360000000001</v>
      </c>
      <c r="V1240" s="13"/>
      <c r="W1240" s="13">
        <f t="shared" si="499"/>
        <v>0</v>
      </c>
    </row>
    <row r="1241" spans="2:23" s="9" customFormat="1">
      <c r="B1241" s="9">
        <v>272</v>
      </c>
      <c r="C1241" s="9" t="s">
        <v>617</v>
      </c>
      <c r="G1241" s="9">
        <v>2006</v>
      </c>
      <c r="H1241" s="9">
        <v>10</v>
      </c>
      <c r="I1241" s="9">
        <v>0</v>
      </c>
      <c r="J1241" s="9" t="s">
        <v>78</v>
      </c>
      <c r="K1241" s="158">
        <v>7</v>
      </c>
      <c r="L1241" s="9">
        <f t="shared" si="491"/>
        <v>2013</v>
      </c>
      <c r="M1241" s="127">
        <f t="shared" si="492"/>
        <v>2013.8333333333333</v>
      </c>
      <c r="N1241" s="13">
        <f>13057.61+924.32+1162.19</f>
        <v>15144.12</v>
      </c>
      <c r="O1241" s="13">
        <f t="shared" si="493"/>
        <v>15144.12</v>
      </c>
      <c r="P1241" s="13">
        <f t="shared" si="494"/>
        <v>180.28714285714287</v>
      </c>
      <c r="Q1241" s="13">
        <f t="shared" si="495"/>
        <v>2163.4457142857145</v>
      </c>
      <c r="R1241" s="13"/>
      <c r="S1241" s="13">
        <f t="shared" si="496"/>
        <v>0</v>
      </c>
      <c r="T1241" s="13">
        <f t="shared" si="497"/>
        <v>15144.12</v>
      </c>
      <c r="U1241" s="13">
        <f t="shared" si="498"/>
        <v>15144.12</v>
      </c>
      <c r="V1241" s="13"/>
      <c r="W1241" s="13">
        <f t="shared" si="499"/>
        <v>0</v>
      </c>
    </row>
    <row r="1242" spans="2:23" s="9" customFormat="1">
      <c r="B1242" s="9">
        <v>563</v>
      </c>
      <c r="C1242" s="9" t="s">
        <v>856</v>
      </c>
      <c r="G1242" s="9">
        <v>2007</v>
      </c>
      <c r="H1242" s="9">
        <v>1</v>
      </c>
      <c r="I1242" s="9">
        <v>0</v>
      </c>
      <c r="J1242" s="9" t="s">
        <v>78</v>
      </c>
      <c r="K1242" s="158">
        <v>7</v>
      </c>
      <c r="L1242" s="9">
        <f t="shared" si="491"/>
        <v>2014</v>
      </c>
      <c r="M1242" s="127">
        <f t="shared" si="492"/>
        <v>2014.0833333333333</v>
      </c>
      <c r="N1242" s="13">
        <v>27034.63</v>
      </c>
      <c r="O1242" s="13">
        <f t="shared" si="493"/>
        <v>27034.63</v>
      </c>
      <c r="P1242" s="13">
        <f t="shared" si="494"/>
        <v>321.84083333333336</v>
      </c>
      <c r="Q1242" s="13">
        <f t="shared" si="495"/>
        <v>3862.09</v>
      </c>
      <c r="R1242" s="13"/>
      <c r="S1242" s="13">
        <f t="shared" si="496"/>
        <v>0</v>
      </c>
      <c r="T1242" s="13">
        <f t="shared" si="497"/>
        <v>27034.63</v>
      </c>
      <c r="U1242" s="13">
        <f t="shared" si="498"/>
        <v>27034.63</v>
      </c>
      <c r="V1242" s="13"/>
      <c r="W1242" s="13">
        <f t="shared" si="499"/>
        <v>0</v>
      </c>
    </row>
    <row r="1243" spans="2:23" s="9" customFormat="1">
      <c r="B1243" s="9">
        <v>568</v>
      </c>
      <c r="C1243" s="9" t="s">
        <v>617</v>
      </c>
      <c r="G1243" s="9">
        <v>2007</v>
      </c>
      <c r="H1243" s="9">
        <v>5</v>
      </c>
      <c r="I1243" s="9">
        <v>0</v>
      </c>
      <c r="J1243" s="9" t="s">
        <v>78</v>
      </c>
      <c r="K1243" s="158">
        <v>7</v>
      </c>
      <c r="L1243" s="9">
        <f t="shared" si="491"/>
        <v>2014</v>
      </c>
      <c r="M1243" s="127">
        <f t="shared" si="492"/>
        <v>2014.4166666666667</v>
      </c>
      <c r="N1243" s="13">
        <v>27267.11</v>
      </c>
      <c r="O1243" s="13">
        <f t="shared" si="493"/>
        <v>27267.11</v>
      </c>
      <c r="P1243" s="13">
        <f t="shared" si="494"/>
        <v>324.60845238095237</v>
      </c>
      <c r="Q1243" s="13">
        <f t="shared" si="495"/>
        <v>3895.3014285714285</v>
      </c>
      <c r="R1243" s="13"/>
      <c r="S1243" s="13">
        <f t="shared" si="496"/>
        <v>0</v>
      </c>
      <c r="T1243" s="13">
        <f t="shared" si="497"/>
        <v>27267.11</v>
      </c>
      <c r="U1243" s="13">
        <f t="shared" si="498"/>
        <v>27267.11</v>
      </c>
      <c r="V1243" s="13"/>
      <c r="W1243" s="13">
        <f t="shared" si="499"/>
        <v>0</v>
      </c>
    </row>
    <row r="1244" spans="2:23" s="9" customFormat="1">
      <c r="B1244" s="9">
        <v>566</v>
      </c>
      <c r="C1244" s="9" t="s">
        <v>856</v>
      </c>
      <c r="G1244" s="9">
        <v>2007</v>
      </c>
      <c r="H1244" s="9">
        <v>6</v>
      </c>
      <c r="I1244" s="9">
        <v>0</v>
      </c>
      <c r="J1244" s="9" t="s">
        <v>78</v>
      </c>
      <c r="K1244" s="158">
        <v>7</v>
      </c>
      <c r="L1244" s="9">
        <f t="shared" si="491"/>
        <v>2014</v>
      </c>
      <c r="M1244" s="127">
        <f t="shared" si="492"/>
        <v>2014.5</v>
      </c>
      <c r="N1244" s="13">
        <v>27267.11</v>
      </c>
      <c r="O1244" s="13">
        <f t="shared" si="493"/>
        <v>27267.11</v>
      </c>
      <c r="P1244" s="13">
        <f t="shared" si="494"/>
        <v>324.60845238095237</v>
      </c>
      <c r="Q1244" s="13">
        <f t="shared" si="495"/>
        <v>3895.3014285714285</v>
      </c>
      <c r="R1244" s="13"/>
      <c r="S1244" s="13">
        <f t="shared" si="496"/>
        <v>0</v>
      </c>
      <c r="T1244" s="13">
        <f t="shared" si="497"/>
        <v>27267.11</v>
      </c>
      <c r="U1244" s="13">
        <f t="shared" si="498"/>
        <v>27267.11</v>
      </c>
      <c r="V1244" s="13"/>
      <c r="W1244" s="13">
        <f t="shared" si="499"/>
        <v>0</v>
      </c>
    </row>
    <row r="1245" spans="2:23" s="9" customFormat="1">
      <c r="B1245" s="9">
        <v>592</v>
      </c>
      <c r="C1245" s="9" t="s">
        <v>688</v>
      </c>
      <c r="G1245" s="9">
        <v>2007</v>
      </c>
      <c r="H1245" s="9">
        <v>9</v>
      </c>
      <c r="I1245" s="9">
        <v>0</v>
      </c>
      <c r="J1245" s="9" t="s">
        <v>78</v>
      </c>
      <c r="K1245" s="158">
        <v>7</v>
      </c>
      <c r="L1245" s="9">
        <f t="shared" si="491"/>
        <v>2014</v>
      </c>
      <c r="M1245" s="127">
        <f t="shared" si="492"/>
        <v>2014.75</v>
      </c>
      <c r="N1245" s="13">
        <v>28404.73</v>
      </c>
      <c r="O1245" s="13">
        <f t="shared" si="493"/>
        <v>28404.73</v>
      </c>
      <c r="P1245" s="13">
        <f t="shared" si="494"/>
        <v>338.15154761904762</v>
      </c>
      <c r="Q1245" s="13">
        <f t="shared" si="495"/>
        <v>4057.8185714285714</v>
      </c>
      <c r="R1245" s="13"/>
      <c r="S1245" s="13">
        <f t="shared" si="496"/>
        <v>0</v>
      </c>
      <c r="T1245" s="13">
        <f t="shared" si="497"/>
        <v>28404.73</v>
      </c>
      <c r="U1245" s="13">
        <f t="shared" si="498"/>
        <v>28404.73</v>
      </c>
      <c r="V1245" s="13"/>
      <c r="W1245" s="13">
        <f t="shared" si="499"/>
        <v>0</v>
      </c>
    </row>
    <row r="1246" spans="2:23" s="9" customFormat="1">
      <c r="B1246" s="9">
        <v>594</v>
      </c>
      <c r="C1246" s="9" t="s">
        <v>856</v>
      </c>
      <c r="G1246" s="9">
        <v>2007</v>
      </c>
      <c r="H1246" s="9">
        <v>10</v>
      </c>
      <c r="I1246" s="9">
        <v>0</v>
      </c>
      <c r="J1246" s="9" t="s">
        <v>78</v>
      </c>
      <c r="K1246" s="158">
        <v>7</v>
      </c>
      <c r="L1246" s="9">
        <f t="shared" si="491"/>
        <v>2014</v>
      </c>
      <c r="M1246" s="127">
        <f t="shared" si="492"/>
        <v>2014.8333333333333</v>
      </c>
      <c r="N1246" s="13">
        <v>28519.74</v>
      </c>
      <c r="O1246" s="13">
        <f t="shared" si="493"/>
        <v>28519.74</v>
      </c>
      <c r="P1246" s="13">
        <f t="shared" si="494"/>
        <v>339.52071428571429</v>
      </c>
      <c r="Q1246" s="13">
        <f t="shared" si="495"/>
        <v>4074.2485714285713</v>
      </c>
      <c r="R1246" s="13"/>
      <c r="S1246" s="13">
        <f t="shared" si="496"/>
        <v>0</v>
      </c>
      <c r="T1246" s="13">
        <f t="shared" si="497"/>
        <v>28519.74</v>
      </c>
      <c r="U1246" s="13">
        <f t="shared" si="498"/>
        <v>28519.74</v>
      </c>
      <c r="V1246" s="13"/>
      <c r="W1246" s="13">
        <f t="shared" si="499"/>
        <v>0</v>
      </c>
    </row>
    <row r="1247" spans="2:23" s="9" customFormat="1">
      <c r="B1247" s="9">
        <v>1221</v>
      </c>
      <c r="C1247" s="9" t="s">
        <v>856</v>
      </c>
      <c r="G1247" s="9">
        <v>2008</v>
      </c>
      <c r="H1247" s="9">
        <v>1</v>
      </c>
      <c r="I1247" s="9">
        <v>0</v>
      </c>
      <c r="J1247" s="9" t="s">
        <v>78</v>
      </c>
      <c r="K1247" s="158">
        <v>7</v>
      </c>
      <c r="L1247" s="9">
        <f t="shared" si="491"/>
        <v>2015</v>
      </c>
      <c r="M1247" s="127">
        <f t="shared" si="492"/>
        <v>2015.0833333333333</v>
      </c>
      <c r="N1247" s="13">
        <v>58619.32</v>
      </c>
      <c r="O1247" s="13">
        <f t="shared" si="493"/>
        <v>58619.32</v>
      </c>
      <c r="P1247" s="13">
        <f t="shared" si="494"/>
        <v>697.84904761904761</v>
      </c>
      <c r="Q1247" s="13">
        <f t="shared" si="495"/>
        <v>8374.1885714285709</v>
      </c>
      <c r="R1247" s="13"/>
      <c r="S1247" s="13">
        <f t="shared" si="496"/>
        <v>0</v>
      </c>
      <c r="T1247" s="13">
        <f t="shared" si="497"/>
        <v>58619.32</v>
      </c>
      <c r="U1247" s="13">
        <f t="shared" si="498"/>
        <v>58619.32</v>
      </c>
      <c r="V1247" s="13"/>
      <c r="W1247" s="13">
        <f t="shared" si="499"/>
        <v>0</v>
      </c>
    </row>
    <row r="1248" spans="2:23" s="9" customFormat="1">
      <c r="B1248" s="9">
        <v>618</v>
      </c>
      <c r="C1248" s="9" t="s">
        <v>617</v>
      </c>
      <c r="G1248" s="9">
        <v>2008</v>
      </c>
      <c r="H1248" s="9">
        <v>3</v>
      </c>
      <c r="I1248" s="9">
        <v>0</v>
      </c>
      <c r="J1248" s="9" t="s">
        <v>78</v>
      </c>
      <c r="K1248" s="158">
        <v>7</v>
      </c>
      <c r="L1248" s="9">
        <f t="shared" si="491"/>
        <v>2015</v>
      </c>
      <c r="M1248" s="127">
        <f t="shared" si="492"/>
        <v>2015.25</v>
      </c>
      <c r="N1248" s="13">
        <v>29659.35</v>
      </c>
      <c r="O1248" s="13">
        <f t="shared" si="493"/>
        <v>29659.35</v>
      </c>
      <c r="P1248" s="13">
        <f t="shared" si="494"/>
        <v>353.08750000000003</v>
      </c>
      <c r="Q1248" s="13">
        <f t="shared" si="495"/>
        <v>4237.05</v>
      </c>
      <c r="R1248" s="13"/>
      <c r="S1248" s="13">
        <f t="shared" si="496"/>
        <v>0</v>
      </c>
      <c r="T1248" s="13">
        <f t="shared" si="497"/>
        <v>29659.35</v>
      </c>
      <c r="U1248" s="13">
        <f t="shared" si="498"/>
        <v>29659.35</v>
      </c>
      <c r="V1248" s="13"/>
      <c r="W1248" s="13">
        <f t="shared" si="499"/>
        <v>0</v>
      </c>
    </row>
    <row r="1249" spans="2:23" s="9" customFormat="1">
      <c r="B1249" s="9">
        <v>307</v>
      </c>
      <c r="C1249" s="9" t="s">
        <v>617</v>
      </c>
      <c r="G1249" s="9">
        <v>2008</v>
      </c>
      <c r="H1249" s="9">
        <v>6</v>
      </c>
      <c r="I1249" s="9">
        <v>0</v>
      </c>
      <c r="J1249" s="9" t="s">
        <v>78</v>
      </c>
      <c r="K1249" s="158">
        <v>7</v>
      </c>
      <c r="L1249" s="9">
        <f t="shared" si="491"/>
        <v>2015</v>
      </c>
      <c r="M1249" s="127">
        <f t="shared" si="492"/>
        <v>2015.5</v>
      </c>
      <c r="N1249" s="13">
        <v>14758.75</v>
      </c>
      <c r="O1249" s="13">
        <f t="shared" si="493"/>
        <v>14758.75</v>
      </c>
      <c r="P1249" s="13">
        <f t="shared" si="494"/>
        <v>175.69940476190479</v>
      </c>
      <c r="Q1249" s="13">
        <f t="shared" si="495"/>
        <v>2108.3928571428573</v>
      </c>
      <c r="R1249" s="13"/>
      <c r="S1249" s="13">
        <f t="shared" si="496"/>
        <v>0</v>
      </c>
      <c r="T1249" s="13">
        <f t="shared" si="497"/>
        <v>14758.75</v>
      </c>
      <c r="U1249" s="13">
        <f t="shared" si="498"/>
        <v>14758.75</v>
      </c>
      <c r="V1249" s="13"/>
      <c r="W1249" s="13">
        <f t="shared" si="499"/>
        <v>0</v>
      </c>
    </row>
    <row r="1250" spans="2:23" s="9" customFormat="1">
      <c r="B1250" s="9">
        <v>592</v>
      </c>
      <c r="C1250" s="9" t="s">
        <v>857</v>
      </c>
      <c r="G1250" s="9">
        <v>2008</v>
      </c>
      <c r="H1250" s="9">
        <v>8</v>
      </c>
      <c r="I1250" s="9">
        <v>0</v>
      </c>
      <c r="J1250" s="9" t="s">
        <v>78</v>
      </c>
      <c r="K1250" s="158">
        <v>7</v>
      </c>
      <c r="L1250" s="9">
        <f t="shared" si="491"/>
        <v>2015</v>
      </c>
      <c r="M1250" s="127">
        <f t="shared" si="492"/>
        <v>2015.6666666666667</v>
      </c>
      <c r="N1250" s="13">
        <v>28433.040000000001</v>
      </c>
      <c r="O1250" s="13">
        <f t="shared" si="493"/>
        <v>28433.040000000001</v>
      </c>
      <c r="P1250" s="13">
        <f t="shared" si="494"/>
        <v>338.48857142857145</v>
      </c>
      <c r="Q1250" s="13">
        <f t="shared" si="495"/>
        <v>4061.8628571428571</v>
      </c>
      <c r="R1250" s="13"/>
      <c r="S1250" s="13">
        <f t="shared" si="496"/>
        <v>0</v>
      </c>
      <c r="T1250" s="13">
        <f t="shared" si="497"/>
        <v>28433.040000000001</v>
      </c>
      <c r="U1250" s="13">
        <f t="shared" si="498"/>
        <v>28433.040000000001</v>
      </c>
      <c r="V1250" s="13"/>
      <c r="W1250" s="13">
        <f t="shared" si="499"/>
        <v>0</v>
      </c>
    </row>
    <row r="1251" spans="2:23" s="9" customFormat="1">
      <c r="B1251" s="9">
        <v>486</v>
      </c>
      <c r="C1251" s="9" t="s">
        <v>856</v>
      </c>
      <c r="E1251" s="9">
        <v>66102</v>
      </c>
      <c r="G1251" s="9">
        <v>2009</v>
      </c>
      <c r="H1251" s="9">
        <v>7</v>
      </c>
      <c r="I1251" s="9">
        <v>0</v>
      </c>
      <c r="J1251" s="9" t="s">
        <v>78</v>
      </c>
      <c r="K1251" s="158">
        <v>7</v>
      </c>
      <c r="L1251" s="9">
        <f t="shared" si="491"/>
        <v>2016</v>
      </c>
      <c r="M1251" s="127">
        <f t="shared" si="492"/>
        <v>2016.5833333333333</v>
      </c>
      <c r="N1251" s="13">
        <v>22586.53</v>
      </c>
      <c r="O1251" s="13">
        <f t="shared" si="493"/>
        <v>22586.53</v>
      </c>
      <c r="P1251" s="13">
        <f t="shared" si="494"/>
        <v>268.88726190476189</v>
      </c>
      <c r="Q1251" s="13">
        <f t="shared" si="495"/>
        <v>3226.6471428571426</v>
      </c>
      <c r="R1251" s="13"/>
      <c r="S1251" s="13">
        <f t="shared" si="496"/>
        <v>0</v>
      </c>
      <c r="T1251" s="13">
        <f t="shared" si="497"/>
        <v>22586.53</v>
      </c>
      <c r="U1251" s="13">
        <f t="shared" si="498"/>
        <v>22586.53</v>
      </c>
      <c r="V1251" s="13"/>
      <c r="W1251" s="13">
        <f t="shared" si="499"/>
        <v>0</v>
      </c>
    </row>
    <row r="1252" spans="2:23" s="9" customFormat="1">
      <c r="B1252" s="9">
        <v>486</v>
      </c>
      <c r="C1252" s="9" t="s">
        <v>620</v>
      </c>
      <c r="E1252" s="9">
        <v>77551</v>
      </c>
      <c r="G1252" s="9">
        <v>2010</v>
      </c>
      <c r="H1252" s="9">
        <v>9</v>
      </c>
      <c r="I1252" s="9">
        <v>0</v>
      </c>
      <c r="J1252" s="9" t="s">
        <v>78</v>
      </c>
      <c r="K1252" s="158">
        <v>7</v>
      </c>
      <c r="L1252" s="9">
        <f t="shared" si="491"/>
        <v>2017</v>
      </c>
      <c r="M1252" s="127">
        <f t="shared" si="492"/>
        <v>2017.75</v>
      </c>
      <c r="N1252" s="13">
        <v>23638.32</v>
      </c>
      <c r="O1252" s="13">
        <f t="shared" si="493"/>
        <v>23638.32</v>
      </c>
      <c r="P1252" s="13">
        <f t="shared" si="494"/>
        <v>281.40857142857141</v>
      </c>
      <c r="Q1252" s="13">
        <f t="shared" si="495"/>
        <v>3376.9028571428571</v>
      </c>
      <c r="R1252" s="13"/>
      <c r="S1252" s="13">
        <f t="shared" si="496"/>
        <v>0</v>
      </c>
      <c r="T1252" s="13">
        <f t="shared" si="497"/>
        <v>23638.32</v>
      </c>
      <c r="U1252" s="13">
        <f t="shared" si="498"/>
        <v>23638.32</v>
      </c>
      <c r="V1252" s="13"/>
      <c r="W1252" s="13">
        <f t="shared" si="499"/>
        <v>0</v>
      </c>
    </row>
    <row r="1253" spans="2:23" s="9" customFormat="1">
      <c r="B1253" s="9">
        <v>437</v>
      </c>
      <c r="C1253" s="9" t="s">
        <v>620</v>
      </c>
      <c r="E1253" s="9">
        <v>84014</v>
      </c>
      <c r="G1253" s="9">
        <v>2011</v>
      </c>
      <c r="H1253" s="9">
        <v>5</v>
      </c>
      <c r="I1253" s="9">
        <v>0</v>
      </c>
      <c r="J1253" s="9" t="s">
        <v>78</v>
      </c>
      <c r="K1253" s="158">
        <v>7</v>
      </c>
      <c r="L1253" s="9">
        <f t="shared" si="491"/>
        <v>2018</v>
      </c>
      <c r="M1253" s="127">
        <f t="shared" si="492"/>
        <v>2018.4166666666667</v>
      </c>
      <c r="N1253" s="13">
        <v>22668.84</v>
      </c>
      <c r="O1253" s="13">
        <f t="shared" si="493"/>
        <v>22668.84</v>
      </c>
      <c r="P1253" s="13">
        <f t="shared" si="494"/>
        <v>269.86714285714282</v>
      </c>
      <c r="Q1253" s="13">
        <f t="shared" si="495"/>
        <v>3238.4057142857137</v>
      </c>
      <c r="R1253" s="13"/>
      <c r="S1253" s="13">
        <f t="shared" si="496"/>
        <v>0</v>
      </c>
      <c r="T1253" s="13">
        <f t="shared" si="497"/>
        <v>22668.84</v>
      </c>
      <c r="U1253" s="13">
        <f t="shared" si="498"/>
        <v>22668.84</v>
      </c>
      <c r="V1253" s="13"/>
      <c r="W1253" s="13">
        <f t="shared" si="499"/>
        <v>0</v>
      </c>
    </row>
    <row r="1254" spans="2:23" s="9" customFormat="1">
      <c r="K1254" s="158"/>
      <c r="M1254" s="146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</row>
    <row r="1255" spans="2:23" s="9" customFormat="1">
      <c r="B1255" s="9">
        <f>SUM(B1226:B1254)</f>
        <v>13167</v>
      </c>
      <c r="C1255" s="9" t="s">
        <v>858</v>
      </c>
      <c r="K1255" s="158"/>
      <c r="M1255" s="146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</row>
    <row r="1256" spans="2:23" s="9" customFormat="1">
      <c r="K1256" s="158"/>
      <c r="M1256" s="146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</row>
    <row r="1257" spans="2:23" s="9" customFormat="1">
      <c r="B1257" s="9">
        <v>375</v>
      </c>
      <c r="C1257" s="9" t="s">
        <v>859</v>
      </c>
      <c r="G1257" s="9">
        <v>1993</v>
      </c>
      <c r="H1257" s="9">
        <v>7</v>
      </c>
      <c r="I1257" s="9">
        <v>0</v>
      </c>
      <c r="J1257" s="9" t="s">
        <v>78</v>
      </c>
      <c r="K1257" s="158">
        <v>7</v>
      </c>
      <c r="L1257" s="9">
        <f t="shared" ref="L1257:L1288" si="500">G1257+K1257</f>
        <v>2000</v>
      </c>
      <c r="M1257" s="127">
        <f t="shared" ref="M1257:M1288" si="501">+L1257+(H1257/12)</f>
        <v>2000.5833333333333</v>
      </c>
      <c r="N1257" s="13">
        <v>17976</v>
      </c>
      <c r="O1257" s="13">
        <f t="shared" ref="O1257:O1288" si="502">N1257-N1257*I1257</f>
        <v>17976</v>
      </c>
      <c r="P1257" s="13">
        <f t="shared" ref="P1257:P1288" si="503">O1257/K1257/12</f>
        <v>214</v>
      </c>
      <c r="Q1257" s="13">
        <f t="shared" ref="Q1257:Q1288" si="504">P1257*12</f>
        <v>2568</v>
      </c>
      <c r="R1257" s="13"/>
      <c r="S1257" s="13">
        <f t="shared" ref="S1257:S1288" si="505">+IF(M1257&lt;=$O$5,0,IF(L1257&gt;$O$4,Q1257,(P1257*H1257)))</f>
        <v>0</v>
      </c>
      <c r="T1257" s="13">
        <f t="shared" ref="T1257:T1288" si="506">+IF(S1257=0,N1257,IF($O$3-G1257&lt;1,0,(($O$3-G1257)*Q1257)))</f>
        <v>17976</v>
      </c>
      <c r="U1257" s="13">
        <f t="shared" ref="U1257:U1288" si="507">+IF(S1257=0,T1257,T1257+S1257)</f>
        <v>17976</v>
      </c>
      <c r="V1257" s="13"/>
      <c r="W1257" s="13">
        <f t="shared" ref="W1257:W1288" si="508">+N1257-U1257</f>
        <v>0</v>
      </c>
    </row>
    <row r="1258" spans="2:23" s="9" customFormat="1">
      <c r="B1258" s="9">
        <v>350</v>
      </c>
      <c r="C1258" s="9" t="s">
        <v>860</v>
      </c>
      <c r="G1258" s="9">
        <v>1994</v>
      </c>
      <c r="H1258" s="9">
        <v>3</v>
      </c>
      <c r="I1258" s="9">
        <v>0</v>
      </c>
      <c r="J1258" s="9" t="s">
        <v>78</v>
      </c>
      <c r="K1258" s="158">
        <v>7</v>
      </c>
      <c r="L1258" s="9">
        <f t="shared" si="500"/>
        <v>2001</v>
      </c>
      <c r="M1258" s="127">
        <f t="shared" si="501"/>
        <v>2001.25</v>
      </c>
      <c r="N1258" s="13">
        <v>17167</v>
      </c>
      <c r="O1258" s="13">
        <f t="shared" si="502"/>
        <v>17167</v>
      </c>
      <c r="P1258" s="13">
        <f t="shared" si="503"/>
        <v>204.36904761904762</v>
      </c>
      <c r="Q1258" s="13">
        <f t="shared" si="504"/>
        <v>2452.4285714285716</v>
      </c>
      <c r="R1258" s="13"/>
      <c r="S1258" s="13">
        <f t="shared" si="505"/>
        <v>0</v>
      </c>
      <c r="T1258" s="13">
        <f t="shared" si="506"/>
        <v>17167</v>
      </c>
      <c r="U1258" s="13">
        <f t="shared" si="507"/>
        <v>17167</v>
      </c>
      <c r="V1258" s="13"/>
      <c r="W1258" s="13">
        <f t="shared" si="508"/>
        <v>0</v>
      </c>
    </row>
    <row r="1259" spans="2:23" s="9" customFormat="1">
      <c r="B1259" s="9">
        <v>322</v>
      </c>
      <c r="C1259" s="9" t="s">
        <v>861</v>
      </c>
      <c r="G1259" s="9">
        <v>1994</v>
      </c>
      <c r="H1259" s="9">
        <v>3</v>
      </c>
      <c r="I1259" s="9">
        <v>0</v>
      </c>
      <c r="J1259" s="9" t="s">
        <v>78</v>
      </c>
      <c r="K1259" s="158">
        <v>7</v>
      </c>
      <c r="L1259" s="9">
        <f t="shared" si="500"/>
        <v>2001</v>
      </c>
      <c r="M1259" s="127">
        <f t="shared" si="501"/>
        <v>2001.25</v>
      </c>
      <c r="N1259" s="13">
        <v>15794</v>
      </c>
      <c r="O1259" s="13">
        <f t="shared" si="502"/>
        <v>15794</v>
      </c>
      <c r="P1259" s="13">
        <f t="shared" si="503"/>
        <v>188.02380952380952</v>
      </c>
      <c r="Q1259" s="13">
        <f t="shared" si="504"/>
        <v>2256.2857142857142</v>
      </c>
      <c r="R1259" s="13"/>
      <c r="S1259" s="13">
        <f t="shared" si="505"/>
        <v>0</v>
      </c>
      <c r="T1259" s="13">
        <f t="shared" si="506"/>
        <v>15794</v>
      </c>
      <c r="U1259" s="13">
        <f t="shared" si="507"/>
        <v>15794</v>
      </c>
      <c r="V1259" s="13"/>
      <c r="W1259" s="13">
        <f t="shared" si="508"/>
        <v>0</v>
      </c>
    </row>
    <row r="1260" spans="2:23" s="9" customFormat="1">
      <c r="B1260" s="9">
        <v>366</v>
      </c>
      <c r="C1260" s="9" t="s">
        <v>862</v>
      </c>
      <c r="G1260" s="9">
        <v>1994</v>
      </c>
      <c r="H1260" s="9">
        <v>8</v>
      </c>
      <c r="I1260" s="9">
        <v>0</v>
      </c>
      <c r="J1260" s="9" t="s">
        <v>78</v>
      </c>
      <c r="K1260" s="158">
        <v>7</v>
      </c>
      <c r="L1260" s="9">
        <f t="shared" si="500"/>
        <v>2001</v>
      </c>
      <c r="M1260" s="127">
        <f t="shared" si="501"/>
        <v>2001.6666666666667</v>
      </c>
      <c r="N1260" s="13">
        <v>17591</v>
      </c>
      <c r="O1260" s="13">
        <f t="shared" si="502"/>
        <v>17591</v>
      </c>
      <c r="P1260" s="13">
        <f t="shared" si="503"/>
        <v>209.41666666666666</v>
      </c>
      <c r="Q1260" s="13">
        <f t="shared" si="504"/>
        <v>2513</v>
      </c>
      <c r="R1260" s="13"/>
      <c r="S1260" s="13">
        <f t="shared" si="505"/>
        <v>0</v>
      </c>
      <c r="T1260" s="13">
        <f t="shared" si="506"/>
        <v>17591</v>
      </c>
      <c r="U1260" s="13">
        <f t="shared" si="507"/>
        <v>17591</v>
      </c>
      <c r="V1260" s="13"/>
      <c r="W1260" s="13">
        <f t="shared" si="508"/>
        <v>0</v>
      </c>
    </row>
    <row r="1261" spans="2:23" s="9" customFormat="1">
      <c r="B1261" s="9">
        <v>396</v>
      </c>
      <c r="C1261" s="9" t="s">
        <v>863</v>
      </c>
      <c r="G1261" s="9">
        <v>1995</v>
      </c>
      <c r="H1261" s="9">
        <v>4</v>
      </c>
      <c r="I1261" s="9">
        <v>0</v>
      </c>
      <c r="J1261" s="9" t="s">
        <v>78</v>
      </c>
      <c r="K1261" s="158">
        <v>7</v>
      </c>
      <c r="L1261" s="9">
        <f t="shared" si="500"/>
        <v>2002</v>
      </c>
      <c r="M1261" s="127">
        <f t="shared" si="501"/>
        <v>2002.3333333333333</v>
      </c>
      <c r="N1261" s="13">
        <v>19022</v>
      </c>
      <c r="O1261" s="13">
        <f t="shared" si="502"/>
        <v>19022</v>
      </c>
      <c r="P1261" s="13">
        <f t="shared" si="503"/>
        <v>226.45238095238096</v>
      </c>
      <c r="Q1261" s="13">
        <f t="shared" si="504"/>
        <v>2717.4285714285716</v>
      </c>
      <c r="R1261" s="13"/>
      <c r="S1261" s="13">
        <f t="shared" si="505"/>
        <v>0</v>
      </c>
      <c r="T1261" s="13">
        <f t="shared" si="506"/>
        <v>19022</v>
      </c>
      <c r="U1261" s="13">
        <f t="shared" si="507"/>
        <v>19022</v>
      </c>
      <c r="V1261" s="13"/>
      <c r="W1261" s="13">
        <f t="shared" si="508"/>
        <v>0</v>
      </c>
    </row>
    <row r="1262" spans="2:23" s="9" customFormat="1">
      <c r="B1262" s="9">
        <v>360</v>
      </c>
      <c r="C1262" s="9" t="s">
        <v>864</v>
      </c>
      <c r="G1262" s="9">
        <v>1995</v>
      </c>
      <c r="H1262" s="9">
        <v>6</v>
      </c>
      <c r="I1262" s="9">
        <v>0</v>
      </c>
      <c r="J1262" s="9" t="s">
        <v>78</v>
      </c>
      <c r="K1262" s="158">
        <v>7</v>
      </c>
      <c r="L1262" s="9">
        <f t="shared" si="500"/>
        <v>2002</v>
      </c>
      <c r="M1262" s="127">
        <f t="shared" si="501"/>
        <v>2002.5</v>
      </c>
      <c r="N1262" s="13">
        <v>20141</v>
      </c>
      <c r="O1262" s="13">
        <f t="shared" si="502"/>
        <v>20141</v>
      </c>
      <c r="P1262" s="13">
        <f t="shared" si="503"/>
        <v>239.77380952380952</v>
      </c>
      <c r="Q1262" s="13">
        <f t="shared" si="504"/>
        <v>2877.2857142857142</v>
      </c>
      <c r="R1262" s="13"/>
      <c r="S1262" s="13">
        <f t="shared" si="505"/>
        <v>0</v>
      </c>
      <c r="T1262" s="13">
        <f t="shared" si="506"/>
        <v>20141</v>
      </c>
      <c r="U1262" s="13">
        <f t="shared" si="507"/>
        <v>20141</v>
      </c>
      <c r="V1262" s="13"/>
      <c r="W1262" s="13">
        <f t="shared" si="508"/>
        <v>0</v>
      </c>
    </row>
    <row r="1263" spans="2:23" s="9" customFormat="1">
      <c r="B1263" s="9">
        <v>403</v>
      </c>
      <c r="C1263" s="9" t="s">
        <v>865</v>
      </c>
      <c r="G1263" s="9">
        <v>1995</v>
      </c>
      <c r="H1263" s="9">
        <v>12</v>
      </c>
      <c r="I1263" s="9">
        <v>0</v>
      </c>
      <c r="J1263" s="9" t="s">
        <v>78</v>
      </c>
      <c r="K1263" s="158">
        <v>7</v>
      </c>
      <c r="L1263" s="9">
        <f t="shared" si="500"/>
        <v>2002</v>
      </c>
      <c r="M1263" s="127">
        <f t="shared" si="501"/>
        <v>2003</v>
      </c>
      <c r="N1263" s="13">
        <v>19325</v>
      </c>
      <c r="O1263" s="13">
        <f t="shared" si="502"/>
        <v>19325</v>
      </c>
      <c r="P1263" s="13">
        <f t="shared" si="503"/>
        <v>230.05952380952382</v>
      </c>
      <c r="Q1263" s="13">
        <f t="shared" si="504"/>
        <v>2760.7142857142858</v>
      </c>
      <c r="R1263" s="13"/>
      <c r="S1263" s="13">
        <f t="shared" si="505"/>
        <v>0</v>
      </c>
      <c r="T1263" s="13">
        <f t="shared" si="506"/>
        <v>19325</v>
      </c>
      <c r="U1263" s="13">
        <f t="shared" si="507"/>
        <v>19325</v>
      </c>
      <c r="V1263" s="13"/>
      <c r="W1263" s="13">
        <f t="shared" si="508"/>
        <v>0</v>
      </c>
    </row>
    <row r="1264" spans="2:23" s="9" customFormat="1">
      <c r="B1264" s="9">
        <v>384</v>
      </c>
      <c r="C1264" s="9" t="s">
        <v>680</v>
      </c>
      <c r="G1264" s="9">
        <v>1996</v>
      </c>
      <c r="H1264" s="9">
        <v>5</v>
      </c>
      <c r="I1264" s="9">
        <v>0</v>
      </c>
      <c r="J1264" s="9" t="s">
        <v>78</v>
      </c>
      <c r="K1264" s="158">
        <v>7</v>
      </c>
      <c r="L1264" s="9">
        <f t="shared" si="500"/>
        <v>2003</v>
      </c>
      <c r="M1264" s="127">
        <f t="shared" si="501"/>
        <v>2003.4166666666667</v>
      </c>
      <c r="N1264" s="13">
        <v>19944</v>
      </c>
      <c r="O1264" s="13">
        <f t="shared" si="502"/>
        <v>19944</v>
      </c>
      <c r="P1264" s="13">
        <f t="shared" si="503"/>
        <v>237.42857142857144</v>
      </c>
      <c r="Q1264" s="13">
        <f t="shared" si="504"/>
        <v>2849.1428571428573</v>
      </c>
      <c r="R1264" s="13"/>
      <c r="S1264" s="13">
        <f t="shared" si="505"/>
        <v>0</v>
      </c>
      <c r="T1264" s="13">
        <f t="shared" si="506"/>
        <v>19944</v>
      </c>
      <c r="U1264" s="13">
        <f t="shared" si="507"/>
        <v>19944</v>
      </c>
      <c r="V1264" s="13"/>
      <c r="W1264" s="13">
        <f t="shared" si="508"/>
        <v>0</v>
      </c>
    </row>
    <row r="1265" spans="2:23" s="9" customFormat="1">
      <c r="B1265" s="9">
        <v>384</v>
      </c>
      <c r="C1265" s="9" t="s">
        <v>680</v>
      </c>
      <c r="G1265" s="9">
        <v>1996</v>
      </c>
      <c r="H1265" s="9">
        <v>6</v>
      </c>
      <c r="I1265" s="9">
        <v>0</v>
      </c>
      <c r="J1265" s="9" t="s">
        <v>78</v>
      </c>
      <c r="K1265" s="158">
        <v>7</v>
      </c>
      <c r="L1265" s="9">
        <f t="shared" si="500"/>
        <v>2003</v>
      </c>
      <c r="M1265" s="127">
        <f t="shared" si="501"/>
        <v>2003.5</v>
      </c>
      <c r="N1265" s="13">
        <v>20095</v>
      </c>
      <c r="O1265" s="13">
        <f t="shared" si="502"/>
        <v>20095</v>
      </c>
      <c r="P1265" s="13">
        <f t="shared" si="503"/>
        <v>239.22619047619048</v>
      </c>
      <c r="Q1265" s="13">
        <f t="shared" si="504"/>
        <v>2870.7142857142858</v>
      </c>
      <c r="R1265" s="13"/>
      <c r="S1265" s="13">
        <f t="shared" si="505"/>
        <v>0</v>
      </c>
      <c r="T1265" s="13">
        <f t="shared" si="506"/>
        <v>20095</v>
      </c>
      <c r="U1265" s="13">
        <f t="shared" si="507"/>
        <v>20095</v>
      </c>
      <c r="V1265" s="13"/>
      <c r="W1265" s="13">
        <f t="shared" si="508"/>
        <v>0</v>
      </c>
    </row>
    <row r="1266" spans="2:23" s="9" customFormat="1">
      <c r="B1266" s="9">
        <v>384</v>
      </c>
      <c r="C1266" s="9" t="s">
        <v>680</v>
      </c>
      <c r="G1266" s="9">
        <v>1996</v>
      </c>
      <c r="H1266" s="9">
        <v>6</v>
      </c>
      <c r="I1266" s="9">
        <v>0</v>
      </c>
      <c r="J1266" s="9" t="s">
        <v>78</v>
      </c>
      <c r="K1266" s="158">
        <v>7</v>
      </c>
      <c r="L1266" s="9">
        <f t="shared" si="500"/>
        <v>2003</v>
      </c>
      <c r="M1266" s="127">
        <f t="shared" si="501"/>
        <v>2003.5</v>
      </c>
      <c r="N1266" s="13">
        <v>20114</v>
      </c>
      <c r="O1266" s="13">
        <f t="shared" si="502"/>
        <v>20114</v>
      </c>
      <c r="P1266" s="13">
        <f t="shared" si="503"/>
        <v>239.45238095238096</v>
      </c>
      <c r="Q1266" s="13">
        <f t="shared" si="504"/>
        <v>2873.4285714285716</v>
      </c>
      <c r="R1266" s="13"/>
      <c r="S1266" s="13">
        <f t="shared" si="505"/>
        <v>0</v>
      </c>
      <c r="T1266" s="13">
        <f t="shared" si="506"/>
        <v>20114</v>
      </c>
      <c r="U1266" s="13">
        <f t="shared" si="507"/>
        <v>20114</v>
      </c>
      <c r="V1266" s="13"/>
      <c r="W1266" s="13">
        <f t="shared" si="508"/>
        <v>0</v>
      </c>
    </row>
    <row r="1267" spans="2:23" s="9" customFormat="1">
      <c r="B1267" s="9">
        <v>363</v>
      </c>
      <c r="C1267" s="9" t="s">
        <v>865</v>
      </c>
      <c r="G1267" s="9">
        <v>1996</v>
      </c>
      <c r="H1267" s="9">
        <v>6</v>
      </c>
      <c r="I1267" s="9">
        <v>0</v>
      </c>
      <c r="J1267" s="9" t="s">
        <v>78</v>
      </c>
      <c r="K1267" s="158">
        <v>7</v>
      </c>
      <c r="L1267" s="9">
        <f t="shared" si="500"/>
        <v>2003</v>
      </c>
      <c r="M1267" s="127">
        <f t="shared" si="501"/>
        <v>2003.5</v>
      </c>
      <c r="N1267" s="13">
        <v>17446</v>
      </c>
      <c r="O1267" s="13">
        <f t="shared" si="502"/>
        <v>17446</v>
      </c>
      <c r="P1267" s="13">
        <f t="shared" si="503"/>
        <v>207.69047619047618</v>
      </c>
      <c r="Q1267" s="13">
        <f t="shared" si="504"/>
        <v>2492.2857142857142</v>
      </c>
      <c r="R1267" s="13"/>
      <c r="S1267" s="13">
        <f t="shared" si="505"/>
        <v>0</v>
      </c>
      <c r="T1267" s="13">
        <f t="shared" si="506"/>
        <v>17446</v>
      </c>
      <c r="U1267" s="13">
        <f t="shared" si="507"/>
        <v>17446</v>
      </c>
      <c r="V1267" s="13"/>
      <c r="W1267" s="13">
        <f t="shared" si="508"/>
        <v>0</v>
      </c>
    </row>
    <row r="1268" spans="2:23" s="9" customFormat="1">
      <c r="B1268" s="9">
        <v>400</v>
      </c>
      <c r="C1268" s="9" t="s">
        <v>866</v>
      </c>
      <c r="G1268" s="9">
        <v>1996</v>
      </c>
      <c r="H1268" s="9">
        <v>7</v>
      </c>
      <c r="I1268" s="9">
        <v>0</v>
      </c>
      <c r="J1268" s="9" t="s">
        <v>78</v>
      </c>
      <c r="K1268" s="158">
        <v>7</v>
      </c>
      <c r="L1268" s="9">
        <f t="shared" si="500"/>
        <v>2003</v>
      </c>
      <c r="M1268" s="127">
        <f t="shared" si="501"/>
        <v>2003.5833333333333</v>
      </c>
      <c r="N1268" s="13">
        <v>20659</v>
      </c>
      <c r="O1268" s="13">
        <f t="shared" si="502"/>
        <v>20659</v>
      </c>
      <c r="P1268" s="13">
        <f t="shared" si="503"/>
        <v>245.94047619047618</v>
      </c>
      <c r="Q1268" s="13">
        <f t="shared" si="504"/>
        <v>2951.2857142857142</v>
      </c>
      <c r="R1268" s="13"/>
      <c r="S1268" s="13">
        <f t="shared" si="505"/>
        <v>0</v>
      </c>
      <c r="T1268" s="13">
        <f t="shared" si="506"/>
        <v>20659</v>
      </c>
      <c r="U1268" s="13">
        <f t="shared" si="507"/>
        <v>20659</v>
      </c>
      <c r="V1268" s="13"/>
      <c r="W1268" s="13">
        <f t="shared" si="508"/>
        <v>0</v>
      </c>
    </row>
    <row r="1269" spans="2:23" s="9" customFormat="1">
      <c r="B1269" s="9">
        <v>425</v>
      </c>
      <c r="C1269" s="9" t="s">
        <v>865</v>
      </c>
      <c r="G1269" s="9">
        <v>1996</v>
      </c>
      <c r="H1269" s="9">
        <v>7</v>
      </c>
      <c r="I1269" s="9">
        <v>0</v>
      </c>
      <c r="J1269" s="9" t="s">
        <v>78</v>
      </c>
      <c r="K1269" s="158">
        <v>7</v>
      </c>
      <c r="L1269" s="9">
        <f t="shared" si="500"/>
        <v>2003</v>
      </c>
      <c r="M1269" s="127">
        <f t="shared" si="501"/>
        <v>2003.5833333333333</v>
      </c>
      <c r="N1269" s="13">
        <v>20417</v>
      </c>
      <c r="O1269" s="13">
        <f t="shared" si="502"/>
        <v>20417</v>
      </c>
      <c r="P1269" s="13">
        <f t="shared" si="503"/>
        <v>243.05952380952382</v>
      </c>
      <c r="Q1269" s="13">
        <f t="shared" si="504"/>
        <v>2916.7142857142858</v>
      </c>
      <c r="R1269" s="13"/>
      <c r="S1269" s="13">
        <f t="shared" si="505"/>
        <v>0</v>
      </c>
      <c r="T1269" s="13">
        <f t="shared" si="506"/>
        <v>20417</v>
      </c>
      <c r="U1269" s="13">
        <f t="shared" si="507"/>
        <v>20417</v>
      </c>
      <c r="V1269" s="13"/>
      <c r="W1269" s="13">
        <f t="shared" si="508"/>
        <v>0</v>
      </c>
    </row>
    <row r="1270" spans="2:23" s="9" customFormat="1">
      <c r="B1270" s="9">
        <v>384</v>
      </c>
      <c r="C1270" s="9" t="s">
        <v>867</v>
      </c>
      <c r="G1270" s="9">
        <v>1996</v>
      </c>
      <c r="H1270" s="9">
        <v>10</v>
      </c>
      <c r="I1270" s="9">
        <v>0</v>
      </c>
      <c r="J1270" s="9" t="s">
        <v>78</v>
      </c>
      <c r="K1270" s="158">
        <v>7</v>
      </c>
      <c r="L1270" s="9">
        <f t="shared" si="500"/>
        <v>2003</v>
      </c>
      <c r="M1270" s="127">
        <f t="shared" si="501"/>
        <v>2003.8333333333333</v>
      </c>
      <c r="N1270" s="13">
        <v>19699</v>
      </c>
      <c r="O1270" s="13">
        <f t="shared" si="502"/>
        <v>19699</v>
      </c>
      <c r="P1270" s="13">
        <f t="shared" si="503"/>
        <v>234.51190476190479</v>
      </c>
      <c r="Q1270" s="13">
        <f t="shared" si="504"/>
        <v>2814.1428571428573</v>
      </c>
      <c r="R1270" s="13"/>
      <c r="S1270" s="13">
        <f t="shared" si="505"/>
        <v>0</v>
      </c>
      <c r="T1270" s="13">
        <f t="shared" si="506"/>
        <v>19699</v>
      </c>
      <c r="U1270" s="13">
        <f t="shared" si="507"/>
        <v>19699</v>
      </c>
      <c r="V1270" s="13"/>
      <c r="W1270" s="13">
        <f t="shared" si="508"/>
        <v>0</v>
      </c>
    </row>
    <row r="1271" spans="2:23" s="9" customFormat="1">
      <c r="B1271" s="9">
        <v>430</v>
      </c>
      <c r="C1271" s="9" t="s">
        <v>868</v>
      </c>
      <c r="G1271" s="9">
        <v>1996</v>
      </c>
      <c r="H1271" s="9">
        <v>10</v>
      </c>
      <c r="I1271" s="9">
        <v>0</v>
      </c>
      <c r="J1271" s="9" t="s">
        <v>78</v>
      </c>
      <c r="K1271" s="158">
        <v>7</v>
      </c>
      <c r="L1271" s="9">
        <f t="shared" si="500"/>
        <v>2003</v>
      </c>
      <c r="M1271" s="127">
        <f t="shared" si="501"/>
        <v>2003.8333333333333</v>
      </c>
      <c r="N1271" s="13">
        <v>20632</v>
      </c>
      <c r="O1271" s="13">
        <f t="shared" si="502"/>
        <v>20632</v>
      </c>
      <c r="P1271" s="13">
        <f t="shared" si="503"/>
        <v>245.61904761904762</v>
      </c>
      <c r="Q1271" s="13">
        <f t="shared" si="504"/>
        <v>2947.4285714285716</v>
      </c>
      <c r="R1271" s="13"/>
      <c r="S1271" s="13">
        <f t="shared" si="505"/>
        <v>0</v>
      </c>
      <c r="T1271" s="13">
        <f t="shared" si="506"/>
        <v>20632</v>
      </c>
      <c r="U1271" s="13">
        <f t="shared" si="507"/>
        <v>20632</v>
      </c>
      <c r="V1271" s="13"/>
      <c r="W1271" s="13">
        <f t="shared" si="508"/>
        <v>0</v>
      </c>
    </row>
    <row r="1272" spans="2:23" s="9" customFormat="1">
      <c r="B1272" s="9">
        <v>380</v>
      </c>
      <c r="C1272" s="9" t="s">
        <v>869</v>
      </c>
      <c r="G1272" s="9">
        <v>1997</v>
      </c>
      <c r="H1272" s="9">
        <v>5</v>
      </c>
      <c r="I1272" s="9">
        <v>0</v>
      </c>
      <c r="J1272" s="9" t="s">
        <v>78</v>
      </c>
      <c r="K1272" s="158">
        <v>7</v>
      </c>
      <c r="L1272" s="9">
        <f t="shared" si="500"/>
        <v>2004</v>
      </c>
      <c r="M1272" s="127">
        <f t="shared" si="501"/>
        <v>2004.4166666666667</v>
      </c>
      <c r="N1272" s="13">
        <v>18905</v>
      </c>
      <c r="O1272" s="13">
        <f t="shared" si="502"/>
        <v>18905</v>
      </c>
      <c r="P1272" s="13">
        <f t="shared" si="503"/>
        <v>225.05952380952382</v>
      </c>
      <c r="Q1272" s="13">
        <f t="shared" si="504"/>
        <v>2700.7142857142858</v>
      </c>
      <c r="R1272" s="13"/>
      <c r="S1272" s="13">
        <f t="shared" si="505"/>
        <v>0</v>
      </c>
      <c r="T1272" s="13">
        <f t="shared" si="506"/>
        <v>18905</v>
      </c>
      <c r="U1272" s="13">
        <f t="shared" si="507"/>
        <v>18905</v>
      </c>
      <c r="V1272" s="13"/>
      <c r="W1272" s="13">
        <f t="shared" si="508"/>
        <v>0</v>
      </c>
    </row>
    <row r="1273" spans="2:23" s="9" customFormat="1">
      <c r="B1273" s="9">
        <v>394</v>
      </c>
      <c r="C1273" s="9" t="s">
        <v>870</v>
      </c>
      <c r="G1273" s="9">
        <v>1997</v>
      </c>
      <c r="H1273" s="9">
        <v>5</v>
      </c>
      <c r="I1273" s="9">
        <v>0</v>
      </c>
      <c r="J1273" s="9" t="s">
        <v>78</v>
      </c>
      <c r="K1273" s="158">
        <v>7</v>
      </c>
      <c r="L1273" s="9">
        <f t="shared" si="500"/>
        <v>2004</v>
      </c>
      <c r="M1273" s="127">
        <f t="shared" si="501"/>
        <v>2004.4166666666667</v>
      </c>
      <c r="N1273" s="13">
        <v>18905</v>
      </c>
      <c r="O1273" s="13">
        <f t="shared" si="502"/>
        <v>18905</v>
      </c>
      <c r="P1273" s="13">
        <f t="shared" si="503"/>
        <v>225.05952380952382</v>
      </c>
      <c r="Q1273" s="13">
        <f t="shared" si="504"/>
        <v>2700.7142857142858</v>
      </c>
      <c r="R1273" s="13"/>
      <c r="S1273" s="13">
        <f t="shared" si="505"/>
        <v>0</v>
      </c>
      <c r="T1273" s="13">
        <f t="shared" si="506"/>
        <v>18905</v>
      </c>
      <c r="U1273" s="13">
        <f t="shared" si="507"/>
        <v>18905</v>
      </c>
      <c r="V1273" s="13"/>
      <c r="W1273" s="13">
        <f t="shared" si="508"/>
        <v>0</v>
      </c>
    </row>
    <row r="1274" spans="2:23" s="9" customFormat="1">
      <c r="B1274" s="9">
        <v>199</v>
      </c>
      <c r="C1274" s="9" t="s">
        <v>871</v>
      </c>
      <c r="G1274" s="9">
        <v>1997</v>
      </c>
      <c r="H1274" s="9">
        <v>6</v>
      </c>
      <c r="I1274" s="9">
        <v>0</v>
      </c>
      <c r="J1274" s="9" t="s">
        <v>78</v>
      </c>
      <c r="K1274" s="158">
        <v>7</v>
      </c>
      <c r="L1274" s="9">
        <f t="shared" si="500"/>
        <v>2004</v>
      </c>
      <c r="M1274" s="127">
        <f t="shared" si="501"/>
        <v>2004.5</v>
      </c>
      <c r="N1274" s="13">
        <v>9550</v>
      </c>
      <c r="O1274" s="13">
        <f t="shared" si="502"/>
        <v>9550</v>
      </c>
      <c r="P1274" s="13">
        <f t="shared" si="503"/>
        <v>113.69047619047619</v>
      </c>
      <c r="Q1274" s="13">
        <f t="shared" si="504"/>
        <v>1364.2857142857142</v>
      </c>
      <c r="R1274" s="13"/>
      <c r="S1274" s="13">
        <f t="shared" si="505"/>
        <v>0</v>
      </c>
      <c r="T1274" s="13">
        <f t="shared" si="506"/>
        <v>9550</v>
      </c>
      <c r="U1274" s="13">
        <f t="shared" si="507"/>
        <v>9550</v>
      </c>
      <c r="V1274" s="13"/>
      <c r="W1274" s="13">
        <f t="shared" si="508"/>
        <v>0</v>
      </c>
    </row>
    <row r="1275" spans="2:23" s="9" customFormat="1">
      <c r="B1275" s="9">
        <v>216</v>
      </c>
      <c r="C1275" s="9" t="s">
        <v>872</v>
      </c>
      <c r="G1275" s="9">
        <v>1997</v>
      </c>
      <c r="H1275" s="9">
        <v>6</v>
      </c>
      <c r="I1275" s="9">
        <v>0</v>
      </c>
      <c r="J1275" s="9" t="s">
        <v>78</v>
      </c>
      <c r="K1275" s="158">
        <v>7</v>
      </c>
      <c r="L1275" s="9">
        <f t="shared" si="500"/>
        <v>2004</v>
      </c>
      <c r="M1275" s="127">
        <f t="shared" si="501"/>
        <v>2004.5</v>
      </c>
      <c r="N1275" s="13">
        <v>11122</v>
      </c>
      <c r="O1275" s="13">
        <f t="shared" si="502"/>
        <v>11122</v>
      </c>
      <c r="P1275" s="13">
        <f t="shared" si="503"/>
        <v>132.4047619047619</v>
      </c>
      <c r="Q1275" s="13">
        <f t="shared" si="504"/>
        <v>1588.8571428571427</v>
      </c>
      <c r="R1275" s="13"/>
      <c r="S1275" s="13">
        <f t="shared" si="505"/>
        <v>0</v>
      </c>
      <c r="T1275" s="13">
        <f t="shared" si="506"/>
        <v>11122</v>
      </c>
      <c r="U1275" s="13">
        <f t="shared" si="507"/>
        <v>11122</v>
      </c>
      <c r="V1275" s="13"/>
      <c r="W1275" s="13">
        <f t="shared" si="508"/>
        <v>0</v>
      </c>
    </row>
    <row r="1276" spans="2:23" s="9" customFormat="1">
      <c r="B1276" s="9">
        <v>232</v>
      </c>
      <c r="C1276" s="9" t="s">
        <v>873</v>
      </c>
      <c r="G1276" s="9">
        <v>1997</v>
      </c>
      <c r="H1276" s="9">
        <v>6</v>
      </c>
      <c r="I1276" s="9">
        <v>0</v>
      </c>
      <c r="J1276" s="9" t="s">
        <v>78</v>
      </c>
      <c r="K1276" s="158">
        <v>7</v>
      </c>
      <c r="L1276" s="9">
        <f t="shared" si="500"/>
        <v>2004</v>
      </c>
      <c r="M1276" s="127">
        <f t="shared" si="501"/>
        <v>2004.5</v>
      </c>
      <c r="N1276" s="13">
        <v>11122</v>
      </c>
      <c r="O1276" s="13">
        <f t="shared" si="502"/>
        <v>11122</v>
      </c>
      <c r="P1276" s="13">
        <f t="shared" si="503"/>
        <v>132.4047619047619</v>
      </c>
      <c r="Q1276" s="13">
        <f t="shared" si="504"/>
        <v>1588.8571428571427</v>
      </c>
      <c r="R1276" s="13"/>
      <c r="S1276" s="13">
        <f t="shared" si="505"/>
        <v>0</v>
      </c>
      <c r="T1276" s="13">
        <f t="shared" si="506"/>
        <v>11122</v>
      </c>
      <c r="U1276" s="13">
        <f t="shared" si="507"/>
        <v>11122</v>
      </c>
      <c r="V1276" s="13"/>
      <c r="W1276" s="13">
        <f t="shared" si="508"/>
        <v>0</v>
      </c>
    </row>
    <row r="1277" spans="2:23" s="9" customFormat="1">
      <c r="B1277" s="9">
        <v>432</v>
      </c>
      <c r="C1277" s="9" t="s">
        <v>874</v>
      </c>
      <c r="G1277" s="9">
        <v>1997</v>
      </c>
      <c r="H1277" s="9">
        <v>7</v>
      </c>
      <c r="I1277" s="9">
        <v>0</v>
      </c>
      <c r="J1277" s="9" t="s">
        <v>78</v>
      </c>
      <c r="K1277" s="158">
        <v>7</v>
      </c>
      <c r="L1277" s="9">
        <f t="shared" si="500"/>
        <v>2004</v>
      </c>
      <c r="M1277" s="127">
        <f t="shared" si="501"/>
        <v>2004.5833333333333</v>
      </c>
      <c r="N1277" s="13">
        <v>22244</v>
      </c>
      <c r="O1277" s="13">
        <f t="shared" si="502"/>
        <v>22244</v>
      </c>
      <c r="P1277" s="13">
        <f t="shared" si="503"/>
        <v>264.8095238095238</v>
      </c>
      <c r="Q1277" s="13">
        <f t="shared" si="504"/>
        <v>3177.7142857142853</v>
      </c>
      <c r="R1277" s="13"/>
      <c r="S1277" s="13">
        <f t="shared" si="505"/>
        <v>0</v>
      </c>
      <c r="T1277" s="13">
        <f t="shared" si="506"/>
        <v>22244</v>
      </c>
      <c r="U1277" s="13">
        <f t="shared" si="507"/>
        <v>22244</v>
      </c>
      <c r="V1277" s="13"/>
      <c r="W1277" s="13">
        <f t="shared" si="508"/>
        <v>0</v>
      </c>
    </row>
    <row r="1278" spans="2:23" s="9" customFormat="1">
      <c r="B1278" s="9">
        <v>180</v>
      </c>
      <c r="C1278" s="9" t="s">
        <v>867</v>
      </c>
      <c r="G1278" s="9">
        <v>1998</v>
      </c>
      <c r="H1278" s="9">
        <v>3</v>
      </c>
      <c r="I1278" s="9">
        <v>0</v>
      </c>
      <c r="J1278" s="9" t="s">
        <v>78</v>
      </c>
      <c r="K1278" s="158">
        <v>7</v>
      </c>
      <c r="L1278" s="9">
        <f t="shared" si="500"/>
        <v>2005</v>
      </c>
      <c r="M1278" s="127">
        <f t="shared" si="501"/>
        <v>2005.25</v>
      </c>
      <c r="N1278" s="13">
        <v>8955</v>
      </c>
      <c r="O1278" s="13">
        <f t="shared" si="502"/>
        <v>8955</v>
      </c>
      <c r="P1278" s="13">
        <f t="shared" si="503"/>
        <v>106.60714285714285</v>
      </c>
      <c r="Q1278" s="13">
        <f t="shared" si="504"/>
        <v>1279.2857142857142</v>
      </c>
      <c r="R1278" s="13"/>
      <c r="S1278" s="13">
        <f t="shared" si="505"/>
        <v>0</v>
      </c>
      <c r="T1278" s="13">
        <f t="shared" si="506"/>
        <v>8955</v>
      </c>
      <c r="U1278" s="13">
        <f t="shared" si="507"/>
        <v>8955</v>
      </c>
      <c r="V1278" s="13"/>
      <c r="W1278" s="13">
        <f t="shared" si="508"/>
        <v>0</v>
      </c>
    </row>
    <row r="1279" spans="2:23" s="9" customFormat="1">
      <c r="B1279" s="9">
        <v>432</v>
      </c>
      <c r="C1279" s="9" t="s">
        <v>867</v>
      </c>
      <c r="G1279" s="9">
        <v>1998</v>
      </c>
      <c r="H1279" s="9">
        <v>4</v>
      </c>
      <c r="I1279" s="9">
        <v>0</v>
      </c>
      <c r="J1279" s="9" t="s">
        <v>78</v>
      </c>
      <c r="K1279" s="158">
        <v>7</v>
      </c>
      <c r="L1279" s="9">
        <f t="shared" si="500"/>
        <v>2005</v>
      </c>
      <c r="M1279" s="127">
        <f t="shared" si="501"/>
        <v>2005.3333333333333</v>
      </c>
      <c r="N1279" s="13">
        <v>22243.68</v>
      </c>
      <c r="O1279" s="13">
        <f t="shared" si="502"/>
        <v>22243.68</v>
      </c>
      <c r="P1279" s="13">
        <f t="shared" si="503"/>
        <v>264.80571428571426</v>
      </c>
      <c r="Q1279" s="13">
        <f t="shared" si="504"/>
        <v>3177.6685714285713</v>
      </c>
      <c r="R1279" s="13"/>
      <c r="S1279" s="13">
        <f t="shared" si="505"/>
        <v>0</v>
      </c>
      <c r="T1279" s="13">
        <f t="shared" si="506"/>
        <v>22243.68</v>
      </c>
      <c r="U1279" s="13">
        <f t="shared" si="507"/>
        <v>22243.68</v>
      </c>
      <c r="V1279" s="13"/>
      <c r="W1279" s="13">
        <f t="shared" si="508"/>
        <v>0</v>
      </c>
    </row>
    <row r="1280" spans="2:23" s="9" customFormat="1">
      <c r="B1280" s="9">
        <v>432</v>
      </c>
      <c r="C1280" s="9" t="s">
        <v>875</v>
      </c>
      <c r="G1280" s="9">
        <v>1998</v>
      </c>
      <c r="H1280" s="9">
        <v>5</v>
      </c>
      <c r="I1280" s="9">
        <v>0</v>
      </c>
      <c r="J1280" s="9" t="s">
        <v>78</v>
      </c>
      <c r="K1280" s="158">
        <v>7</v>
      </c>
      <c r="L1280" s="9">
        <f t="shared" si="500"/>
        <v>2005</v>
      </c>
      <c r="M1280" s="127">
        <f t="shared" si="501"/>
        <v>2005.4166666666667</v>
      </c>
      <c r="N1280" s="13">
        <v>22243.68</v>
      </c>
      <c r="O1280" s="13">
        <f t="shared" si="502"/>
        <v>22243.68</v>
      </c>
      <c r="P1280" s="13">
        <f t="shared" si="503"/>
        <v>264.80571428571426</v>
      </c>
      <c r="Q1280" s="13">
        <f t="shared" si="504"/>
        <v>3177.6685714285713</v>
      </c>
      <c r="R1280" s="13"/>
      <c r="S1280" s="13">
        <f t="shared" si="505"/>
        <v>0</v>
      </c>
      <c r="T1280" s="13">
        <f t="shared" si="506"/>
        <v>22243.68</v>
      </c>
      <c r="U1280" s="13">
        <f t="shared" si="507"/>
        <v>22243.68</v>
      </c>
      <c r="V1280" s="13"/>
      <c r="W1280" s="13">
        <f t="shared" si="508"/>
        <v>0</v>
      </c>
    </row>
    <row r="1281" spans="2:23" s="9" customFormat="1">
      <c r="B1281" s="9">
        <v>432</v>
      </c>
      <c r="C1281" s="9" t="s">
        <v>876</v>
      </c>
      <c r="G1281" s="9">
        <v>1998</v>
      </c>
      <c r="H1281" s="9">
        <v>7</v>
      </c>
      <c r="I1281" s="9">
        <v>0</v>
      </c>
      <c r="J1281" s="9" t="s">
        <v>78</v>
      </c>
      <c r="K1281" s="158">
        <v>7</v>
      </c>
      <c r="L1281" s="9">
        <f t="shared" si="500"/>
        <v>2005</v>
      </c>
      <c r="M1281" s="127">
        <f t="shared" si="501"/>
        <v>2005.5833333333333</v>
      </c>
      <c r="N1281" s="13">
        <v>22243.68</v>
      </c>
      <c r="O1281" s="13">
        <f t="shared" si="502"/>
        <v>22243.68</v>
      </c>
      <c r="P1281" s="13">
        <f t="shared" si="503"/>
        <v>264.80571428571426</v>
      </c>
      <c r="Q1281" s="13">
        <f t="shared" si="504"/>
        <v>3177.6685714285713</v>
      </c>
      <c r="R1281" s="13"/>
      <c r="S1281" s="13">
        <f t="shared" si="505"/>
        <v>0</v>
      </c>
      <c r="T1281" s="13">
        <f t="shared" si="506"/>
        <v>22243.68</v>
      </c>
      <c r="U1281" s="13">
        <f t="shared" si="507"/>
        <v>22243.68</v>
      </c>
      <c r="V1281" s="13"/>
      <c r="W1281" s="13">
        <f t="shared" si="508"/>
        <v>0</v>
      </c>
    </row>
    <row r="1282" spans="2:23" s="9" customFormat="1">
      <c r="B1282" s="9">
        <v>463</v>
      </c>
      <c r="C1282" s="9" t="s">
        <v>877</v>
      </c>
      <c r="G1282" s="9">
        <v>1999</v>
      </c>
      <c r="H1282" s="9">
        <v>8</v>
      </c>
      <c r="I1282" s="9">
        <v>0</v>
      </c>
      <c r="J1282" s="9" t="s">
        <v>78</v>
      </c>
      <c r="K1282" s="158">
        <v>7</v>
      </c>
      <c r="L1282" s="9">
        <f t="shared" si="500"/>
        <v>2006</v>
      </c>
      <c r="M1282" s="127">
        <f t="shared" si="501"/>
        <v>2006.6666666666667</v>
      </c>
      <c r="N1282" s="13">
        <v>22243.68</v>
      </c>
      <c r="O1282" s="13">
        <f t="shared" si="502"/>
        <v>22243.68</v>
      </c>
      <c r="P1282" s="13">
        <f t="shared" si="503"/>
        <v>264.80571428571426</v>
      </c>
      <c r="Q1282" s="13">
        <f t="shared" si="504"/>
        <v>3177.6685714285713</v>
      </c>
      <c r="R1282" s="13"/>
      <c r="S1282" s="13">
        <f t="shared" si="505"/>
        <v>0</v>
      </c>
      <c r="T1282" s="13">
        <f t="shared" si="506"/>
        <v>22243.68</v>
      </c>
      <c r="U1282" s="13">
        <f t="shared" si="507"/>
        <v>22243.68</v>
      </c>
      <c r="V1282" s="13"/>
      <c r="W1282" s="13">
        <f t="shared" si="508"/>
        <v>0</v>
      </c>
    </row>
    <row r="1283" spans="2:23" s="9" customFormat="1">
      <c r="B1283" s="9">
        <v>463</v>
      </c>
      <c r="C1283" s="9" t="s">
        <v>679</v>
      </c>
      <c r="G1283" s="9">
        <v>2000</v>
      </c>
      <c r="H1283" s="9">
        <v>3</v>
      </c>
      <c r="I1283" s="9">
        <v>0</v>
      </c>
      <c r="J1283" s="9" t="s">
        <v>78</v>
      </c>
      <c r="K1283" s="158">
        <v>7</v>
      </c>
      <c r="L1283" s="9">
        <f t="shared" si="500"/>
        <v>2007</v>
      </c>
      <c r="M1283" s="127">
        <f t="shared" si="501"/>
        <v>2007.25</v>
      </c>
      <c r="N1283" s="13">
        <v>22243.68</v>
      </c>
      <c r="O1283" s="13">
        <f t="shared" si="502"/>
        <v>22243.68</v>
      </c>
      <c r="P1283" s="13">
        <f t="shared" si="503"/>
        <v>264.80571428571426</v>
      </c>
      <c r="Q1283" s="13">
        <f t="shared" si="504"/>
        <v>3177.6685714285713</v>
      </c>
      <c r="R1283" s="13"/>
      <c r="S1283" s="13">
        <f t="shared" si="505"/>
        <v>0</v>
      </c>
      <c r="T1283" s="13">
        <f t="shared" si="506"/>
        <v>22243.68</v>
      </c>
      <c r="U1283" s="13">
        <f t="shared" si="507"/>
        <v>22243.68</v>
      </c>
      <c r="V1283" s="13"/>
      <c r="W1283" s="13">
        <f t="shared" si="508"/>
        <v>0</v>
      </c>
    </row>
    <row r="1284" spans="2:23" s="9" customFormat="1">
      <c r="B1284" s="9">
        <v>463</v>
      </c>
      <c r="C1284" s="9" t="s">
        <v>679</v>
      </c>
      <c r="G1284" s="9">
        <v>2000</v>
      </c>
      <c r="H1284" s="9">
        <v>3</v>
      </c>
      <c r="I1284" s="9">
        <v>0</v>
      </c>
      <c r="J1284" s="9" t="s">
        <v>78</v>
      </c>
      <c r="K1284" s="158">
        <v>7</v>
      </c>
      <c r="L1284" s="9">
        <f t="shared" si="500"/>
        <v>2007</v>
      </c>
      <c r="M1284" s="127">
        <f t="shared" si="501"/>
        <v>2007.25</v>
      </c>
      <c r="N1284" s="13">
        <v>22243.68</v>
      </c>
      <c r="O1284" s="13">
        <f t="shared" si="502"/>
        <v>22243.68</v>
      </c>
      <c r="P1284" s="13">
        <f t="shared" si="503"/>
        <v>264.80571428571426</v>
      </c>
      <c r="Q1284" s="13">
        <f t="shared" si="504"/>
        <v>3177.6685714285713</v>
      </c>
      <c r="R1284" s="13"/>
      <c r="S1284" s="13">
        <f t="shared" si="505"/>
        <v>0</v>
      </c>
      <c r="T1284" s="13">
        <f t="shared" si="506"/>
        <v>22243.68</v>
      </c>
      <c r="U1284" s="13">
        <f t="shared" si="507"/>
        <v>22243.68</v>
      </c>
      <c r="V1284" s="13"/>
      <c r="W1284" s="13">
        <f t="shared" si="508"/>
        <v>0</v>
      </c>
    </row>
    <row r="1285" spans="2:23" s="9" customFormat="1">
      <c r="B1285" s="9">
        <v>324</v>
      </c>
      <c r="C1285" s="9" t="s">
        <v>679</v>
      </c>
      <c r="G1285" s="9">
        <v>2000</v>
      </c>
      <c r="H1285" s="9">
        <v>11</v>
      </c>
      <c r="I1285" s="9">
        <v>0</v>
      </c>
      <c r="J1285" s="9" t="s">
        <v>78</v>
      </c>
      <c r="K1285" s="158">
        <v>7</v>
      </c>
      <c r="L1285" s="9">
        <f t="shared" si="500"/>
        <v>2007</v>
      </c>
      <c r="M1285" s="127">
        <f t="shared" si="501"/>
        <v>2007.9166666666667</v>
      </c>
      <c r="N1285" s="13">
        <v>15537.6</v>
      </c>
      <c r="O1285" s="13">
        <f t="shared" si="502"/>
        <v>15537.6</v>
      </c>
      <c r="P1285" s="13">
        <f t="shared" si="503"/>
        <v>184.97142857142856</v>
      </c>
      <c r="Q1285" s="13">
        <f t="shared" si="504"/>
        <v>2219.6571428571428</v>
      </c>
      <c r="R1285" s="13"/>
      <c r="S1285" s="13">
        <f t="shared" si="505"/>
        <v>0</v>
      </c>
      <c r="T1285" s="13">
        <f t="shared" si="506"/>
        <v>15537.6</v>
      </c>
      <c r="U1285" s="13">
        <f t="shared" si="507"/>
        <v>15537.6</v>
      </c>
      <c r="V1285" s="13"/>
      <c r="W1285" s="13">
        <f t="shared" si="508"/>
        <v>0</v>
      </c>
    </row>
    <row r="1286" spans="2:23" s="9" customFormat="1">
      <c r="B1286" s="9">
        <v>324</v>
      </c>
      <c r="C1286" s="9" t="s">
        <v>878</v>
      </c>
      <c r="G1286" s="9">
        <v>2001</v>
      </c>
      <c r="H1286" s="9">
        <v>3</v>
      </c>
      <c r="I1286" s="9">
        <v>0</v>
      </c>
      <c r="J1286" s="9" t="s">
        <v>78</v>
      </c>
      <c r="K1286" s="158">
        <v>7</v>
      </c>
      <c r="L1286" s="9">
        <f t="shared" si="500"/>
        <v>2008</v>
      </c>
      <c r="M1286" s="127">
        <f t="shared" si="501"/>
        <v>2008.25</v>
      </c>
      <c r="N1286" s="13">
        <v>15553.14</v>
      </c>
      <c r="O1286" s="13">
        <f t="shared" si="502"/>
        <v>15553.14</v>
      </c>
      <c r="P1286" s="13">
        <f t="shared" si="503"/>
        <v>185.15642857142856</v>
      </c>
      <c r="Q1286" s="13">
        <f t="shared" si="504"/>
        <v>2221.8771428571426</v>
      </c>
      <c r="R1286" s="13"/>
      <c r="S1286" s="13">
        <f t="shared" si="505"/>
        <v>0</v>
      </c>
      <c r="T1286" s="13">
        <f t="shared" si="506"/>
        <v>15553.14</v>
      </c>
      <c r="U1286" s="13">
        <f t="shared" si="507"/>
        <v>15553.14</v>
      </c>
      <c r="V1286" s="13"/>
      <c r="W1286" s="13">
        <f t="shared" si="508"/>
        <v>0</v>
      </c>
    </row>
    <row r="1287" spans="2:23" s="9" customFormat="1">
      <c r="B1287" s="9">
        <v>405</v>
      </c>
      <c r="C1287" s="9" t="s">
        <v>679</v>
      </c>
      <c r="G1287" s="9">
        <v>2001</v>
      </c>
      <c r="H1287" s="9">
        <v>3</v>
      </c>
      <c r="I1287" s="9">
        <v>0</v>
      </c>
      <c r="J1287" s="9" t="s">
        <v>78</v>
      </c>
      <c r="K1287" s="158">
        <v>7</v>
      </c>
      <c r="L1287" s="9">
        <f t="shared" si="500"/>
        <v>2008</v>
      </c>
      <c r="M1287" s="127">
        <f t="shared" si="501"/>
        <v>2008.25</v>
      </c>
      <c r="N1287" s="13">
        <v>19451.88</v>
      </c>
      <c r="O1287" s="13">
        <f t="shared" si="502"/>
        <v>19451.88</v>
      </c>
      <c r="P1287" s="13">
        <f t="shared" si="503"/>
        <v>231.57000000000002</v>
      </c>
      <c r="Q1287" s="13">
        <f t="shared" si="504"/>
        <v>2778.84</v>
      </c>
      <c r="R1287" s="13"/>
      <c r="S1287" s="13">
        <f t="shared" si="505"/>
        <v>0</v>
      </c>
      <c r="T1287" s="13">
        <f t="shared" si="506"/>
        <v>19451.88</v>
      </c>
      <c r="U1287" s="13">
        <f t="shared" si="507"/>
        <v>19451.88</v>
      </c>
      <c r="V1287" s="13"/>
      <c r="W1287" s="13">
        <f t="shared" si="508"/>
        <v>0</v>
      </c>
    </row>
    <row r="1288" spans="2:23" s="9" customFormat="1">
      <c r="B1288" s="9">
        <v>324</v>
      </c>
      <c r="C1288" s="9" t="s">
        <v>679</v>
      </c>
      <c r="G1288" s="9">
        <v>2001</v>
      </c>
      <c r="H1288" s="9">
        <v>3</v>
      </c>
      <c r="I1288" s="9">
        <v>0</v>
      </c>
      <c r="J1288" s="9" t="s">
        <v>78</v>
      </c>
      <c r="K1288" s="158">
        <v>7</v>
      </c>
      <c r="L1288" s="9">
        <f t="shared" si="500"/>
        <v>2008</v>
      </c>
      <c r="M1288" s="127">
        <f t="shared" si="501"/>
        <v>2008.25</v>
      </c>
      <c r="N1288" s="13">
        <v>15553.14</v>
      </c>
      <c r="O1288" s="13">
        <f t="shared" si="502"/>
        <v>15553.14</v>
      </c>
      <c r="P1288" s="13">
        <f t="shared" si="503"/>
        <v>185.15642857142856</v>
      </c>
      <c r="Q1288" s="13">
        <f t="shared" si="504"/>
        <v>2221.8771428571426</v>
      </c>
      <c r="R1288" s="13"/>
      <c r="S1288" s="13">
        <f t="shared" si="505"/>
        <v>0</v>
      </c>
      <c r="T1288" s="13">
        <f t="shared" si="506"/>
        <v>15553.14</v>
      </c>
      <c r="U1288" s="13">
        <f t="shared" si="507"/>
        <v>15553.14</v>
      </c>
      <c r="V1288" s="13"/>
      <c r="W1288" s="13">
        <f t="shared" si="508"/>
        <v>0</v>
      </c>
    </row>
    <row r="1289" spans="2:23" s="9" customFormat="1">
      <c r="K1289" s="158"/>
      <c r="M1289" s="146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</row>
    <row r="1290" spans="2:23" s="9" customFormat="1">
      <c r="B1290" s="9">
        <f>SUM(B1257:B1289)</f>
        <v>11821</v>
      </c>
      <c r="C1290" s="9" t="s">
        <v>879</v>
      </c>
      <c r="K1290" s="158"/>
      <c r="M1290" s="146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</row>
    <row r="1291" spans="2:23" s="9" customFormat="1">
      <c r="K1291" s="158"/>
      <c r="M1291" s="146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</row>
    <row r="1292" spans="2:23" s="9" customFormat="1">
      <c r="B1292" s="9">
        <v>143</v>
      </c>
      <c r="C1292" s="9" t="s">
        <v>880</v>
      </c>
      <c r="G1292" s="9">
        <v>1997</v>
      </c>
      <c r="H1292" s="9">
        <v>1</v>
      </c>
      <c r="I1292" s="9">
        <v>0</v>
      </c>
      <c r="J1292" s="9" t="s">
        <v>78</v>
      </c>
      <c r="K1292" s="158">
        <v>7</v>
      </c>
      <c r="L1292" s="9">
        <f t="shared" ref="L1292:L1301" si="509">G1292+K1292</f>
        <v>2004</v>
      </c>
      <c r="M1292" s="127">
        <f t="shared" ref="M1292:M1301" si="510">+L1292+(H1292/12)</f>
        <v>2004.0833333333333</v>
      </c>
      <c r="N1292" s="13">
        <v>6840</v>
      </c>
      <c r="O1292" s="13">
        <f t="shared" ref="O1292:O1301" si="511">N1292-N1292*I1292</f>
        <v>6840</v>
      </c>
      <c r="P1292" s="13">
        <f t="shared" ref="P1292:P1301" si="512">O1292/K1292/12</f>
        <v>81.428571428571431</v>
      </c>
      <c r="Q1292" s="13">
        <f t="shared" ref="Q1292:Q1301" si="513">P1292*12</f>
        <v>977.14285714285711</v>
      </c>
      <c r="R1292" s="13"/>
      <c r="S1292" s="13">
        <f t="shared" ref="S1292:S1301" si="514">+IF(M1292&lt;=$O$5,0,IF(L1292&gt;$O$4,Q1292,(P1292*H1292)))</f>
        <v>0</v>
      </c>
      <c r="T1292" s="13">
        <f t="shared" ref="T1292:T1301" si="515">+IF(S1292=0,N1292,IF($O$3-G1292&lt;1,0,(($O$3-G1292)*Q1292)))</f>
        <v>6840</v>
      </c>
      <c r="U1292" s="13">
        <f t="shared" ref="U1292:U1301" si="516">+IF(S1292=0,T1292,T1292+S1292)</f>
        <v>6840</v>
      </c>
      <c r="V1292" s="13"/>
      <c r="W1292" s="13">
        <f t="shared" ref="W1292:W1301" si="517">+N1292-U1292</f>
        <v>0</v>
      </c>
    </row>
    <row r="1293" spans="2:23" s="9" customFormat="1">
      <c r="B1293" s="9">
        <v>137</v>
      </c>
      <c r="C1293" s="9" t="s">
        <v>881</v>
      </c>
      <c r="G1293" s="9">
        <v>2004</v>
      </c>
      <c r="H1293" s="9">
        <v>7</v>
      </c>
      <c r="I1293" s="9">
        <v>0</v>
      </c>
      <c r="J1293" s="9" t="s">
        <v>78</v>
      </c>
      <c r="K1293" s="158">
        <v>7</v>
      </c>
      <c r="L1293" s="9">
        <f t="shared" si="509"/>
        <v>2011</v>
      </c>
      <c r="M1293" s="127">
        <f t="shared" si="510"/>
        <v>2011.5833333333333</v>
      </c>
      <c r="N1293" s="13">
        <v>6558.2</v>
      </c>
      <c r="O1293" s="13">
        <f t="shared" si="511"/>
        <v>6558.2</v>
      </c>
      <c r="P1293" s="13">
        <f t="shared" si="512"/>
        <v>78.073809523809516</v>
      </c>
      <c r="Q1293" s="13">
        <f t="shared" si="513"/>
        <v>936.88571428571413</v>
      </c>
      <c r="R1293" s="13"/>
      <c r="S1293" s="13">
        <f t="shared" si="514"/>
        <v>0</v>
      </c>
      <c r="T1293" s="13">
        <f t="shared" si="515"/>
        <v>6558.2</v>
      </c>
      <c r="U1293" s="13">
        <f t="shared" si="516"/>
        <v>6558.2</v>
      </c>
      <c r="V1293" s="13"/>
      <c r="W1293" s="13">
        <f t="shared" si="517"/>
        <v>0</v>
      </c>
    </row>
    <row r="1294" spans="2:23" s="9" customFormat="1">
      <c r="B1294" s="9">
        <v>513</v>
      </c>
      <c r="C1294" s="9" t="s">
        <v>882</v>
      </c>
      <c r="G1294" s="9">
        <v>2006</v>
      </c>
      <c r="H1294" s="9">
        <v>9</v>
      </c>
      <c r="I1294" s="9">
        <v>0</v>
      </c>
      <c r="J1294" s="9" t="s">
        <v>78</v>
      </c>
      <c r="K1294" s="158">
        <v>7</v>
      </c>
      <c r="L1294" s="9">
        <f t="shared" si="509"/>
        <v>2013</v>
      </c>
      <c r="M1294" s="127">
        <f t="shared" si="510"/>
        <v>2013.75</v>
      </c>
      <c r="N1294" s="13">
        <v>24639.17</v>
      </c>
      <c r="O1294" s="13">
        <f t="shared" si="511"/>
        <v>24639.17</v>
      </c>
      <c r="P1294" s="13">
        <f t="shared" si="512"/>
        <v>293.32345238095235</v>
      </c>
      <c r="Q1294" s="13">
        <f t="shared" si="513"/>
        <v>3519.8814285714279</v>
      </c>
      <c r="R1294" s="13"/>
      <c r="S1294" s="13">
        <f t="shared" si="514"/>
        <v>0</v>
      </c>
      <c r="T1294" s="13">
        <f t="shared" si="515"/>
        <v>24639.17</v>
      </c>
      <c r="U1294" s="13">
        <f t="shared" si="516"/>
        <v>24639.17</v>
      </c>
      <c r="V1294" s="13"/>
      <c r="W1294" s="13">
        <f t="shared" si="517"/>
        <v>0</v>
      </c>
    </row>
    <row r="1295" spans="2:23" s="9" customFormat="1">
      <c r="B1295" s="9">
        <v>1122</v>
      </c>
      <c r="C1295" s="9" t="s">
        <v>657</v>
      </c>
      <c r="G1295" s="9">
        <v>2007</v>
      </c>
      <c r="H1295" s="9">
        <v>2</v>
      </c>
      <c r="I1295" s="9">
        <v>0</v>
      </c>
      <c r="J1295" s="9" t="s">
        <v>78</v>
      </c>
      <c r="K1295" s="158">
        <v>7</v>
      </c>
      <c r="L1295" s="9">
        <f t="shared" si="509"/>
        <v>2014</v>
      </c>
      <c r="M1295" s="127">
        <f t="shared" si="510"/>
        <v>2014.1666666666667</v>
      </c>
      <c r="N1295" s="13">
        <v>53853.83</v>
      </c>
      <c r="O1295" s="13">
        <f t="shared" si="511"/>
        <v>53853.83</v>
      </c>
      <c r="P1295" s="13">
        <f t="shared" si="512"/>
        <v>641.11702380952386</v>
      </c>
      <c r="Q1295" s="13">
        <f t="shared" si="513"/>
        <v>7693.4042857142867</v>
      </c>
      <c r="R1295" s="13"/>
      <c r="S1295" s="13">
        <f t="shared" si="514"/>
        <v>0</v>
      </c>
      <c r="T1295" s="13">
        <f t="shared" si="515"/>
        <v>53853.83</v>
      </c>
      <c r="U1295" s="13">
        <f t="shared" si="516"/>
        <v>53853.83</v>
      </c>
      <c r="V1295" s="13"/>
      <c r="W1295" s="13">
        <f t="shared" si="517"/>
        <v>0</v>
      </c>
    </row>
    <row r="1296" spans="2:23" s="9" customFormat="1">
      <c r="B1296" s="9">
        <v>590</v>
      </c>
      <c r="C1296" s="9" t="s">
        <v>658</v>
      </c>
      <c r="G1296" s="9">
        <v>2007</v>
      </c>
      <c r="H1296" s="9">
        <v>7</v>
      </c>
      <c r="I1296" s="9">
        <v>0</v>
      </c>
      <c r="J1296" s="9" t="s">
        <v>78</v>
      </c>
      <c r="K1296" s="158">
        <v>7</v>
      </c>
      <c r="L1296" s="9">
        <f t="shared" si="509"/>
        <v>2014</v>
      </c>
      <c r="M1296" s="127">
        <f t="shared" si="510"/>
        <v>2014.5833333333333</v>
      </c>
      <c r="N1296" s="13">
        <v>28302.19</v>
      </c>
      <c r="O1296" s="13">
        <f t="shared" si="511"/>
        <v>28302.19</v>
      </c>
      <c r="P1296" s="13">
        <f t="shared" si="512"/>
        <v>336.93083333333328</v>
      </c>
      <c r="Q1296" s="13">
        <f t="shared" si="513"/>
        <v>4043.1699999999992</v>
      </c>
      <c r="R1296" s="13"/>
      <c r="S1296" s="13">
        <f t="shared" si="514"/>
        <v>0</v>
      </c>
      <c r="T1296" s="13">
        <f t="shared" si="515"/>
        <v>28302.19</v>
      </c>
      <c r="U1296" s="13">
        <f t="shared" si="516"/>
        <v>28302.19</v>
      </c>
      <c r="V1296" s="13"/>
      <c r="W1296" s="13">
        <f t="shared" si="517"/>
        <v>0</v>
      </c>
    </row>
    <row r="1297" spans="2:23" s="9" customFormat="1">
      <c r="B1297" s="9">
        <v>583</v>
      </c>
      <c r="C1297" s="9" t="s">
        <v>658</v>
      </c>
      <c r="G1297" s="9">
        <v>2007</v>
      </c>
      <c r="H1297" s="9">
        <v>7</v>
      </c>
      <c r="I1297" s="9">
        <v>0</v>
      </c>
      <c r="J1297" s="9" t="s">
        <v>78</v>
      </c>
      <c r="K1297" s="158">
        <v>7</v>
      </c>
      <c r="L1297" s="9">
        <f t="shared" si="509"/>
        <v>2014</v>
      </c>
      <c r="M1297" s="127">
        <f t="shared" si="510"/>
        <v>2014.5833333333333</v>
      </c>
      <c r="N1297" s="13">
        <v>27973.89</v>
      </c>
      <c r="O1297" s="13">
        <f t="shared" si="511"/>
        <v>27973.89</v>
      </c>
      <c r="P1297" s="13">
        <f t="shared" si="512"/>
        <v>333.02249999999998</v>
      </c>
      <c r="Q1297" s="13">
        <f t="shared" si="513"/>
        <v>3996.2699999999995</v>
      </c>
      <c r="R1297" s="13"/>
      <c r="S1297" s="13">
        <f t="shared" si="514"/>
        <v>0</v>
      </c>
      <c r="T1297" s="13">
        <f t="shared" si="515"/>
        <v>27973.89</v>
      </c>
      <c r="U1297" s="13">
        <f t="shared" si="516"/>
        <v>27973.89</v>
      </c>
      <c r="V1297" s="13"/>
      <c r="W1297" s="13">
        <f t="shared" si="517"/>
        <v>0</v>
      </c>
    </row>
    <row r="1298" spans="2:23" s="9" customFormat="1">
      <c r="B1298" s="9">
        <v>595</v>
      </c>
      <c r="C1298" s="9" t="s">
        <v>657</v>
      </c>
      <c r="G1298" s="9">
        <v>2007</v>
      </c>
      <c r="H1298" s="9">
        <v>11</v>
      </c>
      <c r="I1298" s="9">
        <v>0</v>
      </c>
      <c r="J1298" s="9" t="s">
        <v>78</v>
      </c>
      <c r="K1298" s="158">
        <v>7</v>
      </c>
      <c r="L1298" s="9">
        <f t="shared" si="509"/>
        <v>2014</v>
      </c>
      <c r="M1298" s="127">
        <f t="shared" si="510"/>
        <v>2014.9166666666667</v>
      </c>
      <c r="N1298" s="13">
        <v>28545</v>
      </c>
      <c r="O1298" s="13">
        <f t="shared" si="511"/>
        <v>28545</v>
      </c>
      <c r="P1298" s="13">
        <f t="shared" si="512"/>
        <v>339.82142857142856</v>
      </c>
      <c r="Q1298" s="13">
        <f t="shared" si="513"/>
        <v>4077.8571428571427</v>
      </c>
      <c r="R1298" s="13"/>
      <c r="S1298" s="13">
        <f t="shared" si="514"/>
        <v>0</v>
      </c>
      <c r="T1298" s="13">
        <f t="shared" si="515"/>
        <v>28545</v>
      </c>
      <c r="U1298" s="13">
        <f t="shared" si="516"/>
        <v>28545</v>
      </c>
      <c r="V1298" s="13"/>
      <c r="W1298" s="13">
        <f t="shared" si="517"/>
        <v>0</v>
      </c>
    </row>
    <row r="1299" spans="2:23" s="9" customFormat="1">
      <c r="B1299" s="9">
        <v>608</v>
      </c>
      <c r="C1299" s="9" t="s">
        <v>883</v>
      </c>
      <c r="G1299" s="9">
        <v>2007</v>
      </c>
      <c r="H1299" s="9">
        <v>12</v>
      </c>
      <c r="I1299" s="9">
        <v>0</v>
      </c>
      <c r="J1299" s="9" t="s">
        <v>78</v>
      </c>
      <c r="K1299" s="158">
        <v>7</v>
      </c>
      <c r="L1299" s="9">
        <f t="shared" si="509"/>
        <v>2014</v>
      </c>
      <c r="M1299" s="127">
        <f t="shared" si="510"/>
        <v>2015</v>
      </c>
      <c r="N1299" s="13">
        <v>29185.34</v>
      </c>
      <c r="O1299" s="13">
        <f t="shared" si="511"/>
        <v>29185.34</v>
      </c>
      <c r="P1299" s="13">
        <f t="shared" si="512"/>
        <v>347.44452380952384</v>
      </c>
      <c r="Q1299" s="13">
        <f t="shared" si="513"/>
        <v>4169.3342857142861</v>
      </c>
      <c r="R1299" s="13"/>
      <c r="S1299" s="13">
        <f t="shared" si="514"/>
        <v>0</v>
      </c>
      <c r="T1299" s="13">
        <f t="shared" si="515"/>
        <v>29185.34</v>
      </c>
      <c r="U1299" s="13">
        <f t="shared" si="516"/>
        <v>29185.34</v>
      </c>
      <c r="V1299" s="13"/>
      <c r="W1299" s="13">
        <f t="shared" si="517"/>
        <v>0</v>
      </c>
    </row>
    <row r="1300" spans="2:23" s="9" customFormat="1">
      <c r="B1300" s="9">
        <v>579</v>
      </c>
      <c r="C1300" s="9" t="s">
        <v>655</v>
      </c>
      <c r="G1300" s="9">
        <v>2008</v>
      </c>
      <c r="H1300" s="9">
        <v>1</v>
      </c>
      <c r="I1300" s="9">
        <v>0</v>
      </c>
      <c r="J1300" s="9" t="s">
        <v>78</v>
      </c>
      <c r="K1300" s="158">
        <v>7</v>
      </c>
      <c r="L1300" s="9">
        <f t="shared" si="509"/>
        <v>2015</v>
      </c>
      <c r="M1300" s="127">
        <f t="shared" si="510"/>
        <v>2015.0833333333333</v>
      </c>
      <c r="N1300" s="13">
        <v>27797.08</v>
      </c>
      <c r="O1300" s="13">
        <f t="shared" si="511"/>
        <v>27797.08</v>
      </c>
      <c r="P1300" s="13">
        <f t="shared" si="512"/>
        <v>330.9176190476191</v>
      </c>
      <c r="Q1300" s="13">
        <f t="shared" si="513"/>
        <v>3971.011428571429</v>
      </c>
      <c r="R1300" s="13"/>
      <c r="S1300" s="13">
        <f t="shared" si="514"/>
        <v>0</v>
      </c>
      <c r="T1300" s="13">
        <f t="shared" si="515"/>
        <v>27797.08</v>
      </c>
      <c r="U1300" s="13">
        <f t="shared" si="516"/>
        <v>27797.08</v>
      </c>
      <c r="V1300" s="13"/>
      <c r="W1300" s="13">
        <f t="shared" si="517"/>
        <v>0</v>
      </c>
    </row>
    <row r="1301" spans="2:23" s="9" customFormat="1">
      <c r="B1301" s="9">
        <v>5422</v>
      </c>
      <c r="C1301" s="9" t="s">
        <v>655</v>
      </c>
      <c r="G1301" s="9">
        <v>2005</v>
      </c>
      <c r="H1301" s="9">
        <v>11</v>
      </c>
      <c r="I1301" s="9">
        <v>0</v>
      </c>
      <c r="J1301" s="9" t="s">
        <v>78</v>
      </c>
      <c r="K1301" s="158">
        <v>7</v>
      </c>
      <c r="L1301" s="9">
        <f t="shared" si="509"/>
        <v>2012</v>
      </c>
      <c r="M1301" s="127">
        <f t="shared" si="510"/>
        <v>2012.9166666666667</v>
      </c>
      <c r="N1301" s="13">
        <v>260266.71</v>
      </c>
      <c r="O1301" s="13">
        <f t="shared" si="511"/>
        <v>260266.71</v>
      </c>
      <c r="P1301" s="13">
        <f t="shared" si="512"/>
        <v>3098.4132142857143</v>
      </c>
      <c r="Q1301" s="13">
        <f t="shared" si="513"/>
        <v>37180.958571428571</v>
      </c>
      <c r="R1301" s="13"/>
      <c r="S1301" s="13">
        <f t="shared" si="514"/>
        <v>0</v>
      </c>
      <c r="T1301" s="13">
        <f t="shared" si="515"/>
        <v>260266.71</v>
      </c>
      <c r="U1301" s="13">
        <f t="shared" si="516"/>
        <v>260266.71</v>
      </c>
      <c r="V1301" s="13"/>
      <c r="W1301" s="13">
        <f t="shared" si="517"/>
        <v>0</v>
      </c>
    </row>
    <row r="1302" spans="2:23" s="9" customFormat="1">
      <c r="K1302" s="158"/>
      <c r="M1302" s="146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</row>
    <row r="1303" spans="2:23" s="9" customFormat="1">
      <c r="B1303" s="9">
        <f>SUM(B1292:B1302)</f>
        <v>10292</v>
      </c>
      <c r="C1303" s="9" t="s">
        <v>884</v>
      </c>
      <c r="K1303" s="158"/>
      <c r="M1303" s="146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</row>
    <row r="1304" spans="2:23" s="9" customFormat="1" ht="15.75" thickBot="1">
      <c r="K1304" s="158"/>
      <c r="M1304" s="146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</row>
    <row r="1305" spans="2:23" s="9" customFormat="1" ht="15.75" thickBot="1">
      <c r="B1305" s="168">
        <f>+B1303+B1290+B1255</f>
        <v>35280</v>
      </c>
      <c r="C1305" s="169" t="s">
        <v>885</v>
      </c>
      <c r="D1305" s="167"/>
      <c r="K1305" s="158"/>
      <c r="M1305" s="146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</row>
    <row r="1306" spans="2:23" s="9" customFormat="1">
      <c r="K1306" s="158"/>
      <c r="M1306" s="146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</row>
    <row r="1307" spans="2:23" s="9" customFormat="1">
      <c r="K1307" s="158"/>
      <c r="M1307" s="146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</row>
    <row r="1308" spans="2:23" s="9" customFormat="1">
      <c r="B1308" s="9">
        <v>5000</v>
      </c>
      <c r="C1308" s="9" t="s">
        <v>886</v>
      </c>
      <c r="G1308" s="9">
        <v>1995</v>
      </c>
      <c r="H1308" s="9">
        <v>6</v>
      </c>
      <c r="I1308" s="9">
        <v>0</v>
      </c>
      <c r="J1308" s="9" t="s">
        <v>78</v>
      </c>
      <c r="K1308" s="158">
        <v>7</v>
      </c>
      <c r="L1308" s="9">
        <f t="shared" ref="L1308:L1315" si="518">G1308+K1308</f>
        <v>2002</v>
      </c>
      <c r="M1308" s="127">
        <f t="shared" ref="M1308:M1315" si="519">+L1308+(H1308/12)</f>
        <v>2002.5</v>
      </c>
      <c r="N1308" s="13">
        <v>22354</v>
      </c>
      <c r="O1308" s="13">
        <f t="shared" ref="O1308:O1315" si="520">N1308-N1308*I1308</f>
        <v>22354</v>
      </c>
      <c r="P1308" s="13">
        <f t="shared" ref="P1308:P1315" si="521">O1308/K1308/12</f>
        <v>266.11904761904765</v>
      </c>
      <c r="Q1308" s="13">
        <f t="shared" ref="Q1308:Q1315" si="522">P1308*12</f>
        <v>3193.4285714285716</v>
      </c>
      <c r="R1308" s="13"/>
      <c r="S1308" s="13">
        <f t="shared" ref="S1308:S1315" si="523">+IF(M1308&lt;=$O$5,0,IF(L1308&gt;$O$4,Q1308,(P1308*H1308)))</f>
        <v>0</v>
      </c>
      <c r="T1308" s="13">
        <f t="shared" ref="T1308:T1315" si="524">+IF(S1308=0,N1308,IF($O$3-G1308&lt;1,0,(($O$3-G1308)*Q1308)))</f>
        <v>22354</v>
      </c>
      <c r="U1308" s="13">
        <f t="shared" ref="U1308:U1315" si="525">+IF(S1308=0,T1308,T1308+S1308)</f>
        <v>22354</v>
      </c>
      <c r="V1308" s="13"/>
      <c r="W1308" s="13">
        <f t="shared" ref="W1308:W1315" si="526">+N1308-U1308</f>
        <v>0</v>
      </c>
    </row>
    <row r="1309" spans="2:23" s="9" customFormat="1">
      <c r="B1309" s="9">
        <v>16</v>
      </c>
      <c r="C1309" s="9" t="s">
        <v>887</v>
      </c>
      <c r="G1309" s="9">
        <v>1995</v>
      </c>
      <c r="H1309" s="9">
        <v>12</v>
      </c>
      <c r="I1309" s="9">
        <v>0</v>
      </c>
      <c r="J1309" s="9" t="s">
        <v>78</v>
      </c>
      <c r="K1309" s="158">
        <v>7</v>
      </c>
      <c r="L1309" s="9">
        <f t="shared" si="518"/>
        <v>2002</v>
      </c>
      <c r="M1309" s="127">
        <f t="shared" si="519"/>
        <v>2003</v>
      </c>
      <c r="N1309" s="13">
        <v>7106</v>
      </c>
      <c r="O1309" s="13">
        <f t="shared" si="520"/>
        <v>7106</v>
      </c>
      <c r="P1309" s="13">
        <f t="shared" si="521"/>
        <v>84.595238095238088</v>
      </c>
      <c r="Q1309" s="13">
        <f t="shared" si="522"/>
        <v>1015.1428571428571</v>
      </c>
      <c r="R1309" s="13"/>
      <c r="S1309" s="13">
        <f t="shared" si="523"/>
        <v>0</v>
      </c>
      <c r="T1309" s="13">
        <f t="shared" si="524"/>
        <v>7106</v>
      </c>
      <c r="U1309" s="13">
        <f t="shared" si="525"/>
        <v>7106</v>
      </c>
      <c r="V1309" s="13"/>
      <c r="W1309" s="13">
        <f t="shared" si="526"/>
        <v>0</v>
      </c>
    </row>
    <row r="1310" spans="2:23" s="9" customFormat="1">
      <c r="B1310" s="9">
        <v>5000</v>
      </c>
      <c r="C1310" s="9" t="s">
        <v>888</v>
      </c>
      <c r="G1310" s="9">
        <v>1996</v>
      </c>
      <c r="H1310" s="9">
        <v>7</v>
      </c>
      <c r="I1310" s="9">
        <v>0</v>
      </c>
      <c r="J1310" s="9" t="s">
        <v>78</v>
      </c>
      <c r="K1310" s="158">
        <v>7</v>
      </c>
      <c r="L1310" s="9">
        <f t="shared" si="518"/>
        <v>2003</v>
      </c>
      <c r="M1310" s="127">
        <f t="shared" si="519"/>
        <v>2003.5833333333333</v>
      </c>
      <c r="N1310" s="13">
        <v>22335</v>
      </c>
      <c r="O1310" s="13">
        <f t="shared" si="520"/>
        <v>22335</v>
      </c>
      <c r="P1310" s="13">
        <f t="shared" si="521"/>
        <v>265.89285714285717</v>
      </c>
      <c r="Q1310" s="13">
        <f t="shared" si="522"/>
        <v>3190.7142857142862</v>
      </c>
      <c r="R1310" s="13"/>
      <c r="S1310" s="13">
        <f t="shared" si="523"/>
        <v>0</v>
      </c>
      <c r="T1310" s="13">
        <f t="shared" si="524"/>
        <v>22335</v>
      </c>
      <c r="U1310" s="13">
        <f t="shared" si="525"/>
        <v>22335</v>
      </c>
      <c r="V1310" s="13"/>
      <c r="W1310" s="13">
        <f t="shared" si="526"/>
        <v>0</v>
      </c>
    </row>
    <row r="1311" spans="2:23" s="9" customFormat="1">
      <c r="B1311" s="9">
        <v>0</v>
      </c>
      <c r="C1311" s="9" t="s">
        <v>889</v>
      </c>
      <c r="G1311" s="9">
        <v>2005</v>
      </c>
      <c r="H1311" s="9">
        <v>4</v>
      </c>
      <c r="I1311" s="9">
        <v>0</v>
      </c>
      <c r="J1311" s="9" t="s">
        <v>78</v>
      </c>
      <c r="K1311" s="158">
        <v>7</v>
      </c>
      <c r="L1311" s="9">
        <f t="shared" si="518"/>
        <v>2012</v>
      </c>
      <c r="M1311" s="127">
        <f t="shared" si="519"/>
        <v>2012.3333333333333</v>
      </c>
      <c r="N1311" s="13">
        <v>61232.65</v>
      </c>
      <c r="O1311" s="13">
        <f t="shared" si="520"/>
        <v>61232.65</v>
      </c>
      <c r="P1311" s="13">
        <f t="shared" si="521"/>
        <v>728.96011904761906</v>
      </c>
      <c r="Q1311" s="13">
        <f t="shared" si="522"/>
        <v>8747.5214285714283</v>
      </c>
      <c r="R1311" s="13"/>
      <c r="S1311" s="13">
        <f t="shared" si="523"/>
        <v>0</v>
      </c>
      <c r="T1311" s="13">
        <f t="shared" si="524"/>
        <v>61232.65</v>
      </c>
      <c r="U1311" s="13">
        <f t="shared" si="525"/>
        <v>61232.65</v>
      </c>
      <c r="V1311" s="13"/>
      <c r="W1311" s="13">
        <f t="shared" si="526"/>
        <v>0</v>
      </c>
    </row>
    <row r="1312" spans="2:23" s="9" customFormat="1">
      <c r="B1312" s="9">
        <v>0</v>
      </c>
      <c r="C1312" s="9" t="s">
        <v>890</v>
      </c>
      <c r="G1312" s="9">
        <v>2005</v>
      </c>
      <c r="H1312" s="9">
        <v>5</v>
      </c>
      <c r="I1312" s="9">
        <v>0</v>
      </c>
      <c r="J1312" s="9" t="s">
        <v>78</v>
      </c>
      <c r="K1312" s="158">
        <v>7</v>
      </c>
      <c r="L1312" s="9">
        <f t="shared" si="518"/>
        <v>2012</v>
      </c>
      <c r="M1312" s="127">
        <f t="shared" si="519"/>
        <v>2012.4166666666667</v>
      </c>
      <c r="N1312" s="13">
        <v>6083.82</v>
      </c>
      <c r="O1312" s="13">
        <f t="shared" si="520"/>
        <v>6083.82</v>
      </c>
      <c r="P1312" s="13">
        <f t="shared" si="521"/>
        <v>72.426428571428559</v>
      </c>
      <c r="Q1312" s="13">
        <f t="shared" si="522"/>
        <v>869.11714285714265</v>
      </c>
      <c r="R1312" s="13"/>
      <c r="S1312" s="13">
        <f t="shared" si="523"/>
        <v>0</v>
      </c>
      <c r="T1312" s="13">
        <f t="shared" si="524"/>
        <v>6083.82</v>
      </c>
      <c r="U1312" s="13">
        <f t="shared" si="525"/>
        <v>6083.82</v>
      </c>
      <c r="V1312" s="13"/>
      <c r="W1312" s="13">
        <f t="shared" si="526"/>
        <v>0</v>
      </c>
    </row>
    <row r="1313" spans="2:23" s="9" customFormat="1">
      <c r="B1313" s="9">
        <v>0</v>
      </c>
      <c r="C1313" s="9" t="s">
        <v>891</v>
      </c>
      <c r="G1313" s="9">
        <v>2005</v>
      </c>
      <c r="H1313" s="9">
        <v>5</v>
      </c>
      <c r="I1313" s="9">
        <v>0</v>
      </c>
      <c r="J1313" s="9" t="s">
        <v>78</v>
      </c>
      <c r="K1313" s="158">
        <v>7</v>
      </c>
      <c r="L1313" s="9">
        <f t="shared" si="518"/>
        <v>2012</v>
      </c>
      <c r="M1313" s="127">
        <f t="shared" si="519"/>
        <v>2012.4166666666667</v>
      </c>
      <c r="N1313" s="13">
        <v>24627.69</v>
      </c>
      <c r="O1313" s="13">
        <f t="shared" si="520"/>
        <v>24627.69</v>
      </c>
      <c r="P1313" s="13">
        <f t="shared" si="521"/>
        <v>293.18678571428569</v>
      </c>
      <c r="Q1313" s="13">
        <f t="shared" si="522"/>
        <v>3518.2414285714285</v>
      </c>
      <c r="R1313" s="13"/>
      <c r="S1313" s="13">
        <f t="shared" si="523"/>
        <v>0</v>
      </c>
      <c r="T1313" s="13">
        <f t="shared" si="524"/>
        <v>24627.69</v>
      </c>
      <c r="U1313" s="13">
        <f t="shared" si="525"/>
        <v>24627.69</v>
      </c>
      <c r="V1313" s="13"/>
      <c r="W1313" s="13">
        <f t="shared" si="526"/>
        <v>0</v>
      </c>
    </row>
    <row r="1314" spans="2:23" s="9" customFormat="1">
      <c r="B1314" s="9">
        <v>750</v>
      </c>
      <c r="C1314" s="9" t="s">
        <v>892</v>
      </c>
      <c r="G1314" s="9">
        <v>2004</v>
      </c>
      <c r="H1314" s="9">
        <v>8</v>
      </c>
      <c r="I1314" s="9">
        <v>0</v>
      </c>
      <c r="J1314" s="9" t="s">
        <v>78</v>
      </c>
      <c r="K1314" s="158">
        <v>7</v>
      </c>
      <c r="L1314" s="9">
        <f t="shared" si="518"/>
        <v>2011</v>
      </c>
      <c r="M1314" s="127">
        <f t="shared" si="519"/>
        <v>2011.6666666666667</v>
      </c>
      <c r="N1314" s="13">
        <v>15325.07</v>
      </c>
      <c r="O1314" s="13">
        <f t="shared" si="520"/>
        <v>15325.07</v>
      </c>
      <c r="P1314" s="13">
        <f t="shared" si="521"/>
        <v>182.44130952380954</v>
      </c>
      <c r="Q1314" s="13">
        <f t="shared" si="522"/>
        <v>2189.2957142857144</v>
      </c>
      <c r="R1314" s="13"/>
      <c r="S1314" s="13">
        <f t="shared" si="523"/>
        <v>0</v>
      </c>
      <c r="T1314" s="13">
        <f t="shared" si="524"/>
        <v>15325.07</v>
      </c>
      <c r="U1314" s="13">
        <f t="shared" si="525"/>
        <v>15325.07</v>
      </c>
      <c r="V1314" s="13"/>
      <c r="W1314" s="13">
        <f t="shared" si="526"/>
        <v>0</v>
      </c>
    </row>
    <row r="1315" spans="2:23" s="9" customFormat="1">
      <c r="B1315" s="9">
        <v>0</v>
      </c>
      <c r="C1315" s="9" t="s">
        <v>893</v>
      </c>
      <c r="G1315" s="9">
        <v>2007</v>
      </c>
      <c r="H1315" s="9">
        <v>3</v>
      </c>
      <c r="I1315" s="9">
        <v>0</v>
      </c>
      <c r="J1315" s="9" t="s">
        <v>78</v>
      </c>
      <c r="K1315" s="158">
        <v>7</v>
      </c>
      <c r="L1315" s="9">
        <f t="shared" si="518"/>
        <v>2014</v>
      </c>
      <c r="M1315" s="127">
        <f t="shared" si="519"/>
        <v>2014.25</v>
      </c>
      <c r="N1315" s="13">
        <v>2457.9</v>
      </c>
      <c r="O1315" s="13">
        <f t="shared" si="520"/>
        <v>2457.9</v>
      </c>
      <c r="P1315" s="13">
        <f t="shared" si="521"/>
        <v>29.260714285714286</v>
      </c>
      <c r="Q1315" s="13">
        <f t="shared" si="522"/>
        <v>351.12857142857143</v>
      </c>
      <c r="R1315" s="13"/>
      <c r="S1315" s="13">
        <f t="shared" si="523"/>
        <v>0</v>
      </c>
      <c r="T1315" s="13">
        <f t="shared" si="524"/>
        <v>2457.9</v>
      </c>
      <c r="U1315" s="13">
        <f t="shared" si="525"/>
        <v>2457.9</v>
      </c>
      <c r="V1315" s="13"/>
      <c r="W1315" s="13">
        <f t="shared" si="526"/>
        <v>0</v>
      </c>
    </row>
    <row r="1316" spans="2:23" s="9" customFormat="1">
      <c r="K1316" s="158"/>
      <c r="M1316" s="146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</row>
    <row r="1317" spans="2:23" s="9" customFormat="1">
      <c r="B1317" s="9">
        <f>SUM(B1308:B1316)</f>
        <v>10766</v>
      </c>
      <c r="C1317" s="9" t="s">
        <v>894</v>
      </c>
      <c r="K1317" s="158"/>
      <c r="M1317" s="146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</row>
  </sheetData>
  <sortState xmlns:xlrd2="http://schemas.microsoft.com/office/spreadsheetml/2017/richdata2" ref="B13:W181">
    <sortCondition ref="G13:G181"/>
    <sortCondition ref="H13:H181"/>
  </sortState>
  <mergeCells count="9">
    <mergeCell ref="AE9:AJ9"/>
    <mergeCell ref="AE10:AG10"/>
    <mergeCell ref="AH10:AJ10"/>
    <mergeCell ref="A3:C3"/>
    <mergeCell ref="G9:H9"/>
    <mergeCell ref="G10:H10"/>
    <mergeCell ref="X9:Y9"/>
    <mergeCell ref="Z9:AA9"/>
    <mergeCell ref="AC9:AD9"/>
  </mergeCells>
  <pageMargins left="0.2" right="0.2" top="0.75" bottom="0.75" header="0.3" footer="0.3"/>
  <pageSetup scale="40" fitToHeight="10" orientation="landscape" r:id="rId1"/>
  <rowBreaks count="1" manualBreakCount="1">
    <brk id="249" max="20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</sheetPr>
  <dimension ref="A1:BQ181"/>
  <sheetViews>
    <sheetView view="pageBreakPreview" zoomScale="60" zoomScaleNormal="100" workbookViewId="0">
      <pane xSplit="2" ySplit="11" topLeftCell="D141" activePane="bottomRight" state="frozen"/>
      <selection activeCell="AS6" sqref="AS6:BQ86"/>
      <selection pane="topRight" activeCell="AS6" sqref="AS6:BQ86"/>
      <selection pane="bottomLeft" activeCell="AS6" sqref="AS6:BQ86"/>
      <selection pane="bottomRight" activeCell="AS6" sqref="AS6:BQ86"/>
    </sheetView>
  </sheetViews>
  <sheetFormatPr defaultRowHeight="15"/>
  <cols>
    <col min="1" max="1" width="9.5703125" style="17" customWidth="1"/>
    <col min="2" max="2" width="10" style="17" customWidth="1"/>
    <col min="3" max="3" width="43.5703125" style="17" customWidth="1"/>
    <col min="4" max="5" width="11.140625" style="17" customWidth="1"/>
    <col min="6" max="9" width="8.7109375" style="17" customWidth="1"/>
    <col min="10" max="10" width="12.140625" style="17" customWidth="1"/>
    <col min="11" max="11" width="8.28515625" style="17" customWidth="1"/>
    <col min="12" max="12" width="11.5703125" style="17" customWidth="1"/>
    <col min="13" max="13" width="11.5703125" style="10" customWidth="1"/>
    <col min="14" max="15" width="14.7109375" style="3" customWidth="1"/>
    <col min="16" max="16" width="10.7109375" style="3" customWidth="1"/>
    <col min="17" max="19" width="12.140625" style="3" customWidth="1"/>
    <col min="20" max="23" width="15.42578125" style="3" customWidth="1"/>
    <col min="24" max="24" width="16.140625" style="17" customWidth="1"/>
    <col min="25" max="25" width="12" style="17" bestFit="1" customWidth="1"/>
    <col min="26" max="26" width="9.42578125" style="17" bestFit="1" customWidth="1"/>
    <col min="27" max="27" width="15.42578125" style="17" bestFit="1" customWidth="1"/>
    <col min="28" max="28" width="13.85546875" style="17" bestFit="1" customWidth="1"/>
    <col min="29" max="29" width="11.28515625" style="17" customWidth="1"/>
    <col min="30" max="30" width="13.7109375" style="17" customWidth="1"/>
    <col min="31" max="33" width="10.7109375" style="17" customWidth="1"/>
    <col min="34" max="35" width="11.5703125" style="17" bestFit="1" customWidth="1"/>
    <col min="36" max="36" width="10.5703125" style="17" bestFit="1" customWidth="1"/>
    <col min="37" max="16384" width="9.140625" style="17"/>
  </cols>
  <sheetData>
    <row r="1" spans="1:69" s="9" customFormat="1">
      <c r="A1" s="125" t="str">
        <f>'2180 Deprec'!A1</f>
        <v>Pierce County Refuse</v>
      </c>
      <c r="B1" s="125"/>
      <c r="C1" s="125"/>
      <c r="M1" s="114"/>
      <c r="N1" s="13"/>
      <c r="O1" s="13"/>
      <c r="P1" s="13"/>
      <c r="Q1" s="13"/>
      <c r="R1" s="13"/>
      <c r="S1" s="13"/>
      <c r="T1" s="126">
        <f>'2180 Trucks'!S1</f>
        <v>0</v>
      </c>
      <c r="U1" s="13" t="s">
        <v>41</v>
      </c>
      <c r="V1" s="13"/>
      <c r="W1" s="13"/>
    </row>
    <row r="2" spans="1:69" s="9" customFormat="1">
      <c r="A2" s="125" t="s">
        <v>895</v>
      </c>
      <c r="B2" s="125"/>
      <c r="C2" s="125"/>
      <c r="M2" s="114"/>
      <c r="N2" s="13"/>
      <c r="O2" s="13">
        <f>'2180 Trucks'!O2</f>
        <v>9</v>
      </c>
      <c r="P2" s="13" t="s">
        <v>45</v>
      </c>
      <c r="Q2" s="13"/>
      <c r="R2" s="13"/>
      <c r="S2" s="13"/>
      <c r="T2" s="126">
        <f>A3</f>
        <v>44712</v>
      </c>
      <c r="U2" s="13" t="s">
        <v>46</v>
      </c>
      <c r="V2" s="13"/>
      <c r="W2" s="13"/>
    </row>
    <row r="3" spans="1:69" s="9" customFormat="1">
      <c r="A3" s="408">
        <f>'2180 Deprec'!A3</f>
        <v>44712</v>
      </c>
      <c r="B3" s="408"/>
      <c r="C3" s="408"/>
      <c r="M3" s="114"/>
      <c r="N3" s="13"/>
      <c r="O3" s="415">
        <f>'2180 Trucks'!O3</f>
        <v>2021</v>
      </c>
      <c r="P3" s="13" t="s">
        <v>48</v>
      </c>
      <c r="Q3" s="13"/>
      <c r="R3" s="13"/>
      <c r="S3" s="13"/>
      <c r="T3" s="13"/>
      <c r="U3" s="13"/>
      <c r="V3" s="13"/>
      <c r="W3" s="13"/>
    </row>
    <row r="4" spans="1:69" s="9" customFormat="1">
      <c r="M4" s="114"/>
      <c r="N4" s="13"/>
      <c r="O4" s="415">
        <f>'2180 Trucks'!O4</f>
        <v>2022</v>
      </c>
      <c r="P4" s="13" t="s">
        <v>49</v>
      </c>
      <c r="Q4" s="13"/>
      <c r="R4" s="13"/>
      <c r="S4" s="13"/>
      <c r="T4" s="13"/>
      <c r="U4" s="13"/>
      <c r="V4" s="13"/>
      <c r="W4" s="13"/>
    </row>
    <row r="5" spans="1:69" s="9" customFormat="1" ht="12.75" customHeight="1">
      <c r="M5" s="114"/>
      <c r="N5" s="13"/>
      <c r="O5" s="416">
        <f>'2180 Trucks'!O5</f>
        <v>2022.75</v>
      </c>
      <c r="P5" s="13" t="s">
        <v>50</v>
      </c>
      <c r="Q5" s="13"/>
      <c r="R5" s="13"/>
      <c r="S5" s="13"/>
      <c r="T5" s="13"/>
      <c r="U5" s="13"/>
      <c r="V5" s="13"/>
      <c r="W5" s="13"/>
    </row>
    <row r="6" spans="1:69" s="9" customFormat="1" ht="12.75" customHeight="1">
      <c r="B6" s="414" t="s">
        <v>1380</v>
      </c>
      <c r="C6" s="110">
        <f>SUM(N63,N122:N126)</f>
        <v>29184.63</v>
      </c>
      <c r="M6" s="114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69" s="9" customFormat="1">
      <c r="M7" s="114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69" s="128" customFormat="1" ht="16.5" customHeight="1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129"/>
      <c r="N8" s="130"/>
      <c r="O8" s="130"/>
      <c r="P8" s="130"/>
      <c r="Q8" s="130"/>
      <c r="R8" s="130"/>
      <c r="S8" s="130"/>
      <c r="T8" s="130" t="s">
        <v>2</v>
      </c>
      <c r="U8" s="130" t="s">
        <v>3</v>
      </c>
      <c r="V8" s="130"/>
      <c r="W8" s="130"/>
      <c r="AS8" s="394"/>
      <c r="AT8" s="394"/>
      <c r="AU8" s="394"/>
      <c r="AV8" s="394"/>
      <c r="AW8" s="394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4"/>
      <c r="BK8" s="394"/>
      <c r="BL8" s="394"/>
      <c r="BM8" s="394"/>
      <c r="BN8" s="394"/>
      <c r="BO8" s="394"/>
      <c r="BP8" s="394"/>
      <c r="BQ8" s="394"/>
    </row>
    <row r="9" spans="1:69" s="128" customFormat="1" ht="16.5" customHeight="1">
      <c r="A9" s="394"/>
      <c r="B9" s="394"/>
      <c r="C9" s="394"/>
      <c r="D9" s="394"/>
      <c r="E9" s="394"/>
      <c r="F9" s="394"/>
      <c r="G9" s="411" t="s">
        <v>51</v>
      </c>
      <c r="H9" s="411"/>
      <c r="I9" s="394" t="s">
        <v>52</v>
      </c>
      <c r="J9" s="394"/>
      <c r="K9" s="394"/>
      <c r="L9" s="394" t="s">
        <v>53</v>
      </c>
      <c r="M9" s="129" t="s">
        <v>54</v>
      </c>
      <c r="N9" s="130"/>
      <c r="O9" s="130"/>
      <c r="P9" s="130"/>
      <c r="Q9" s="130"/>
      <c r="R9" s="130"/>
      <c r="S9" s="130"/>
      <c r="T9" s="130" t="s">
        <v>55</v>
      </c>
      <c r="U9" s="130" t="s">
        <v>55</v>
      </c>
      <c r="V9" s="130"/>
      <c r="W9" s="130"/>
      <c r="X9" s="409" t="s">
        <v>1235</v>
      </c>
      <c r="Y9" s="410"/>
      <c r="Z9" s="404" t="s">
        <v>37</v>
      </c>
      <c r="AA9" s="404"/>
      <c r="AB9" s="102"/>
      <c r="AC9" s="404" t="s">
        <v>1238</v>
      </c>
      <c r="AD9" s="404"/>
      <c r="AE9" s="404" t="s">
        <v>1242</v>
      </c>
      <c r="AF9" s="404"/>
      <c r="AG9" s="404"/>
      <c r="AH9" s="404"/>
      <c r="AI9" s="404"/>
      <c r="AJ9" s="404"/>
      <c r="AS9" s="394"/>
      <c r="AT9" s="394"/>
      <c r="AU9" s="394"/>
      <c r="AV9" s="394"/>
      <c r="AW9" s="394"/>
      <c r="AX9" s="394"/>
      <c r="AY9" s="394"/>
      <c r="AZ9" s="394"/>
      <c r="BA9" s="394"/>
      <c r="BB9" s="394"/>
      <c r="BC9" s="394"/>
      <c r="BD9" s="394"/>
      <c r="BE9" s="394"/>
      <c r="BF9" s="394"/>
      <c r="BG9" s="394"/>
      <c r="BH9" s="394"/>
      <c r="BI9" s="394"/>
      <c r="BJ9" s="394"/>
      <c r="BK9" s="394"/>
      <c r="BL9" s="394"/>
      <c r="BM9" s="394"/>
      <c r="BN9" s="394"/>
      <c r="BO9" s="394"/>
      <c r="BP9" s="394"/>
      <c r="BQ9" s="394"/>
    </row>
    <row r="10" spans="1:69" s="128" customFormat="1" ht="16.5" customHeight="1">
      <c r="A10" s="394"/>
      <c r="B10" s="394" t="s">
        <v>445</v>
      </c>
      <c r="C10" s="394"/>
      <c r="D10" s="394"/>
      <c r="E10" s="394"/>
      <c r="F10" s="394"/>
      <c r="G10" s="411" t="s">
        <v>56</v>
      </c>
      <c r="H10" s="411"/>
      <c r="I10" s="392" t="s">
        <v>7</v>
      </c>
      <c r="J10" s="394" t="s">
        <v>443</v>
      </c>
      <c r="K10" s="394" t="s">
        <v>57</v>
      </c>
      <c r="L10" s="394" t="s">
        <v>58</v>
      </c>
      <c r="M10" s="129" t="s">
        <v>58</v>
      </c>
      <c r="N10" s="130" t="s">
        <v>59</v>
      </c>
      <c r="O10" s="130" t="s">
        <v>8</v>
      </c>
      <c r="P10" s="130" t="s">
        <v>60</v>
      </c>
      <c r="Q10" s="130" t="s">
        <v>61</v>
      </c>
      <c r="R10" s="130" t="s">
        <v>1247</v>
      </c>
      <c r="S10" s="130" t="s">
        <v>896</v>
      </c>
      <c r="T10" s="130" t="s">
        <v>8</v>
      </c>
      <c r="U10" s="130" t="s">
        <v>8</v>
      </c>
      <c r="V10" s="130" t="s">
        <v>1246</v>
      </c>
      <c r="W10" s="130" t="s">
        <v>4</v>
      </c>
      <c r="X10" s="131" t="s">
        <v>9</v>
      </c>
      <c r="Y10" s="132"/>
      <c r="Z10" s="132"/>
      <c r="AA10" s="132"/>
      <c r="AB10" s="102" t="s">
        <v>1215</v>
      </c>
      <c r="AC10" s="102" t="s">
        <v>1239</v>
      </c>
      <c r="AD10" s="102" t="s">
        <v>1240</v>
      </c>
      <c r="AE10" s="404" t="s">
        <v>1237</v>
      </c>
      <c r="AF10" s="404"/>
      <c r="AG10" s="405"/>
      <c r="AH10" s="406" t="s">
        <v>1243</v>
      </c>
      <c r="AI10" s="407"/>
      <c r="AJ10" s="407"/>
      <c r="AS10" s="394"/>
      <c r="AT10" s="394"/>
      <c r="AU10" s="394"/>
      <c r="AV10" s="394"/>
      <c r="AW10" s="394"/>
      <c r="AX10" s="394"/>
      <c r="AY10" s="394"/>
      <c r="AZ10" s="394"/>
      <c r="BA10" s="394"/>
      <c r="BB10" s="394"/>
      <c r="BC10" s="394"/>
      <c r="BD10" s="394"/>
      <c r="BE10" s="394"/>
      <c r="BF10" s="394"/>
      <c r="BG10" s="394"/>
      <c r="BH10" s="394"/>
      <c r="BI10" s="394"/>
      <c r="BJ10" s="394"/>
      <c r="BK10" s="394"/>
      <c r="BL10" s="394"/>
      <c r="BM10" s="394"/>
      <c r="BN10" s="394"/>
      <c r="BO10" s="394"/>
      <c r="BP10" s="394"/>
      <c r="BQ10" s="394"/>
    </row>
    <row r="11" spans="1:69" s="128" customFormat="1" ht="23.25" customHeight="1">
      <c r="A11" s="133" t="s">
        <v>63</v>
      </c>
      <c r="B11" s="133" t="s">
        <v>897</v>
      </c>
      <c r="C11" s="133" t="s">
        <v>65</v>
      </c>
      <c r="D11" s="133" t="s">
        <v>66</v>
      </c>
      <c r="E11" s="133" t="s">
        <v>67</v>
      </c>
      <c r="F11" s="133"/>
      <c r="G11" s="133" t="s">
        <v>53</v>
      </c>
      <c r="H11" s="133" t="s">
        <v>68</v>
      </c>
      <c r="I11" s="133" t="s">
        <v>69</v>
      </c>
      <c r="J11" s="133" t="s">
        <v>70</v>
      </c>
      <c r="K11" s="133" t="s">
        <v>71</v>
      </c>
      <c r="L11" s="133" t="s">
        <v>72</v>
      </c>
      <c r="M11" s="134" t="s">
        <v>72</v>
      </c>
      <c r="N11" s="135" t="s">
        <v>6</v>
      </c>
      <c r="O11" s="135" t="s">
        <v>6</v>
      </c>
      <c r="P11" s="135" t="s">
        <v>8</v>
      </c>
      <c r="Q11" s="135" t="s">
        <v>898</v>
      </c>
      <c r="R11" s="135" t="s">
        <v>1234</v>
      </c>
      <c r="S11" s="135" t="s">
        <v>899</v>
      </c>
      <c r="T11" s="136">
        <f>T1</f>
        <v>0</v>
      </c>
      <c r="U11" s="136">
        <f>T2</f>
        <v>44712</v>
      </c>
      <c r="V11" s="136" t="s">
        <v>1232</v>
      </c>
      <c r="W11" s="135" t="s">
        <v>11</v>
      </c>
      <c r="X11" s="137" t="s">
        <v>1233</v>
      </c>
      <c r="Y11" s="138" t="s">
        <v>1236</v>
      </c>
      <c r="Z11" s="138" t="s">
        <v>1237</v>
      </c>
      <c r="AA11" s="138" t="s">
        <v>1232</v>
      </c>
      <c r="AB11" s="139" t="s">
        <v>1241</v>
      </c>
      <c r="AC11" s="138" t="s">
        <v>1237</v>
      </c>
      <c r="AD11" s="138" t="s">
        <v>1232</v>
      </c>
      <c r="AE11" s="137" t="s">
        <v>1171</v>
      </c>
      <c r="AF11" s="140" t="s">
        <v>1244</v>
      </c>
      <c r="AG11" s="138" t="s">
        <v>221</v>
      </c>
      <c r="AH11" s="137" t="s">
        <v>1171</v>
      </c>
      <c r="AI11" s="140" t="s">
        <v>1245</v>
      </c>
      <c r="AJ11" s="141" t="s">
        <v>221</v>
      </c>
      <c r="AS11" s="394"/>
      <c r="AT11" s="394"/>
      <c r="AU11" s="394"/>
      <c r="AV11" s="394"/>
      <c r="AW11" s="394"/>
      <c r="AX11" s="394"/>
      <c r="AY11" s="394"/>
      <c r="AZ11" s="394"/>
      <c r="BA11" s="394"/>
      <c r="BB11" s="394"/>
      <c r="BC11" s="394"/>
      <c r="BD11" s="394"/>
      <c r="BE11" s="394"/>
      <c r="BF11" s="394"/>
      <c r="BG11" s="394"/>
      <c r="BH11" s="394"/>
      <c r="BI11" s="394"/>
      <c r="BJ11" s="394"/>
      <c r="BK11" s="394"/>
      <c r="BL11" s="394"/>
      <c r="BM11" s="394"/>
      <c r="BN11" s="394"/>
      <c r="BO11" s="394"/>
      <c r="BP11" s="394"/>
      <c r="BQ11" s="394"/>
    </row>
    <row r="12" spans="1:69" s="9" customFormat="1">
      <c r="B12" s="142" t="s">
        <v>900</v>
      </c>
      <c r="M12" s="11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43"/>
      <c r="AE12" s="118"/>
      <c r="AF12" s="119"/>
      <c r="AG12" s="120"/>
      <c r="AH12" s="118"/>
      <c r="AI12" s="119"/>
      <c r="AJ12" s="121"/>
    </row>
    <row r="13" spans="1:69" s="9" customFormat="1">
      <c r="A13" s="9" t="s">
        <v>901</v>
      </c>
      <c r="B13" s="9">
        <v>9214</v>
      </c>
      <c r="C13" s="9" t="s">
        <v>902</v>
      </c>
      <c r="G13" s="9">
        <v>2005</v>
      </c>
      <c r="H13" s="9">
        <v>5</v>
      </c>
      <c r="I13" s="9">
        <v>0</v>
      </c>
      <c r="J13" s="9" t="s">
        <v>78</v>
      </c>
      <c r="K13" s="9">
        <v>5</v>
      </c>
      <c r="L13" s="9">
        <f t="shared" ref="L13:L36" si="0">G13+K13</f>
        <v>2010</v>
      </c>
      <c r="M13" s="114">
        <f t="shared" ref="M13:M36" si="1">+L13+(H13/12)</f>
        <v>2010.4166666666667</v>
      </c>
      <c r="N13" s="13">
        <f>'2180 Other - Orig.'!O14</f>
        <v>9777.6450000000004</v>
      </c>
      <c r="O13" s="13">
        <f t="shared" ref="O13:O36" si="2">N13-N13*I13</f>
        <v>9777.6450000000004</v>
      </c>
      <c r="P13" s="13">
        <f t="shared" ref="P13:P36" si="3">O13/K13/12</f>
        <v>162.96074999999999</v>
      </c>
      <c r="Q13" s="13">
        <f t="shared" ref="Q13:Q36" si="4">P13*12</f>
        <v>1955.529</v>
      </c>
      <c r="R13" s="13">
        <v>0</v>
      </c>
      <c r="S13" s="13">
        <f t="shared" ref="S13:S36" si="5">+IF(M13&lt;=$O$5,0,IF(L13&gt;$O$4,Q13,(P13*H13)))</f>
        <v>0</v>
      </c>
      <c r="T13" s="13">
        <f t="shared" ref="T13:T36" si="6">+IF(S13=0,N13,IF($O$3-G13&lt;1,0,(($O$3-G13)*Q13)))</f>
        <v>9777.6450000000004</v>
      </c>
      <c r="U13" s="13">
        <f t="shared" ref="U13:U36" si="7">+IF(S13=0,T13,T13+S13)</f>
        <v>9777.6450000000004</v>
      </c>
      <c r="V13" s="13">
        <v>0</v>
      </c>
      <c r="W13" s="13">
        <f t="shared" ref="W13:W36" si="8">+N13-U13</f>
        <v>0</v>
      </c>
      <c r="X13" s="115">
        <f>S13</f>
        <v>0</v>
      </c>
      <c r="Y13" s="116">
        <f>W13</f>
        <v>0</v>
      </c>
      <c r="Z13" s="116">
        <f>X13-R13</f>
        <v>0</v>
      </c>
      <c r="AA13" s="116">
        <f>Y13-V13</f>
        <v>0</v>
      </c>
      <c r="AB13" s="144">
        <f>'Ratios (C)'!$C$53+'Ratios (C)'!$D$53</f>
        <v>0.57214824875914061</v>
      </c>
      <c r="AC13" s="116">
        <f>X13*AB13</f>
        <v>0</v>
      </c>
      <c r="AD13" s="116">
        <f>Y13*AB13</f>
        <v>0</v>
      </c>
      <c r="AE13" s="118"/>
      <c r="AF13" s="119"/>
      <c r="AG13" s="120"/>
      <c r="AH13" s="118"/>
      <c r="AI13" s="119"/>
      <c r="AJ13" s="121"/>
    </row>
    <row r="14" spans="1:69" s="15" customFormat="1">
      <c r="C14" s="15" t="s">
        <v>903</v>
      </c>
      <c r="G14" s="15">
        <v>2017</v>
      </c>
      <c r="H14" s="15">
        <v>9</v>
      </c>
      <c r="I14" s="15">
        <v>0</v>
      </c>
      <c r="J14" s="15" t="s">
        <v>78</v>
      </c>
      <c r="K14" s="15">
        <f>+IF(L13-$O$3&gt;=3,L13-$O$3,3)</f>
        <v>3</v>
      </c>
      <c r="L14" s="15">
        <f t="shared" si="0"/>
        <v>2020</v>
      </c>
      <c r="M14" s="145">
        <f t="shared" si="1"/>
        <v>2020.75</v>
      </c>
      <c r="N14" s="16">
        <f>'2180 Other - Orig.'!N14-N13</f>
        <v>4815.8549999999996</v>
      </c>
      <c r="O14" s="16">
        <f t="shared" si="2"/>
        <v>4815.8549999999996</v>
      </c>
      <c r="P14" s="16">
        <f t="shared" si="3"/>
        <v>133.77374999999998</v>
      </c>
      <c r="Q14" s="16">
        <f t="shared" si="4"/>
        <v>1605.2849999999999</v>
      </c>
      <c r="R14" s="16">
        <v>1605.2849999999999</v>
      </c>
      <c r="S14" s="16">
        <f t="shared" si="5"/>
        <v>0</v>
      </c>
      <c r="T14" s="16">
        <f t="shared" si="6"/>
        <v>4815.8549999999996</v>
      </c>
      <c r="U14" s="16">
        <f t="shared" si="7"/>
        <v>4815.8549999999996</v>
      </c>
      <c r="V14" s="16">
        <v>1605.2849999999999</v>
      </c>
      <c r="W14" s="16">
        <f t="shared" si="8"/>
        <v>0</v>
      </c>
      <c r="X14" s="115">
        <f t="shared" ref="X14:X36" si="9">S14</f>
        <v>0</v>
      </c>
      <c r="Y14" s="116">
        <f t="shared" ref="Y14:Y36" si="10">W14</f>
        <v>0</v>
      </c>
      <c r="Z14" s="116">
        <f t="shared" ref="Z14:Z36" si="11">X14-R14</f>
        <v>-1605.2849999999999</v>
      </c>
      <c r="AA14" s="116">
        <f t="shared" ref="AA14:AA36" si="12">Y14-V14</f>
        <v>-1605.2849999999999</v>
      </c>
      <c r="AB14" s="144">
        <f>'Ratios (C)'!$C$53+'Ratios (C)'!$D$53</f>
        <v>0.57214824875914061</v>
      </c>
      <c r="AC14" s="116">
        <f t="shared" ref="AC14:AC36" si="13">X14*AB14</f>
        <v>0</v>
      </c>
      <c r="AD14" s="116">
        <f t="shared" ref="AD14:AD36" si="14">Y14*AB14</f>
        <v>0</v>
      </c>
      <c r="AE14" s="118"/>
      <c r="AF14" s="119"/>
      <c r="AG14" s="120"/>
      <c r="AH14" s="118"/>
      <c r="AI14" s="119"/>
      <c r="AJ14" s="121"/>
    </row>
    <row r="15" spans="1:69" s="9" customFormat="1">
      <c r="A15" s="9" t="s">
        <v>901</v>
      </c>
      <c r="B15" s="9">
        <v>9222</v>
      </c>
      <c r="C15" s="9" t="s">
        <v>904</v>
      </c>
      <c r="G15" s="9">
        <v>2008</v>
      </c>
      <c r="H15" s="9">
        <v>2</v>
      </c>
      <c r="I15" s="9">
        <v>0.33</v>
      </c>
      <c r="J15" s="9" t="s">
        <v>78</v>
      </c>
      <c r="K15" s="9">
        <v>5</v>
      </c>
      <c r="L15" s="9">
        <f t="shared" si="0"/>
        <v>2013</v>
      </c>
      <c r="M15" s="114">
        <f t="shared" si="1"/>
        <v>2013.1666666666667</v>
      </c>
      <c r="N15" s="13">
        <f>'2180 Other - Orig.'!O15</f>
        <v>31855.049500000001</v>
      </c>
      <c r="O15" s="13">
        <f t="shared" si="2"/>
        <v>21342.883164999999</v>
      </c>
      <c r="P15" s="13">
        <f t="shared" si="3"/>
        <v>355.71471941666664</v>
      </c>
      <c r="Q15" s="13">
        <f t="shared" si="4"/>
        <v>4268.5766329999997</v>
      </c>
      <c r="R15" s="13">
        <v>0</v>
      </c>
      <c r="S15" s="13">
        <f t="shared" si="5"/>
        <v>0</v>
      </c>
      <c r="T15" s="13">
        <f t="shared" si="6"/>
        <v>31855.049500000001</v>
      </c>
      <c r="U15" s="13">
        <f t="shared" si="7"/>
        <v>31855.049500000001</v>
      </c>
      <c r="V15" s="13">
        <v>0</v>
      </c>
      <c r="W15" s="13">
        <f t="shared" si="8"/>
        <v>0</v>
      </c>
      <c r="X15" s="115">
        <f t="shared" si="9"/>
        <v>0</v>
      </c>
      <c r="Y15" s="116">
        <f t="shared" si="10"/>
        <v>0</v>
      </c>
      <c r="Z15" s="116">
        <f t="shared" si="11"/>
        <v>0</v>
      </c>
      <c r="AA15" s="116">
        <f t="shared" si="12"/>
        <v>0</v>
      </c>
      <c r="AB15" s="144">
        <f>'Ratios (C)'!$C$53+'Ratios (C)'!$D$53</f>
        <v>0.57214824875914061</v>
      </c>
      <c r="AC15" s="116">
        <f t="shared" si="13"/>
        <v>0</v>
      </c>
      <c r="AD15" s="116">
        <f t="shared" si="14"/>
        <v>0</v>
      </c>
      <c r="AE15" s="118"/>
      <c r="AF15" s="119"/>
      <c r="AG15" s="120"/>
      <c r="AH15" s="118"/>
      <c r="AI15" s="119"/>
      <c r="AJ15" s="121"/>
    </row>
    <row r="16" spans="1:69" s="15" customFormat="1">
      <c r="C16" s="15" t="s">
        <v>905</v>
      </c>
      <c r="G16" s="15">
        <v>2017</v>
      </c>
      <c r="H16" s="15">
        <v>9</v>
      </c>
      <c r="I16" s="15">
        <v>0</v>
      </c>
      <c r="J16" s="15" t="s">
        <v>78</v>
      </c>
      <c r="K16" s="15">
        <f>+IF(L15-$O$3&gt;=3,L15-$O$3,3)</f>
        <v>3</v>
      </c>
      <c r="L16" s="15">
        <f t="shared" si="0"/>
        <v>2020</v>
      </c>
      <c r="M16" s="145">
        <f t="shared" si="1"/>
        <v>2020.75</v>
      </c>
      <c r="N16" s="16">
        <f>'2180 Other - Orig.'!N15-N15</f>
        <v>15689.800499999998</v>
      </c>
      <c r="O16" s="16">
        <f t="shared" si="2"/>
        <v>15689.800499999998</v>
      </c>
      <c r="P16" s="16">
        <f t="shared" si="3"/>
        <v>435.8277916666666</v>
      </c>
      <c r="Q16" s="16">
        <f t="shared" si="4"/>
        <v>5229.9334999999992</v>
      </c>
      <c r="R16" s="16">
        <v>5229.9334999999992</v>
      </c>
      <c r="S16" s="16">
        <f t="shared" si="5"/>
        <v>0</v>
      </c>
      <c r="T16" s="16">
        <f t="shared" si="6"/>
        <v>15689.800499999998</v>
      </c>
      <c r="U16" s="16">
        <f t="shared" si="7"/>
        <v>15689.800499999998</v>
      </c>
      <c r="V16" s="16">
        <v>10459.866999999998</v>
      </c>
      <c r="W16" s="16">
        <f>+N16-T16</f>
        <v>0</v>
      </c>
      <c r="X16" s="115">
        <f t="shared" si="9"/>
        <v>0</v>
      </c>
      <c r="Y16" s="116">
        <f t="shared" si="10"/>
        <v>0</v>
      </c>
      <c r="Z16" s="116">
        <f t="shared" si="11"/>
        <v>-5229.9334999999992</v>
      </c>
      <c r="AA16" s="116">
        <f t="shared" si="12"/>
        <v>-10459.866999999998</v>
      </c>
      <c r="AB16" s="144">
        <f>'Ratios (C)'!$C$53+'Ratios (C)'!$D$53</f>
        <v>0.57214824875914061</v>
      </c>
      <c r="AC16" s="116">
        <f t="shared" si="13"/>
        <v>0</v>
      </c>
      <c r="AD16" s="116">
        <f t="shared" si="14"/>
        <v>0</v>
      </c>
      <c r="AE16" s="118"/>
      <c r="AF16" s="119"/>
      <c r="AG16" s="120"/>
      <c r="AH16" s="118"/>
      <c r="AI16" s="119"/>
      <c r="AJ16" s="121"/>
    </row>
    <row r="17" spans="2:36" s="9" customFormat="1">
      <c r="C17" s="9" t="s">
        <v>906</v>
      </c>
      <c r="D17" s="9">
        <v>86839</v>
      </c>
      <c r="G17" s="9">
        <v>2008</v>
      </c>
      <c r="H17" s="9">
        <v>11</v>
      </c>
      <c r="I17" s="9">
        <v>0</v>
      </c>
      <c r="J17" s="9" t="s">
        <v>78</v>
      </c>
      <c r="K17" s="9">
        <v>3</v>
      </c>
      <c r="L17" s="9">
        <f t="shared" si="0"/>
        <v>2011</v>
      </c>
      <c r="M17" s="114">
        <f t="shared" si="1"/>
        <v>2011.9166666666667</v>
      </c>
      <c r="N17" s="13">
        <v>1000</v>
      </c>
      <c r="O17" s="13">
        <f t="shared" si="2"/>
        <v>1000</v>
      </c>
      <c r="P17" s="13">
        <f t="shared" si="3"/>
        <v>27.777777777777775</v>
      </c>
      <c r="Q17" s="13">
        <f t="shared" si="4"/>
        <v>333.33333333333331</v>
      </c>
      <c r="R17" s="13">
        <v>0</v>
      </c>
      <c r="S17" s="13">
        <f t="shared" si="5"/>
        <v>0</v>
      </c>
      <c r="T17" s="13">
        <f t="shared" si="6"/>
        <v>1000</v>
      </c>
      <c r="U17" s="13">
        <f t="shared" si="7"/>
        <v>1000</v>
      </c>
      <c r="V17" s="13">
        <v>0</v>
      </c>
      <c r="W17" s="13">
        <f t="shared" si="8"/>
        <v>0</v>
      </c>
      <c r="X17" s="115">
        <f t="shared" si="9"/>
        <v>0</v>
      </c>
      <c r="Y17" s="116">
        <f t="shared" si="10"/>
        <v>0</v>
      </c>
      <c r="Z17" s="116">
        <f t="shared" si="11"/>
        <v>0</v>
      </c>
      <c r="AA17" s="116">
        <f t="shared" si="12"/>
        <v>0</v>
      </c>
      <c r="AB17" s="144">
        <f>'Ratios (C)'!$C$53+'Ratios (C)'!$D$53</f>
        <v>0.57214824875914061</v>
      </c>
      <c r="AC17" s="116">
        <f t="shared" si="13"/>
        <v>0</v>
      </c>
      <c r="AD17" s="116">
        <f t="shared" si="14"/>
        <v>0</v>
      </c>
      <c r="AE17" s="118"/>
      <c r="AF17" s="119"/>
      <c r="AG17" s="120"/>
      <c r="AH17" s="118"/>
      <c r="AI17" s="119"/>
      <c r="AJ17" s="121"/>
    </row>
    <row r="18" spans="2:36" s="9" customFormat="1">
      <c r="B18" s="9">
        <v>1</v>
      </c>
      <c r="C18" s="9" t="s">
        <v>907</v>
      </c>
      <c r="G18" s="9">
        <v>2009</v>
      </c>
      <c r="H18" s="9">
        <v>5</v>
      </c>
      <c r="I18" s="9">
        <v>0</v>
      </c>
      <c r="J18" s="9" t="s">
        <v>78</v>
      </c>
      <c r="K18" s="9">
        <v>5</v>
      </c>
      <c r="L18" s="9">
        <f t="shared" si="0"/>
        <v>2014</v>
      </c>
      <c r="M18" s="114">
        <f t="shared" si="1"/>
        <v>2014.4166666666667</v>
      </c>
      <c r="N18" s="13">
        <v>789.55</v>
      </c>
      <c r="O18" s="13">
        <f t="shared" si="2"/>
        <v>789.55</v>
      </c>
      <c r="P18" s="13">
        <f t="shared" si="3"/>
        <v>13.159166666666666</v>
      </c>
      <c r="Q18" s="13">
        <f t="shared" si="4"/>
        <v>157.91</v>
      </c>
      <c r="R18" s="13">
        <v>0</v>
      </c>
      <c r="S18" s="13">
        <f t="shared" si="5"/>
        <v>0</v>
      </c>
      <c r="T18" s="13">
        <f t="shared" si="6"/>
        <v>789.55</v>
      </c>
      <c r="U18" s="13">
        <f t="shared" si="7"/>
        <v>789.55</v>
      </c>
      <c r="V18" s="13">
        <v>0</v>
      </c>
      <c r="W18" s="13">
        <f>+N18-U18</f>
        <v>0</v>
      </c>
      <c r="X18" s="115">
        <f t="shared" si="9"/>
        <v>0</v>
      </c>
      <c r="Y18" s="116">
        <f t="shared" si="10"/>
        <v>0</v>
      </c>
      <c r="Z18" s="116">
        <f t="shared" si="11"/>
        <v>0</v>
      </c>
      <c r="AA18" s="116">
        <f t="shared" si="12"/>
        <v>0</v>
      </c>
      <c r="AB18" s="144">
        <f>'Ratios (C)'!$C$53+'Ratios (C)'!$D$53</f>
        <v>0.57214824875914061</v>
      </c>
      <c r="AC18" s="116">
        <f t="shared" si="13"/>
        <v>0</v>
      </c>
      <c r="AD18" s="116">
        <f t="shared" si="14"/>
        <v>0</v>
      </c>
      <c r="AE18" s="118"/>
      <c r="AF18" s="119"/>
      <c r="AG18" s="120"/>
      <c r="AH18" s="118"/>
      <c r="AI18" s="119"/>
      <c r="AJ18" s="121"/>
    </row>
    <row r="19" spans="2:36" s="9" customFormat="1">
      <c r="B19" s="9">
        <v>1</v>
      </c>
      <c r="C19" s="9" t="s">
        <v>908</v>
      </c>
      <c r="G19" s="9">
        <v>2009</v>
      </c>
      <c r="H19" s="9">
        <v>10</v>
      </c>
      <c r="I19" s="9">
        <v>0</v>
      </c>
      <c r="J19" s="9" t="s">
        <v>78</v>
      </c>
      <c r="K19" s="9">
        <v>5</v>
      </c>
      <c r="L19" s="9">
        <f t="shared" si="0"/>
        <v>2014</v>
      </c>
      <c r="M19" s="114">
        <f t="shared" si="1"/>
        <v>2014.8333333333333</v>
      </c>
      <c r="N19" s="13">
        <v>3036.35</v>
      </c>
      <c r="O19" s="13">
        <f t="shared" si="2"/>
        <v>3036.35</v>
      </c>
      <c r="P19" s="13">
        <f t="shared" si="3"/>
        <v>50.605833333333329</v>
      </c>
      <c r="Q19" s="13">
        <f t="shared" si="4"/>
        <v>607.27</v>
      </c>
      <c r="R19" s="13">
        <v>0</v>
      </c>
      <c r="S19" s="13">
        <f t="shared" si="5"/>
        <v>0</v>
      </c>
      <c r="T19" s="13">
        <f t="shared" si="6"/>
        <v>3036.35</v>
      </c>
      <c r="U19" s="13">
        <f t="shared" si="7"/>
        <v>3036.35</v>
      </c>
      <c r="V19" s="13">
        <v>0</v>
      </c>
      <c r="W19" s="13">
        <f t="shared" si="8"/>
        <v>0</v>
      </c>
      <c r="X19" s="115">
        <f t="shared" si="9"/>
        <v>0</v>
      </c>
      <c r="Y19" s="116">
        <f t="shared" si="10"/>
        <v>0</v>
      </c>
      <c r="Z19" s="116">
        <f t="shared" si="11"/>
        <v>0</v>
      </c>
      <c r="AA19" s="116">
        <f t="shared" si="12"/>
        <v>0</v>
      </c>
      <c r="AB19" s="144">
        <f>'Ratios (C)'!$C$53+'Ratios (C)'!$D$53</f>
        <v>0.57214824875914061</v>
      </c>
      <c r="AC19" s="116">
        <f t="shared" si="13"/>
        <v>0</v>
      </c>
      <c r="AD19" s="116">
        <f t="shared" si="14"/>
        <v>0</v>
      </c>
      <c r="AE19" s="118"/>
      <c r="AF19" s="119"/>
      <c r="AG19" s="120"/>
      <c r="AH19" s="118"/>
      <c r="AI19" s="119"/>
      <c r="AJ19" s="121"/>
    </row>
    <row r="20" spans="2:36" s="9" customFormat="1">
      <c r="C20" s="9" t="s">
        <v>909</v>
      </c>
      <c r="D20" s="9">
        <v>82331</v>
      </c>
      <c r="E20" s="9" t="s">
        <v>97</v>
      </c>
      <c r="G20" s="9">
        <v>2011</v>
      </c>
      <c r="H20" s="9">
        <v>3</v>
      </c>
      <c r="I20" s="9">
        <v>0</v>
      </c>
      <c r="J20" s="9" t="s">
        <v>78</v>
      </c>
      <c r="K20" s="9">
        <v>5</v>
      </c>
      <c r="L20" s="9">
        <f t="shared" si="0"/>
        <v>2016</v>
      </c>
      <c r="M20" s="114">
        <f t="shared" si="1"/>
        <v>2016.25</v>
      </c>
      <c r="N20" s="13">
        <v>7305.94</v>
      </c>
      <c r="O20" s="13">
        <f t="shared" si="2"/>
        <v>7305.94</v>
      </c>
      <c r="P20" s="13">
        <f t="shared" si="3"/>
        <v>121.76566666666666</v>
      </c>
      <c r="Q20" s="13">
        <f t="shared" si="4"/>
        <v>1461.1879999999999</v>
      </c>
      <c r="R20" s="13">
        <v>0</v>
      </c>
      <c r="S20" s="13">
        <f t="shared" si="5"/>
        <v>0</v>
      </c>
      <c r="T20" s="13">
        <f t="shared" si="6"/>
        <v>7305.94</v>
      </c>
      <c r="U20" s="13">
        <f t="shared" si="7"/>
        <v>7305.94</v>
      </c>
      <c r="V20" s="13">
        <v>0</v>
      </c>
      <c r="W20" s="13">
        <f t="shared" si="8"/>
        <v>0</v>
      </c>
      <c r="X20" s="115">
        <f t="shared" si="9"/>
        <v>0</v>
      </c>
      <c r="Y20" s="116">
        <f t="shared" si="10"/>
        <v>0</v>
      </c>
      <c r="Z20" s="116">
        <f t="shared" si="11"/>
        <v>0</v>
      </c>
      <c r="AA20" s="116">
        <f t="shared" si="12"/>
        <v>0</v>
      </c>
      <c r="AB20" s="144">
        <f>'Ratios (C)'!$C$53+'Ratios (C)'!$D$53</f>
        <v>0.57214824875914061</v>
      </c>
      <c r="AC20" s="116">
        <f t="shared" si="13"/>
        <v>0</v>
      </c>
      <c r="AD20" s="116">
        <f t="shared" si="14"/>
        <v>0</v>
      </c>
      <c r="AE20" s="118"/>
      <c r="AF20" s="119"/>
      <c r="AG20" s="120"/>
      <c r="AH20" s="118"/>
      <c r="AI20" s="119"/>
      <c r="AJ20" s="121"/>
    </row>
    <row r="21" spans="2:36" s="9" customFormat="1">
      <c r="C21" s="9" t="s">
        <v>910</v>
      </c>
      <c r="D21" s="9" t="s">
        <v>911</v>
      </c>
      <c r="G21" s="9">
        <v>2011</v>
      </c>
      <c r="H21" s="9">
        <v>3</v>
      </c>
      <c r="I21" s="9">
        <v>0</v>
      </c>
      <c r="J21" s="9" t="s">
        <v>78</v>
      </c>
      <c r="K21" s="9">
        <v>5</v>
      </c>
      <c r="L21" s="9">
        <f t="shared" si="0"/>
        <v>2016</v>
      </c>
      <c r="M21" s="114">
        <f t="shared" si="1"/>
        <v>2016.25</v>
      </c>
      <c r="N21" s="13">
        <f>121878.12+1737.87</f>
        <v>123615.98999999999</v>
      </c>
      <c r="O21" s="13">
        <f t="shared" si="2"/>
        <v>123615.98999999999</v>
      </c>
      <c r="P21" s="13">
        <f t="shared" si="3"/>
        <v>2060.2664999999997</v>
      </c>
      <c r="Q21" s="13">
        <f t="shared" si="4"/>
        <v>24723.197999999997</v>
      </c>
      <c r="R21" s="13">
        <v>0</v>
      </c>
      <c r="S21" s="13">
        <f t="shared" si="5"/>
        <v>0</v>
      </c>
      <c r="T21" s="13">
        <f t="shared" si="6"/>
        <v>123615.98999999999</v>
      </c>
      <c r="U21" s="13">
        <f t="shared" si="7"/>
        <v>123615.98999999999</v>
      </c>
      <c r="V21" s="13">
        <v>0</v>
      </c>
      <c r="W21" s="13">
        <f t="shared" si="8"/>
        <v>0</v>
      </c>
      <c r="X21" s="115">
        <f t="shared" si="9"/>
        <v>0</v>
      </c>
      <c r="Y21" s="116">
        <f t="shared" si="10"/>
        <v>0</v>
      </c>
      <c r="Z21" s="116">
        <f t="shared" si="11"/>
        <v>0</v>
      </c>
      <c r="AA21" s="116">
        <f t="shared" si="12"/>
        <v>0</v>
      </c>
      <c r="AB21" s="144">
        <f>'Ratios (C)'!$C$53+'Ratios (C)'!$D$53</f>
        <v>0.57214824875914061</v>
      </c>
      <c r="AC21" s="116">
        <f t="shared" si="13"/>
        <v>0</v>
      </c>
      <c r="AD21" s="116">
        <f t="shared" si="14"/>
        <v>0</v>
      </c>
      <c r="AE21" s="118"/>
      <c r="AF21" s="119"/>
      <c r="AG21" s="120"/>
      <c r="AH21" s="118"/>
      <c r="AI21" s="119"/>
      <c r="AJ21" s="121"/>
    </row>
    <row r="22" spans="2:36" s="9" customFormat="1">
      <c r="C22" s="9" t="s">
        <v>912</v>
      </c>
      <c r="D22" s="9">
        <v>84028</v>
      </c>
      <c r="E22" s="9">
        <v>80461</v>
      </c>
      <c r="G22" s="9">
        <v>2011</v>
      </c>
      <c r="H22" s="9">
        <v>3</v>
      </c>
      <c r="I22" s="9">
        <v>0</v>
      </c>
      <c r="J22" s="9" t="s">
        <v>78</v>
      </c>
      <c r="K22" s="9">
        <v>7</v>
      </c>
      <c r="L22" s="9">
        <f t="shared" si="0"/>
        <v>2018</v>
      </c>
      <c r="M22" s="114">
        <f t="shared" si="1"/>
        <v>2018.25</v>
      </c>
      <c r="N22" s="13">
        <v>68923.28</v>
      </c>
      <c r="O22" s="13">
        <f t="shared" si="2"/>
        <v>68923.28</v>
      </c>
      <c r="P22" s="13">
        <f t="shared" si="3"/>
        <v>820.51523809523815</v>
      </c>
      <c r="Q22" s="13">
        <f t="shared" si="4"/>
        <v>9846.1828571428578</v>
      </c>
      <c r="R22" s="13">
        <v>0</v>
      </c>
      <c r="S22" s="13">
        <f t="shared" si="5"/>
        <v>0</v>
      </c>
      <c r="T22" s="13">
        <f t="shared" si="6"/>
        <v>68923.28</v>
      </c>
      <c r="U22" s="13">
        <f t="shared" si="7"/>
        <v>68923.28</v>
      </c>
      <c r="V22" s="13">
        <v>0</v>
      </c>
      <c r="W22" s="13">
        <f t="shared" si="8"/>
        <v>0</v>
      </c>
      <c r="X22" s="115">
        <f t="shared" si="9"/>
        <v>0</v>
      </c>
      <c r="Y22" s="116">
        <f t="shared" si="10"/>
        <v>0</v>
      </c>
      <c r="Z22" s="116">
        <f t="shared" si="11"/>
        <v>0</v>
      </c>
      <c r="AA22" s="116">
        <f t="shared" si="12"/>
        <v>0</v>
      </c>
      <c r="AB22" s="144">
        <f>'Ratios (C)'!$C$53+'Ratios (C)'!$D$53</f>
        <v>0.57214824875914061</v>
      </c>
      <c r="AC22" s="116">
        <f t="shared" si="13"/>
        <v>0</v>
      </c>
      <c r="AD22" s="116">
        <f t="shared" si="14"/>
        <v>0</v>
      </c>
      <c r="AE22" s="118"/>
      <c r="AF22" s="119"/>
      <c r="AG22" s="120"/>
      <c r="AH22" s="118"/>
      <c r="AI22" s="119"/>
      <c r="AJ22" s="121"/>
    </row>
    <row r="23" spans="2:36" s="9" customFormat="1">
      <c r="C23" s="9" t="s">
        <v>913</v>
      </c>
      <c r="D23" s="9">
        <v>84654</v>
      </c>
      <c r="E23" s="9" t="s">
        <v>97</v>
      </c>
      <c r="G23" s="9">
        <v>2011</v>
      </c>
      <c r="H23" s="9">
        <v>5</v>
      </c>
      <c r="I23" s="9">
        <v>0</v>
      </c>
      <c r="J23" s="9" t="s">
        <v>78</v>
      </c>
      <c r="K23" s="9">
        <v>5</v>
      </c>
      <c r="L23" s="9">
        <f t="shared" si="0"/>
        <v>2016</v>
      </c>
      <c r="M23" s="114">
        <f t="shared" si="1"/>
        <v>2016.4166666666667</v>
      </c>
      <c r="N23" s="13">
        <v>21323.33</v>
      </c>
      <c r="O23" s="13">
        <f t="shared" si="2"/>
        <v>21323.33</v>
      </c>
      <c r="P23" s="13">
        <f t="shared" si="3"/>
        <v>355.38883333333337</v>
      </c>
      <c r="Q23" s="13">
        <f t="shared" si="4"/>
        <v>4264.6660000000002</v>
      </c>
      <c r="R23" s="13">
        <v>0</v>
      </c>
      <c r="S23" s="13">
        <f t="shared" si="5"/>
        <v>0</v>
      </c>
      <c r="T23" s="13">
        <f t="shared" si="6"/>
        <v>21323.33</v>
      </c>
      <c r="U23" s="13">
        <f t="shared" si="7"/>
        <v>21323.33</v>
      </c>
      <c r="V23" s="13">
        <v>0</v>
      </c>
      <c r="W23" s="13">
        <f t="shared" si="8"/>
        <v>0</v>
      </c>
      <c r="X23" s="115">
        <f t="shared" si="9"/>
        <v>0</v>
      </c>
      <c r="Y23" s="116">
        <f t="shared" si="10"/>
        <v>0</v>
      </c>
      <c r="Z23" s="116">
        <f t="shared" si="11"/>
        <v>0</v>
      </c>
      <c r="AA23" s="116">
        <f t="shared" si="12"/>
        <v>0</v>
      </c>
      <c r="AB23" s="144">
        <f>'Ratios (C)'!$C$53+'Ratios (C)'!$D$53</f>
        <v>0.57214824875914061</v>
      </c>
      <c r="AC23" s="116">
        <f t="shared" si="13"/>
        <v>0</v>
      </c>
      <c r="AD23" s="116">
        <f t="shared" si="14"/>
        <v>0</v>
      </c>
      <c r="AE23" s="118"/>
      <c r="AF23" s="119"/>
      <c r="AG23" s="120"/>
      <c r="AH23" s="118"/>
      <c r="AI23" s="119"/>
      <c r="AJ23" s="121"/>
    </row>
    <row r="24" spans="2:36" s="9" customFormat="1">
      <c r="C24" s="9" t="s">
        <v>914</v>
      </c>
      <c r="D24" s="9">
        <v>114876</v>
      </c>
      <c r="G24" s="9">
        <v>2011</v>
      </c>
      <c r="H24" s="9">
        <v>12</v>
      </c>
      <c r="I24" s="9">
        <v>0</v>
      </c>
      <c r="J24" s="9" t="s">
        <v>78</v>
      </c>
      <c r="K24" s="9">
        <v>5</v>
      </c>
      <c r="L24" s="9">
        <f t="shared" si="0"/>
        <v>2016</v>
      </c>
      <c r="M24" s="114">
        <f t="shared" si="1"/>
        <v>2017</v>
      </c>
      <c r="N24" s="13">
        <v>31190.89</v>
      </c>
      <c r="O24" s="13">
        <f t="shared" si="2"/>
        <v>31190.89</v>
      </c>
      <c r="P24" s="13">
        <f t="shared" si="3"/>
        <v>519.84816666666666</v>
      </c>
      <c r="Q24" s="13">
        <f t="shared" si="4"/>
        <v>6238.1779999999999</v>
      </c>
      <c r="R24" s="13">
        <v>0</v>
      </c>
      <c r="S24" s="13">
        <f t="shared" si="5"/>
        <v>0</v>
      </c>
      <c r="T24" s="13">
        <f t="shared" si="6"/>
        <v>31190.89</v>
      </c>
      <c r="U24" s="13">
        <f t="shared" si="7"/>
        <v>31190.89</v>
      </c>
      <c r="V24" s="13">
        <v>0</v>
      </c>
      <c r="W24" s="13">
        <f t="shared" si="8"/>
        <v>0</v>
      </c>
      <c r="X24" s="115">
        <f t="shared" si="9"/>
        <v>0</v>
      </c>
      <c r="Y24" s="116">
        <f t="shared" si="10"/>
        <v>0</v>
      </c>
      <c r="Z24" s="116">
        <f t="shared" si="11"/>
        <v>0</v>
      </c>
      <c r="AA24" s="116">
        <f t="shared" si="12"/>
        <v>0</v>
      </c>
      <c r="AB24" s="144">
        <f>'Ratios (C)'!$C$53+'Ratios (C)'!$D$53</f>
        <v>0.57214824875914061</v>
      </c>
      <c r="AC24" s="116">
        <f t="shared" si="13"/>
        <v>0</v>
      </c>
      <c r="AD24" s="116">
        <f t="shared" si="14"/>
        <v>0</v>
      </c>
      <c r="AE24" s="118"/>
      <c r="AF24" s="119"/>
      <c r="AG24" s="120"/>
      <c r="AH24" s="118"/>
      <c r="AI24" s="119"/>
      <c r="AJ24" s="121"/>
    </row>
    <row r="25" spans="2:36" s="9" customFormat="1">
      <c r="C25" s="9" t="s">
        <v>915</v>
      </c>
      <c r="D25" s="9">
        <v>91123</v>
      </c>
      <c r="G25" s="9">
        <v>2012</v>
      </c>
      <c r="H25" s="9">
        <v>2</v>
      </c>
      <c r="I25" s="9">
        <v>0</v>
      </c>
      <c r="J25" s="9" t="s">
        <v>78</v>
      </c>
      <c r="K25" s="9">
        <v>5</v>
      </c>
      <c r="L25" s="9">
        <f t="shared" si="0"/>
        <v>2017</v>
      </c>
      <c r="M25" s="114">
        <f t="shared" si="1"/>
        <v>2017.1666666666667</v>
      </c>
      <c r="N25" s="13">
        <v>804.21</v>
      </c>
      <c r="O25" s="13">
        <f t="shared" si="2"/>
        <v>804.21</v>
      </c>
      <c r="P25" s="13">
        <f t="shared" si="3"/>
        <v>13.403500000000001</v>
      </c>
      <c r="Q25" s="13">
        <f t="shared" si="4"/>
        <v>160.84200000000001</v>
      </c>
      <c r="R25" s="13">
        <v>0</v>
      </c>
      <c r="S25" s="13">
        <f t="shared" si="5"/>
        <v>0</v>
      </c>
      <c r="T25" s="13">
        <f t="shared" si="6"/>
        <v>804.21</v>
      </c>
      <c r="U25" s="13">
        <f t="shared" si="7"/>
        <v>804.21</v>
      </c>
      <c r="V25" s="13">
        <v>0</v>
      </c>
      <c r="W25" s="13">
        <f t="shared" si="8"/>
        <v>0</v>
      </c>
      <c r="X25" s="115">
        <f t="shared" si="9"/>
        <v>0</v>
      </c>
      <c r="Y25" s="116">
        <f t="shared" si="10"/>
        <v>0</v>
      </c>
      <c r="Z25" s="116">
        <f t="shared" si="11"/>
        <v>0</v>
      </c>
      <c r="AA25" s="116">
        <f t="shared" si="12"/>
        <v>0</v>
      </c>
      <c r="AB25" s="144">
        <f>'Ratios (C)'!$C$53+'Ratios (C)'!$D$53</f>
        <v>0.57214824875914061</v>
      </c>
      <c r="AC25" s="116">
        <f t="shared" si="13"/>
        <v>0</v>
      </c>
      <c r="AD25" s="116">
        <f t="shared" si="14"/>
        <v>0</v>
      </c>
      <c r="AE25" s="118"/>
      <c r="AF25" s="119"/>
      <c r="AG25" s="120"/>
      <c r="AH25" s="118"/>
      <c r="AI25" s="119"/>
      <c r="AJ25" s="121"/>
    </row>
    <row r="26" spans="2:36" s="9" customFormat="1">
      <c r="C26" s="9" t="s">
        <v>916</v>
      </c>
      <c r="D26" s="9" t="s">
        <v>917</v>
      </c>
      <c r="G26" s="9">
        <v>2012</v>
      </c>
      <c r="H26" s="9">
        <v>4</v>
      </c>
      <c r="I26" s="9">
        <v>0</v>
      </c>
      <c r="J26" s="9" t="s">
        <v>78</v>
      </c>
      <c r="K26" s="9">
        <v>5</v>
      </c>
      <c r="L26" s="9">
        <f t="shared" si="0"/>
        <v>2017</v>
      </c>
      <c r="M26" s="114">
        <f t="shared" si="1"/>
        <v>2017.3333333333333</v>
      </c>
      <c r="N26" s="13">
        <f>1046+523</f>
        <v>1569</v>
      </c>
      <c r="O26" s="13">
        <f t="shared" si="2"/>
        <v>1569</v>
      </c>
      <c r="P26" s="13">
        <f t="shared" si="3"/>
        <v>26.150000000000002</v>
      </c>
      <c r="Q26" s="13">
        <f t="shared" si="4"/>
        <v>313.8</v>
      </c>
      <c r="R26" s="13">
        <v>0</v>
      </c>
      <c r="S26" s="13">
        <f t="shared" si="5"/>
        <v>0</v>
      </c>
      <c r="T26" s="13">
        <f t="shared" si="6"/>
        <v>1569</v>
      </c>
      <c r="U26" s="13">
        <f t="shared" si="7"/>
        <v>1569</v>
      </c>
      <c r="V26" s="13">
        <v>0</v>
      </c>
      <c r="W26" s="13">
        <f t="shared" si="8"/>
        <v>0</v>
      </c>
      <c r="X26" s="115">
        <f t="shared" si="9"/>
        <v>0</v>
      </c>
      <c r="Y26" s="116">
        <f t="shared" si="10"/>
        <v>0</v>
      </c>
      <c r="Z26" s="116">
        <f t="shared" si="11"/>
        <v>0</v>
      </c>
      <c r="AA26" s="116">
        <f t="shared" si="12"/>
        <v>0</v>
      </c>
      <c r="AB26" s="144">
        <f>'Ratios (C)'!$C$53+'Ratios (C)'!$D$53</f>
        <v>0.57214824875914061</v>
      </c>
      <c r="AC26" s="116">
        <f t="shared" si="13"/>
        <v>0</v>
      </c>
      <c r="AD26" s="116">
        <f t="shared" si="14"/>
        <v>0</v>
      </c>
      <c r="AE26" s="118"/>
      <c r="AF26" s="119"/>
      <c r="AG26" s="120"/>
      <c r="AH26" s="118"/>
      <c r="AI26" s="119"/>
      <c r="AJ26" s="121"/>
    </row>
    <row r="27" spans="2:36" s="9" customFormat="1">
      <c r="C27" s="9" t="s">
        <v>918</v>
      </c>
      <c r="D27" s="9">
        <v>95598</v>
      </c>
      <c r="G27" s="9">
        <v>2012</v>
      </c>
      <c r="H27" s="9">
        <v>8</v>
      </c>
      <c r="I27" s="9">
        <v>0</v>
      </c>
      <c r="J27" s="9" t="s">
        <v>78</v>
      </c>
      <c r="K27" s="9">
        <v>8</v>
      </c>
      <c r="L27" s="9">
        <f t="shared" si="0"/>
        <v>2020</v>
      </c>
      <c r="M27" s="114">
        <f t="shared" si="1"/>
        <v>2020.6666666666667</v>
      </c>
      <c r="N27" s="13">
        <v>1078</v>
      </c>
      <c r="O27" s="13">
        <f t="shared" si="2"/>
        <v>1078</v>
      </c>
      <c r="P27" s="13">
        <f t="shared" si="3"/>
        <v>11.229166666666666</v>
      </c>
      <c r="Q27" s="13">
        <f t="shared" si="4"/>
        <v>134.75</v>
      </c>
      <c r="R27" s="13">
        <v>134.75</v>
      </c>
      <c r="S27" s="13">
        <f t="shared" si="5"/>
        <v>0</v>
      </c>
      <c r="T27" s="13">
        <f t="shared" si="6"/>
        <v>1078</v>
      </c>
      <c r="U27" s="13">
        <f t="shared" si="7"/>
        <v>1078</v>
      </c>
      <c r="V27" s="13">
        <v>134.75</v>
      </c>
      <c r="W27" s="13">
        <f t="shared" si="8"/>
        <v>0</v>
      </c>
      <c r="X27" s="115">
        <f t="shared" si="9"/>
        <v>0</v>
      </c>
      <c r="Y27" s="116">
        <f t="shared" si="10"/>
        <v>0</v>
      </c>
      <c r="Z27" s="116">
        <f t="shared" si="11"/>
        <v>-134.75</v>
      </c>
      <c r="AA27" s="116">
        <f t="shared" si="12"/>
        <v>-134.75</v>
      </c>
      <c r="AB27" s="144">
        <f>'Ratios (C)'!$C$53+'Ratios (C)'!$D$53</f>
        <v>0.57214824875914061</v>
      </c>
      <c r="AC27" s="116">
        <f t="shared" si="13"/>
        <v>0</v>
      </c>
      <c r="AD27" s="116">
        <f t="shared" si="14"/>
        <v>0</v>
      </c>
      <c r="AE27" s="118"/>
      <c r="AF27" s="119"/>
      <c r="AG27" s="120"/>
      <c r="AH27" s="118"/>
      <c r="AI27" s="119"/>
      <c r="AJ27" s="121"/>
    </row>
    <row r="28" spans="2:36" s="9" customFormat="1">
      <c r="B28" s="9">
        <v>2</v>
      </c>
      <c r="C28" s="9" t="s">
        <v>919</v>
      </c>
      <c r="D28" s="9">
        <v>98423</v>
      </c>
      <c r="G28" s="9">
        <v>2012</v>
      </c>
      <c r="H28" s="9">
        <v>11</v>
      </c>
      <c r="I28" s="9">
        <v>0</v>
      </c>
      <c r="J28" s="9" t="s">
        <v>78</v>
      </c>
      <c r="K28" s="9">
        <v>5</v>
      </c>
      <c r="L28" s="9">
        <f t="shared" si="0"/>
        <v>2017</v>
      </c>
      <c r="M28" s="114">
        <f t="shared" si="1"/>
        <v>2017.9166666666667</v>
      </c>
      <c r="N28" s="13">
        <v>11322</v>
      </c>
      <c r="O28" s="13">
        <f t="shared" si="2"/>
        <v>11322</v>
      </c>
      <c r="P28" s="13">
        <f t="shared" si="3"/>
        <v>188.70000000000002</v>
      </c>
      <c r="Q28" s="13">
        <f t="shared" si="4"/>
        <v>2264.4</v>
      </c>
      <c r="R28" s="13">
        <v>0</v>
      </c>
      <c r="S28" s="13">
        <f t="shared" si="5"/>
        <v>0</v>
      </c>
      <c r="T28" s="13">
        <f t="shared" si="6"/>
        <v>11322</v>
      </c>
      <c r="U28" s="13">
        <f t="shared" si="7"/>
        <v>11322</v>
      </c>
      <c r="V28" s="13">
        <v>0</v>
      </c>
      <c r="W28" s="13">
        <f t="shared" si="8"/>
        <v>0</v>
      </c>
      <c r="X28" s="115">
        <f t="shared" si="9"/>
        <v>0</v>
      </c>
      <c r="Y28" s="116">
        <f t="shared" si="10"/>
        <v>0</v>
      </c>
      <c r="Z28" s="116">
        <f t="shared" si="11"/>
        <v>0</v>
      </c>
      <c r="AA28" s="116">
        <f t="shared" si="12"/>
        <v>0</v>
      </c>
      <c r="AB28" s="144">
        <f>'Ratios (C)'!$C$53+'Ratios (C)'!$D$53</f>
        <v>0.57214824875914061</v>
      </c>
      <c r="AC28" s="116">
        <f t="shared" si="13"/>
        <v>0</v>
      </c>
      <c r="AD28" s="116">
        <f t="shared" si="14"/>
        <v>0</v>
      </c>
      <c r="AE28" s="118"/>
      <c r="AF28" s="119"/>
      <c r="AG28" s="120"/>
      <c r="AH28" s="118"/>
      <c r="AI28" s="119"/>
      <c r="AJ28" s="121"/>
    </row>
    <row r="29" spans="2:36" s="9" customFormat="1">
      <c r="C29" s="9" t="s">
        <v>918</v>
      </c>
      <c r="D29" s="9">
        <v>101995</v>
      </c>
      <c r="G29" s="9">
        <v>2013</v>
      </c>
      <c r="H29" s="9">
        <v>1</v>
      </c>
      <c r="I29" s="9">
        <v>0</v>
      </c>
      <c r="J29" s="9" t="s">
        <v>78</v>
      </c>
      <c r="K29" s="9">
        <v>8</v>
      </c>
      <c r="L29" s="9">
        <f t="shared" si="0"/>
        <v>2021</v>
      </c>
      <c r="M29" s="114">
        <f t="shared" si="1"/>
        <v>2021.0833333333333</v>
      </c>
      <c r="N29" s="13">
        <v>1066</v>
      </c>
      <c r="O29" s="13">
        <f t="shared" si="2"/>
        <v>1066</v>
      </c>
      <c r="P29" s="13">
        <f t="shared" si="3"/>
        <v>11.104166666666666</v>
      </c>
      <c r="Q29" s="13">
        <f t="shared" si="4"/>
        <v>133.25</v>
      </c>
      <c r="R29" s="13">
        <v>133.25</v>
      </c>
      <c r="S29" s="13">
        <f t="shared" si="5"/>
        <v>0</v>
      </c>
      <c r="T29" s="13">
        <f t="shared" si="6"/>
        <v>1066</v>
      </c>
      <c r="U29" s="13">
        <f t="shared" si="7"/>
        <v>1066</v>
      </c>
      <c r="V29" s="13">
        <v>266.5</v>
      </c>
      <c r="W29" s="13">
        <f t="shared" si="8"/>
        <v>0</v>
      </c>
      <c r="X29" s="115">
        <f t="shared" si="9"/>
        <v>0</v>
      </c>
      <c r="Y29" s="116">
        <f t="shared" si="10"/>
        <v>0</v>
      </c>
      <c r="Z29" s="116">
        <f t="shared" si="11"/>
        <v>-133.25</v>
      </c>
      <c r="AA29" s="116">
        <f t="shared" si="12"/>
        <v>-266.5</v>
      </c>
      <c r="AB29" s="144">
        <f>'Ratios (C)'!$C$53+'Ratios (C)'!$D$53</f>
        <v>0.57214824875914061</v>
      </c>
      <c r="AC29" s="116">
        <f t="shared" si="13"/>
        <v>0</v>
      </c>
      <c r="AD29" s="116">
        <f t="shared" si="14"/>
        <v>0</v>
      </c>
      <c r="AE29" s="118"/>
      <c r="AF29" s="119"/>
      <c r="AG29" s="120"/>
      <c r="AH29" s="118"/>
      <c r="AI29" s="119"/>
      <c r="AJ29" s="121"/>
    </row>
    <row r="30" spans="2:36" s="9" customFormat="1">
      <c r="B30" s="9">
        <v>1</v>
      </c>
      <c r="C30" s="9" t="s">
        <v>920</v>
      </c>
      <c r="D30" s="9">
        <v>115909</v>
      </c>
      <c r="G30" s="9">
        <v>2014</v>
      </c>
      <c r="H30" s="9">
        <v>6</v>
      </c>
      <c r="I30" s="9">
        <v>0</v>
      </c>
      <c r="J30" s="9" t="s">
        <v>78</v>
      </c>
      <c r="K30" s="9">
        <v>5</v>
      </c>
      <c r="L30" s="9">
        <f t="shared" si="0"/>
        <v>2019</v>
      </c>
      <c r="M30" s="146">
        <f t="shared" si="1"/>
        <v>2019.5</v>
      </c>
      <c r="N30" s="13">
        <v>4221.4399999999996</v>
      </c>
      <c r="O30" s="13">
        <f t="shared" si="2"/>
        <v>4221.4399999999996</v>
      </c>
      <c r="P30" s="13">
        <f t="shared" si="3"/>
        <v>70.35733333333333</v>
      </c>
      <c r="Q30" s="13">
        <f t="shared" si="4"/>
        <v>844.28800000000001</v>
      </c>
      <c r="R30" s="13">
        <v>422.14400000000001</v>
      </c>
      <c r="S30" s="13"/>
      <c r="T30" s="13">
        <f t="shared" si="6"/>
        <v>4221.4399999999996</v>
      </c>
      <c r="U30" s="13">
        <f t="shared" si="7"/>
        <v>4221.4399999999996</v>
      </c>
      <c r="V30" s="13">
        <v>422.14399999999932</v>
      </c>
      <c r="W30" s="13">
        <f t="shared" si="8"/>
        <v>0</v>
      </c>
      <c r="X30" s="115">
        <f t="shared" si="9"/>
        <v>0</v>
      </c>
      <c r="Y30" s="116">
        <f t="shared" si="10"/>
        <v>0</v>
      </c>
      <c r="Z30" s="116">
        <f t="shared" si="11"/>
        <v>-422.14400000000001</v>
      </c>
      <c r="AA30" s="116">
        <f t="shared" si="12"/>
        <v>-422.14399999999932</v>
      </c>
      <c r="AB30" s="144">
        <f>'Ratios (C)'!$C$53+'Ratios (C)'!$D$53</f>
        <v>0.57214824875914061</v>
      </c>
      <c r="AC30" s="116">
        <f t="shared" si="13"/>
        <v>0</v>
      </c>
      <c r="AD30" s="116">
        <f t="shared" si="14"/>
        <v>0</v>
      </c>
      <c r="AE30" s="118"/>
      <c r="AF30" s="119"/>
      <c r="AG30" s="120"/>
      <c r="AH30" s="118"/>
      <c r="AI30" s="119"/>
      <c r="AJ30" s="121"/>
    </row>
    <row r="31" spans="2:36" s="9" customFormat="1">
      <c r="C31" s="9" t="s">
        <v>921</v>
      </c>
      <c r="D31" s="9">
        <v>118539</v>
      </c>
      <c r="G31" s="9">
        <v>2014</v>
      </c>
      <c r="H31" s="9">
        <v>12</v>
      </c>
      <c r="I31" s="9">
        <v>0</v>
      </c>
      <c r="J31" s="9" t="s">
        <v>78</v>
      </c>
      <c r="K31" s="9">
        <v>5</v>
      </c>
      <c r="L31" s="9">
        <f t="shared" si="0"/>
        <v>2019</v>
      </c>
      <c r="M31" s="146">
        <f t="shared" si="1"/>
        <v>2020</v>
      </c>
      <c r="N31" s="13">
        <v>12525.06</v>
      </c>
      <c r="O31" s="13">
        <f t="shared" si="2"/>
        <v>12525.06</v>
      </c>
      <c r="P31" s="13">
        <f t="shared" si="3"/>
        <v>208.75099999999998</v>
      </c>
      <c r="Q31" s="13">
        <f t="shared" si="4"/>
        <v>2505.0119999999997</v>
      </c>
      <c r="R31" s="13">
        <v>2505.0119999999997</v>
      </c>
      <c r="S31" s="13"/>
      <c r="T31" s="13">
        <f t="shared" si="6"/>
        <v>12525.06</v>
      </c>
      <c r="U31" s="13">
        <f t="shared" si="7"/>
        <v>12525.06</v>
      </c>
      <c r="V31" s="13">
        <v>0</v>
      </c>
      <c r="W31" s="13">
        <f t="shared" si="8"/>
        <v>0</v>
      </c>
      <c r="X31" s="115">
        <f t="shared" si="9"/>
        <v>0</v>
      </c>
      <c r="Y31" s="116">
        <f t="shared" si="10"/>
        <v>0</v>
      </c>
      <c r="Z31" s="116">
        <f t="shared" si="11"/>
        <v>-2505.0119999999997</v>
      </c>
      <c r="AA31" s="116">
        <f t="shared" si="12"/>
        <v>0</v>
      </c>
      <c r="AB31" s="144">
        <f>'Ratios (C)'!$C$53+'Ratios (C)'!$D$53</f>
        <v>0.57214824875914061</v>
      </c>
      <c r="AC31" s="116">
        <f t="shared" si="13"/>
        <v>0</v>
      </c>
      <c r="AD31" s="116">
        <f t="shared" si="14"/>
        <v>0</v>
      </c>
      <c r="AE31" s="118"/>
      <c r="AF31" s="119"/>
      <c r="AG31" s="120"/>
      <c r="AH31" s="118"/>
      <c r="AI31" s="119"/>
      <c r="AJ31" s="121"/>
    </row>
    <row r="32" spans="2:36" s="9" customFormat="1">
      <c r="C32" s="9" t="s">
        <v>922</v>
      </c>
      <c r="D32" s="9">
        <v>118538</v>
      </c>
      <c r="G32" s="9">
        <v>2014</v>
      </c>
      <c r="H32" s="9">
        <v>12</v>
      </c>
      <c r="I32" s="9">
        <v>0</v>
      </c>
      <c r="J32" s="9" t="s">
        <v>78</v>
      </c>
      <c r="K32" s="9">
        <v>5</v>
      </c>
      <c r="L32" s="9">
        <f t="shared" si="0"/>
        <v>2019</v>
      </c>
      <c r="M32" s="146">
        <f t="shared" si="1"/>
        <v>2020</v>
      </c>
      <c r="N32" s="13">
        <v>6310.39</v>
      </c>
      <c r="O32" s="13">
        <f t="shared" si="2"/>
        <v>6310.39</v>
      </c>
      <c r="P32" s="13">
        <f t="shared" si="3"/>
        <v>105.17316666666666</v>
      </c>
      <c r="Q32" s="13">
        <f t="shared" si="4"/>
        <v>1262.078</v>
      </c>
      <c r="R32" s="13">
        <v>1262.078</v>
      </c>
      <c r="S32" s="13"/>
      <c r="T32" s="13">
        <f t="shared" si="6"/>
        <v>6310.39</v>
      </c>
      <c r="U32" s="13">
        <f t="shared" si="7"/>
        <v>6310.39</v>
      </c>
      <c r="V32" s="13">
        <v>0</v>
      </c>
      <c r="W32" s="13">
        <f t="shared" si="8"/>
        <v>0</v>
      </c>
      <c r="X32" s="115">
        <f t="shared" si="9"/>
        <v>0</v>
      </c>
      <c r="Y32" s="116">
        <f t="shared" si="10"/>
        <v>0</v>
      </c>
      <c r="Z32" s="116">
        <f t="shared" si="11"/>
        <v>-1262.078</v>
      </c>
      <c r="AA32" s="116">
        <f t="shared" si="12"/>
        <v>0</v>
      </c>
      <c r="AB32" s="144">
        <f>'Ratios (C)'!$C$53+'Ratios (C)'!$D$53</f>
        <v>0.57214824875914061</v>
      </c>
      <c r="AC32" s="116">
        <f t="shared" si="13"/>
        <v>0</v>
      </c>
      <c r="AD32" s="116">
        <f t="shared" si="14"/>
        <v>0</v>
      </c>
      <c r="AE32" s="118"/>
      <c r="AF32" s="119"/>
      <c r="AG32" s="120"/>
      <c r="AH32" s="118"/>
      <c r="AI32" s="119"/>
      <c r="AJ32" s="121"/>
    </row>
    <row r="33" spans="1:36" s="9" customFormat="1">
      <c r="B33" s="9">
        <v>9214</v>
      </c>
      <c r="C33" s="9" t="s">
        <v>923</v>
      </c>
      <c r="D33" s="9">
        <v>122789</v>
      </c>
      <c r="G33" s="9">
        <v>2015</v>
      </c>
      <c r="H33" s="9">
        <v>5</v>
      </c>
      <c r="I33" s="9">
        <v>0</v>
      </c>
      <c r="J33" s="9" t="s">
        <v>78</v>
      </c>
      <c r="K33" s="9">
        <v>3</v>
      </c>
      <c r="L33" s="9">
        <f t="shared" si="0"/>
        <v>2018</v>
      </c>
      <c r="M33" s="114">
        <f t="shared" si="1"/>
        <v>2018.4166666666667</v>
      </c>
      <c r="N33" s="13">
        <v>11461.68</v>
      </c>
      <c r="O33" s="13">
        <f t="shared" si="2"/>
        <v>11461.68</v>
      </c>
      <c r="P33" s="13">
        <f t="shared" si="3"/>
        <v>318.38</v>
      </c>
      <c r="Q33" s="13">
        <f t="shared" si="4"/>
        <v>3820.56</v>
      </c>
      <c r="R33" s="13">
        <v>0</v>
      </c>
      <c r="S33" s="13">
        <f t="shared" si="5"/>
        <v>0</v>
      </c>
      <c r="T33" s="13">
        <f t="shared" si="6"/>
        <v>11461.68</v>
      </c>
      <c r="U33" s="13">
        <f t="shared" si="7"/>
        <v>11461.68</v>
      </c>
      <c r="V33" s="13">
        <v>0</v>
      </c>
      <c r="W33" s="13">
        <f t="shared" si="8"/>
        <v>0</v>
      </c>
      <c r="X33" s="115">
        <f t="shared" si="9"/>
        <v>0</v>
      </c>
      <c r="Y33" s="116">
        <f t="shared" si="10"/>
        <v>0</v>
      </c>
      <c r="Z33" s="116">
        <f t="shared" si="11"/>
        <v>0</v>
      </c>
      <c r="AA33" s="116">
        <f t="shared" si="12"/>
        <v>0</v>
      </c>
      <c r="AB33" s="144">
        <f>'Ratios (C)'!$C$53+'Ratios (C)'!$D$53</f>
        <v>0.57214824875914061</v>
      </c>
      <c r="AC33" s="116">
        <f t="shared" si="13"/>
        <v>0</v>
      </c>
      <c r="AD33" s="116">
        <f t="shared" si="14"/>
        <v>0</v>
      </c>
      <c r="AE33" s="118"/>
      <c r="AF33" s="119"/>
      <c r="AG33" s="120"/>
      <c r="AH33" s="118"/>
      <c r="AI33" s="119"/>
      <c r="AJ33" s="121"/>
    </row>
    <row r="34" spans="1:36" s="9" customFormat="1">
      <c r="B34" s="9">
        <v>7049</v>
      </c>
      <c r="C34" s="9" t="s">
        <v>924</v>
      </c>
      <c r="D34" s="9">
        <v>123428</v>
      </c>
      <c r="G34" s="9">
        <v>2015</v>
      </c>
      <c r="H34" s="9">
        <v>5</v>
      </c>
      <c r="I34" s="9">
        <v>0</v>
      </c>
      <c r="J34" s="9" t="s">
        <v>78</v>
      </c>
      <c r="K34" s="9">
        <v>5</v>
      </c>
      <c r="L34" s="9">
        <f t="shared" si="0"/>
        <v>2020</v>
      </c>
      <c r="M34" s="114">
        <f t="shared" si="1"/>
        <v>2020.4166666666667</v>
      </c>
      <c r="N34" s="13">
        <v>31902.34</v>
      </c>
      <c r="O34" s="13">
        <f t="shared" si="2"/>
        <v>31902.34</v>
      </c>
      <c r="P34" s="13">
        <f t="shared" si="3"/>
        <v>531.70566666666662</v>
      </c>
      <c r="Q34" s="13">
        <f t="shared" si="4"/>
        <v>6380.4679999999989</v>
      </c>
      <c r="R34" s="13">
        <v>6380.4679999999989</v>
      </c>
      <c r="S34" s="13">
        <f t="shared" si="5"/>
        <v>0</v>
      </c>
      <c r="T34" s="13">
        <f t="shared" si="6"/>
        <v>31902.34</v>
      </c>
      <c r="U34" s="13">
        <f t="shared" si="7"/>
        <v>31902.34</v>
      </c>
      <c r="V34" s="13">
        <v>6380.4680000000044</v>
      </c>
      <c r="W34" s="13">
        <f t="shared" si="8"/>
        <v>0</v>
      </c>
      <c r="X34" s="115">
        <f t="shared" si="9"/>
        <v>0</v>
      </c>
      <c r="Y34" s="116">
        <f t="shared" si="10"/>
        <v>0</v>
      </c>
      <c r="Z34" s="116">
        <f t="shared" si="11"/>
        <v>-6380.4679999999989</v>
      </c>
      <c r="AA34" s="116">
        <f t="shared" si="12"/>
        <v>-6380.4680000000044</v>
      </c>
      <c r="AB34" s="144">
        <f>'Ratios (C)'!$C$53+'Ratios (C)'!$D$53</f>
        <v>0.57214824875914061</v>
      </c>
      <c r="AC34" s="116">
        <f t="shared" si="13"/>
        <v>0</v>
      </c>
      <c r="AD34" s="116">
        <f t="shared" si="14"/>
        <v>0</v>
      </c>
      <c r="AE34" s="118"/>
      <c r="AF34" s="119"/>
      <c r="AG34" s="120"/>
      <c r="AH34" s="118"/>
      <c r="AI34" s="119"/>
      <c r="AJ34" s="121"/>
    </row>
    <row r="35" spans="1:36" s="9" customFormat="1">
      <c r="B35" s="9">
        <v>6052</v>
      </c>
      <c r="C35" s="9" t="s">
        <v>925</v>
      </c>
      <c r="D35" s="9">
        <v>123432</v>
      </c>
      <c r="G35" s="9">
        <v>2015</v>
      </c>
      <c r="H35" s="9">
        <v>6</v>
      </c>
      <c r="I35" s="9">
        <v>0</v>
      </c>
      <c r="J35" s="9" t="s">
        <v>78</v>
      </c>
      <c r="K35" s="9">
        <v>5</v>
      </c>
      <c r="L35" s="9">
        <f t="shared" si="0"/>
        <v>2020</v>
      </c>
      <c r="M35" s="114">
        <f t="shared" si="1"/>
        <v>2020.5</v>
      </c>
      <c r="N35" s="13">
        <v>29540.76</v>
      </c>
      <c r="O35" s="13">
        <f t="shared" si="2"/>
        <v>29540.76</v>
      </c>
      <c r="P35" s="13">
        <f t="shared" si="3"/>
        <v>492.346</v>
      </c>
      <c r="Q35" s="13">
        <f t="shared" si="4"/>
        <v>5908.152</v>
      </c>
      <c r="R35" s="13">
        <v>5908.152</v>
      </c>
      <c r="S35" s="13">
        <f t="shared" si="5"/>
        <v>0</v>
      </c>
      <c r="T35" s="13">
        <f t="shared" si="6"/>
        <v>29540.76</v>
      </c>
      <c r="U35" s="13">
        <f t="shared" si="7"/>
        <v>29540.76</v>
      </c>
      <c r="V35" s="13">
        <v>5908.1519999999982</v>
      </c>
      <c r="W35" s="13">
        <f t="shared" si="8"/>
        <v>0</v>
      </c>
      <c r="X35" s="115">
        <f t="shared" si="9"/>
        <v>0</v>
      </c>
      <c r="Y35" s="116">
        <f t="shared" si="10"/>
        <v>0</v>
      </c>
      <c r="Z35" s="116">
        <f t="shared" si="11"/>
        <v>-5908.152</v>
      </c>
      <c r="AA35" s="116">
        <f t="shared" si="12"/>
        <v>-5908.1519999999982</v>
      </c>
      <c r="AB35" s="144">
        <f>'Ratios (C)'!$C$53+'Ratios (C)'!$D$53</f>
        <v>0.57214824875914061</v>
      </c>
      <c r="AC35" s="116">
        <f t="shared" si="13"/>
        <v>0</v>
      </c>
      <c r="AD35" s="116">
        <f t="shared" si="14"/>
        <v>0</v>
      </c>
      <c r="AE35" s="118"/>
      <c r="AF35" s="119"/>
      <c r="AG35" s="120"/>
      <c r="AH35" s="118"/>
      <c r="AI35" s="119"/>
      <c r="AJ35" s="121"/>
    </row>
    <row r="36" spans="1:36" s="9" customFormat="1">
      <c r="C36" s="9" t="s">
        <v>926</v>
      </c>
      <c r="D36" s="9">
        <v>133011</v>
      </c>
      <c r="G36" s="9">
        <v>2016</v>
      </c>
      <c r="H36" s="9">
        <v>4</v>
      </c>
      <c r="I36" s="9">
        <v>0</v>
      </c>
      <c r="J36" s="9" t="s">
        <v>78</v>
      </c>
      <c r="K36" s="9">
        <v>5</v>
      </c>
      <c r="L36" s="9">
        <f t="shared" si="0"/>
        <v>2021</v>
      </c>
      <c r="M36" s="114">
        <f t="shared" si="1"/>
        <v>2021.3333333333333</v>
      </c>
      <c r="N36" s="13">
        <v>16000</v>
      </c>
      <c r="O36" s="13">
        <f t="shared" si="2"/>
        <v>16000</v>
      </c>
      <c r="P36" s="13">
        <f t="shared" si="3"/>
        <v>266.66666666666669</v>
      </c>
      <c r="Q36" s="13">
        <f t="shared" si="4"/>
        <v>3200</v>
      </c>
      <c r="R36" s="13">
        <v>3200</v>
      </c>
      <c r="S36" s="13">
        <f t="shared" si="5"/>
        <v>0</v>
      </c>
      <c r="T36" s="13">
        <f t="shared" si="6"/>
        <v>16000</v>
      </c>
      <c r="U36" s="13">
        <f t="shared" si="7"/>
        <v>16000</v>
      </c>
      <c r="V36" s="13">
        <v>6400</v>
      </c>
      <c r="W36" s="13">
        <f t="shared" si="8"/>
        <v>0</v>
      </c>
      <c r="X36" s="115">
        <f t="shared" si="9"/>
        <v>0</v>
      </c>
      <c r="Y36" s="116">
        <f t="shared" si="10"/>
        <v>0</v>
      </c>
      <c r="Z36" s="116">
        <f t="shared" si="11"/>
        <v>-3200</v>
      </c>
      <c r="AA36" s="116">
        <f t="shared" si="12"/>
        <v>-6400</v>
      </c>
      <c r="AB36" s="144">
        <f>'Ratios (C)'!$C$53+'Ratios (C)'!$D$53</f>
        <v>0.57214824875914061</v>
      </c>
      <c r="AC36" s="116">
        <f t="shared" si="13"/>
        <v>0</v>
      </c>
      <c r="AD36" s="116">
        <f t="shared" si="14"/>
        <v>0</v>
      </c>
      <c r="AE36" s="118"/>
      <c r="AF36" s="119"/>
      <c r="AG36" s="120"/>
      <c r="AH36" s="118"/>
      <c r="AI36" s="119"/>
      <c r="AJ36" s="121"/>
    </row>
    <row r="37" spans="1:36" s="9" customFormat="1">
      <c r="C37" s="9" t="s">
        <v>1270</v>
      </c>
      <c r="D37" s="9">
        <v>232230</v>
      </c>
      <c r="G37" s="9">
        <v>2020</v>
      </c>
      <c r="H37" s="9">
        <v>4</v>
      </c>
      <c r="I37" s="9">
        <v>0</v>
      </c>
      <c r="J37" s="9" t="s">
        <v>78</v>
      </c>
      <c r="K37" s="9">
        <v>2</v>
      </c>
      <c r="L37" s="9">
        <f>G37+K37</f>
        <v>2022</v>
      </c>
      <c r="M37" s="114">
        <f>+L37+(H37/12)</f>
        <v>2022.3333333333333</v>
      </c>
      <c r="N37" s="13">
        <v>2188.9699999999998</v>
      </c>
      <c r="O37" s="13">
        <f>N37-N37*I37</f>
        <v>2188.9699999999998</v>
      </c>
      <c r="P37" s="13">
        <f>O37/K37/12</f>
        <v>91.20708333333333</v>
      </c>
      <c r="Q37" s="13">
        <f>P37*12</f>
        <v>1094.4849999999999</v>
      </c>
      <c r="R37" s="13"/>
      <c r="S37" s="13">
        <f>+IF(M37&lt;=$O$5,0,IF(L37&gt;$O$4,Q37,(P37*H37)))</f>
        <v>0</v>
      </c>
      <c r="T37" s="13">
        <f>+IF(S37=0,N37,IF($O$3-G37&lt;1,0,(($O$3-G37)*Q37)))</f>
        <v>2188.9699999999998</v>
      </c>
      <c r="U37" s="13">
        <f>+IF(S37=0,T37,T37+S37)</f>
        <v>2188.9699999999998</v>
      </c>
      <c r="V37" s="13"/>
      <c r="W37" s="13">
        <f>+N37-U37</f>
        <v>0</v>
      </c>
      <c r="X37" s="147"/>
      <c r="Y37" s="116"/>
      <c r="Z37" s="116"/>
      <c r="AA37" s="116"/>
      <c r="AB37" s="144"/>
      <c r="AC37" s="116"/>
      <c r="AD37" s="116"/>
      <c r="AE37" s="120"/>
      <c r="AF37" s="120"/>
      <c r="AG37" s="120"/>
      <c r="AH37" s="120"/>
      <c r="AI37" s="120"/>
      <c r="AJ37" s="120"/>
    </row>
    <row r="38" spans="1:36" s="9" customFormat="1">
      <c r="M38" s="114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36" s="9" customFormat="1">
      <c r="M39" s="114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36" s="9" customFormat="1">
      <c r="M40" s="114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36" s="9" customFormat="1">
      <c r="L41" s="148" t="s">
        <v>927</v>
      </c>
      <c r="M41" s="149"/>
      <c r="N41" s="150">
        <f>SUM(N13:N40)</f>
        <v>449313.53</v>
      </c>
      <c r="O41" s="150">
        <f t="shared" ref="O41:AD41" si="15">SUM(O13:O40)</f>
        <v>438801.36366500001</v>
      </c>
      <c r="P41" s="150">
        <f t="shared" si="15"/>
        <v>7392.7779436230157</v>
      </c>
      <c r="Q41" s="150">
        <f t="shared" si="15"/>
        <v>88713.335323476174</v>
      </c>
      <c r="R41" s="150"/>
      <c r="S41" s="150">
        <f t="shared" si="15"/>
        <v>0</v>
      </c>
      <c r="T41" s="150">
        <f t="shared" si="15"/>
        <v>449313.53</v>
      </c>
      <c r="U41" s="150">
        <f t="shared" si="15"/>
        <v>449313.53</v>
      </c>
      <c r="V41" s="150"/>
      <c r="W41" s="150">
        <f t="shared" si="15"/>
        <v>0</v>
      </c>
      <c r="X41" s="150">
        <f t="shared" si="15"/>
        <v>0</v>
      </c>
      <c r="Y41" s="150">
        <f t="shared" si="15"/>
        <v>0</v>
      </c>
      <c r="Z41" s="150">
        <f t="shared" si="15"/>
        <v>-26781.072499999995</v>
      </c>
      <c r="AA41" s="150">
        <f t="shared" si="15"/>
        <v>-31577.166000000001</v>
      </c>
      <c r="AB41" s="150">
        <f t="shared" si="15"/>
        <v>13.731557970219367</v>
      </c>
      <c r="AC41" s="150">
        <f t="shared" si="15"/>
        <v>0</v>
      </c>
      <c r="AD41" s="150">
        <f t="shared" si="15"/>
        <v>0</v>
      </c>
      <c r="AE41" s="150">
        <f>$AC$41*'Ratios (C)'!P36</f>
        <v>0</v>
      </c>
      <c r="AF41" s="150">
        <f>$AC$41*'Ratios (C)'!Q36</f>
        <v>0</v>
      </c>
      <c r="AG41" s="150">
        <f>$AC$41*'Ratios (C)'!R36</f>
        <v>0</v>
      </c>
      <c r="AH41" s="150">
        <f>$AD$41*'Ratios (C)'!P36</f>
        <v>0</v>
      </c>
      <c r="AI41" s="150">
        <f>$AD$41*'Ratios (C)'!Q36</f>
        <v>0</v>
      </c>
      <c r="AJ41" s="150">
        <f>$AD$41*'Ratios (C)'!R36</f>
        <v>0</v>
      </c>
    </row>
    <row r="42" spans="1:36" s="9" customFormat="1">
      <c r="M42" s="114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36" s="9" customFormat="1">
      <c r="B43" s="142" t="s">
        <v>928</v>
      </c>
      <c r="M43" s="114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36" s="9" customFormat="1">
      <c r="A44" s="9" t="s">
        <v>929</v>
      </c>
      <c r="B44" s="9">
        <v>6035</v>
      </c>
      <c r="C44" s="9" t="s">
        <v>930</v>
      </c>
      <c r="G44" s="9">
        <v>2006</v>
      </c>
      <c r="H44" s="9">
        <v>3</v>
      </c>
      <c r="I44" s="9">
        <v>0</v>
      </c>
      <c r="J44" s="9" t="s">
        <v>78</v>
      </c>
      <c r="K44" s="9">
        <v>7</v>
      </c>
      <c r="L44" s="9">
        <f t="shared" ref="L44:L62" si="16">G44+K44</f>
        <v>2013</v>
      </c>
      <c r="M44" s="114">
        <f t="shared" ref="M44:M62" si="17">+L44+(H44/12)</f>
        <v>2013.25</v>
      </c>
      <c r="N44" s="13">
        <f>'2180 Other - Orig.'!O40</f>
        <v>16360.64</v>
      </c>
      <c r="O44" s="13">
        <f t="shared" ref="O44:O62" si="18">N44-N44*I44</f>
        <v>16360.64</v>
      </c>
      <c r="P44" s="13">
        <f t="shared" ref="P44:P62" si="19">O44/K44/12</f>
        <v>194.7695238095238</v>
      </c>
      <c r="Q44" s="13">
        <f t="shared" ref="Q44:Q62" si="20">P44*12</f>
        <v>2337.2342857142858</v>
      </c>
      <c r="R44" s="13">
        <v>0</v>
      </c>
      <c r="S44" s="13">
        <f>+IF(M44&lt;=$O$5,0,IF(L44&gt;$O$4,Q44,(P44*H44)))</f>
        <v>0</v>
      </c>
      <c r="T44" s="13">
        <f>+IF(S44=0,N44,IF($O$3-G44&lt;1,0,(($O$3-G44)*Q44)))</f>
        <v>16360.64</v>
      </c>
      <c r="U44" s="13">
        <f>+IF(S44=0,T44,T44+S44)</f>
        <v>16360.64</v>
      </c>
      <c r="V44" s="13">
        <v>0</v>
      </c>
      <c r="W44" s="13">
        <f>+N44-U44</f>
        <v>0</v>
      </c>
      <c r="X44" s="115">
        <f t="shared" ref="X44:X62" si="21">S44</f>
        <v>0</v>
      </c>
      <c r="Y44" s="116">
        <f t="shared" ref="Y44:Y62" si="22">W44</f>
        <v>0</v>
      </c>
      <c r="Z44" s="116">
        <f t="shared" ref="Z44:Z59" si="23">X44-R44</f>
        <v>0</v>
      </c>
      <c r="AA44" s="116">
        <f t="shared" ref="AA44:AA59" si="24">Y44-V44</f>
        <v>0</v>
      </c>
      <c r="AB44" s="144">
        <f>'Ratios (C)'!$C$53+'Ratios (C)'!$D$53</f>
        <v>0.57214824875914061</v>
      </c>
      <c r="AC44" s="116">
        <f t="shared" ref="AC44:AC59" si="25">X44*AB44</f>
        <v>0</v>
      </c>
      <c r="AD44" s="116">
        <f t="shared" ref="AD44:AD59" si="26">Y44*AB44</f>
        <v>0</v>
      </c>
      <c r="AE44" s="118"/>
      <c r="AF44" s="119"/>
      <c r="AG44" s="120"/>
      <c r="AH44" s="118"/>
      <c r="AI44" s="119"/>
      <c r="AJ44" s="121"/>
    </row>
    <row r="45" spans="1:36" s="15" customFormat="1">
      <c r="C45" s="15" t="s">
        <v>931</v>
      </c>
      <c r="G45" s="15">
        <v>2017</v>
      </c>
      <c r="H45" s="15">
        <v>9</v>
      </c>
      <c r="I45" s="15">
        <v>0</v>
      </c>
      <c r="J45" s="15" t="s">
        <v>78</v>
      </c>
      <c r="K45" s="15">
        <f>+IF(L44-$O$3&gt;=3,L44-$O$3,3)</f>
        <v>3</v>
      </c>
      <c r="L45" s="15">
        <f t="shared" si="16"/>
        <v>2020</v>
      </c>
      <c r="M45" s="145">
        <f t="shared" si="17"/>
        <v>2020.75</v>
      </c>
      <c r="N45" s="16">
        <f>'2180 Other - Orig.'!N40-'2180 Other'!N44</f>
        <v>4090.16</v>
      </c>
      <c r="O45" s="16">
        <f t="shared" si="18"/>
        <v>4090.16</v>
      </c>
      <c r="P45" s="16">
        <f t="shared" si="19"/>
        <v>113.61555555555555</v>
      </c>
      <c r="Q45" s="16">
        <f t="shared" si="20"/>
        <v>1363.3866666666665</v>
      </c>
      <c r="R45" s="16">
        <v>1363.3866666666665</v>
      </c>
      <c r="S45" s="16">
        <f t="shared" ref="S45:S62" si="27">+IF(M45&lt;=$O$5,0,IF(L45&gt;$O$4,Q45,(P45*H45)))</f>
        <v>0</v>
      </c>
      <c r="T45" s="16">
        <f t="shared" ref="T45:T62" si="28">+IF(S45=0,N45,IF($O$3-G45&lt;1,0,(($O$3-G45)*Q45)))</f>
        <v>4090.16</v>
      </c>
      <c r="U45" s="16">
        <f t="shared" ref="U45:U62" si="29">+IF(S45=0,T45,T45+S45)</f>
        <v>4090.16</v>
      </c>
      <c r="V45" s="16">
        <v>1363.3866666666668</v>
      </c>
      <c r="W45" s="16">
        <f t="shared" ref="W45:W62" si="30">+N45-U45</f>
        <v>0</v>
      </c>
      <c r="X45" s="115">
        <f t="shared" si="21"/>
        <v>0</v>
      </c>
      <c r="Y45" s="116">
        <f t="shared" si="22"/>
        <v>0</v>
      </c>
      <c r="Z45" s="116">
        <f t="shared" si="23"/>
        <v>-1363.3866666666665</v>
      </c>
      <c r="AA45" s="116">
        <f t="shared" si="24"/>
        <v>-1363.3866666666668</v>
      </c>
      <c r="AB45" s="144">
        <f>'Ratios (C)'!$C$53+'Ratios (C)'!$D$53</f>
        <v>0.57214824875914061</v>
      </c>
      <c r="AC45" s="116">
        <f t="shared" si="25"/>
        <v>0</v>
      </c>
      <c r="AD45" s="116">
        <f t="shared" si="26"/>
        <v>0</v>
      </c>
      <c r="AE45" s="118"/>
      <c r="AF45" s="119"/>
      <c r="AG45" s="120"/>
      <c r="AH45" s="118"/>
      <c r="AI45" s="119"/>
      <c r="AJ45" s="121"/>
    </row>
    <row r="46" spans="1:36" s="9" customFormat="1">
      <c r="B46" s="9">
        <v>6038</v>
      </c>
      <c r="C46" s="9" t="s">
        <v>932</v>
      </c>
      <c r="D46" s="9">
        <v>180957</v>
      </c>
      <c r="E46" s="9" t="s">
        <v>97</v>
      </c>
      <c r="G46" s="9">
        <v>2008</v>
      </c>
      <c r="H46" s="9">
        <v>11</v>
      </c>
      <c r="I46" s="9">
        <v>0</v>
      </c>
      <c r="J46" s="9" t="s">
        <v>78</v>
      </c>
      <c r="K46" s="9">
        <v>3</v>
      </c>
      <c r="L46" s="9">
        <f t="shared" si="16"/>
        <v>2011</v>
      </c>
      <c r="M46" s="114">
        <f t="shared" si="17"/>
        <v>2011.9166666666667</v>
      </c>
      <c r="N46" s="13">
        <v>13500</v>
      </c>
      <c r="O46" s="13">
        <f t="shared" si="18"/>
        <v>13500</v>
      </c>
      <c r="P46" s="13">
        <f t="shared" si="19"/>
        <v>375</v>
      </c>
      <c r="Q46" s="13">
        <f t="shared" si="20"/>
        <v>4500</v>
      </c>
      <c r="R46" s="13">
        <v>0</v>
      </c>
      <c r="S46" s="13">
        <f t="shared" si="27"/>
        <v>0</v>
      </c>
      <c r="T46" s="13">
        <f t="shared" si="28"/>
        <v>13500</v>
      </c>
      <c r="U46" s="13">
        <f t="shared" si="29"/>
        <v>13500</v>
      </c>
      <c r="V46" s="13">
        <v>0</v>
      </c>
      <c r="W46" s="13">
        <f t="shared" si="30"/>
        <v>0</v>
      </c>
      <c r="X46" s="115">
        <f t="shared" si="21"/>
        <v>0</v>
      </c>
      <c r="Y46" s="116">
        <f t="shared" si="22"/>
        <v>0</v>
      </c>
      <c r="Z46" s="116">
        <f t="shared" si="23"/>
        <v>0</v>
      </c>
      <c r="AA46" s="116">
        <f t="shared" si="24"/>
        <v>0</v>
      </c>
      <c r="AB46" s="144">
        <f>'Ratios (C)'!$C$53+'Ratios (C)'!$D$53</f>
        <v>0.57214824875914061</v>
      </c>
      <c r="AC46" s="116">
        <f t="shared" si="25"/>
        <v>0</v>
      </c>
      <c r="AD46" s="116">
        <f t="shared" si="26"/>
        <v>0</v>
      </c>
      <c r="AE46" s="118"/>
      <c r="AF46" s="119"/>
      <c r="AG46" s="120"/>
      <c r="AH46" s="118"/>
      <c r="AI46" s="119"/>
      <c r="AJ46" s="121"/>
    </row>
    <row r="47" spans="1:36" s="9" customFormat="1">
      <c r="A47" s="9" t="s">
        <v>929</v>
      </c>
      <c r="B47" s="9">
        <v>6043</v>
      </c>
      <c r="C47" s="9" t="s">
        <v>933</v>
      </c>
      <c r="D47" s="9">
        <v>73834</v>
      </c>
      <c r="E47" s="9" t="s">
        <v>97</v>
      </c>
      <c r="G47" s="9">
        <v>2010</v>
      </c>
      <c r="H47" s="9">
        <v>4</v>
      </c>
      <c r="I47" s="9">
        <v>0</v>
      </c>
      <c r="J47" s="9" t="s">
        <v>78</v>
      </c>
      <c r="K47" s="9">
        <v>5</v>
      </c>
      <c r="L47" s="9">
        <f t="shared" si="16"/>
        <v>2015</v>
      </c>
      <c r="M47" s="114">
        <f t="shared" si="17"/>
        <v>2015.3333333333333</v>
      </c>
      <c r="N47" s="13">
        <f>'2180 Other - Orig.'!O42</f>
        <v>10050</v>
      </c>
      <c r="O47" s="13">
        <f t="shared" si="18"/>
        <v>10050</v>
      </c>
      <c r="P47" s="13">
        <f t="shared" si="19"/>
        <v>167.5</v>
      </c>
      <c r="Q47" s="13">
        <f t="shared" si="20"/>
        <v>2010</v>
      </c>
      <c r="R47" s="13">
        <v>0</v>
      </c>
      <c r="S47" s="13">
        <f t="shared" si="27"/>
        <v>0</v>
      </c>
      <c r="T47" s="13">
        <f t="shared" si="28"/>
        <v>10050</v>
      </c>
      <c r="U47" s="13">
        <f t="shared" si="29"/>
        <v>10050</v>
      </c>
      <c r="V47" s="13">
        <v>0</v>
      </c>
      <c r="W47" s="13">
        <f t="shared" si="30"/>
        <v>0</v>
      </c>
      <c r="X47" s="115">
        <f t="shared" si="21"/>
        <v>0</v>
      </c>
      <c r="Y47" s="116">
        <f t="shared" si="22"/>
        <v>0</v>
      </c>
      <c r="Z47" s="116">
        <f t="shared" si="23"/>
        <v>0</v>
      </c>
      <c r="AA47" s="116">
        <f t="shared" si="24"/>
        <v>0</v>
      </c>
      <c r="AB47" s="144">
        <f>'Ratios (C)'!$C$53+'Ratios (C)'!$D$53</f>
        <v>0.57214824875914061</v>
      </c>
      <c r="AC47" s="116">
        <f t="shared" si="25"/>
        <v>0</v>
      </c>
      <c r="AD47" s="116">
        <f t="shared" si="26"/>
        <v>0</v>
      </c>
      <c r="AE47" s="118"/>
      <c r="AF47" s="119"/>
      <c r="AG47" s="120"/>
      <c r="AH47" s="118"/>
      <c r="AI47" s="119"/>
      <c r="AJ47" s="121"/>
    </row>
    <row r="48" spans="1:36" s="15" customFormat="1">
      <c r="C48" s="15" t="s">
        <v>934</v>
      </c>
      <c r="G48" s="15">
        <v>2017</v>
      </c>
      <c r="H48" s="15">
        <v>9</v>
      </c>
      <c r="I48" s="15">
        <v>0</v>
      </c>
      <c r="J48" s="15" t="s">
        <v>78</v>
      </c>
      <c r="K48" s="15">
        <f>+IF(L47-$O$3&gt;=3,L47-$O$3,3)</f>
        <v>3</v>
      </c>
      <c r="L48" s="15">
        <f t="shared" si="16"/>
        <v>2020</v>
      </c>
      <c r="M48" s="145">
        <f t="shared" si="17"/>
        <v>2020.75</v>
      </c>
      <c r="N48" s="16">
        <f>'2180 Other - Orig.'!N42-'2180 Other'!N47</f>
        <v>4950</v>
      </c>
      <c r="O48" s="16">
        <f t="shared" si="18"/>
        <v>4950</v>
      </c>
      <c r="P48" s="16">
        <f t="shared" si="19"/>
        <v>137.5</v>
      </c>
      <c r="Q48" s="16">
        <f t="shared" si="20"/>
        <v>1650</v>
      </c>
      <c r="R48" s="16">
        <v>1650</v>
      </c>
      <c r="S48" s="16">
        <f t="shared" si="27"/>
        <v>0</v>
      </c>
      <c r="T48" s="16">
        <f t="shared" si="28"/>
        <v>4950</v>
      </c>
      <c r="U48" s="16">
        <f t="shared" si="29"/>
        <v>4950</v>
      </c>
      <c r="V48" s="16">
        <v>1650</v>
      </c>
      <c r="W48" s="16">
        <f t="shared" si="30"/>
        <v>0</v>
      </c>
      <c r="X48" s="115">
        <f t="shared" si="21"/>
        <v>0</v>
      </c>
      <c r="Y48" s="116">
        <f t="shared" si="22"/>
        <v>0</v>
      </c>
      <c r="Z48" s="116">
        <f t="shared" si="23"/>
        <v>-1650</v>
      </c>
      <c r="AA48" s="116">
        <f t="shared" si="24"/>
        <v>-1650</v>
      </c>
      <c r="AB48" s="144">
        <f>'Ratios (C)'!$C$53+'Ratios (C)'!$D$53</f>
        <v>0.57214824875914061</v>
      </c>
      <c r="AC48" s="116">
        <f t="shared" si="25"/>
        <v>0</v>
      </c>
      <c r="AD48" s="116">
        <f t="shared" si="26"/>
        <v>0</v>
      </c>
      <c r="AE48" s="118"/>
      <c r="AF48" s="119"/>
      <c r="AG48" s="120"/>
      <c r="AH48" s="118"/>
      <c r="AI48" s="119"/>
      <c r="AJ48" s="121"/>
    </row>
    <row r="49" spans="1:69" s="9" customFormat="1">
      <c r="A49" s="9" t="s">
        <v>929</v>
      </c>
      <c r="B49" s="9">
        <v>6046</v>
      </c>
      <c r="C49" s="9" t="s">
        <v>935</v>
      </c>
      <c r="D49" s="9">
        <v>80669</v>
      </c>
      <c r="E49" s="9" t="s">
        <v>97</v>
      </c>
      <c r="G49" s="9">
        <v>2011</v>
      </c>
      <c r="H49" s="9">
        <v>3</v>
      </c>
      <c r="I49" s="9">
        <v>0</v>
      </c>
      <c r="J49" s="9" t="s">
        <v>78</v>
      </c>
      <c r="K49" s="9">
        <v>5</v>
      </c>
      <c r="L49" s="9">
        <f t="shared" si="16"/>
        <v>2016</v>
      </c>
      <c r="M49" s="114">
        <f t="shared" si="17"/>
        <v>2016.25</v>
      </c>
      <c r="N49" s="13">
        <f>'2180 Other - Orig.'!O43</f>
        <v>13400</v>
      </c>
      <c r="O49" s="13">
        <f t="shared" si="18"/>
        <v>13400</v>
      </c>
      <c r="P49" s="13">
        <f t="shared" si="19"/>
        <v>223.33333333333334</v>
      </c>
      <c r="Q49" s="13">
        <f t="shared" si="20"/>
        <v>2680</v>
      </c>
      <c r="R49" s="13">
        <v>0</v>
      </c>
      <c r="S49" s="13">
        <f t="shared" si="27"/>
        <v>0</v>
      </c>
      <c r="T49" s="13">
        <f t="shared" si="28"/>
        <v>13400</v>
      </c>
      <c r="U49" s="13">
        <f t="shared" si="29"/>
        <v>13400</v>
      </c>
      <c r="V49" s="13">
        <v>0</v>
      </c>
      <c r="W49" s="13">
        <f t="shared" si="30"/>
        <v>0</v>
      </c>
      <c r="X49" s="115">
        <f t="shared" si="21"/>
        <v>0</v>
      </c>
      <c r="Y49" s="116">
        <f t="shared" si="22"/>
        <v>0</v>
      </c>
      <c r="Z49" s="116">
        <f t="shared" si="23"/>
        <v>0</v>
      </c>
      <c r="AA49" s="116">
        <f t="shared" si="24"/>
        <v>0</v>
      </c>
      <c r="AB49" s="144">
        <f>'Ratios (C)'!$C$53+'Ratios (C)'!$D$53</f>
        <v>0.57214824875914061</v>
      </c>
      <c r="AC49" s="116">
        <f t="shared" si="25"/>
        <v>0</v>
      </c>
      <c r="AD49" s="116">
        <f t="shared" si="26"/>
        <v>0</v>
      </c>
      <c r="AE49" s="118"/>
      <c r="AF49" s="119"/>
      <c r="AG49" s="120"/>
      <c r="AH49" s="118"/>
      <c r="AI49" s="119"/>
      <c r="AJ49" s="121"/>
    </row>
    <row r="50" spans="1:69" s="15" customFormat="1">
      <c r="C50" s="15" t="s">
        <v>936</v>
      </c>
      <c r="G50" s="15">
        <v>2017</v>
      </c>
      <c r="H50" s="15">
        <v>9</v>
      </c>
      <c r="I50" s="15">
        <v>0</v>
      </c>
      <c r="J50" s="15" t="s">
        <v>78</v>
      </c>
      <c r="K50" s="15">
        <f>+IF(L49-$O$3&gt;=3,L49-$O$3,3)</f>
        <v>3</v>
      </c>
      <c r="L50" s="15">
        <f t="shared" si="16"/>
        <v>2020</v>
      </c>
      <c r="M50" s="145">
        <f t="shared" si="17"/>
        <v>2020.75</v>
      </c>
      <c r="N50" s="16">
        <f>'2180 Other - Orig.'!N43-'2180 Other'!N49</f>
        <v>6600</v>
      </c>
      <c r="O50" s="16">
        <f t="shared" si="18"/>
        <v>6600</v>
      </c>
      <c r="P50" s="16">
        <f t="shared" si="19"/>
        <v>183.33333333333334</v>
      </c>
      <c r="Q50" s="16">
        <f t="shared" si="20"/>
        <v>2200</v>
      </c>
      <c r="R50" s="16">
        <v>2200</v>
      </c>
      <c r="S50" s="16">
        <f t="shared" si="27"/>
        <v>0</v>
      </c>
      <c r="T50" s="16">
        <f t="shared" si="28"/>
        <v>6600</v>
      </c>
      <c r="U50" s="16">
        <f t="shared" si="29"/>
        <v>6600</v>
      </c>
      <c r="V50" s="16">
        <v>2200</v>
      </c>
      <c r="W50" s="16">
        <f t="shared" si="30"/>
        <v>0</v>
      </c>
      <c r="X50" s="115">
        <f t="shared" si="21"/>
        <v>0</v>
      </c>
      <c r="Y50" s="116">
        <f t="shared" si="22"/>
        <v>0</v>
      </c>
      <c r="Z50" s="116">
        <f t="shared" si="23"/>
        <v>-2200</v>
      </c>
      <c r="AA50" s="116">
        <f t="shared" si="24"/>
        <v>-2200</v>
      </c>
      <c r="AB50" s="144">
        <f>'Ratios (C)'!$C$53+'Ratios (C)'!$D$53</f>
        <v>0.57214824875914061</v>
      </c>
      <c r="AC50" s="116">
        <f t="shared" si="25"/>
        <v>0</v>
      </c>
      <c r="AD50" s="116">
        <f t="shared" si="26"/>
        <v>0</v>
      </c>
      <c r="AE50" s="118"/>
      <c r="AF50" s="119"/>
      <c r="AG50" s="120"/>
      <c r="AH50" s="118"/>
      <c r="AI50" s="119"/>
      <c r="AJ50" s="121"/>
    </row>
    <row r="51" spans="1:69" s="9" customFormat="1">
      <c r="B51" s="9">
        <v>6048</v>
      </c>
      <c r="C51" s="9" t="s">
        <v>937</v>
      </c>
      <c r="D51" s="9">
        <v>103263</v>
      </c>
      <c r="G51" s="9">
        <v>2013</v>
      </c>
      <c r="H51" s="9">
        <v>4</v>
      </c>
      <c r="I51" s="9">
        <v>0</v>
      </c>
      <c r="J51" s="9" t="s">
        <v>78</v>
      </c>
      <c r="K51" s="9">
        <v>5</v>
      </c>
      <c r="L51" s="9">
        <f t="shared" si="16"/>
        <v>2018</v>
      </c>
      <c r="M51" s="114">
        <f t="shared" si="17"/>
        <v>2018.3333333333333</v>
      </c>
      <c r="N51" s="13">
        <v>25233.41</v>
      </c>
      <c r="O51" s="13">
        <f t="shared" si="18"/>
        <v>25233.41</v>
      </c>
      <c r="P51" s="13">
        <f t="shared" si="19"/>
        <v>420.55683333333332</v>
      </c>
      <c r="Q51" s="13">
        <f t="shared" si="20"/>
        <v>5046.6819999999998</v>
      </c>
      <c r="R51" s="13">
        <v>0</v>
      </c>
      <c r="S51" s="13">
        <f t="shared" si="27"/>
        <v>0</v>
      </c>
      <c r="T51" s="13">
        <f t="shared" si="28"/>
        <v>25233.41</v>
      </c>
      <c r="U51" s="13">
        <f t="shared" si="29"/>
        <v>25233.41</v>
      </c>
      <c r="V51" s="13">
        <v>0</v>
      </c>
      <c r="W51" s="13">
        <f t="shared" si="30"/>
        <v>0</v>
      </c>
      <c r="X51" s="115">
        <f t="shared" si="21"/>
        <v>0</v>
      </c>
      <c r="Y51" s="116">
        <f t="shared" si="22"/>
        <v>0</v>
      </c>
      <c r="Z51" s="116">
        <f t="shared" si="23"/>
        <v>0</v>
      </c>
      <c r="AA51" s="116">
        <f t="shared" si="24"/>
        <v>0</v>
      </c>
      <c r="AB51" s="144">
        <f>'Ratios (C)'!$C$53+'Ratios (C)'!$D$53</f>
        <v>0.57214824875914061</v>
      </c>
      <c r="AC51" s="116">
        <f t="shared" si="25"/>
        <v>0</v>
      </c>
      <c r="AD51" s="116">
        <f t="shared" si="26"/>
        <v>0</v>
      </c>
      <c r="AE51" s="118"/>
      <c r="AF51" s="119"/>
      <c r="AG51" s="120"/>
      <c r="AH51" s="118"/>
      <c r="AI51" s="119"/>
      <c r="AJ51" s="121"/>
    </row>
    <row r="52" spans="1:69" s="9" customFormat="1">
      <c r="C52" s="9" t="s">
        <v>938</v>
      </c>
      <c r="D52" s="9">
        <v>180202</v>
      </c>
      <c r="G52" s="9">
        <v>2013</v>
      </c>
      <c r="H52" s="9">
        <v>4</v>
      </c>
      <c r="I52" s="9">
        <v>0</v>
      </c>
      <c r="J52" s="9" t="s">
        <v>78</v>
      </c>
      <c r="K52" s="9">
        <v>5</v>
      </c>
      <c r="L52" s="9">
        <f t="shared" si="16"/>
        <v>2018</v>
      </c>
      <c r="M52" s="114">
        <f t="shared" si="17"/>
        <v>2018.3333333333333</v>
      </c>
      <c r="N52" s="13">
        <v>25999.99</v>
      </c>
      <c r="O52" s="13">
        <f t="shared" si="18"/>
        <v>25999.99</v>
      </c>
      <c r="P52" s="13">
        <f t="shared" si="19"/>
        <v>433.33316666666673</v>
      </c>
      <c r="Q52" s="13">
        <f t="shared" si="20"/>
        <v>5199.9980000000005</v>
      </c>
      <c r="R52" s="13">
        <v>0</v>
      </c>
      <c r="S52" s="13">
        <f t="shared" si="27"/>
        <v>0</v>
      </c>
      <c r="T52" s="13">
        <f t="shared" si="28"/>
        <v>25999.99</v>
      </c>
      <c r="U52" s="13">
        <f t="shared" si="29"/>
        <v>25999.99</v>
      </c>
      <c r="V52" s="13">
        <v>0</v>
      </c>
      <c r="W52" s="13">
        <f t="shared" si="30"/>
        <v>0</v>
      </c>
      <c r="X52" s="115">
        <f t="shared" si="21"/>
        <v>0</v>
      </c>
      <c r="Y52" s="116">
        <f t="shared" si="22"/>
        <v>0</v>
      </c>
      <c r="Z52" s="116">
        <f t="shared" si="23"/>
        <v>0</v>
      </c>
      <c r="AA52" s="116">
        <f t="shared" si="24"/>
        <v>0</v>
      </c>
      <c r="AB52" s="144">
        <f>'Ratios (C)'!$C$53+'Ratios (C)'!$D$53</f>
        <v>0.57214824875914061</v>
      </c>
      <c r="AC52" s="116">
        <f t="shared" si="25"/>
        <v>0</v>
      </c>
      <c r="AD52" s="116">
        <f t="shared" si="26"/>
        <v>0</v>
      </c>
      <c r="AE52" s="118"/>
      <c r="AF52" s="119"/>
      <c r="AG52" s="120"/>
      <c r="AH52" s="118"/>
      <c r="AI52" s="119"/>
      <c r="AJ52" s="121"/>
    </row>
    <row r="53" spans="1:69" s="9" customFormat="1">
      <c r="A53" s="9" t="s">
        <v>929</v>
      </c>
      <c r="B53" s="9">
        <v>6049</v>
      </c>
      <c r="C53" s="9" t="s">
        <v>939</v>
      </c>
      <c r="D53" s="9">
        <v>106765</v>
      </c>
      <c r="G53" s="9">
        <v>2013</v>
      </c>
      <c r="H53" s="9">
        <v>8</v>
      </c>
      <c r="I53" s="9">
        <v>0</v>
      </c>
      <c r="J53" s="9" t="s">
        <v>78</v>
      </c>
      <c r="K53" s="9">
        <v>5</v>
      </c>
      <c r="L53" s="9">
        <f t="shared" si="16"/>
        <v>2018</v>
      </c>
      <c r="M53" s="114">
        <f t="shared" si="17"/>
        <v>2018.6666666666667</v>
      </c>
      <c r="N53" s="13">
        <v>23110.11</v>
      </c>
      <c r="O53" s="13">
        <f t="shared" si="18"/>
        <v>23110.11</v>
      </c>
      <c r="P53" s="13">
        <f t="shared" si="19"/>
        <v>385.16849999999999</v>
      </c>
      <c r="Q53" s="13">
        <f t="shared" si="20"/>
        <v>4622.0219999999999</v>
      </c>
      <c r="R53" s="13">
        <v>0</v>
      </c>
      <c r="S53" s="13">
        <f t="shared" si="27"/>
        <v>0</v>
      </c>
      <c r="T53" s="13">
        <f t="shared" si="28"/>
        <v>23110.11</v>
      </c>
      <c r="U53" s="13">
        <f t="shared" si="29"/>
        <v>23110.11</v>
      </c>
      <c r="V53" s="13">
        <v>0</v>
      </c>
      <c r="W53" s="13">
        <f t="shared" si="30"/>
        <v>0</v>
      </c>
      <c r="X53" s="115">
        <f t="shared" si="21"/>
        <v>0</v>
      </c>
      <c r="Y53" s="116">
        <f t="shared" si="22"/>
        <v>0</v>
      </c>
      <c r="Z53" s="116">
        <f t="shared" si="23"/>
        <v>0</v>
      </c>
      <c r="AA53" s="116">
        <f t="shared" si="24"/>
        <v>0</v>
      </c>
      <c r="AB53" s="144">
        <f>'Ratios (C)'!$C$53+'Ratios (C)'!$D$53</f>
        <v>0.57214824875914061</v>
      </c>
      <c r="AC53" s="116">
        <f t="shared" si="25"/>
        <v>0</v>
      </c>
      <c r="AD53" s="116">
        <f t="shared" si="26"/>
        <v>0</v>
      </c>
      <c r="AE53" s="118"/>
      <c r="AF53" s="119"/>
      <c r="AG53" s="120"/>
      <c r="AH53" s="118"/>
      <c r="AI53" s="119"/>
      <c r="AJ53" s="121"/>
    </row>
    <row r="54" spans="1:69" s="9" customFormat="1">
      <c r="A54" s="9" t="s">
        <v>929</v>
      </c>
      <c r="B54" s="9">
        <v>6051</v>
      </c>
      <c r="C54" s="9" t="s">
        <v>940</v>
      </c>
      <c r="D54" s="9">
        <v>119073</v>
      </c>
      <c r="G54" s="9">
        <v>2015</v>
      </c>
      <c r="H54" s="9">
        <v>1</v>
      </c>
      <c r="I54" s="9">
        <v>0</v>
      </c>
      <c r="J54" s="9" t="s">
        <v>78</v>
      </c>
      <c r="K54" s="9">
        <v>5</v>
      </c>
      <c r="L54" s="9">
        <f t="shared" si="16"/>
        <v>2020</v>
      </c>
      <c r="M54" s="146">
        <f t="shared" si="17"/>
        <v>2020.0833333333333</v>
      </c>
      <c r="N54" s="13">
        <v>27000</v>
      </c>
      <c r="O54" s="13">
        <f t="shared" si="18"/>
        <v>27000</v>
      </c>
      <c r="P54" s="13">
        <f t="shared" si="19"/>
        <v>450</v>
      </c>
      <c r="Q54" s="13">
        <f t="shared" si="20"/>
        <v>5400</v>
      </c>
      <c r="R54" s="13">
        <v>5400</v>
      </c>
      <c r="S54" s="13">
        <v>0</v>
      </c>
      <c r="T54" s="13">
        <f t="shared" si="28"/>
        <v>27000</v>
      </c>
      <c r="U54" s="13">
        <f t="shared" si="29"/>
        <v>27000</v>
      </c>
      <c r="V54" s="13">
        <v>5400</v>
      </c>
      <c r="W54" s="13">
        <f t="shared" si="30"/>
        <v>0</v>
      </c>
      <c r="X54" s="115">
        <f t="shared" si="21"/>
        <v>0</v>
      </c>
      <c r="Y54" s="116">
        <f t="shared" si="22"/>
        <v>0</v>
      </c>
      <c r="Z54" s="116">
        <f t="shared" si="23"/>
        <v>-5400</v>
      </c>
      <c r="AA54" s="116">
        <f t="shared" si="24"/>
        <v>-5400</v>
      </c>
      <c r="AB54" s="144">
        <f>'Ratios (C)'!$C$53+'Ratios (C)'!$D$53</f>
        <v>0.57214824875914061</v>
      </c>
      <c r="AC54" s="116">
        <f t="shared" si="25"/>
        <v>0</v>
      </c>
      <c r="AD54" s="116">
        <f t="shared" si="26"/>
        <v>0</v>
      </c>
      <c r="AE54" s="118"/>
      <c r="AF54" s="119"/>
      <c r="AG54" s="120"/>
      <c r="AH54" s="118"/>
      <c r="AI54" s="119"/>
      <c r="AJ54" s="121"/>
    </row>
    <row r="55" spans="1:69" s="9" customFormat="1">
      <c r="B55" s="9">
        <v>6055</v>
      </c>
      <c r="C55" s="9" t="s">
        <v>941</v>
      </c>
      <c r="D55" s="9">
        <v>128672</v>
      </c>
      <c r="G55" s="9">
        <v>2015</v>
      </c>
      <c r="H55" s="9">
        <v>12</v>
      </c>
      <c r="I55" s="9">
        <v>0</v>
      </c>
      <c r="J55" s="9" t="s">
        <v>78</v>
      </c>
      <c r="K55" s="9">
        <v>7</v>
      </c>
      <c r="L55" s="9">
        <f t="shared" si="16"/>
        <v>2022</v>
      </c>
      <c r="M55" s="114">
        <f t="shared" si="17"/>
        <v>2023</v>
      </c>
      <c r="N55" s="13">
        <v>73306.22</v>
      </c>
      <c r="O55" s="13">
        <f t="shared" si="18"/>
        <v>73306.22</v>
      </c>
      <c r="P55" s="13">
        <f t="shared" si="19"/>
        <v>872.69309523809522</v>
      </c>
      <c r="Q55" s="13">
        <f t="shared" si="20"/>
        <v>10472.317142857142</v>
      </c>
      <c r="R55" s="13">
        <v>10472.317142857142</v>
      </c>
      <c r="S55" s="13">
        <f t="shared" si="27"/>
        <v>10472.317142857142</v>
      </c>
      <c r="T55" s="13">
        <f t="shared" si="28"/>
        <v>62833.90285714285</v>
      </c>
      <c r="U55" s="13">
        <f t="shared" si="29"/>
        <v>73306.219999999987</v>
      </c>
      <c r="V55" s="13">
        <v>31416.951428571432</v>
      </c>
      <c r="W55" s="13">
        <f t="shared" si="30"/>
        <v>0</v>
      </c>
      <c r="X55" s="115">
        <f t="shared" si="21"/>
        <v>10472.317142857142</v>
      </c>
      <c r="Y55" s="116">
        <f t="shared" si="22"/>
        <v>0</v>
      </c>
      <c r="Z55" s="116">
        <f t="shared" si="23"/>
        <v>0</v>
      </c>
      <c r="AA55" s="116">
        <f t="shared" si="24"/>
        <v>-31416.951428571432</v>
      </c>
      <c r="AB55" s="144">
        <f>'Ratios (C)'!$C$53+'Ratios (C)'!$D$53</f>
        <v>0.57214824875914061</v>
      </c>
      <c r="AC55" s="116">
        <f t="shared" si="25"/>
        <v>5991.7179137360408</v>
      </c>
      <c r="AD55" s="116">
        <f t="shared" si="26"/>
        <v>0</v>
      </c>
      <c r="AE55" s="118"/>
      <c r="AF55" s="119"/>
      <c r="AG55" s="120"/>
      <c r="AH55" s="118"/>
      <c r="AI55" s="119"/>
      <c r="AJ55" s="121"/>
    </row>
    <row r="56" spans="1:69" s="9" customFormat="1">
      <c r="C56" s="9" t="s">
        <v>942</v>
      </c>
      <c r="D56" s="9">
        <v>197201</v>
      </c>
      <c r="G56" s="9">
        <v>2018</v>
      </c>
      <c r="H56" s="9">
        <v>5</v>
      </c>
      <c r="I56" s="9">
        <v>0</v>
      </c>
      <c r="J56" s="9" t="s">
        <v>78</v>
      </c>
      <c r="K56" s="9">
        <v>10</v>
      </c>
      <c r="L56" s="9">
        <f t="shared" si="16"/>
        <v>2028</v>
      </c>
      <c r="M56" s="114">
        <f t="shared" si="17"/>
        <v>2028.4166666666667</v>
      </c>
      <c r="N56" s="13">
        <v>86454.44</v>
      </c>
      <c r="O56" s="13">
        <f t="shared" si="18"/>
        <v>86454.44</v>
      </c>
      <c r="P56" s="13">
        <f t="shared" si="19"/>
        <v>720.45366666666666</v>
      </c>
      <c r="Q56" s="13">
        <f t="shared" si="20"/>
        <v>8645.4439999999995</v>
      </c>
      <c r="R56" s="13">
        <v>8645.4439999999995</v>
      </c>
      <c r="S56" s="13">
        <f t="shared" si="27"/>
        <v>8645.4439999999995</v>
      </c>
      <c r="T56" s="13">
        <f t="shared" si="28"/>
        <v>25936.331999999999</v>
      </c>
      <c r="U56" s="13">
        <f t="shared" si="29"/>
        <v>34581.775999999998</v>
      </c>
      <c r="V56" s="13">
        <v>77808.995999999999</v>
      </c>
      <c r="W56" s="13">
        <f t="shared" si="30"/>
        <v>51872.664000000004</v>
      </c>
      <c r="X56" s="115">
        <f t="shared" si="21"/>
        <v>8645.4439999999995</v>
      </c>
      <c r="Y56" s="116">
        <f t="shared" si="22"/>
        <v>51872.664000000004</v>
      </c>
      <c r="Z56" s="116">
        <f t="shared" si="23"/>
        <v>0</v>
      </c>
      <c r="AA56" s="116">
        <f t="shared" si="24"/>
        <v>-25936.331999999995</v>
      </c>
      <c r="AB56" s="144">
        <f>'Ratios (C)'!$C$53+'Ratios (C)'!$D$53</f>
        <v>0.57214824875914061</v>
      </c>
      <c r="AC56" s="116">
        <f t="shared" si="25"/>
        <v>4946.4756443452197</v>
      </c>
      <c r="AD56" s="116">
        <f t="shared" si="26"/>
        <v>29678.85386607132</v>
      </c>
      <c r="AE56" s="118"/>
      <c r="AF56" s="119"/>
      <c r="AG56" s="120"/>
      <c r="AH56" s="118"/>
      <c r="AI56" s="119"/>
      <c r="AJ56" s="121"/>
    </row>
    <row r="57" spans="1:69" s="9" customFormat="1">
      <c r="C57" s="9" t="s">
        <v>943</v>
      </c>
      <c r="D57" s="9">
        <v>201090</v>
      </c>
      <c r="E57" s="9">
        <v>197201</v>
      </c>
      <c r="G57" s="9">
        <v>2018</v>
      </c>
      <c r="H57" s="9">
        <v>5</v>
      </c>
      <c r="I57" s="9">
        <v>0</v>
      </c>
      <c r="J57" s="9" t="s">
        <v>78</v>
      </c>
      <c r="K57" s="9">
        <v>10</v>
      </c>
      <c r="L57" s="9">
        <f t="shared" si="16"/>
        <v>2028</v>
      </c>
      <c r="M57" s="114">
        <f t="shared" si="17"/>
        <v>2028.4166666666667</v>
      </c>
      <c r="N57" s="13">
        <v>-424</v>
      </c>
      <c r="O57" s="13">
        <f t="shared" si="18"/>
        <v>-424</v>
      </c>
      <c r="P57" s="13">
        <f t="shared" si="19"/>
        <v>-3.5333333333333332</v>
      </c>
      <c r="Q57" s="13">
        <f t="shared" si="20"/>
        <v>-42.4</v>
      </c>
      <c r="R57" s="13">
        <v>-42.4</v>
      </c>
      <c r="S57" s="13">
        <f t="shared" si="27"/>
        <v>-42.4</v>
      </c>
      <c r="T57" s="13">
        <f t="shared" si="28"/>
        <v>-127.19999999999999</v>
      </c>
      <c r="U57" s="13">
        <f t="shared" si="29"/>
        <v>-169.6</v>
      </c>
      <c r="V57" s="13">
        <v>-381.6</v>
      </c>
      <c r="W57" s="13">
        <f t="shared" si="30"/>
        <v>-254.4</v>
      </c>
      <c r="X57" s="115">
        <f t="shared" si="21"/>
        <v>-42.4</v>
      </c>
      <c r="Y57" s="116">
        <f t="shared" si="22"/>
        <v>-254.4</v>
      </c>
      <c r="Z57" s="116">
        <f t="shared" si="23"/>
        <v>0</v>
      </c>
      <c r="AA57" s="116">
        <f t="shared" si="24"/>
        <v>127.20000000000002</v>
      </c>
      <c r="AB57" s="144">
        <f>'Ratios (C)'!$C$53+'Ratios (C)'!$D$53</f>
        <v>0.57214824875914061</v>
      </c>
      <c r="AC57" s="116">
        <f t="shared" si="25"/>
        <v>-24.259085747387562</v>
      </c>
      <c r="AD57" s="116">
        <f t="shared" si="26"/>
        <v>-145.55451448432538</v>
      </c>
      <c r="AE57" s="118"/>
      <c r="AF57" s="119"/>
      <c r="AG57" s="120"/>
      <c r="AH57" s="118"/>
      <c r="AI57" s="119"/>
      <c r="AJ57" s="121"/>
    </row>
    <row r="58" spans="1:69" s="9" customFormat="1">
      <c r="C58" s="9" t="s">
        <v>944</v>
      </c>
      <c r="D58" s="9">
        <v>199116</v>
      </c>
      <c r="E58" s="9">
        <v>197201</v>
      </c>
      <c r="G58" s="9">
        <v>2018</v>
      </c>
      <c r="H58" s="9">
        <v>6</v>
      </c>
      <c r="I58" s="9">
        <v>0</v>
      </c>
      <c r="J58" s="9" t="s">
        <v>78</v>
      </c>
      <c r="K58" s="9">
        <v>5</v>
      </c>
      <c r="L58" s="9">
        <f t="shared" si="16"/>
        <v>2023</v>
      </c>
      <c r="M58" s="114">
        <f t="shared" si="17"/>
        <v>2023.5</v>
      </c>
      <c r="N58" s="13">
        <v>1453.57</v>
      </c>
      <c r="O58" s="13">
        <f t="shared" si="18"/>
        <v>1453.57</v>
      </c>
      <c r="P58" s="13">
        <f t="shared" si="19"/>
        <v>24.226166666666668</v>
      </c>
      <c r="Q58" s="13">
        <f t="shared" si="20"/>
        <v>290.714</v>
      </c>
      <c r="R58" s="13">
        <v>290.714</v>
      </c>
      <c r="S58" s="13">
        <f t="shared" si="27"/>
        <v>290.714</v>
      </c>
      <c r="T58" s="13">
        <f t="shared" si="28"/>
        <v>872.14200000000005</v>
      </c>
      <c r="U58" s="13">
        <f t="shared" si="29"/>
        <v>1162.856</v>
      </c>
      <c r="V58" s="13">
        <v>1162.856</v>
      </c>
      <c r="W58" s="13">
        <f t="shared" si="30"/>
        <v>290.71399999999994</v>
      </c>
      <c r="X58" s="115">
        <f t="shared" si="21"/>
        <v>290.714</v>
      </c>
      <c r="Y58" s="116">
        <f t="shared" si="22"/>
        <v>290.71399999999994</v>
      </c>
      <c r="Z58" s="116">
        <f t="shared" si="23"/>
        <v>0</v>
      </c>
      <c r="AA58" s="116">
        <f t="shared" si="24"/>
        <v>-872.14200000000005</v>
      </c>
      <c r="AB58" s="144">
        <f>'Ratios (C)'!$C$53+'Ratios (C)'!$D$53</f>
        <v>0.57214824875914061</v>
      </c>
      <c r="AC58" s="116">
        <f t="shared" si="25"/>
        <v>166.33150598976479</v>
      </c>
      <c r="AD58" s="116">
        <f t="shared" si="26"/>
        <v>166.33150598976476</v>
      </c>
      <c r="AE58" s="118"/>
      <c r="AF58" s="119"/>
      <c r="AG58" s="120"/>
      <c r="AH58" s="118"/>
      <c r="AI58" s="119"/>
      <c r="AJ58" s="121"/>
    </row>
    <row r="59" spans="1:69" s="9" customFormat="1">
      <c r="C59" s="9" t="s">
        <v>945</v>
      </c>
      <c r="D59" s="9">
        <v>202663</v>
      </c>
      <c r="E59" s="9">
        <v>197201</v>
      </c>
      <c r="G59" s="9">
        <v>2018</v>
      </c>
      <c r="H59" s="9">
        <v>5</v>
      </c>
      <c r="I59" s="9">
        <v>0</v>
      </c>
      <c r="J59" s="9" t="s">
        <v>78</v>
      </c>
      <c r="K59" s="9">
        <v>10</v>
      </c>
      <c r="L59" s="9">
        <f t="shared" si="16"/>
        <v>2028</v>
      </c>
      <c r="M59" s="114">
        <f t="shared" si="17"/>
        <v>2028.4166666666667</v>
      </c>
      <c r="N59" s="13">
        <v>952.44</v>
      </c>
      <c r="O59" s="13">
        <f t="shared" si="18"/>
        <v>952.44</v>
      </c>
      <c r="P59" s="13">
        <f t="shared" si="19"/>
        <v>7.9370000000000003</v>
      </c>
      <c r="Q59" s="13">
        <f t="shared" si="20"/>
        <v>95.244</v>
      </c>
      <c r="R59" s="13">
        <v>95.244</v>
      </c>
      <c r="S59" s="13">
        <f t="shared" si="27"/>
        <v>95.244</v>
      </c>
      <c r="T59" s="13">
        <f t="shared" si="28"/>
        <v>285.73199999999997</v>
      </c>
      <c r="U59" s="13">
        <f t="shared" si="29"/>
        <v>380.976</v>
      </c>
      <c r="V59" s="13">
        <v>857.19600000000003</v>
      </c>
      <c r="W59" s="13">
        <f t="shared" si="30"/>
        <v>571.46400000000006</v>
      </c>
      <c r="X59" s="115">
        <f t="shared" si="21"/>
        <v>95.244</v>
      </c>
      <c r="Y59" s="116">
        <f t="shared" si="22"/>
        <v>571.46400000000006</v>
      </c>
      <c r="Z59" s="116">
        <f t="shared" si="23"/>
        <v>0</v>
      </c>
      <c r="AA59" s="116">
        <f t="shared" si="24"/>
        <v>-285.73199999999997</v>
      </c>
      <c r="AB59" s="144">
        <f>'Ratios (C)'!$C$53+'Ratios (C)'!$D$53</f>
        <v>0.57214824875914061</v>
      </c>
      <c r="AC59" s="116">
        <f t="shared" si="25"/>
        <v>54.493687804815586</v>
      </c>
      <c r="AD59" s="116">
        <f t="shared" si="26"/>
        <v>326.96212682889359</v>
      </c>
      <c r="AE59" s="118"/>
      <c r="AF59" s="119"/>
      <c r="AG59" s="120"/>
      <c r="AH59" s="118"/>
      <c r="AI59" s="119"/>
      <c r="AJ59" s="121"/>
    </row>
    <row r="60" spans="1:69" s="9" customFormat="1">
      <c r="C60" s="9" t="s">
        <v>1296</v>
      </c>
      <c r="D60" s="9">
        <v>239506</v>
      </c>
      <c r="G60" s="9">
        <v>2020</v>
      </c>
      <c r="H60" s="9">
        <v>9</v>
      </c>
      <c r="I60" s="9">
        <v>0</v>
      </c>
      <c r="J60" s="9" t="s">
        <v>78</v>
      </c>
      <c r="K60" s="9">
        <v>1</v>
      </c>
      <c r="L60" s="9">
        <f t="shared" si="16"/>
        <v>2021</v>
      </c>
      <c r="M60" s="114">
        <f t="shared" si="17"/>
        <v>2021.75</v>
      </c>
      <c r="N60" s="13">
        <v>25147.040000000001</v>
      </c>
      <c r="O60" s="13">
        <f t="shared" si="18"/>
        <v>25147.040000000001</v>
      </c>
      <c r="P60" s="13">
        <f t="shared" si="19"/>
        <v>2095.5866666666666</v>
      </c>
      <c r="Q60" s="13">
        <f t="shared" si="20"/>
        <v>25147.040000000001</v>
      </c>
      <c r="R60" s="13"/>
      <c r="S60" s="13">
        <f t="shared" si="27"/>
        <v>0</v>
      </c>
      <c r="T60" s="13">
        <f t="shared" si="28"/>
        <v>25147.040000000001</v>
      </c>
      <c r="U60" s="13">
        <f t="shared" si="29"/>
        <v>25147.040000000001</v>
      </c>
      <c r="V60" s="13"/>
      <c r="W60" s="13">
        <f t="shared" si="30"/>
        <v>0</v>
      </c>
      <c r="X60" s="147">
        <f t="shared" si="21"/>
        <v>0</v>
      </c>
      <c r="Y60" s="116">
        <f t="shared" si="22"/>
        <v>0</v>
      </c>
      <c r="Z60" s="116"/>
      <c r="AA60" s="116"/>
      <c r="AB60" s="144"/>
      <c r="AC60" s="116"/>
      <c r="AD60" s="116"/>
      <c r="AE60" s="120"/>
      <c r="AF60" s="120"/>
      <c r="AG60" s="120"/>
      <c r="AH60" s="120"/>
      <c r="AI60" s="120"/>
      <c r="AJ60" s="120"/>
    </row>
    <row r="61" spans="1:69" s="9" customFormat="1">
      <c r="C61" s="9" t="s">
        <v>1301</v>
      </c>
      <c r="D61" s="9">
        <v>240795</v>
      </c>
      <c r="G61" s="9">
        <v>2020</v>
      </c>
      <c r="H61" s="9">
        <v>10</v>
      </c>
      <c r="I61" s="9">
        <v>0</v>
      </c>
      <c r="J61" s="9" t="s">
        <v>78</v>
      </c>
      <c r="K61" s="9">
        <v>1</v>
      </c>
      <c r="L61" s="9">
        <f t="shared" si="16"/>
        <v>2021</v>
      </c>
      <c r="M61" s="114">
        <f t="shared" si="17"/>
        <v>2021.8333333333333</v>
      </c>
      <c r="N61" s="13">
        <v>12469.38</v>
      </c>
      <c r="O61" s="13">
        <f t="shared" si="18"/>
        <v>12469.38</v>
      </c>
      <c r="P61" s="13">
        <f t="shared" si="19"/>
        <v>1039.115</v>
      </c>
      <c r="Q61" s="13">
        <f t="shared" si="20"/>
        <v>12469.380000000001</v>
      </c>
      <c r="R61" s="13"/>
      <c r="S61" s="13">
        <f t="shared" si="27"/>
        <v>0</v>
      </c>
      <c r="T61" s="13">
        <f t="shared" si="28"/>
        <v>12469.38</v>
      </c>
      <c r="U61" s="13">
        <f t="shared" si="29"/>
        <v>12469.38</v>
      </c>
      <c r="V61" s="13"/>
      <c r="W61" s="13">
        <f t="shared" si="30"/>
        <v>0</v>
      </c>
      <c r="X61" s="147">
        <f t="shared" si="21"/>
        <v>0</v>
      </c>
      <c r="Y61" s="116">
        <f t="shared" si="22"/>
        <v>0</v>
      </c>
      <c r="Z61" s="116"/>
      <c r="AA61" s="116"/>
      <c r="AB61" s="144"/>
      <c r="AC61" s="116"/>
      <c r="AD61" s="116"/>
      <c r="AE61" s="120"/>
      <c r="AF61" s="120"/>
      <c r="AG61" s="120"/>
      <c r="AH61" s="120"/>
      <c r="AI61" s="120"/>
      <c r="AJ61" s="120"/>
    </row>
    <row r="62" spans="1:69" s="9" customFormat="1">
      <c r="C62" s="9" t="s">
        <v>1302</v>
      </c>
      <c r="D62" s="9">
        <v>240918</v>
      </c>
      <c r="G62" s="9">
        <v>2020</v>
      </c>
      <c r="H62" s="9">
        <v>10</v>
      </c>
      <c r="I62" s="9">
        <v>0</v>
      </c>
      <c r="J62" s="9" t="s">
        <v>78</v>
      </c>
      <c r="K62" s="9">
        <v>5</v>
      </c>
      <c r="L62" s="9">
        <f t="shared" si="16"/>
        <v>2025</v>
      </c>
      <c r="M62" s="114">
        <f t="shared" si="17"/>
        <v>2025.8333333333333</v>
      </c>
      <c r="N62" s="13">
        <v>96643.61</v>
      </c>
      <c r="O62" s="13">
        <f t="shared" si="18"/>
        <v>96643.61</v>
      </c>
      <c r="P62" s="13">
        <f t="shared" si="19"/>
        <v>1610.7268333333334</v>
      </c>
      <c r="Q62" s="13">
        <f t="shared" si="20"/>
        <v>19328.722000000002</v>
      </c>
      <c r="R62" s="13"/>
      <c r="S62" s="13">
        <f t="shared" si="27"/>
        <v>19328.722000000002</v>
      </c>
      <c r="T62" s="13">
        <f t="shared" si="28"/>
        <v>19328.722000000002</v>
      </c>
      <c r="U62" s="13">
        <f t="shared" si="29"/>
        <v>38657.444000000003</v>
      </c>
      <c r="V62" s="13"/>
      <c r="W62" s="13">
        <f t="shared" si="30"/>
        <v>57986.165999999997</v>
      </c>
      <c r="X62" s="147">
        <f t="shared" si="21"/>
        <v>19328.722000000002</v>
      </c>
      <c r="Y62" s="116">
        <f t="shared" si="22"/>
        <v>57986.165999999997</v>
      </c>
      <c r="Z62" s="116"/>
      <c r="AA62" s="116"/>
      <c r="AB62" s="144"/>
      <c r="AC62" s="116"/>
      <c r="AD62" s="116"/>
      <c r="AE62" s="120"/>
      <c r="AF62" s="120"/>
      <c r="AG62" s="120"/>
      <c r="AH62" s="120"/>
      <c r="AI62" s="120"/>
      <c r="AJ62" s="120"/>
    </row>
    <row r="63" spans="1:69" s="181" customFormat="1">
      <c r="A63" s="9" t="s">
        <v>929</v>
      </c>
      <c r="B63" s="9"/>
      <c r="C63" s="9" t="s">
        <v>1353</v>
      </c>
      <c r="D63" s="9">
        <v>255409</v>
      </c>
      <c r="E63" s="9"/>
      <c r="F63" s="9"/>
      <c r="G63" s="9">
        <v>2021</v>
      </c>
      <c r="H63" s="9">
        <v>4</v>
      </c>
      <c r="I63" s="9">
        <v>0</v>
      </c>
      <c r="J63" s="9" t="s">
        <v>78</v>
      </c>
      <c r="K63" s="9">
        <v>5</v>
      </c>
      <c r="L63" s="9">
        <f t="shared" ref="L63" si="31">G63+K63</f>
        <v>2026</v>
      </c>
      <c r="M63" s="114">
        <f t="shared" ref="M63" si="32">+L63+(H63/12)</f>
        <v>2026.3333333333333</v>
      </c>
      <c r="N63" s="13">
        <v>25411.4</v>
      </c>
      <c r="O63" s="13">
        <f t="shared" ref="O63" si="33">N63-N63*I63</f>
        <v>25411.4</v>
      </c>
      <c r="P63" s="13">
        <f t="shared" ref="P63" si="34">O63/K63/12</f>
        <v>423.52333333333337</v>
      </c>
      <c r="Q63" s="13">
        <f t="shared" ref="Q63" si="35">P63*12</f>
        <v>5082.2800000000007</v>
      </c>
      <c r="R63" s="13"/>
      <c r="S63" s="13">
        <f t="shared" ref="S63" si="36">+IF(M63&lt;=$O$5,0,IF(L63&gt;$O$4,Q63,(P63*H63)))</f>
        <v>5082.2800000000007</v>
      </c>
      <c r="T63" s="13">
        <f t="shared" ref="T63" si="37">+IF(S63=0,N63,IF($O$3-G63&lt;1,0,(($O$3-G63)*Q63)))</f>
        <v>0</v>
      </c>
      <c r="U63" s="13">
        <f t="shared" ref="U63" si="38">+IF(S63=0,T63,T63+S63)</f>
        <v>5082.2800000000007</v>
      </c>
      <c r="V63" s="13"/>
      <c r="W63" s="13">
        <f t="shared" ref="W63" si="39">+N63-U63</f>
        <v>20329.120000000003</v>
      </c>
      <c r="X63" s="185">
        <f t="shared" ref="X63" si="40">S63</f>
        <v>5082.2800000000007</v>
      </c>
      <c r="Y63" s="183">
        <f t="shared" ref="Y63" si="41">W63</f>
        <v>20329.120000000003</v>
      </c>
      <c r="Z63" s="183"/>
      <c r="AA63" s="183"/>
      <c r="AB63" s="186"/>
      <c r="AC63" s="183"/>
      <c r="AD63" s="183"/>
      <c r="AE63" s="187"/>
      <c r="AF63" s="187"/>
      <c r="AG63" s="187"/>
      <c r="AH63" s="187"/>
      <c r="AI63" s="187"/>
      <c r="AJ63" s="187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</row>
    <row r="64" spans="1:69" s="9" customFormat="1">
      <c r="M64" s="114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2:36" s="9" customFormat="1">
      <c r="L65" s="148" t="s">
        <v>946</v>
      </c>
      <c r="M65" s="149"/>
      <c r="N65" s="150">
        <f>SUM(N44:N64)</f>
        <v>491708.41</v>
      </c>
      <c r="O65" s="150">
        <f>SUM(O44:O64)</f>
        <v>491708.41</v>
      </c>
      <c r="P65" s="150">
        <f>SUM(P44:P64)</f>
        <v>9874.8386746031738</v>
      </c>
      <c r="Q65" s="150">
        <f>SUM(Q44:Q64)</f>
        <v>118498.06409523811</v>
      </c>
      <c r="R65" s="150"/>
      <c r="S65" s="150">
        <f>SUM(S44:S64)</f>
        <v>43872.321142857138</v>
      </c>
      <c r="T65" s="150">
        <f>SUM(T44:T64)</f>
        <v>317040.36085714283</v>
      </c>
      <c r="U65" s="150">
        <f>SUM(U44:U64)</f>
        <v>360912.68200000009</v>
      </c>
      <c r="V65" s="150"/>
      <c r="W65" s="150">
        <f t="shared" ref="W65:AD65" si="42">SUM(W44:W64)</f>
        <v>130795.728</v>
      </c>
      <c r="X65" s="150">
        <f t="shared" si="42"/>
        <v>43872.321142857138</v>
      </c>
      <c r="Y65" s="150">
        <f t="shared" si="42"/>
        <v>130795.728</v>
      </c>
      <c r="Z65" s="150">
        <f t="shared" si="42"/>
        <v>-10613.386666666665</v>
      </c>
      <c r="AA65" s="150">
        <f t="shared" si="42"/>
        <v>-68997.344095238106</v>
      </c>
      <c r="AB65" s="150">
        <f t="shared" si="42"/>
        <v>9.154371980146248</v>
      </c>
      <c r="AC65" s="150">
        <f t="shared" si="42"/>
        <v>11134.759666128453</v>
      </c>
      <c r="AD65" s="150">
        <f t="shared" si="42"/>
        <v>30026.592984405655</v>
      </c>
      <c r="AE65" s="150">
        <f>$AC$65*'Ratios (C)'!P36</f>
        <v>7548.1794170993762</v>
      </c>
      <c r="AF65" s="150">
        <f>$AC$65*'Ratios (C)'!Q36</f>
        <v>2448.7617558298375</v>
      </c>
      <c r="AG65" s="150">
        <f>$AC$65*'Ratios (C)'!R36</f>
        <v>1137.8184931992407</v>
      </c>
      <c r="AH65" s="150">
        <f>$AD$65*'Ratios (C)'!P36</f>
        <v>20354.82739874133</v>
      </c>
      <c r="AI65" s="150">
        <f>$AD$65*'Ratios (C)'!Q36</f>
        <v>6603.4629181760056</v>
      </c>
      <c r="AJ65" s="150">
        <f>$AD$65*'Ratios (C)'!R36</f>
        <v>3068.3026674883245</v>
      </c>
    </row>
    <row r="66" spans="2:36" s="9" customFormat="1">
      <c r="M66" s="114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2:36" s="9" customFormat="1">
      <c r="M67" s="114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2:36" s="9" customFormat="1">
      <c r="B68" s="142" t="s">
        <v>947</v>
      </c>
      <c r="M68" s="114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2:36" s="9" customFormat="1">
      <c r="C69" s="9" t="s">
        <v>948</v>
      </c>
      <c r="D69" s="9">
        <v>73374</v>
      </c>
      <c r="G69" s="9">
        <v>2010</v>
      </c>
      <c r="H69" s="9">
        <v>3</v>
      </c>
      <c r="I69" s="9">
        <v>0</v>
      </c>
      <c r="J69" s="9" t="s">
        <v>78</v>
      </c>
      <c r="K69" s="9">
        <v>3</v>
      </c>
      <c r="L69" s="9">
        <f t="shared" ref="L69:L118" si="43">G69+K69</f>
        <v>2013</v>
      </c>
      <c r="M69" s="114">
        <f t="shared" ref="M69:M118" si="44">+L69+(H69/12)</f>
        <v>2013.25</v>
      </c>
      <c r="N69" s="13">
        <v>1558.9</v>
      </c>
      <c r="O69" s="13">
        <f>N69-N69*I69</f>
        <v>1558.9</v>
      </c>
      <c r="P69" s="13">
        <f>O69/K69/12</f>
        <v>43.302777777777777</v>
      </c>
      <c r="Q69" s="13">
        <f t="shared" ref="Q69:Q113" si="45">P69*12</f>
        <v>519.63333333333333</v>
      </c>
      <c r="R69" s="13">
        <v>0</v>
      </c>
      <c r="S69" s="13">
        <f>+IF(M69&lt;=$O$5,0,IF(L69&gt;$O$4,Q69,(P69*H69)))</f>
        <v>0</v>
      </c>
      <c r="T69" s="13">
        <f>+IF(S69=0,N69,IF($O$3-G69&lt;1,0,(($O$3-G69)*Q69)))</f>
        <v>1558.9</v>
      </c>
      <c r="U69" s="13">
        <f>+IF(S69=0,T69,T69+S69)</f>
        <v>1558.9</v>
      </c>
      <c r="V69" s="13">
        <v>0</v>
      </c>
      <c r="W69" s="13">
        <f>+N69-U69</f>
        <v>0</v>
      </c>
      <c r="X69" s="115">
        <f t="shared" ref="X69:X70" si="46">S69</f>
        <v>0</v>
      </c>
      <c r="Y69" s="116">
        <f t="shared" ref="Y69:Y70" si="47">W69</f>
        <v>0</v>
      </c>
      <c r="Z69" s="116">
        <f t="shared" ref="Z69:Z70" si="48">X69-R69</f>
        <v>0</v>
      </c>
      <c r="AA69" s="116">
        <f t="shared" ref="AA69:AA70" si="49">Y69-V69</f>
        <v>0</v>
      </c>
      <c r="AB69" s="144">
        <f>'Ratios (C)'!$C$21+'Ratios (C)'!$D$21</f>
        <v>0.72495456173162076</v>
      </c>
      <c r="AC69" s="116">
        <f t="shared" ref="AC69:AC70" si="50">X69*AB69</f>
        <v>0</v>
      </c>
      <c r="AD69" s="116">
        <f t="shared" ref="AD69:AD70" si="51">Y69*AB69</f>
        <v>0</v>
      </c>
      <c r="AE69" s="118"/>
      <c r="AF69" s="119"/>
      <c r="AG69" s="120"/>
      <c r="AH69" s="118"/>
      <c r="AI69" s="119"/>
      <c r="AJ69" s="121"/>
    </row>
    <row r="70" spans="2:36" s="9" customFormat="1">
      <c r="C70" s="9" t="s">
        <v>949</v>
      </c>
      <c r="D70" s="9">
        <v>72971</v>
      </c>
      <c r="G70" s="9">
        <v>2010</v>
      </c>
      <c r="H70" s="9">
        <v>3</v>
      </c>
      <c r="I70" s="9">
        <v>0</v>
      </c>
      <c r="J70" s="9" t="s">
        <v>78</v>
      </c>
      <c r="K70" s="9">
        <v>3</v>
      </c>
      <c r="L70" s="9">
        <f t="shared" si="43"/>
        <v>2013</v>
      </c>
      <c r="M70" s="114">
        <f t="shared" si="44"/>
        <v>2013.25</v>
      </c>
      <c r="N70" s="13">
        <v>20775</v>
      </c>
      <c r="O70" s="13">
        <f t="shared" ref="O70:O113" si="52">N70-N70*I70</f>
        <v>20775</v>
      </c>
      <c r="P70" s="13">
        <f t="shared" ref="P70:P113" si="53">O70/K70/12</f>
        <v>577.08333333333337</v>
      </c>
      <c r="Q70" s="13">
        <f t="shared" si="45"/>
        <v>6925</v>
      </c>
      <c r="R70" s="13">
        <v>0</v>
      </c>
      <c r="S70" s="13">
        <f t="shared" ref="S70:S112" si="54">+IF(M70&lt;=$O$5,0,IF(L70&gt;$O$4,Q70,(P70*H70)))</f>
        <v>0</v>
      </c>
      <c r="T70" s="13">
        <f t="shared" ref="T70:T112" si="55">+IF(S70=0,N70,IF($O$3-G70&lt;1,0,(($O$3-G70)*Q70)))</f>
        <v>20775</v>
      </c>
      <c r="U70" s="13">
        <f t="shared" ref="U70:U112" si="56">+IF(S70=0,T70,T70+S70)</f>
        <v>20775</v>
      </c>
      <c r="V70" s="13">
        <v>0</v>
      </c>
      <c r="W70" s="13">
        <f t="shared" ref="W70:W112" si="57">+N70-U70</f>
        <v>0</v>
      </c>
      <c r="X70" s="115">
        <f t="shared" si="46"/>
        <v>0</v>
      </c>
      <c r="Y70" s="116">
        <f t="shared" si="47"/>
        <v>0</v>
      </c>
      <c r="Z70" s="116">
        <f t="shared" si="48"/>
        <v>0</v>
      </c>
      <c r="AA70" s="116">
        <f t="shared" si="49"/>
        <v>0</v>
      </c>
      <c r="AB70" s="144">
        <f>'Ratios (C)'!$C$21+'Ratios (C)'!$D$21</f>
        <v>0.72495456173162076</v>
      </c>
      <c r="AC70" s="116">
        <f t="shared" si="50"/>
        <v>0</v>
      </c>
      <c r="AD70" s="116">
        <f t="shared" si="51"/>
        <v>0</v>
      </c>
      <c r="AE70" s="118"/>
      <c r="AF70" s="119"/>
      <c r="AG70" s="120"/>
      <c r="AH70" s="118"/>
      <c r="AI70" s="119"/>
      <c r="AJ70" s="121"/>
    </row>
    <row r="71" spans="2:36" s="9" customFormat="1">
      <c r="B71" s="9">
        <v>3</v>
      </c>
      <c r="C71" s="9" t="s">
        <v>950</v>
      </c>
      <c r="D71" s="9">
        <v>73815</v>
      </c>
      <c r="G71" s="9">
        <v>2010</v>
      </c>
      <c r="H71" s="9">
        <v>4</v>
      </c>
      <c r="I71" s="9">
        <v>0</v>
      </c>
      <c r="J71" s="9" t="s">
        <v>78</v>
      </c>
      <c r="K71" s="9">
        <v>3</v>
      </c>
      <c r="L71" s="9">
        <f t="shared" si="43"/>
        <v>2013</v>
      </c>
      <c r="M71" s="114">
        <f t="shared" si="44"/>
        <v>2013.3333333333333</v>
      </c>
      <c r="N71" s="13">
        <v>2625</v>
      </c>
      <c r="O71" s="13">
        <f t="shared" si="52"/>
        <v>2625</v>
      </c>
      <c r="P71" s="13">
        <f t="shared" si="53"/>
        <v>72.916666666666671</v>
      </c>
      <c r="Q71" s="13">
        <f t="shared" si="45"/>
        <v>875</v>
      </c>
      <c r="R71" s="13">
        <v>0</v>
      </c>
      <c r="S71" s="13">
        <f t="shared" si="54"/>
        <v>0</v>
      </c>
      <c r="T71" s="13">
        <f t="shared" si="55"/>
        <v>2625</v>
      </c>
      <c r="U71" s="13">
        <f t="shared" si="56"/>
        <v>2625</v>
      </c>
      <c r="V71" s="13">
        <v>0</v>
      </c>
      <c r="W71" s="13">
        <f t="shared" si="57"/>
        <v>0</v>
      </c>
      <c r="X71" s="115">
        <f t="shared" ref="X71:X113" si="58">S71</f>
        <v>0</v>
      </c>
      <c r="Y71" s="116">
        <f t="shared" ref="Y71:Y113" si="59">W71</f>
        <v>0</v>
      </c>
      <c r="Z71" s="116">
        <f t="shared" ref="Z71:Z113" si="60">X71-R71</f>
        <v>0</v>
      </c>
      <c r="AA71" s="116">
        <f t="shared" ref="AA71:AA113" si="61">Y71-V71</f>
        <v>0</v>
      </c>
      <c r="AB71" s="144">
        <f>'Ratios (C)'!$C$21+'Ratios (C)'!$D$21</f>
        <v>0.72495456173162076</v>
      </c>
      <c r="AC71" s="116">
        <f t="shared" ref="AC71:AC113" si="62">X71*AB71</f>
        <v>0</v>
      </c>
      <c r="AD71" s="116">
        <f t="shared" ref="AD71:AD113" si="63">Y71*AB71</f>
        <v>0</v>
      </c>
      <c r="AE71" s="118"/>
      <c r="AF71" s="119"/>
      <c r="AG71" s="120"/>
      <c r="AH71" s="118"/>
      <c r="AI71" s="119"/>
      <c r="AJ71" s="121"/>
    </row>
    <row r="72" spans="2:36" s="9" customFormat="1">
      <c r="B72" s="9">
        <v>2</v>
      </c>
      <c r="C72" s="9" t="s">
        <v>951</v>
      </c>
      <c r="D72" s="9">
        <v>74451</v>
      </c>
      <c r="G72" s="9">
        <v>2010</v>
      </c>
      <c r="H72" s="9">
        <v>5</v>
      </c>
      <c r="I72" s="9">
        <v>0</v>
      </c>
      <c r="J72" s="9" t="s">
        <v>78</v>
      </c>
      <c r="K72" s="9">
        <v>3</v>
      </c>
      <c r="L72" s="9">
        <f t="shared" si="43"/>
        <v>2013</v>
      </c>
      <c r="M72" s="114">
        <f t="shared" si="44"/>
        <v>2013.4166666666667</v>
      </c>
      <c r="N72" s="13">
        <v>1574.93</v>
      </c>
      <c r="O72" s="13">
        <f t="shared" si="52"/>
        <v>1574.93</v>
      </c>
      <c r="P72" s="13">
        <f t="shared" si="53"/>
        <v>43.74805555555556</v>
      </c>
      <c r="Q72" s="13">
        <f t="shared" si="45"/>
        <v>524.97666666666669</v>
      </c>
      <c r="R72" s="13">
        <v>0</v>
      </c>
      <c r="S72" s="13">
        <f t="shared" si="54"/>
        <v>0</v>
      </c>
      <c r="T72" s="13">
        <f t="shared" si="55"/>
        <v>1574.93</v>
      </c>
      <c r="U72" s="13">
        <f t="shared" si="56"/>
        <v>1574.93</v>
      </c>
      <c r="V72" s="13">
        <v>0</v>
      </c>
      <c r="W72" s="13">
        <f t="shared" si="57"/>
        <v>0</v>
      </c>
      <c r="X72" s="115">
        <f t="shared" si="58"/>
        <v>0</v>
      </c>
      <c r="Y72" s="116">
        <f t="shared" si="59"/>
        <v>0</v>
      </c>
      <c r="Z72" s="116">
        <f t="shared" si="60"/>
        <v>0</v>
      </c>
      <c r="AA72" s="116">
        <f t="shared" si="61"/>
        <v>0</v>
      </c>
      <c r="AB72" s="144">
        <f>'Ratios (C)'!$C$21+'Ratios (C)'!$D$21</f>
        <v>0.72495456173162076</v>
      </c>
      <c r="AC72" s="116">
        <f t="shared" si="62"/>
        <v>0</v>
      </c>
      <c r="AD72" s="116">
        <f t="shared" si="63"/>
        <v>0</v>
      </c>
      <c r="AE72" s="118"/>
      <c r="AF72" s="119"/>
      <c r="AG72" s="120"/>
      <c r="AH72" s="118"/>
      <c r="AI72" s="119"/>
      <c r="AJ72" s="121"/>
    </row>
    <row r="73" spans="2:36" s="9" customFormat="1">
      <c r="C73" s="9" t="s">
        <v>952</v>
      </c>
      <c r="D73" s="9">
        <v>76637</v>
      </c>
      <c r="G73" s="9">
        <v>2010</v>
      </c>
      <c r="H73" s="9">
        <v>8</v>
      </c>
      <c r="I73" s="9">
        <v>0</v>
      </c>
      <c r="J73" s="9" t="s">
        <v>78</v>
      </c>
      <c r="K73" s="9" t="s">
        <v>953</v>
      </c>
      <c r="L73" s="9">
        <f t="shared" si="43"/>
        <v>2015</v>
      </c>
      <c r="M73" s="114">
        <f t="shared" si="44"/>
        <v>2015.6666666666667</v>
      </c>
      <c r="N73" s="13">
        <v>2684.4</v>
      </c>
      <c r="O73" s="13">
        <f t="shared" si="52"/>
        <v>2684.4</v>
      </c>
      <c r="P73" s="13">
        <f t="shared" si="53"/>
        <v>44.74</v>
      </c>
      <c r="Q73" s="13">
        <f t="shared" si="45"/>
        <v>536.88</v>
      </c>
      <c r="R73" s="13">
        <v>0</v>
      </c>
      <c r="S73" s="13">
        <f t="shared" si="54"/>
        <v>0</v>
      </c>
      <c r="T73" s="13">
        <f t="shared" si="55"/>
        <v>2684.4</v>
      </c>
      <c r="U73" s="13">
        <f t="shared" si="56"/>
        <v>2684.4</v>
      </c>
      <c r="V73" s="13">
        <v>0</v>
      </c>
      <c r="W73" s="13">
        <f t="shared" si="57"/>
        <v>0</v>
      </c>
      <c r="X73" s="115">
        <f t="shared" si="58"/>
        <v>0</v>
      </c>
      <c r="Y73" s="116">
        <f t="shared" si="59"/>
        <v>0</v>
      </c>
      <c r="Z73" s="116">
        <f t="shared" si="60"/>
        <v>0</v>
      </c>
      <c r="AA73" s="116">
        <f t="shared" si="61"/>
        <v>0</v>
      </c>
      <c r="AB73" s="144">
        <f>'Ratios (C)'!$C$21+'Ratios (C)'!$D$21</f>
        <v>0.72495456173162076</v>
      </c>
      <c r="AC73" s="116">
        <f t="shared" si="62"/>
        <v>0</v>
      </c>
      <c r="AD73" s="116">
        <f t="shared" si="63"/>
        <v>0</v>
      </c>
      <c r="AE73" s="118"/>
      <c r="AF73" s="119"/>
      <c r="AG73" s="120"/>
      <c r="AH73" s="118"/>
      <c r="AI73" s="119"/>
      <c r="AJ73" s="121"/>
    </row>
    <row r="74" spans="2:36" s="9" customFormat="1">
      <c r="C74" s="9" t="s">
        <v>954</v>
      </c>
      <c r="D74" s="9" t="s">
        <v>955</v>
      </c>
      <c r="E74" s="9">
        <v>80468</v>
      </c>
      <c r="G74" s="9">
        <v>2011</v>
      </c>
      <c r="H74" s="9">
        <v>3</v>
      </c>
      <c r="I74" s="9">
        <v>0</v>
      </c>
      <c r="J74" s="9" t="s">
        <v>78</v>
      </c>
      <c r="K74" s="9">
        <v>10</v>
      </c>
      <c r="L74" s="9">
        <f t="shared" si="43"/>
        <v>2021</v>
      </c>
      <c r="M74" s="114">
        <f t="shared" si="44"/>
        <v>2021.25</v>
      </c>
      <c r="N74" s="13">
        <f>188184.69+1695.95+1039.45+1695.95</f>
        <v>192616.04000000004</v>
      </c>
      <c r="O74" s="13">
        <f t="shared" si="52"/>
        <v>192616.04000000004</v>
      </c>
      <c r="P74" s="13">
        <f t="shared" si="53"/>
        <v>1605.1336666666668</v>
      </c>
      <c r="Q74" s="13">
        <f t="shared" si="45"/>
        <v>19261.604000000003</v>
      </c>
      <c r="R74" s="13">
        <v>19261.604000000003</v>
      </c>
      <c r="S74" s="13">
        <f t="shared" si="54"/>
        <v>0</v>
      </c>
      <c r="T74" s="13">
        <f t="shared" si="55"/>
        <v>192616.04000000004</v>
      </c>
      <c r="U74" s="13">
        <f t="shared" si="56"/>
        <v>192616.04000000004</v>
      </c>
      <c r="V74" s="13">
        <v>38523.208000000013</v>
      </c>
      <c r="W74" s="13">
        <f t="shared" si="57"/>
        <v>0</v>
      </c>
      <c r="X74" s="115">
        <f t="shared" si="58"/>
        <v>0</v>
      </c>
      <c r="Y74" s="116">
        <f t="shared" si="59"/>
        <v>0</v>
      </c>
      <c r="Z74" s="116">
        <f t="shared" si="60"/>
        <v>-19261.604000000003</v>
      </c>
      <c r="AA74" s="116">
        <f t="shared" si="61"/>
        <v>-38523.208000000013</v>
      </c>
      <c r="AB74" s="144">
        <f>'Ratios (C)'!$C$21+'Ratios (C)'!$D$21</f>
        <v>0.72495456173162076</v>
      </c>
      <c r="AC74" s="116">
        <f t="shared" si="62"/>
        <v>0</v>
      </c>
      <c r="AD74" s="116">
        <f t="shared" si="63"/>
        <v>0</v>
      </c>
      <c r="AE74" s="118"/>
      <c r="AF74" s="119"/>
      <c r="AG74" s="120"/>
      <c r="AH74" s="118"/>
      <c r="AI74" s="119"/>
      <c r="AJ74" s="121"/>
    </row>
    <row r="75" spans="2:36" s="9" customFormat="1">
      <c r="C75" s="9" t="s">
        <v>956</v>
      </c>
      <c r="D75" s="9" t="s">
        <v>957</v>
      </c>
      <c r="E75" s="9">
        <v>80461</v>
      </c>
      <c r="G75" s="9">
        <v>2011</v>
      </c>
      <c r="H75" s="9">
        <v>3</v>
      </c>
      <c r="I75" s="9">
        <v>0</v>
      </c>
      <c r="J75" s="9" t="s">
        <v>78</v>
      </c>
      <c r="K75" s="9">
        <v>5</v>
      </c>
      <c r="L75" s="9">
        <f t="shared" si="43"/>
        <v>2016</v>
      </c>
      <c r="M75" s="114">
        <f t="shared" si="44"/>
        <v>2016.25</v>
      </c>
      <c r="N75" s="13">
        <f>97999.12+3960.18</f>
        <v>101959.29999999999</v>
      </c>
      <c r="O75" s="13">
        <f t="shared" si="52"/>
        <v>101959.29999999999</v>
      </c>
      <c r="P75" s="13">
        <f t="shared" si="53"/>
        <v>1699.3216666666665</v>
      </c>
      <c r="Q75" s="13">
        <f t="shared" si="45"/>
        <v>20391.859999999997</v>
      </c>
      <c r="R75" s="13">
        <v>0</v>
      </c>
      <c r="S75" s="13">
        <f t="shared" si="54"/>
        <v>0</v>
      </c>
      <c r="T75" s="13">
        <f t="shared" si="55"/>
        <v>101959.29999999999</v>
      </c>
      <c r="U75" s="13">
        <f t="shared" si="56"/>
        <v>101959.29999999999</v>
      </c>
      <c r="V75" s="13">
        <v>0</v>
      </c>
      <c r="W75" s="13">
        <f t="shared" si="57"/>
        <v>0</v>
      </c>
      <c r="X75" s="115">
        <f t="shared" si="58"/>
        <v>0</v>
      </c>
      <c r="Y75" s="116">
        <f t="shared" si="59"/>
        <v>0</v>
      </c>
      <c r="Z75" s="116">
        <f t="shared" si="60"/>
        <v>0</v>
      </c>
      <c r="AA75" s="116">
        <f t="shared" si="61"/>
        <v>0</v>
      </c>
      <c r="AB75" s="144">
        <f>'Ratios (C)'!$C$21+'Ratios (C)'!$D$21</f>
        <v>0.72495456173162076</v>
      </c>
      <c r="AC75" s="116">
        <f t="shared" si="62"/>
        <v>0</v>
      </c>
      <c r="AD75" s="116">
        <f t="shared" si="63"/>
        <v>0</v>
      </c>
      <c r="AE75" s="118"/>
      <c r="AF75" s="119"/>
      <c r="AG75" s="120"/>
      <c r="AH75" s="118"/>
      <c r="AI75" s="119"/>
      <c r="AJ75" s="121"/>
    </row>
    <row r="76" spans="2:36" s="9" customFormat="1">
      <c r="B76" s="9">
        <v>1</v>
      </c>
      <c r="C76" s="9" t="s">
        <v>958</v>
      </c>
      <c r="D76" s="9">
        <v>86524</v>
      </c>
      <c r="G76" s="9">
        <v>2011</v>
      </c>
      <c r="H76" s="9">
        <v>7</v>
      </c>
      <c r="I76" s="9">
        <v>0</v>
      </c>
      <c r="J76" s="9" t="s">
        <v>78</v>
      </c>
      <c r="K76" s="9">
        <v>3</v>
      </c>
      <c r="L76" s="9">
        <f t="shared" si="43"/>
        <v>2014</v>
      </c>
      <c r="M76" s="114">
        <f t="shared" si="44"/>
        <v>2014.5833333333333</v>
      </c>
      <c r="N76" s="13">
        <v>1006.03</v>
      </c>
      <c r="O76" s="13">
        <f t="shared" si="52"/>
        <v>1006.03</v>
      </c>
      <c r="P76" s="13">
        <f t="shared" si="53"/>
        <v>27.945277777777775</v>
      </c>
      <c r="Q76" s="13">
        <f t="shared" si="45"/>
        <v>335.34333333333331</v>
      </c>
      <c r="R76" s="13">
        <v>0</v>
      </c>
      <c r="S76" s="13">
        <f t="shared" si="54"/>
        <v>0</v>
      </c>
      <c r="T76" s="13">
        <f t="shared" si="55"/>
        <v>1006.03</v>
      </c>
      <c r="U76" s="13">
        <f t="shared" si="56"/>
        <v>1006.03</v>
      </c>
      <c r="V76" s="13">
        <v>0</v>
      </c>
      <c r="W76" s="13">
        <f t="shared" si="57"/>
        <v>0</v>
      </c>
      <c r="X76" s="115">
        <f t="shared" si="58"/>
        <v>0</v>
      </c>
      <c r="Y76" s="116">
        <f t="shared" si="59"/>
        <v>0</v>
      </c>
      <c r="Z76" s="116">
        <f t="shared" si="60"/>
        <v>0</v>
      </c>
      <c r="AA76" s="116">
        <f t="shared" si="61"/>
        <v>0</v>
      </c>
      <c r="AB76" s="144">
        <f>'Ratios (C)'!$C$21+'Ratios (C)'!$D$21</f>
        <v>0.72495456173162076</v>
      </c>
      <c r="AC76" s="116">
        <f t="shared" si="62"/>
        <v>0</v>
      </c>
      <c r="AD76" s="116">
        <f t="shared" si="63"/>
        <v>0</v>
      </c>
      <c r="AE76" s="118"/>
      <c r="AF76" s="119"/>
      <c r="AG76" s="120"/>
      <c r="AH76" s="118"/>
      <c r="AI76" s="119"/>
      <c r="AJ76" s="121"/>
    </row>
    <row r="77" spans="2:36" s="9" customFormat="1">
      <c r="B77" s="9">
        <v>1</v>
      </c>
      <c r="C77" s="9" t="s">
        <v>959</v>
      </c>
      <c r="D77" s="9">
        <v>87203</v>
      </c>
      <c r="G77" s="9">
        <v>2011</v>
      </c>
      <c r="H77" s="9">
        <v>10</v>
      </c>
      <c r="I77" s="9">
        <v>0</v>
      </c>
      <c r="J77" s="9" t="s">
        <v>78</v>
      </c>
      <c r="K77" s="9">
        <v>3</v>
      </c>
      <c r="L77" s="9">
        <f t="shared" si="43"/>
        <v>2014</v>
      </c>
      <c r="M77" s="114">
        <f t="shared" si="44"/>
        <v>2014.8333333333333</v>
      </c>
      <c r="N77" s="13">
        <v>1549.26</v>
      </c>
      <c r="O77" s="13">
        <f t="shared" si="52"/>
        <v>1549.26</v>
      </c>
      <c r="P77" s="13">
        <f t="shared" si="53"/>
        <v>43.034999999999997</v>
      </c>
      <c r="Q77" s="13">
        <f t="shared" si="45"/>
        <v>516.41999999999996</v>
      </c>
      <c r="R77" s="13">
        <v>0</v>
      </c>
      <c r="S77" s="13">
        <f t="shared" si="54"/>
        <v>0</v>
      </c>
      <c r="T77" s="13">
        <f t="shared" si="55"/>
        <v>1549.26</v>
      </c>
      <c r="U77" s="13">
        <f t="shared" si="56"/>
        <v>1549.26</v>
      </c>
      <c r="V77" s="13">
        <v>0</v>
      </c>
      <c r="W77" s="13">
        <f t="shared" si="57"/>
        <v>0</v>
      </c>
      <c r="X77" s="115">
        <f t="shared" si="58"/>
        <v>0</v>
      </c>
      <c r="Y77" s="116">
        <f t="shared" si="59"/>
        <v>0</v>
      </c>
      <c r="Z77" s="116">
        <f t="shared" si="60"/>
        <v>0</v>
      </c>
      <c r="AA77" s="116">
        <f t="shared" si="61"/>
        <v>0</v>
      </c>
      <c r="AB77" s="144">
        <f>'Ratios (C)'!$C$21+'Ratios (C)'!$D$21</f>
        <v>0.72495456173162076</v>
      </c>
      <c r="AC77" s="116">
        <f t="shared" si="62"/>
        <v>0</v>
      </c>
      <c r="AD77" s="116">
        <f t="shared" si="63"/>
        <v>0</v>
      </c>
      <c r="AE77" s="118"/>
      <c r="AF77" s="119"/>
      <c r="AG77" s="120"/>
      <c r="AH77" s="118"/>
      <c r="AI77" s="119"/>
      <c r="AJ77" s="121"/>
    </row>
    <row r="78" spans="2:36" s="9" customFormat="1">
      <c r="B78" s="9">
        <v>2</v>
      </c>
      <c r="C78" s="9" t="s">
        <v>950</v>
      </c>
      <c r="D78" s="9">
        <v>88248</v>
      </c>
      <c r="G78" s="9">
        <v>2011</v>
      </c>
      <c r="H78" s="9">
        <v>12</v>
      </c>
      <c r="I78" s="9">
        <v>0</v>
      </c>
      <c r="J78" s="9" t="s">
        <v>78</v>
      </c>
      <c r="K78" s="9">
        <v>3</v>
      </c>
      <c r="L78" s="9">
        <f t="shared" si="43"/>
        <v>2014</v>
      </c>
      <c r="M78" s="114">
        <f t="shared" si="44"/>
        <v>2015</v>
      </c>
      <c r="N78" s="13">
        <v>1750</v>
      </c>
      <c r="O78" s="13">
        <f t="shared" si="52"/>
        <v>1750</v>
      </c>
      <c r="P78" s="13">
        <f t="shared" si="53"/>
        <v>48.611111111111114</v>
      </c>
      <c r="Q78" s="13">
        <f t="shared" si="45"/>
        <v>583.33333333333337</v>
      </c>
      <c r="R78" s="13">
        <v>0</v>
      </c>
      <c r="S78" s="13">
        <f t="shared" si="54"/>
        <v>0</v>
      </c>
      <c r="T78" s="13">
        <f t="shared" si="55"/>
        <v>1750</v>
      </c>
      <c r="U78" s="13">
        <f t="shared" si="56"/>
        <v>1750</v>
      </c>
      <c r="V78" s="13">
        <v>0</v>
      </c>
      <c r="W78" s="13">
        <f t="shared" si="57"/>
        <v>0</v>
      </c>
      <c r="X78" s="115">
        <f t="shared" si="58"/>
        <v>0</v>
      </c>
      <c r="Y78" s="116">
        <f t="shared" si="59"/>
        <v>0</v>
      </c>
      <c r="Z78" s="116">
        <f t="shared" si="60"/>
        <v>0</v>
      </c>
      <c r="AA78" s="116">
        <f t="shared" si="61"/>
        <v>0</v>
      </c>
      <c r="AB78" s="144">
        <f>'Ratios (C)'!$C$21+'Ratios (C)'!$D$21</f>
        <v>0.72495456173162076</v>
      </c>
      <c r="AC78" s="116">
        <f t="shared" si="62"/>
        <v>0</v>
      </c>
      <c r="AD78" s="116">
        <f t="shared" si="63"/>
        <v>0</v>
      </c>
      <c r="AE78" s="118"/>
      <c r="AF78" s="119"/>
      <c r="AG78" s="120"/>
      <c r="AH78" s="118"/>
      <c r="AI78" s="119"/>
      <c r="AJ78" s="121"/>
    </row>
    <row r="79" spans="2:36" s="9" customFormat="1">
      <c r="B79" s="9">
        <v>1</v>
      </c>
      <c r="C79" s="9" t="s">
        <v>960</v>
      </c>
      <c r="D79" s="9">
        <v>90464</v>
      </c>
      <c r="G79" s="9">
        <v>2012</v>
      </c>
      <c r="H79" s="9">
        <v>1</v>
      </c>
      <c r="I79" s="9">
        <v>0</v>
      </c>
      <c r="J79" s="9" t="s">
        <v>78</v>
      </c>
      <c r="K79" s="9">
        <v>5</v>
      </c>
      <c r="L79" s="9">
        <f t="shared" si="43"/>
        <v>2017</v>
      </c>
      <c r="M79" s="114">
        <f t="shared" si="44"/>
        <v>2017.0833333333333</v>
      </c>
      <c r="N79" s="13">
        <v>564.44000000000005</v>
      </c>
      <c r="O79" s="13">
        <f t="shared" si="52"/>
        <v>564.44000000000005</v>
      </c>
      <c r="P79" s="13">
        <f t="shared" si="53"/>
        <v>9.4073333333333338</v>
      </c>
      <c r="Q79" s="13">
        <f t="shared" si="45"/>
        <v>112.88800000000001</v>
      </c>
      <c r="R79" s="13">
        <v>0</v>
      </c>
      <c r="S79" s="13">
        <f t="shared" si="54"/>
        <v>0</v>
      </c>
      <c r="T79" s="13">
        <f t="shared" si="55"/>
        <v>564.44000000000005</v>
      </c>
      <c r="U79" s="13">
        <f t="shared" si="56"/>
        <v>564.44000000000005</v>
      </c>
      <c r="V79" s="13">
        <v>0</v>
      </c>
      <c r="W79" s="13">
        <f t="shared" si="57"/>
        <v>0</v>
      </c>
      <c r="X79" s="115">
        <f t="shared" si="58"/>
        <v>0</v>
      </c>
      <c r="Y79" s="116">
        <f t="shared" si="59"/>
        <v>0</v>
      </c>
      <c r="Z79" s="116">
        <f t="shared" si="60"/>
        <v>0</v>
      </c>
      <c r="AA79" s="116">
        <f t="shared" si="61"/>
        <v>0</v>
      </c>
      <c r="AB79" s="144">
        <f>'Ratios (C)'!$C$21+'Ratios (C)'!$D$21</f>
        <v>0.72495456173162076</v>
      </c>
      <c r="AC79" s="116">
        <f t="shared" si="62"/>
        <v>0</v>
      </c>
      <c r="AD79" s="116">
        <f t="shared" si="63"/>
        <v>0</v>
      </c>
      <c r="AE79" s="118"/>
      <c r="AF79" s="119"/>
      <c r="AG79" s="120"/>
      <c r="AH79" s="118"/>
      <c r="AI79" s="119"/>
      <c r="AJ79" s="121"/>
    </row>
    <row r="80" spans="2:36" s="9" customFormat="1">
      <c r="B80" s="9">
        <v>1</v>
      </c>
      <c r="C80" s="9" t="s">
        <v>961</v>
      </c>
      <c r="D80" s="9">
        <v>93455</v>
      </c>
      <c r="G80" s="9">
        <v>2012</v>
      </c>
      <c r="H80" s="9">
        <v>4</v>
      </c>
      <c r="I80" s="9">
        <v>0</v>
      </c>
      <c r="J80" s="9" t="s">
        <v>78</v>
      </c>
      <c r="K80" s="9">
        <v>5</v>
      </c>
      <c r="L80" s="9">
        <f t="shared" si="43"/>
        <v>2017</v>
      </c>
      <c r="M80" s="114">
        <f t="shared" si="44"/>
        <v>2017.3333333333333</v>
      </c>
      <c r="N80" s="13">
        <v>743.32</v>
      </c>
      <c r="O80" s="13">
        <f t="shared" si="52"/>
        <v>743.32</v>
      </c>
      <c r="P80" s="13">
        <f t="shared" si="53"/>
        <v>12.388666666666667</v>
      </c>
      <c r="Q80" s="13">
        <f t="shared" si="45"/>
        <v>148.66400000000002</v>
      </c>
      <c r="R80" s="13">
        <v>0</v>
      </c>
      <c r="S80" s="13">
        <f t="shared" si="54"/>
        <v>0</v>
      </c>
      <c r="T80" s="13">
        <f t="shared" si="55"/>
        <v>743.32</v>
      </c>
      <c r="U80" s="13">
        <f t="shared" si="56"/>
        <v>743.32</v>
      </c>
      <c r="V80" s="13">
        <v>0</v>
      </c>
      <c r="W80" s="13">
        <f t="shared" si="57"/>
        <v>0</v>
      </c>
      <c r="X80" s="115">
        <f t="shared" si="58"/>
        <v>0</v>
      </c>
      <c r="Y80" s="116">
        <f t="shared" si="59"/>
        <v>0</v>
      </c>
      <c r="Z80" s="116">
        <f t="shared" si="60"/>
        <v>0</v>
      </c>
      <c r="AA80" s="116">
        <f t="shared" si="61"/>
        <v>0</v>
      </c>
      <c r="AB80" s="144">
        <f>'Ratios (C)'!$C$21+'Ratios (C)'!$D$21</f>
        <v>0.72495456173162076</v>
      </c>
      <c r="AC80" s="116">
        <f t="shared" si="62"/>
        <v>0</v>
      </c>
      <c r="AD80" s="116">
        <f t="shared" si="63"/>
        <v>0</v>
      </c>
      <c r="AE80" s="118"/>
      <c r="AF80" s="119"/>
      <c r="AG80" s="120"/>
      <c r="AH80" s="118"/>
      <c r="AI80" s="119"/>
      <c r="AJ80" s="121"/>
    </row>
    <row r="81" spans="2:36" s="9" customFormat="1">
      <c r="C81" s="9" t="s">
        <v>962</v>
      </c>
      <c r="D81" s="9">
        <v>103617</v>
      </c>
      <c r="G81" s="9">
        <v>2013</v>
      </c>
      <c r="H81" s="9">
        <v>4</v>
      </c>
      <c r="I81" s="9">
        <v>0</v>
      </c>
      <c r="J81" s="9" t="s">
        <v>78</v>
      </c>
      <c r="K81" s="9">
        <v>3</v>
      </c>
      <c r="L81" s="9">
        <f t="shared" si="43"/>
        <v>2016</v>
      </c>
      <c r="M81" s="114">
        <f t="shared" si="44"/>
        <v>2016.3333333333333</v>
      </c>
      <c r="N81" s="13">
        <v>1019.36</v>
      </c>
      <c r="O81" s="13">
        <f t="shared" si="52"/>
        <v>1019.36</v>
      </c>
      <c r="P81" s="13">
        <f t="shared" si="53"/>
        <v>28.315555555555559</v>
      </c>
      <c r="Q81" s="13">
        <f t="shared" si="45"/>
        <v>339.78666666666669</v>
      </c>
      <c r="R81" s="13">
        <v>0</v>
      </c>
      <c r="S81" s="13">
        <f t="shared" si="54"/>
        <v>0</v>
      </c>
      <c r="T81" s="13">
        <f t="shared" si="55"/>
        <v>1019.36</v>
      </c>
      <c r="U81" s="13">
        <f t="shared" si="56"/>
        <v>1019.36</v>
      </c>
      <c r="V81" s="13">
        <v>0</v>
      </c>
      <c r="W81" s="13">
        <f t="shared" si="57"/>
        <v>0</v>
      </c>
      <c r="X81" s="115">
        <f t="shared" si="58"/>
        <v>0</v>
      </c>
      <c r="Y81" s="116">
        <f t="shared" si="59"/>
        <v>0</v>
      </c>
      <c r="Z81" s="116">
        <f t="shared" si="60"/>
        <v>0</v>
      </c>
      <c r="AA81" s="116">
        <f t="shared" si="61"/>
        <v>0</v>
      </c>
      <c r="AB81" s="144">
        <f>'Ratios (C)'!$C$21+'Ratios (C)'!$D$21</f>
        <v>0.72495456173162076</v>
      </c>
      <c r="AC81" s="116">
        <f t="shared" si="62"/>
        <v>0</v>
      </c>
      <c r="AD81" s="116">
        <f t="shared" si="63"/>
        <v>0</v>
      </c>
      <c r="AE81" s="118"/>
      <c r="AF81" s="119"/>
      <c r="AG81" s="120"/>
      <c r="AH81" s="118"/>
      <c r="AI81" s="119"/>
      <c r="AJ81" s="121"/>
    </row>
    <row r="82" spans="2:36" s="9" customFormat="1">
      <c r="C82" s="9" t="s">
        <v>963</v>
      </c>
      <c r="D82" s="9">
        <v>105141</v>
      </c>
      <c r="G82" s="9">
        <v>2013</v>
      </c>
      <c r="H82" s="9">
        <v>6</v>
      </c>
      <c r="I82" s="9">
        <v>0</v>
      </c>
      <c r="J82" s="9" t="s">
        <v>78</v>
      </c>
      <c r="K82" s="9">
        <v>3</v>
      </c>
      <c r="L82" s="9">
        <f t="shared" si="43"/>
        <v>2016</v>
      </c>
      <c r="M82" s="114">
        <f t="shared" si="44"/>
        <v>2016.5</v>
      </c>
      <c r="N82" s="13">
        <v>1688.87</v>
      </c>
      <c r="O82" s="13">
        <f t="shared" si="52"/>
        <v>1688.87</v>
      </c>
      <c r="P82" s="13">
        <f t="shared" si="53"/>
        <v>46.913055555555552</v>
      </c>
      <c r="Q82" s="13">
        <f t="shared" si="45"/>
        <v>562.95666666666659</v>
      </c>
      <c r="R82" s="13">
        <v>0</v>
      </c>
      <c r="S82" s="13">
        <f t="shared" si="54"/>
        <v>0</v>
      </c>
      <c r="T82" s="13">
        <f t="shared" si="55"/>
        <v>1688.87</v>
      </c>
      <c r="U82" s="13">
        <f t="shared" si="56"/>
        <v>1688.87</v>
      </c>
      <c r="V82" s="13">
        <v>0</v>
      </c>
      <c r="W82" s="13">
        <f t="shared" si="57"/>
        <v>0</v>
      </c>
      <c r="X82" s="115">
        <f t="shared" si="58"/>
        <v>0</v>
      </c>
      <c r="Y82" s="116">
        <f t="shared" si="59"/>
        <v>0</v>
      </c>
      <c r="Z82" s="116">
        <f t="shared" si="60"/>
        <v>0</v>
      </c>
      <c r="AA82" s="116">
        <f t="shared" si="61"/>
        <v>0</v>
      </c>
      <c r="AB82" s="144">
        <f>'Ratios (C)'!$C$21+'Ratios (C)'!$D$21</f>
        <v>0.72495456173162076</v>
      </c>
      <c r="AC82" s="116">
        <f t="shared" si="62"/>
        <v>0</v>
      </c>
      <c r="AD82" s="116">
        <f t="shared" si="63"/>
        <v>0</v>
      </c>
      <c r="AE82" s="118"/>
      <c r="AF82" s="119"/>
      <c r="AG82" s="120"/>
      <c r="AH82" s="118"/>
      <c r="AI82" s="119"/>
      <c r="AJ82" s="121"/>
    </row>
    <row r="83" spans="2:36" s="9" customFormat="1">
      <c r="C83" s="9" t="s">
        <v>964</v>
      </c>
      <c r="G83" s="9">
        <v>2013</v>
      </c>
      <c r="H83" s="9">
        <v>8</v>
      </c>
      <c r="I83" s="9">
        <v>0</v>
      </c>
      <c r="J83" s="9" t="s">
        <v>78</v>
      </c>
      <c r="K83" s="9">
        <v>5</v>
      </c>
      <c r="L83" s="9">
        <f t="shared" si="43"/>
        <v>2018</v>
      </c>
      <c r="M83" s="114">
        <f t="shared" si="44"/>
        <v>2018.6666666666667</v>
      </c>
      <c r="N83" s="13">
        <f>538492.81+47300.63</f>
        <v>585793.44000000006</v>
      </c>
      <c r="O83" s="13">
        <f t="shared" si="52"/>
        <v>585793.44000000006</v>
      </c>
      <c r="P83" s="13">
        <f t="shared" si="53"/>
        <v>9763.2240000000002</v>
      </c>
      <c r="Q83" s="13">
        <f t="shared" si="45"/>
        <v>117158.68799999999</v>
      </c>
      <c r="R83" s="13">
        <v>0</v>
      </c>
      <c r="S83" s="13">
        <f t="shared" si="54"/>
        <v>0</v>
      </c>
      <c r="T83" s="13">
        <f t="shared" si="55"/>
        <v>585793.44000000006</v>
      </c>
      <c r="U83" s="13">
        <f t="shared" si="56"/>
        <v>585793.44000000006</v>
      </c>
      <c r="V83" s="13">
        <v>0</v>
      </c>
      <c r="W83" s="13">
        <f t="shared" si="57"/>
        <v>0</v>
      </c>
      <c r="X83" s="115">
        <f t="shared" si="58"/>
        <v>0</v>
      </c>
      <c r="Y83" s="116">
        <f t="shared" si="59"/>
        <v>0</v>
      </c>
      <c r="Z83" s="116">
        <f t="shared" si="60"/>
        <v>0</v>
      </c>
      <c r="AA83" s="116">
        <f t="shared" si="61"/>
        <v>0</v>
      </c>
      <c r="AB83" s="144">
        <f>'Ratios (C)'!$C$21+'Ratios (C)'!$D$21</f>
        <v>0.72495456173162076</v>
      </c>
      <c r="AC83" s="116">
        <f t="shared" si="62"/>
        <v>0</v>
      </c>
      <c r="AD83" s="116">
        <f t="shared" si="63"/>
        <v>0</v>
      </c>
      <c r="AE83" s="118"/>
      <c r="AF83" s="119"/>
      <c r="AG83" s="120"/>
      <c r="AH83" s="118"/>
      <c r="AI83" s="119"/>
      <c r="AJ83" s="121"/>
    </row>
    <row r="84" spans="2:36" s="9" customFormat="1">
      <c r="B84" s="9">
        <v>2</v>
      </c>
      <c r="C84" s="9" t="s">
        <v>950</v>
      </c>
      <c r="D84" s="9">
        <v>107737</v>
      </c>
      <c r="G84" s="9">
        <v>2013</v>
      </c>
      <c r="H84" s="9">
        <v>9</v>
      </c>
      <c r="I84" s="9">
        <v>0</v>
      </c>
      <c r="J84" s="9" t="s">
        <v>78</v>
      </c>
      <c r="K84" s="9">
        <v>3</v>
      </c>
      <c r="L84" s="9">
        <f t="shared" si="43"/>
        <v>2016</v>
      </c>
      <c r="M84" s="114">
        <f t="shared" si="44"/>
        <v>2016.75</v>
      </c>
      <c r="N84" s="13">
        <v>1904</v>
      </c>
      <c r="O84" s="13">
        <f t="shared" si="52"/>
        <v>1904</v>
      </c>
      <c r="P84" s="13">
        <f t="shared" si="53"/>
        <v>52.888888888888886</v>
      </c>
      <c r="Q84" s="13">
        <f t="shared" si="45"/>
        <v>634.66666666666663</v>
      </c>
      <c r="R84" s="13">
        <v>0</v>
      </c>
      <c r="S84" s="13">
        <f t="shared" si="54"/>
        <v>0</v>
      </c>
      <c r="T84" s="13">
        <f t="shared" si="55"/>
        <v>1904</v>
      </c>
      <c r="U84" s="13">
        <f t="shared" si="56"/>
        <v>1904</v>
      </c>
      <c r="V84" s="13">
        <v>0</v>
      </c>
      <c r="W84" s="13">
        <f t="shared" si="57"/>
        <v>0</v>
      </c>
      <c r="X84" s="115">
        <f t="shared" si="58"/>
        <v>0</v>
      </c>
      <c r="Y84" s="116">
        <f t="shared" si="59"/>
        <v>0</v>
      </c>
      <c r="Z84" s="116">
        <f t="shared" si="60"/>
        <v>0</v>
      </c>
      <c r="AA84" s="116">
        <f t="shared" si="61"/>
        <v>0</v>
      </c>
      <c r="AB84" s="144">
        <f>'Ratios (C)'!$C$21+'Ratios (C)'!$D$21</f>
        <v>0.72495456173162076</v>
      </c>
      <c r="AC84" s="116">
        <f t="shared" si="62"/>
        <v>0</v>
      </c>
      <c r="AD84" s="116">
        <f t="shared" si="63"/>
        <v>0</v>
      </c>
      <c r="AE84" s="118"/>
      <c r="AF84" s="119"/>
      <c r="AG84" s="120"/>
      <c r="AH84" s="118"/>
      <c r="AI84" s="119"/>
      <c r="AJ84" s="121"/>
    </row>
    <row r="85" spans="2:36" s="9" customFormat="1">
      <c r="C85" s="9" t="s">
        <v>964</v>
      </c>
      <c r="D85" s="9" t="s">
        <v>965</v>
      </c>
      <c r="G85" s="9">
        <v>2013</v>
      </c>
      <c r="H85" s="9">
        <v>10</v>
      </c>
      <c r="I85" s="9">
        <v>0</v>
      </c>
      <c r="J85" s="9" t="s">
        <v>78</v>
      </c>
      <c r="K85" s="9">
        <v>5</v>
      </c>
      <c r="L85" s="9">
        <f t="shared" si="43"/>
        <v>2018</v>
      </c>
      <c r="M85" s="114">
        <f t="shared" si="44"/>
        <v>2018.8333333333333</v>
      </c>
      <c r="N85" s="13">
        <f>614.72+7131.39+503.75+35788.34</f>
        <v>44038.2</v>
      </c>
      <c r="O85" s="13">
        <f t="shared" si="52"/>
        <v>44038.2</v>
      </c>
      <c r="P85" s="13">
        <f t="shared" si="53"/>
        <v>733.96999999999991</v>
      </c>
      <c r="Q85" s="13">
        <f t="shared" si="45"/>
        <v>8807.64</v>
      </c>
      <c r="R85" s="13">
        <v>0</v>
      </c>
      <c r="S85" s="13">
        <f t="shared" si="54"/>
        <v>0</v>
      </c>
      <c r="T85" s="13">
        <f t="shared" si="55"/>
        <v>44038.2</v>
      </c>
      <c r="U85" s="13">
        <f t="shared" si="56"/>
        <v>44038.2</v>
      </c>
      <c r="V85" s="13">
        <v>0</v>
      </c>
      <c r="W85" s="13">
        <f t="shared" si="57"/>
        <v>0</v>
      </c>
      <c r="X85" s="115">
        <f t="shared" si="58"/>
        <v>0</v>
      </c>
      <c r="Y85" s="116">
        <f t="shared" si="59"/>
        <v>0</v>
      </c>
      <c r="Z85" s="116">
        <f t="shared" si="60"/>
        <v>0</v>
      </c>
      <c r="AA85" s="116">
        <f t="shared" si="61"/>
        <v>0</v>
      </c>
      <c r="AB85" s="144">
        <f>'Ratios (C)'!$C$21+'Ratios (C)'!$D$21</f>
        <v>0.72495456173162076</v>
      </c>
      <c r="AC85" s="116">
        <f t="shared" si="62"/>
        <v>0</v>
      </c>
      <c r="AD85" s="116">
        <f t="shared" si="63"/>
        <v>0</v>
      </c>
      <c r="AE85" s="118"/>
      <c r="AF85" s="119"/>
      <c r="AG85" s="120"/>
      <c r="AH85" s="118"/>
      <c r="AI85" s="119"/>
      <c r="AJ85" s="121"/>
    </row>
    <row r="86" spans="2:36" s="9" customFormat="1">
      <c r="B86" s="9">
        <v>5</v>
      </c>
      <c r="C86" s="9" t="s">
        <v>966</v>
      </c>
      <c r="D86" s="9">
        <v>107879</v>
      </c>
      <c r="G86" s="9">
        <v>2013</v>
      </c>
      <c r="H86" s="9">
        <v>10</v>
      </c>
      <c r="I86" s="9">
        <v>0</v>
      </c>
      <c r="J86" s="9" t="s">
        <v>78</v>
      </c>
      <c r="K86" s="9">
        <v>5</v>
      </c>
      <c r="L86" s="9">
        <f t="shared" si="43"/>
        <v>2018</v>
      </c>
      <c r="M86" s="114">
        <f t="shared" si="44"/>
        <v>2018.8333333333333</v>
      </c>
      <c r="N86" s="13">
        <v>5412.81</v>
      </c>
      <c r="O86" s="13">
        <f t="shared" si="52"/>
        <v>5412.81</v>
      </c>
      <c r="P86" s="13">
        <f t="shared" si="53"/>
        <v>90.21350000000001</v>
      </c>
      <c r="Q86" s="13">
        <f t="shared" si="45"/>
        <v>1082.5620000000001</v>
      </c>
      <c r="R86" s="13">
        <v>0</v>
      </c>
      <c r="S86" s="13">
        <f t="shared" si="54"/>
        <v>0</v>
      </c>
      <c r="T86" s="13">
        <f t="shared" si="55"/>
        <v>5412.81</v>
      </c>
      <c r="U86" s="13">
        <f t="shared" si="56"/>
        <v>5412.81</v>
      </c>
      <c r="V86" s="13">
        <v>0</v>
      </c>
      <c r="W86" s="13">
        <f t="shared" si="57"/>
        <v>0</v>
      </c>
      <c r="X86" s="115">
        <f t="shared" si="58"/>
        <v>0</v>
      </c>
      <c r="Y86" s="116">
        <f t="shared" si="59"/>
        <v>0</v>
      </c>
      <c r="Z86" s="116">
        <f t="shared" si="60"/>
        <v>0</v>
      </c>
      <c r="AA86" s="116">
        <f t="shared" si="61"/>
        <v>0</v>
      </c>
      <c r="AB86" s="144">
        <f>'Ratios (C)'!$C$21+'Ratios (C)'!$D$21</f>
        <v>0.72495456173162076</v>
      </c>
      <c r="AC86" s="116">
        <f t="shared" si="62"/>
        <v>0</v>
      </c>
      <c r="AD86" s="116">
        <f t="shared" si="63"/>
        <v>0</v>
      </c>
      <c r="AE86" s="118"/>
      <c r="AF86" s="119"/>
      <c r="AG86" s="120"/>
      <c r="AH86" s="118"/>
      <c r="AI86" s="119"/>
      <c r="AJ86" s="121"/>
    </row>
    <row r="87" spans="2:36" s="9" customFormat="1">
      <c r="C87" s="9" t="s">
        <v>967</v>
      </c>
      <c r="D87" s="9">
        <v>108970</v>
      </c>
      <c r="G87" s="9">
        <v>2013</v>
      </c>
      <c r="H87" s="9">
        <v>11</v>
      </c>
      <c r="I87" s="9">
        <v>0</v>
      </c>
      <c r="J87" s="9" t="s">
        <v>78</v>
      </c>
      <c r="K87" s="9">
        <v>3</v>
      </c>
      <c r="L87" s="9">
        <f t="shared" si="43"/>
        <v>2016</v>
      </c>
      <c r="M87" s="114">
        <f t="shared" si="44"/>
        <v>2016.9166666666667</v>
      </c>
      <c r="N87" s="13">
        <v>1504.24</v>
      </c>
      <c r="O87" s="13">
        <f t="shared" si="52"/>
        <v>1504.24</v>
      </c>
      <c r="P87" s="13">
        <f t="shared" si="53"/>
        <v>41.784444444444446</v>
      </c>
      <c r="Q87" s="13">
        <f t="shared" si="45"/>
        <v>501.41333333333336</v>
      </c>
      <c r="R87" s="13">
        <v>0</v>
      </c>
      <c r="S87" s="13">
        <f t="shared" si="54"/>
        <v>0</v>
      </c>
      <c r="T87" s="13">
        <f t="shared" si="55"/>
        <v>1504.24</v>
      </c>
      <c r="U87" s="13">
        <f t="shared" si="56"/>
        <v>1504.24</v>
      </c>
      <c r="V87" s="13">
        <v>0</v>
      </c>
      <c r="W87" s="13">
        <f t="shared" si="57"/>
        <v>0</v>
      </c>
      <c r="X87" s="115">
        <f t="shared" si="58"/>
        <v>0</v>
      </c>
      <c r="Y87" s="116">
        <f t="shared" si="59"/>
        <v>0</v>
      </c>
      <c r="Z87" s="116">
        <f t="shared" si="60"/>
        <v>0</v>
      </c>
      <c r="AA87" s="116">
        <f t="shared" si="61"/>
        <v>0</v>
      </c>
      <c r="AB87" s="144">
        <f>'Ratios (C)'!$C$21+'Ratios (C)'!$D$21</f>
        <v>0.72495456173162076</v>
      </c>
      <c r="AC87" s="116">
        <f t="shared" si="62"/>
        <v>0</v>
      </c>
      <c r="AD87" s="116">
        <f t="shared" si="63"/>
        <v>0</v>
      </c>
      <c r="AE87" s="118"/>
      <c r="AF87" s="119"/>
      <c r="AG87" s="120"/>
      <c r="AH87" s="118"/>
      <c r="AI87" s="119"/>
      <c r="AJ87" s="121"/>
    </row>
    <row r="88" spans="2:36" s="9" customFormat="1">
      <c r="C88" s="9" t="s">
        <v>968</v>
      </c>
      <c r="D88" s="9">
        <v>111095</v>
      </c>
      <c r="G88" s="9">
        <v>2014</v>
      </c>
      <c r="H88" s="9">
        <v>2</v>
      </c>
      <c r="I88" s="9">
        <v>0</v>
      </c>
      <c r="J88" s="9" t="s">
        <v>78</v>
      </c>
      <c r="K88" s="9">
        <v>3</v>
      </c>
      <c r="L88" s="9">
        <f t="shared" si="43"/>
        <v>2017</v>
      </c>
      <c r="M88" s="114">
        <f t="shared" si="44"/>
        <v>2017.1666666666667</v>
      </c>
      <c r="N88" s="13">
        <v>1069.8599999999999</v>
      </c>
      <c r="O88" s="13">
        <f t="shared" si="52"/>
        <v>1069.8599999999999</v>
      </c>
      <c r="P88" s="13">
        <f t="shared" si="53"/>
        <v>29.71833333333333</v>
      </c>
      <c r="Q88" s="13">
        <f t="shared" si="45"/>
        <v>356.61999999999995</v>
      </c>
      <c r="R88" s="13">
        <v>0</v>
      </c>
      <c r="S88" s="13">
        <f t="shared" si="54"/>
        <v>0</v>
      </c>
      <c r="T88" s="13">
        <f t="shared" si="55"/>
        <v>1069.8599999999999</v>
      </c>
      <c r="U88" s="13">
        <f t="shared" si="56"/>
        <v>1069.8599999999999</v>
      </c>
      <c r="V88" s="13">
        <v>0</v>
      </c>
      <c r="W88" s="13">
        <f t="shared" si="57"/>
        <v>0</v>
      </c>
      <c r="X88" s="115">
        <f t="shared" si="58"/>
        <v>0</v>
      </c>
      <c r="Y88" s="116">
        <f t="shared" si="59"/>
        <v>0</v>
      </c>
      <c r="Z88" s="116">
        <f t="shared" si="60"/>
        <v>0</v>
      </c>
      <c r="AA88" s="116">
        <f t="shared" si="61"/>
        <v>0</v>
      </c>
      <c r="AB88" s="144">
        <f>'Ratios (C)'!$C$21+'Ratios (C)'!$D$21</f>
        <v>0.72495456173162076</v>
      </c>
      <c r="AC88" s="116">
        <f t="shared" si="62"/>
        <v>0</v>
      </c>
      <c r="AD88" s="116">
        <f t="shared" si="63"/>
        <v>0</v>
      </c>
      <c r="AE88" s="118"/>
      <c r="AF88" s="119"/>
      <c r="AG88" s="120"/>
      <c r="AH88" s="118"/>
      <c r="AI88" s="119"/>
      <c r="AJ88" s="121"/>
    </row>
    <row r="89" spans="2:36" s="9" customFormat="1">
      <c r="C89" s="9" t="s">
        <v>968</v>
      </c>
      <c r="D89" s="9">
        <v>112600</v>
      </c>
      <c r="G89" s="9">
        <v>2014</v>
      </c>
      <c r="H89" s="9">
        <v>3</v>
      </c>
      <c r="I89" s="9">
        <v>0</v>
      </c>
      <c r="J89" s="9" t="s">
        <v>78</v>
      </c>
      <c r="K89" s="9">
        <v>3</v>
      </c>
      <c r="L89" s="9">
        <f t="shared" si="43"/>
        <v>2017</v>
      </c>
      <c r="M89" s="114">
        <f t="shared" si="44"/>
        <v>2017.25</v>
      </c>
      <c r="N89" s="13">
        <v>1017.56</v>
      </c>
      <c r="O89" s="13">
        <f t="shared" si="52"/>
        <v>1017.56</v>
      </c>
      <c r="P89" s="13">
        <f t="shared" si="53"/>
        <v>28.265555555555554</v>
      </c>
      <c r="Q89" s="13">
        <f t="shared" si="45"/>
        <v>339.18666666666667</v>
      </c>
      <c r="R89" s="13">
        <v>0</v>
      </c>
      <c r="S89" s="13">
        <f t="shared" si="54"/>
        <v>0</v>
      </c>
      <c r="T89" s="13">
        <f t="shared" si="55"/>
        <v>1017.56</v>
      </c>
      <c r="U89" s="13">
        <f t="shared" si="56"/>
        <v>1017.56</v>
      </c>
      <c r="V89" s="13">
        <v>0</v>
      </c>
      <c r="W89" s="13">
        <f t="shared" si="57"/>
        <v>0</v>
      </c>
      <c r="X89" s="115">
        <f t="shared" si="58"/>
        <v>0</v>
      </c>
      <c r="Y89" s="116">
        <f t="shared" si="59"/>
        <v>0</v>
      </c>
      <c r="Z89" s="116">
        <f t="shared" si="60"/>
        <v>0</v>
      </c>
      <c r="AA89" s="116">
        <f t="shared" si="61"/>
        <v>0</v>
      </c>
      <c r="AB89" s="144">
        <f>'Ratios (C)'!$C$21+'Ratios (C)'!$D$21</f>
        <v>0.72495456173162076</v>
      </c>
      <c r="AC89" s="116">
        <f t="shared" si="62"/>
        <v>0</v>
      </c>
      <c r="AD89" s="116">
        <f t="shared" si="63"/>
        <v>0</v>
      </c>
      <c r="AE89" s="118"/>
      <c r="AF89" s="119"/>
      <c r="AG89" s="120"/>
      <c r="AH89" s="118"/>
      <c r="AI89" s="119"/>
      <c r="AJ89" s="121"/>
    </row>
    <row r="90" spans="2:36" s="9" customFormat="1">
      <c r="B90" s="9">
        <v>5</v>
      </c>
      <c r="C90" s="9" t="s">
        <v>969</v>
      </c>
      <c r="D90" s="9">
        <v>113271</v>
      </c>
      <c r="G90" s="9">
        <v>2014</v>
      </c>
      <c r="H90" s="9">
        <v>4</v>
      </c>
      <c r="I90" s="9">
        <v>0</v>
      </c>
      <c r="J90" s="9" t="s">
        <v>78</v>
      </c>
      <c r="K90" s="9">
        <v>3</v>
      </c>
      <c r="L90" s="9">
        <f t="shared" si="43"/>
        <v>2017</v>
      </c>
      <c r="M90" s="114">
        <f t="shared" si="44"/>
        <v>2017.3333333333333</v>
      </c>
      <c r="N90" s="13">
        <v>1641.48</v>
      </c>
      <c r="O90" s="13">
        <f t="shared" si="52"/>
        <v>1641.48</v>
      </c>
      <c r="P90" s="13">
        <f t="shared" si="53"/>
        <v>45.596666666666664</v>
      </c>
      <c r="Q90" s="13">
        <f t="shared" si="45"/>
        <v>547.16</v>
      </c>
      <c r="R90" s="13">
        <v>0</v>
      </c>
      <c r="S90" s="13">
        <f t="shared" si="54"/>
        <v>0</v>
      </c>
      <c r="T90" s="13">
        <f t="shared" si="55"/>
        <v>1641.48</v>
      </c>
      <c r="U90" s="13">
        <f t="shared" si="56"/>
        <v>1641.48</v>
      </c>
      <c r="V90" s="13">
        <v>0</v>
      </c>
      <c r="W90" s="13">
        <f t="shared" si="57"/>
        <v>0</v>
      </c>
      <c r="X90" s="115">
        <f t="shared" si="58"/>
        <v>0</v>
      </c>
      <c r="Y90" s="116">
        <f t="shared" si="59"/>
        <v>0</v>
      </c>
      <c r="Z90" s="116">
        <f t="shared" si="60"/>
        <v>0</v>
      </c>
      <c r="AA90" s="116">
        <f t="shared" si="61"/>
        <v>0</v>
      </c>
      <c r="AB90" s="144">
        <f>'Ratios (C)'!$C$21+'Ratios (C)'!$D$21</f>
        <v>0.72495456173162076</v>
      </c>
      <c r="AC90" s="116">
        <f t="shared" si="62"/>
        <v>0</v>
      </c>
      <c r="AD90" s="116">
        <f t="shared" si="63"/>
        <v>0</v>
      </c>
      <c r="AE90" s="118"/>
      <c r="AF90" s="119"/>
      <c r="AG90" s="120"/>
      <c r="AH90" s="118"/>
      <c r="AI90" s="119"/>
      <c r="AJ90" s="121"/>
    </row>
    <row r="91" spans="2:36" s="9" customFormat="1">
      <c r="B91" s="9">
        <v>30</v>
      </c>
      <c r="C91" s="9" t="s">
        <v>970</v>
      </c>
      <c r="D91" s="9">
        <v>120653</v>
      </c>
      <c r="G91" s="9">
        <v>2015</v>
      </c>
      <c r="H91" s="9">
        <v>2</v>
      </c>
      <c r="I91" s="9">
        <v>0</v>
      </c>
      <c r="J91" s="9" t="s">
        <v>78</v>
      </c>
      <c r="K91" s="9">
        <v>3</v>
      </c>
      <c r="L91" s="9">
        <f t="shared" si="43"/>
        <v>2018</v>
      </c>
      <c r="M91" s="114">
        <f t="shared" si="44"/>
        <v>2018.1666666666667</v>
      </c>
      <c r="N91" s="13">
        <v>9908.6299999999992</v>
      </c>
      <c r="O91" s="13">
        <f t="shared" si="52"/>
        <v>9908.6299999999992</v>
      </c>
      <c r="P91" s="13">
        <f t="shared" si="53"/>
        <v>275.23972222222221</v>
      </c>
      <c r="Q91" s="13">
        <f t="shared" si="45"/>
        <v>3302.8766666666666</v>
      </c>
      <c r="R91" s="13">
        <v>0</v>
      </c>
      <c r="S91" s="13">
        <f t="shared" si="54"/>
        <v>0</v>
      </c>
      <c r="T91" s="13">
        <f t="shared" si="55"/>
        <v>9908.6299999999992</v>
      </c>
      <c r="U91" s="13">
        <f t="shared" si="56"/>
        <v>9908.6299999999992</v>
      </c>
      <c r="V91" s="13">
        <v>0</v>
      </c>
      <c r="W91" s="13">
        <f t="shared" si="57"/>
        <v>0</v>
      </c>
      <c r="X91" s="115">
        <f t="shared" si="58"/>
        <v>0</v>
      </c>
      <c r="Y91" s="116">
        <f t="shared" si="59"/>
        <v>0</v>
      </c>
      <c r="Z91" s="116">
        <f t="shared" si="60"/>
        <v>0</v>
      </c>
      <c r="AA91" s="116">
        <f t="shared" si="61"/>
        <v>0</v>
      </c>
      <c r="AB91" s="144">
        <f>'Ratios (C)'!$C$21+'Ratios (C)'!$D$21</f>
        <v>0.72495456173162076</v>
      </c>
      <c r="AC91" s="116">
        <f t="shared" si="62"/>
        <v>0</v>
      </c>
      <c r="AD91" s="116">
        <f t="shared" si="63"/>
        <v>0</v>
      </c>
      <c r="AE91" s="118"/>
      <c r="AF91" s="119"/>
      <c r="AG91" s="120"/>
      <c r="AH91" s="118"/>
      <c r="AI91" s="119"/>
      <c r="AJ91" s="121"/>
    </row>
    <row r="92" spans="2:36" s="9" customFormat="1">
      <c r="B92" s="9">
        <v>6</v>
      </c>
      <c r="C92" s="9" t="s">
        <v>971</v>
      </c>
      <c r="D92" s="9">
        <v>120654</v>
      </c>
      <c r="G92" s="9">
        <v>2015</v>
      </c>
      <c r="H92" s="9">
        <v>2</v>
      </c>
      <c r="I92" s="9">
        <v>0</v>
      </c>
      <c r="J92" s="9" t="s">
        <v>78</v>
      </c>
      <c r="K92" s="9">
        <v>3</v>
      </c>
      <c r="L92" s="9">
        <f t="shared" si="43"/>
        <v>2018</v>
      </c>
      <c r="M92" s="114">
        <f t="shared" si="44"/>
        <v>2018.1666666666667</v>
      </c>
      <c r="N92" s="13">
        <v>4387.54</v>
      </c>
      <c r="O92" s="13">
        <f t="shared" si="52"/>
        <v>4387.54</v>
      </c>
      <c r="P92" s="13">
        <f t="shared" si="53"/>
        <v>121.87611111111111</v>
      </c>
      <c r="Q92" s="13">
        <f t="shared" si="45"/>
        <v>1462.5133333333333</v>
      </c>
      <c r="R92" s="13">
        <v>0</v>
      </c>
      <c r="S92" s="13">
        <f t="shared" si="54"/>
        <v>0</v>
      </c>
      <c r="T92" s="13">
        <f t="shared" si="55"/>
        <v>4387.54</v>
      </c>
      <c r="U92" s="13">
        <f t="shared" si="56"/>
        <v>4387.54</v>
      </c>
      <c r="V92" s="13">
        <v>0</v>
      </c>
      <c r="W92" s="13">
        <f t="shared" si="57"/>
        <v>0</v>
      </c>
      <c r="X92" s="115">
        <f t="shared" si="58"/>
        <v>0</v>
      </c>
      <c r="Y92" s="116">
        <f t="shared" si="59"/>
        <v>0</v>
      </c>
      <c r="Z92" s="116">
        <f t="shared" si="60"/>
        <v>0</v>
      </c>
      <c r="AA92" s="116">
        <f t="shared" si="61"/>
        <v>0</v>
      </c>
      <c r="AB92" s="144">
        <f>'Ratios (C)'!$C$21+'Ratios (C)'!$D$21</f>
        <v>0.72495456173162076</v>
      </c>
      <c r="AC92" s="116">
        <f t="shared" si="62"/>
        <v>0</v>
      </c>
      <c r="AD92" s="116">
        <f t="shared" si="63"/>
        <v>0</v>
      </c>
      <c r="AE92" s="118"/>
      <c r="AF92" s="119"/>
      <c r="AG92" s="120"/>
      <c r="AH92" s="118"/>
      <c r="AI92" s="119"/>
      <c r="AJ92" s="121"/>
    </row>
    <row r="93" spans="2:36" s="9" customFormat="1">
      <c r="B93" s="9">
        <v>1</v>
      </c>
      <c r="C93" s="9" t="s">
        <v>972</v>
      </c>
      <c r="D93" s="9">
        <v>122828</v>
      </c>
      <c r="G93" s="9">
        <v>2015</v>
      </c>
      <c r="H93" s="9">
        <v>5</v>
      </c>
      <c r="I93" s="9">
        <v>0</v>
      </c>
      <c r="J93" s="9" t="s">
        <v>78</v>
      </c>
      <c r="K93" s="9">
        <v>3</v>
      </c>
      <c r="L93" s="9">
        <f t="shared" si="43"/>
        <v>2018</v>
      </c>
      <c r="M93" s="114">
        <f t="shared" si="44"/>
        <v>2018.4166666666667</v>
      </c>
      <c r="N93" s="13">
        <v>1096.6600000000001</v>
      </c>
      <c r="O93" s="13">
        <f t="shared" si="52"/>
        <v>1096.6600000000001</v>
      </c>
      <c r="P93" s="13">
        <f t="shared" si="53"/>
        <v>30.462777777777777</v>
      </c>
      <c r="Q93" s="13">
        <f t="shared" si="45"/>
        <v>365.55333333333334</v>
      </c>
      <c r="R93" s="13">
        <v>0</v>
      </c>
      <c r="S93" s="13">
        <f t="shared" si="54"/>
        <v>0</v>
      </c>
      <c r="T93" s="13">
        <f t="shared" si="55"/>
        <v>1096.6600000000001</v>
      </c>
      <c r="U93" s="13">
        <f t="shared" si="56"/>
        <v>1096.6600000000001</v>
      </c>
      <c r="V93" s="13">
        <v>0</v>
      </c>
      <c r="W93" s="13">
        <f t="shared" si="57"/>
        <v>0</v>
      </c>
      <c r="X93" s="115">
        <f t="shared" si="58"/>
        <v>0</v>
      </c>
      <c r="Y93" s="116">
        <f t="shared" si="59"/>
        <v>0</v>
      </c>
      <c r="Z93" s="116">
        <f t="shared" si="60"/>
        <v>0</v>
      </c>
      <c r="AA93" s="116">
        <f t="shared" si="61"/>
        <v>0</v>
      </c>
      <c r="AB93" s="144">
        <f>'Ratios (C)'!$C$21+'Ratios (C)'!$D$21</f>
        <v>0.72495456173162076</v>
      </c>
      <c r="AC93" s="116">
        <f t="shared" si="62"/>
        <v>0</v>
      </c>
      <c r="AD93" s="116">
        <f t="shared" si="63"/>
        <v>0</v>
      </c>
      <c r="AE93" s="118"/>
      <c r="AF93" s="119"/>
      <c r="AG93" s="120"/>
      <c r="AH93" s="118"/>
      <c r="AI93" s="119"/>
      <c r="AJ93" s="121"/>
    </row>
    <row r="94" spans="2:36" s="9" customFormat="1">
      <c r="B94" s="9">
        <v>1</v>
      </c>
      <c r="C94" s="9" t="s">
        <v>973</v>
      </c>
      <c r="D94" s="9">
        <v>122829</v>
      </c>
      <c r="G94" s="9">
        <v>2015</v>
      </c>
      <c r="H94" s="9">
        <v>5</v>
      </c>
      <c r="I94" s="9">
        <v>0</v>
      </c>
      <c r="J94" s="9" t="s">
        <v>78</v>
      </c>
      <c r="K94" s="9">
        <v>3</v>
      </c>
      <c r="L94" s="9">
        <f t="shared" si="43"/>
        <v>2018</v>
      </c>
      <c r="M94" s="114">
        <f t="shared" si="44"/>
        <v>2018.4166666666667</v>
      </c>
      <c r="N94" s="13">
        <v>1084.92</v>
      </c>
      <c r="O94" s="13">
        <f t="shared" si="52"/>
        <v>1084.92</v>
      </c>
      <c r="P94" s="13">
        <f t="shared" si="53"/>
        <v>30.13666666666667</v>
      </c>
      <c r="Q94" s="13">
        <f t="shared" si="45"/>
        <v>361.64000000000004</v>
      </c>
      <c r="R94" s="13">
        <v>0</v>
      </c>
      <c r="S94" s="13">
        <f t="shared" si="54"/>
        <v>0</v>
      </c>
      <c r="T94" s="13">
        <f t="shared" si="55"/>
        <v>1084.92</v>
      </c>
      <c r="U94" s="13">
        <f t="shared" si="56"/>
        <v>1084.92</v>
      </c>
      <c r="V94" s="13">
        <v>0</v>
      </c>
      <c r="W94" s="13">
        <f t="shared" si="57"/>
        <v>0</v>
      </c>
      <c r="X94" s="115">
        <f t="shared" si="58"/>
        <v>0</v>
      </c>
      <c r="Y94" s="116">
        <f t="shared" si="59"/>
        <v>0</v>
      </c>
      <c r="Z94" s="116">
        <f t="shared" si="60"/>
        <v>0</v>
      </c>
      <c r="AA94" s="116">
        <f t="shared" si="61"/>
        <v>0</v>
      </c>
      <c r="AB94" s="144">
        <f>'Ratios (C)'!$C$21+'Ratios (C)'!$D$21</f>
        <v>0.72495456173162076</v>
      </c>
      <c r="AC94" s="116">
        <f t="shared" si="62"/>
        <v>0</v>
      </c>
      <c r="AD94" s="116">
        <f t="shared" si="63"/>
        <v>0</v>
      </c>
      <c r="AE94" s="118"/>
      <c r="AF94" s="119"/>
      <c r="AG94" s="120"/>
      <c r="AH94" s="118"/>
      <c r="AI94" s="119"/>
      <c r="AJ94" s="121"/>
    </row>
    <row r="95" spans="2:36" s="9" customFormat="1">
      <c r="B95" s="9">
        <v>1</v>
      </c>
      <c r="C95" s="9" t="s">
        <v>971</v>
      </c>
      <c r="D95" s="9">
        <v>122830</v>
      </c>
      <c r="G95" s="9">
        <v>2015</v>
      </c>
      <c r="H95" s="9">
        <v>5</v>
      </c>
      <c r="I95" s="9">
        <v>0</v>
      </c>
      <c r="J95" s="9" t="s">
        <v>78</v>
      </c>
      <c r="K95" s="9">
        <v>3</v>
      </c>
      <c r="L95" s="9">
        <f t="shared" si="43"/>
        <v>2018</v>
      </c>
      <c r="M95" s="114">
        <f t="shared" si="44"/>
        <v>2018.4166666666667</v>
      </c>
      <c r="N95" s="13">
        <v>716.06</v>
      </c>
      <c r="O95" s="13">
        <f t="shared" si="52"/>
        <v>716.06</v>
      </c>
      <c r="P95" s="13">
        <f t="shared" si="53"/>
        <v>19.890555555555554</v>
      </c>
      <c r="Q95" s="13">
        <f t="shared" si="45"/>
        <v>238.68666666666667</v>
      </c>
      <c r="R95" s="13">
        <v>0</v>
      </c>
      <c r="S95" s="13">
        <f t="shared" si="54"/>
        <v>0</v>
      </c>
      <c r="T95" s="13">
        <f t="shared" si="55"/>
        <v>716.06</v>
      </c>
      <c r="U95" s="13">
        <f t="shared" si="56"/>
        <v>716.06</v>
      </c>
      <c r="V95" s="13">
        <v>0</v>
      </c>
      <c r="W95" s="13">
        <f t="shared" si="57"/>
        <v>0</v>
      </c>
      <c r="X95" s="115">
        <f t="shared" si="58"/>
        <v>0</v>
      </c>
      <c r="Y95" s="116">
        <f t="shared" si="59"/>
        <v>0</v>
      </c>
      <c r="Z95" s="116">
        <f t="shared" si="60"/>
        <v>0</v>
      </c>
      <c r="AA95" s="116">
        <f t="shared" si="61"/>
        <v>0</v>
      </c>
      <c r="AB95" s="144">
        <f>'Ratios (C)'!$C$21+'Ratios (C)'!$D$21</f>
        <v>0.72495456173162076</v>
      </c>
      <c r="AC95" s="116">
        <f t="shared" si="62"/>
        <v>0</v>
      </c>
      <c r="AD95" s="116">
        <f t="shared" si="63"/>
        <v>0</v>
      </c>
      <c r="AE95" s="118"/>
      <c r="AF95" s="119"/>
      <c r="AG95" s="120"/>
      <c r="AH95" s="118"/>
      <c r="AI95" s="119"/>
      <c r="AJ95" s="121"/>
    </row>
    <row r="96" spans="2:36" s="9" customFormat="1">
      <c r="B96" s="9">
        <v>1</v>
      </c>
      <c r="C96" s="9" t="s">
        <v>972</v>
      </c>
      <c r="D96" s="9">
        <v>124285</v>
      </c>
      <c r="G96" s="9">
        <v>2015</v>
      </c>
      <c r="H96" s="9">
        <v>7</v>
      </c>
      <c r="I96" s="9">
        <v>0</v>
      </c>
      <c r="J96" s="9" t="s">
        <v>78</v>
      </c>
      <c r="K96" s="9">
        <v>3</v>
      </c>
      <c r="L96" s="9">
        <f t="shared" si="43"/>
        <v>2018</v>
      </c>
      <c r="M96" s="114">
        <f t="shared" si="44"/>
        <v>2018.5833333333333</v>
      </c>
      <c r="N96" s="13">
        <v>1034.5999999999999</v>
      </c>
      <c r="O96" s="13">
        <f t="shared" si="52"/>
        <v>1034.5999999999999</v>
      </c>
      <c r="P96" s="13">
        <f t="shared" si="53"/>
        <v>28.738888888888884</v>
      </c>
      <c r="Q96" s="13">
        <f t="shared" si="45"/>
        <v>344.86666666666662</v>
      </c>
      <c r="R96" s="13">
        <v>0</v>
      </c>
      <c r="S96" s="13">
        <f t="shared" si="54"/>
        <v>0</v>
      </c>
      <c r="T96" s="13">
        <f t="shared" si="55"/>
        <v>1034.5999999999999</v>
      </c>
      <c r="U96" s="13">
        <f t="shared" si="56"/>
        <v>1034.5999999999999</v>
      </c>
      <c r="V96" s="13">
        <v>0</v>
      </c>
      <c r="W96" s="13">
        <f t="shared" si="57"/>
        <v>0</v>
      </c>
      <c r="X96" s="115">
        <f t="shared" si="58"/>
        <v>0</v>
      </c>
      <c r="Y96" s="116">
        <f t="shared" si="59"/>
        <v>0</v>
      </c>
      <c r="Z96" s="116">
        <f t="shared" si="60"/>
        <v>0</v>
      </c>
      <c r="AA96" s="116">
        <f t="shared" si="61"/>
        <v>0</v>
      </c>
      <c r="AB96" s="144">
        <f>'Ratios (C)'!$C$21+'Ratios (C)'!$D$21</f>
        <v>0.72495456173162076</v>
      </c>
      <c r="AC96" s="116">
        <f t="shared" si="62"/>
        <v>0</v>
      </c>
      <c r="AD96" s="116">
        <f t="shared" si="63"/>
        <v>0</v>
      </c>
      <c r="AE96" s="118"/>
      <c r="AF96" s="119"/>
      <c r="AG96" s="120"/>
      <c r="AH96" s="118"/>
      <c r="AI96" s="119"/>
      <c r="AJ96" s="121"/>
    </row>
    <row r="97" spans="2:36" s="9" customFormat="1">
      <c r="B97" s="9">
        <v>1</v>
      </c>
      <c r="C97" s="9" t="s">
        <v>974</v>
      </c>
      <c r="D97" s="9">
        <v>128908</v>
      </c>
      <c r="G97" s="9">
        <v>2015</v>
      </c>
      <c r="H97" s="9">
        <v>12</v>
      </c>
      <c r="I97" s="9">
        <v>0</v>
      </c>
      <c r="J97" s="9" t="s">
        <v>78</v>
      </c>
      <c r="K97" s="9">
        <v>3</v>
      </c>
      <c r="L97" s="9">
        <f t="shared" si="43"/>
        <v>2018</v>
      </c>
      <c r="M97" s="114">
        <f t="shared" si="44"/>
        <v>2019</v>
      </c>
      <c r="N97" s="13">
        <v>1087.92</v>
      </c>
      <c r="O97" s="13">
        <f t="shared" si="52"/>
        <v>1087.92</v>
      </c>
      <c r="P97" s="13">
        <f t="shared" si="53"/>
        <v>30.220000000000002</v>
      </c>
      <c r="Q97" s="13">
        <f t="shared" si="45"/>
        <v>362.64000000000004</v>
      </c>
      <c r="R97" s="13">
        <v>0</v>
      </c>
      <c r="S97" s="13">
        <f t="shared" si="54"/>
        <v>0</v>
      </c>
      <c r="T97" s="13">
        <f t="shared" si="55"/>
        <v>1087.92</v>
      </c>
      <c r="U97" s="13">
        <f t="shared" si="56"/>
        <v>1087.92</v>
      </c>
      <c r="V97" s="13">
        <v>0</v>
      </c>
      <c r="W97" s="13">
        <f t="shared" si="57"/>
        <v>0</v>
      </c>
      <c r="X97" s="115">
        <f t="shared" si="58"/>
        <v>0</v>
      </c>
      <c r="Y97" s="116">
        <f t="shared" si="59"/>
        <v>0</v>
      </c>
      <c r="Z97" s="116">
        <f t="shared" si="60"/>
        <v>0</v>
      </c>
      <c r="AA97" s="116">
        <f t="shared" si="61"/>
        <v>0</v>
      </c>
      <c r="AB97" s="144">
        <f>'Ratios (C)'!$C$21+'Ratios (C)'!$D$21</f>
        <v>0.72495456173162076</v>
      </c>
      <c r="AC97" s="116">
        <f t="shared" si="62"/>
        <v>0</v>
      </c>
      <c r="AD97" s="116">
        <f t="shared" si="63"/>
        <v>0</v>
      </c>
      <c r="AE97" s="118"/>
      <c r="AF97" s="119"/>
      <c r="AG97" s="120"/>
      <c r="AH97" s="118"/>
      <c r="AI97" s="119"/>
      <c r="AJ97" s="121"/>
    </row>
    <row r="98" spans="2:36" s="9" customFormat="1">
      <c r="C98" s="9" t="s">
        <v>974</v>
      </c>
      <c r="D98" s="9">
        <v>128909</v>
      </c>
      <c r="G98" s="9">
        <v>2015</v>
      </c>
      <c r="H98" s="9">
        <v>12</v>
      </c>
      <c r="I98" s="9">
        <v>0</v>
      </c>
      <c r="J98" s="9" t="s">
        <v>78</v>
      </c>
      <c r="K98" s="9">
        <v>3</v>
      </c>
      <c r="L98" s="9">
        <f t="shared" si="43"/>
        <v>2018</v>
      </c>
      <c r="M98" s="114">
        <f t="shared" si="44"/>
        <v>2019</v>
      </c>
      <c r="N98" s="13">
        <v>1087.92</v>
      </c>
      <c r="O98" s="13">
        <f t="shared" si="52"/>
        <v>1087.92</v>
      </c>
      <c r="P98" s="13">
        <f t="shared" si="53"/>
        <v>30.220000000000002</v>
      </c>
      <c r="Q98" s="13">
        <f t="shared" si="45"/>
        <v>362.64000000000004</v>
      </c>
      <c r="R98" s="13">
        <v>0</v>
      </c>
      <c r="S98" s="13">
        <f t="shared" si="54"/>
        <v>0</v>
      </c>
      <c r="T98" s="13">
        <f t="shared" si="55"/>
        <v>1087.92</v>
      </c>
      <c r="U98" s="13">
        <f t="shared" si="56"/>
        <v>1087.92</v>
      </c>
      <c r="V98" s="13">
        <v>0</v>
      </c>
      <c r="W98" s="13">
        <f t="shared" si="57"/>
        <v>0</v>
      </c>
      <c r="X98" s="115">
        <f t="shared" si="58"/>
        <v>0</v>
      </c>
      <c r="Y98" s="116">
        <f t="shared" si="59"/>
        <v>0</v>
      </c>
      <c r="Z98" s="116">
        <f t="shared" si="60"/>
        <v>0</v>
      </c>
      <c r="AA98" s="116">
        <f t="shared" si="61"/>
        <v>0</v>
      </c>
      <c r="AB98" s="144">
        <f>'Ratios (C)'!$C$21+'Ratios (C)'!$D$21</f>
        <v>0.72495456173162076</v>
      </c>
      <c r="AC98" s="116">
        <f t="shared" si="62"/>
        <v>0</v>
      </c>
      <c r="AD98" s="116">
        <f t="shared" si="63"/>
        <v>0</v>
      </c>
      <c r="AE98" s="118"/>
      <c r="AF98" s="119"/>
      <c r="AG98" s="120"/>
      <c r="AH98" s="118"/>
      <c r="AI98" s="119"/>
      <c r="AJ98" s="121"/>
    </row>
    <row r="99" spans="2:36" s="9" customFormat="1">
      <c r="C99" s="9" t="s">
        <v>975</v>
      </c>
      <c r="D99" s="9">
        <v>131296</v>
      </c>
      <c r="G99" s="9">
        <v>2016</v>
      </c>
      <c r="H99" s="9">
        <v>3</v>
      </c>
      <c r="I99" s="9">
        <v>0</v>
      </c>
      <c r="J99" s="9" t="s">
        <v>78</v>
      </c>
      <c r="K99" s="9">
        <v>3</v>
      </c>
      <c r="L99" s="9">
        <f t="shared" si="43"/>
        <v>2019</v>
      </c>
      <c r="M99" s="114">
        <f t="shared" si="44"/>
        <v>2019.25</v>
      </c>
      <c r="N99" s="13">
        <v>980.25</v>
      </c>
      <c r="O99" s="13">
        <f t="shared" si="52"/>
        <v>980.25</v>
      </c>
      <c r="P99" s="13">
        <f t="shared" si="53"/>
        <v>27.229166666666668</v>
      </c>
      <c r="Q99" s="13">
        <f t="shared" si="45"/>
        <v>326.75</v>
      </c>
      <c r="R99" s="13">
        <v>0</v>
      </c>
      <c r="S99" s="13">
        <f t="shared" si="54"/>
        <v>0</v>
      </c>
      <c r="T99" s="13">
        <f t="shared" si="55"/>
        <v>980.25</v>
      </c>
      <c r="U99" s="13">
        <f t="shared" si="56"/>
        <v>980.25</v>
      </c>
      <c r="V99" s="13">
        <v>0</v>
      </c>
      <c r="W99" s="13">
        <f t="shared" si="57"/>
        <v>0</v>
      </c>
      <c r="X99" s="115">
        <f t="shared" si="58"/>
        <v>0</v>
      </c>
      <c r="Y99" s="116">
        <f t="shared" si="59"/>
        <v>0</v>
      </c>
      <c r="Z99" s="116">
        <f t="shared" si="60"/>
        <v>0</v>
      </c>
      <c r="AA99" s="116">
        <f t="shared" si="61"/>
        <v>0</v>
      </c>
      <c r="AB99" s="144">
        <f>'Ratios (C)'!$C$21+'Ratios (C)'!$D$21</f>
        <v>0.72495456173162076</v>
      </c>
      <c r="AC99" s="116">
        <f t="shared" si="62"/>
        <v>0</v>
      </c>
      <c r="AD99" s="116">
        <f t="shared" si="63"/>
        <v>0</v>
      </c>
      <c r="AE99" s="118"/>
      <c r="AF99" s="119"/>
      <c r="AG99" s="120"/>
      <c r="AH99" s="118"/>
      <c r="AI99" s="119"/>
      <c r="AJ99" s="121"/>
    </row>
    <row r="100" spans="2:36" s="9" customFormat="1">
      <c r="C100" s="9" t="s">
        <v>976</v>
      </c>
      <c r="D100" s="9">
        <v>131546</v>
      </c>
      <c r="G100" s="9">
        <v>2016</v>
      </c>
      <c r="H100" s="9">
        <v>3</v>
      </c>
      <c r="I100" s="9">
        <v>0</v>
      </c>
      <c r="J100" s="9" t="s">
        <v>78</v>
      </c>
      <c r="K100" s="9">
        <v>3</v>
      </c>
      <c r="L100" s="9">
        <f t="shared" si="43"/>
        <v>2019</v>
      </c>
      <c r="M100" s="114">
        <f t="shared" si="44"/>
        <v>2019.25</v>
      </c>
      <c r="N100" s="13">
        <v>155.91</v>
      </c>
      <c r="O100" s="13">
        <f t="shared" si="52"/>
        <v>155.91</v>
      </c>
      <c r="P100" s="13">
        <f t="shared" si="53"/>
        <v>4.3308333333333335</v>
      </c>
      <c r="Q100" s="13">
        <f t="shared" si="45"/>
        <v>51.97</v>
      </c>
      <c r="R100" s="13">
        <v>0</v>
      </c>
      <c r="S100" s="13">
        <f t="shared" si="54"/>
        <v>0</v>
      </c>
      <c r="T100" s="13">
        <f t="shared" si="55"/>
        <v>155.91</v>
      </c>
      <c r="U100" s="13">
        <f t="shared" si="56"/>
        <v>155.91</v>
      </c>
      <c r="V100" s="13">
        <v>0</v>
      </c>
      <c r="W100" s="13">
        <f t="shared" si="57"/>
        <v>0</v>
      </c>
      <c r="X100" s="115">
        <f t="shared" si="58"/>
        <v>0</v>
      </c>
      <c r="Y100" s="116">
        <f t="shared" si="59"/>
        <v>0</v>
      </c>
      <c r="Z100" s="116">
        <f t="shared" si="60"/>
        <v>0</v>
      </c>
      <c r="AA100" s="116">
        <f t="shared" si="61"/>
        <v>0</v>
      </c>
      <c r="AB100" s="144">
        <f>'Ratios (C)'!$C$21+'Ratios (C)'!$D$21</f>
        <v>0.72495456173162076</v>
      </c>
      <c r="AC100" s="116">
        <f t="shared" si="62"/>
        <v>0</v>
      </c>
      <c r="AD100" s="116">
        <f t="shared" si="63"/>
        <v>0</v>
      </c>
      <c r="AE100" s="118"/>
      <c r="AF100" s="119"/>
      <c r="AG100" s="120"/>
      <c r="AH100" s="118"/>
      <c r="AI100" s="119"/>
      <c r="AJ100" s="121"/>
    </row>
    <row r="101" spans="2:36" s="9" customFormat="1">
      <c r="C101" s="9" t="s">
        <v>977</v>
      </c>
      <c r="D101" s="9">
        <v>169369</v>
      </c>
      <c r="G101" s="9">
        <v>2016</v>
      </c>
      <c r="H101" s="9">
        <v>10</v>
      </c>
      <c r="I101" s="9">
        <v>0</v>
      </c>
      <c r="J101" s="9" t="s">
        <v>78</v>
      </c>
      <c r="K101" s="9">
        <v>2</v>
      </c>
      <c r="L101" s="9">
        <f t="shared" si="43"/>
        <v>2018</v>
      </c>
      <c r="M101" s="114">
        <f t="shared" si="44"/>
        <v>2018.8333333333333</v>
      </c>
      <c r="N101" s="13">
        <v>1311.95</v>
      </c>
      <c r="O101" s="13">
        <f t="shared" si="52"/>
        <v>1311.95</v>
      </c>
      <c r="P101" s="13">
        <f t="shared" si="53"/>
        <v>54.664583333333333</v>
      </c>
      <c r="Q101" s="13">
        <f t="shared" si="45"/>
        <v>655.97500000000002</v>
      </c>
      <c r="R101" s="13">
        <v>0</v>
      </c>
      <c r="S101" s="13">
        <f t="shared" si="54"/>
        <v>0</v>
      </c>
      <c r="T101" s="13">
        <f t="shared" si="55"/>
        <v>1311.95</v>
      </c>
      <c r="U101" s="13">
        <f t="shared" si="56"/>
        <v>1311.95</v>
      </c>
      <c r="V101" s="13">
        <v>0</v>
      </c>
      <c r="W101" s="13">
        <f t="shared" si="57"/>
        <v>0</v>
      </c>
      <c r="X101" s="115">
        <f t="shared" si="58"/>
        <v>0</v>
      </c>
      <c r="Y101" s="116">
        <f t="shared" si="59"/>
        <v>0</v>
      </c>
      <c r="Z101" s="116">
        <f t="shared" si="60"/>
        <v>0</v>
      </c>
      <c r="AA101" s="116">
        <f t="shared" si="61"/>
        <v>0</v>
      </c>
      <c r="AB101" s="144">
        <f>'Ratios (C)'!$C$21+'Ratios (C)'!$D$21</f>
        <v>0.72495456173162076</v>
      </c>
      <c r="AC101" s="116">
        <f t="shared" si="62"/>
        <v>0</v>
      </c>
      <c r="AD101" s="116">
        <f t="shared" si="63"/>
        <v>0</v>
      </c>
      <c r="AE101" s="118"/>
      <c r="AF101" s="119"/>
      <c r="AG101" s="120"/>
      <c r="AH101" s="118"/>
      <c r="AI101" s="119"/>
      <c r="AJ101" s="121"/>
    </row>
    <row r="102" spans="2:36" s="9" customFormat="1">
      <c r="C102" s="9" t="s">
        <v>978</v>
      </c>
      <c r="D102" s="9">
        <v>170306</v>
      </c>
      <c r="G102" s="9">
        <v>2016</v>
      </c>
      <c r="H102" s="9">
        <v>10</v>
      </c>
      <c r="I102" s="9">
        <v>0</v>
      </c>
      <c r="J102" s="9" t="s">
        <v>78</v>
      </c>
      <c r="K102" s="9">
        <v>2</v>
      </c>
      <c r="L102" s="9">
        <f t="shared" si="43"/>
        <v>2018</v>
      </c>
      <c r="M102" s="114">
        <f t="shared" si="44"/>
        <v>2018.8333333333333</v>
      </c>
      <c r="N102" s="13">
        <v>123.9</v>
      </c>
      <c r="O102" s="13">
        <f t="shared" si="52"/>
        <v>123.9</v>
      </c>
      <c r="P102" s="13">
        <f t="shared" si="53"/>
        <v>5.1625000000000005</v>
      </c>
      <c r="Q102" s="13">
        <f t="shared" si="45"/>
        <v>61.95</v>
      </c>
      <c r="R102" s="13">
        <v>0</v>
      </c>
      <c r="S102" s="13">
        <f t="shared" si="54"/>
        <v>0</v>
      </c>
      <c r="T102" s="13">
        <f t="shared" si="55"/>
        <v>123.9</v>
      </c>
      <c r="U102" s="13">
        <f t="shared" si="56"/>
        <v>123.9</v>
      </c>
      <c r="V102" s="13">
        <v>0</v>
      </c>
      <c r="W102" s="13">
        <f t="shared" si="57"/>
        <v>0</v>
      </c>
      <c r="X102" s="115">
        <f t="shared" si="58"/>
        <v>0</v>
      </c>
      <c r="Y102" s="116">
        <f t="shared" si="59"/>
        <v>0</v>
      </c>
      <c r="Z102" s="116">
        <f t="shared" si="60"/>
        <v>0</v>
      </c>
      <c r="AA102" s="116">
        <f t="shared" si="61"/>
        <v>0</v>
      </c>
      <c r="AB102" s="144">
        <f>'Ratios (C)'!$C$21+'Ratios (C)'!$D$21</f>
        <v>0.72495456173162076</v>
      </c>
      <c r="AC102" s="116">
        <f t="shared" si="62"/>
        <v>0</v>
      </c>
      <c r="AD102" s="116">
        <f t="shared" si="63"/>
        <v>0</v>
      </c>
      <c r="AE102" s="118"/>
      <c r="AF102" s="119"/>
      <c r="AG102" s="120"/>
      <c r="AH102" s="118"/>
      <c r="AI102" s="119"/>
      <c r="AJ102" s="121"/>
    </row>
    <row r="103" spans="2:36" s="9" customFormat="1">
      <c r="C103" s="9" t="s">
        <v>979</v>
      </c>
      <c r="D103" s="9">
        <v>179239</v>
      </c>
      <c r="G103" s="9">
        <v>2017</v>
      </c>
      <c r="H103" s="9">
        <v>3</v>
      </c>
      <c r="I103" s="9">
        <v>0</v>
      </c>
      <c r="J103" s="9" t="s">
        <v>78</v>
      </c>
      <c r="K103" s="9">
        <v>3</v>
      </c>
      <c r="L103" s="9">
        <f t="shared" si="43"/>
        <v>2020</v>
      </c>
      <c r="M103" s="146">
        <f t="shared" si="44"/>
        <v>2020.25</v>
      </c>
      <c r="N103" s="13">
        <v>1241.69</v>
      </c>
      <c r="O103" s="13">
        <f t="shared" si="52"/>
        <v>1241.69</v>
      </c>
      <c r="P103" s="13">
        <f t="shared" si="53"/>
        <v>34.491388888888892</v>
      </c>
      <c r="Q103" s="13">
        <f t="shared" si="45"/>
        <v>413.8966666666667</v>
      </c>
      <c r="R103" s="13">
        <v>413.8966666666667</v>
      </c>
      <c r="S103" s="13">
        <v>0</v>
      </c>
      <c r="T103" s="13">
        <f t="shared" si="55"/>
        <v>1241.69</v>
      </c>
      <c r="U103" s="13">
        <f t="shared" si="56"/>
        <v>1241.69</v>
      </c>
      <c r="V103" s="13">
        <v>413.89666666666665</v>
      </c>
      <c r="W103" s="13">
        <f t="shared" si="57"/>
        <v>0</v>
      </c>
      <c r="X103" s="115">
        <f t="shared" si="58"/>
        <v>0</v>
      </c>
      <c r="Y103" s="116">
        <f t="shared" si="59"/>
        <v>0</v>
      </c>
      <c r="Z103" s="116">
        <f t="shared" si="60"/>
        <v>-413.8966666666667</v>
      </c>
      <c r="AA103" s="116">
        <f t="shared" si="61"/>
        <v>-413.89666666666665</v>
      </c>
      <c r="AB103" s="144">
        <f>'Ratios (C)'!$C$21+'Ratios (C)'!$D$21</f>
        <v>0.72495456173162076</v>
      </c>
      <c r="AC103" s="116">
        <f t="shared" si="62"/>
        <v>0</v>
      </c>
      <c r="AD103" s="116">
        <f t="shared" si="63"/>
        <v>0</v>
      </c>
      <c r="AE103" s="118"/>
      <c r="AF103" s="119"/>
      <c r="AG103" s="120"/>
      <c r="AH103" s="118"/>
      <c r="AI103" s="119"/>
      <c r="AJ103" s="121"/>
    </row>
    <row r="104" spans="2:36" s="9" customFormat="1">
      <c r="C104" s="9" t="s">
        <v>980</v>
      </c>
      <c r="D104" s="9">
        <v>179238</v>
      </c>
      <c r="G104" s="9">
        <v>2017</v>
      </c>
      <c r="H104" s="9">
        <v>3</v>
      </c>
      <c r="I104" s="9">
        <v>0</v>
      </c>
      <c r="J104" s="9" t="s">
        <v>78</v>
      </c>
      <c r="K104" s="9">
        <v>3</v>
      </c>
      <c r="L104" s="9">
        <f t="shared" si="43"/>
        <v>2020</v>
      </c>
      <c r="M104" s="146">
        <f t="shared" si="44"/>
        <v>2020.25</v>
      </c>
      <c r="N104" s="13">
        <v>174.34</v>
      </c>
      <c r="O104" s="13">
        <f t="shared" si="52"/>
        <v>174.34</v>
      </c>
      <c r="P104" s="13">
        <f t="shared" si="53"/>
        <v>4.8427777777777781</v>
      </c>
      <c r="Q104" s="13">
        <f t="shared" si="45"/>
        <v>58.113333333333337</v>
      </c>
      <c r="R104" s="13">
        <v>58.113333333333337</v>
      </c>
      <c r="S104" s="13">
        <v>0</v>
      </c>
      <c r="T104" s="13">
        <f t="shared" si="55"/>
        <v>174.34</v>
      </c>
      <c r="U104" s="13">
        <f t="shared" si="56"/>
        <v>174.34</v>
      </c>
      <c r="V104" s="13">
        <v>58.11333333333333</v>
      </c>
      <c r="W104" s="13">
        <f t="shared" si="57"/>
        <v>0</v>
      </c>
      <c r="X104" s="115">
        <f t="shared" si="58"/>
        <v>0</v>
      </c>
      <c r="Y104" s="116">
        <f t="shared" si="59"/>
        <v>0</v>
      </c>
      <c r="Z104" s="116">
        <f t="shared" si="60"/>
        <v>-58.113333333333337</v>
      </c>
      <c r="AA104" s="116">
        <f t="shared" si="61"/>
        <v>-58.11333333333333</v>
      </c>
      <c r="AB104" s="144">
        <f>'Ratios (C)'!$C$21+'Ratios (C)'!$D$21</f>
        <v>0.72495456173162076</v>
      </c>
      <c r="AC104" s="116">
        <f t="shared" si="62"/>
        <v>0</v>
      </c>
      <c r="AD104" s="116">
        <f t="shared" si="63"/>
        <v>0</v>
      </c>
      <c r="AE104" s="118"/>
      <c r="AF104" s="119"/>
      <c r="AG104" s="120"/>
      <c r="AH104" s="118"/>
      <c r="AI104" s="119"/>
      <c r="AJ104" s="121"/>
    </row>
    <row r="105" spans="2:36" s="9" customFormat="1">
      <c r="C105" s="9" t="s">
        <v>981</v>
      </c>
      <c r="D105" s="9">
        <v>179237</v>
      </c>
      <c r="G105" s="9">
        <v>2017</v>
      </c>
      <c r="H105" s="9">
        <v>3</v>
      </c>
      <c r="I105" s="9">
        <v>0</v>
      </c>
      <c r="J105" s="9" t="s">
        <v>78</v>
      </c>
      <c r="K105" s="9">
        <v>3</v>
      </c>
      <c r="L105" s="9">
        <f t="shared" si="43"/>
        <v>2020</v>
      </c>
      <c r="M105" s="146">
        <f t="shared" si="44"/>
        <v>2020.25</v>
      </c>
      <c r="N105" s="13">
        <v>1021.58</v>
      </c>
      <c r="O105" s="13">
        <f t="shared" si="52"/>
        <v>1021.58</v>
      </c>
      <c r="P105" s="13">
        <f t="shared" si="53"/>
        <v>28.377222222222226</v>
      </c>
      <c r="Q105" s="13">
        <f t="shared" si="45"/>
        <v>340.5266666666667</v>
      </c>
      <c r="R105" s="13">
        <v>340.5266666666667</v>
      </c>
      <c r="S105" s="13">
        <v>0</v>
      </c>
      <c r="T105" s="13">
        <f t="shared" si="55"/>
        <v>1021.58</v>
      </c>
      <c r="U105" s="13">
        <f t="shared" si="56"/>
        <v>1021.58</v>
      </c>
      <c r="V105" s="13">
        <v>340.52666666666664</v>
      </c>
      <c r="W105" s="13">
        <f t="shared" si="57"/>
        <v>0</v>
      </c>
      <c r="X105" s="115">
        <f t="shared" si="58"/>
        <v>0</v>
      </c>
      <c r="Y105" s="116">
        <f t="shared" si="59"/>
        <v>0</v>
      </c>
      <c r="Z105" s="116">
        <f t="shared" si="60"/>
        <v>-340.5266666666667</v>
      </c>
      <c r="AA105" s="116">
        <f t="shared" si="61"/>
        <v>-340.52666666666664</v>
      </c>
      <c r="AB105" s="144">
        <f>'Ratios (C)'!$C$21+'Ratios (C)'!$D$21</f>
        <v>0.72495456173162076</v>
      </c>
      <c r="AC105" s="116">
        <f t="shared" si="62"/>
        <v>0</v>
      </c>
      <c r="AD105" s="116">
        <f t="shared" si="63"/>
        <v>0</v>
      </c>
      <c r="AE105" s="118"/>
      <c r="AF105" s="119"/>
      <c r="AG105" s="120"/>
      <c r="AH105" s="118"/>
      <c r="AI105" s="119"/>
      <c r="AJ105" s="121"/>
    </row>
    <row r="106" spans="2:36" s="9" customFormat="1">
      <c r="D106" s="9">
        <v>197532</v>
      </c>
      <c r="G106" s="9">
        <v>2018</v>
      </c>
      <c r="H106" s="9">
        <v>5</v>
      </c>
      <c r="I106" s="9">
        <v>0</v>
      </c>
      <c r="J106" s="9" t="s">
        <v>78</v>
      </c>
      <c r="K106" s="9">
        <v>3</v>
      </c>
      <c r="L106" s="9">
        <f t="shared" si="43"/>
        <v>2021</v>
      </c>
      <c r="M106" s="114">
        <f t="shared" si="44"/>
        <v>2021.4166666666667</v>
      </c>
      <c r="N106" s="13">
        <v>1334.12</v>
      </c>
      <c r="O106" s="13">
        <f t="shared" si="52"/>
        <v>1334.12</v>
      </c>
      <c r="P106" s="13">
        <f t="shared" si="53"/>
        <v>37.058888888888887</v>
      </c>
      <c r="Q106" s="13">
        <f t="shared" si="45"/>
        <v>444.70666666666665</v>
      </c>
      <c r="R106" s="13">
        <v>444.70666666666665</v>
      </c>
      <c r="S106" s="13">
        <f t="shared" si="54"/>
        <v>0</v>
      </c>
      <c r="T106" s="13">
        <f t="shared" si="55"/>
        <v>1334.12</v>
      </c>
      <c r="U106" s="13">
        <f t="shared" si="56"/>
        <v>1334.12</v>
      </c>
      <c r="V106" s="13">
        <v>889.41333333333318</v>
      </c>
      <c r="W106" s="13">
        <f t="shared" si="57"/>
        <v>0</v>
      </c>
      <c r="X106" s="115">
        <f t="shared" si="58"/>
        <v>0</v>
      </c>
      <c r="Y106" s="116">
        <f t="shared" si="59"/>
        <v>0</v>
      </c>
      <c r="Z106" s="116">
        <f t="shared" si="60"/>
        <v>-444.70666666666665</v>
      </c>
      <c r="AA106" s="116">
        <f t="shared" si="61"/>
        <v>-889.41333333333318</v>
      </c>
      <c r="AB106" s="144">
        <f>'Ratios (C)'!$C$21+'Ratios (C)'!$D$21</f>
        <v>0.72495456173162076</v>
      </c>
      <c r="AC106" s="116">
        <f t="shared" si="62"/>
        <v>0</v>
      </c>
      <c r="AD106" s="116">
        <f t="shared" si="63"/>
        <v>0</v>
      </c>
      <c r="AE106" s="118"/>
      <c r="AF106" s="119"/>
      <c r="AG106" s="120"/>
      <c r="AH106" s="118"/>
      <c r="AI106" s="119"/>
      <c r="AJ106" s="121"/>
    </row>
    <row r="107" spans="2:36" s="9" customFormat="1" ht="12" customHeight="1">
      <c r="D107" s="9">
        <v>201179</v>
      </c>
      <c r="G107" s="9">
        <v>2018</v>
      </c>
      <c r="H107" s="9">
        <v>7</v>
      </c>
      <c r="I107" s="9">
        <v>0</v>
      </c>
      <c r="J107" s="9" t="s">
        <v>78</v>
      </c>
      <c r="K107" s="9">
        <v>3</v>
      </c>
      <c r="L107" s="9">
        <f t="shared" si="43"/>
        <v>2021</v>
      </c>
      <c r="M107" s="114">
        <f t="shared" si="44"/>
        <v>2021.5833333333333</v>
      </c>
      <c r="N107" s="13">
        <v>197.45</v>
      </c>
      <c r="O107" s="13">
        <f t="shared" si="52"/>
        <v>197.45</v>
      </c>
      <c r="P107" s="13">
        <f t="shared" si="53"/>
        <v>5.4847222222222216</v>
      </c>
      <c r="Q107" s="13">
        <f t="shared" si="45"/>
        <v>65.816666666666663</v>
      </c>
      <c r="R107" s="13">
        <v>65.816666666666663</v>
      </c>
      <c r="S107" s="13">
        <f t="shared" si="54"/>
        <v>0</v>
      </c>
      <c r="T107" s="13">
        <f t="shared" si="55"/>
        <v>197.45</v>
      </c>
      <c r="U107" s="13">
        <f t="shared" si="56"/>
        <v>197.45</v>
      </c>
      <c r="V107" s="13">
        <v>131.63333333333333</v>
      </c>
      <c r="W107" s="13">
        <f t="shared" si="57"/>
        <v>0</v>
      </c>
      <c r="X107" s="115">
        <f t="shared" si="58"/>
        <v>0</v>
      </c>
      <c r="Y107" s="116">
        <f t="shared" si="59"/>
        <v>0</v>
      </c>
      <c r="Z107" s="116">
        <f t="shared" si="60"/>
        <v>-65.816666666666663</v>
      </c>
      <c r="AA107" s="116">
        <f t="shared" si="61"/>
        <v>-131.63333333333333</v>
      </c>
      <c r="AB107" s="144">
        <f>'Ratios (C)'!$C$21+'Ratios (C)'!$D$21</f>
        <v>0.72495456173162076</v>
      </c>
      <c r="AC107" s="116">
        <f t="shared" si="62"/>
        <v>0</v>
      </c>
      <c r="AD107" s="116">
        <f t="shared" si="63"/>
        <v>0</v>
      </c>
      <c r="AE107" s="118"/>
      <c r="AF107" s="119"/>
      <c r="AG107" s="120"/>
      <c r="AH107" s="118"/>
      <c r="AI107" s="119"/>
      <c r="AJ107" s="121"/>
    </row>
    <row r="108" spans="2:36" s="9" customFormat="1" ht="12" customHeight="1">
      <c r="C108" s="9" t="s">
        <v>982</v>
      </c>
      <c r="D108" s="9">
        <v>202514</v>
      </c>
      <c r="G108" s="9">
        <v>2018</v>
      </c>
      <c r="H108" s="9">
        <v>7</v>
      </c>
      <c r="I108" s="9">
        <v>0</v>
      </c>
      <c r="J108" s="9" t="s">
        <v>78</v>
      </c>
      <c r="K108" s="9">
        <v>3</v>
      </c>
      <c r="L108" s="9">
        <f t="shared" si="43"/>
        <v>2021</v>
      </c>
      <c r="M108" s="114">
        <f t="shared" si="44"/>
        <v>2021.5833333333333</v>
      </c>
      <c r="N108" s="13">
        <v>1111.06</v>
      </c>
      <c r="O108" s="13">
        <f t="shared" si="52"/>
        <v>1111.06</v>
      </c>
      <c r="P108" s="13">
        <f t="shared" si="53"/>
        <v>30.862777777777776</v>
      </c>
      <c r="Q108" s="13">
        <f t="shared" si="45"/>
        <v>370.3533333333333</v>
      </c>
      <c r="R108" s="13">
        <v>370.3533333333333</v>
      </c>
      <c r="S108" s="13">
        <f t="shared" si="54"/>
        <v>0</v>
      </c>
      <c r="T108" s="13">
        <f t="shared" si="55"/>
        <v>1111.06</v>
      </c>
      <c r="U108" s="13">
        <f t="shared" si="56"/>
        <v>1111.06</v>
      </c>
      <c r="V108" s="13">
        <v>740.70666666666671</v>
      </c>
      <c r="W108" s="13">
        <f t="shared" si="57"/>
        <v>0</v>
      </c>
      <c r="X108" s="115">
        <f t="shared" si="58"/>
        <v>0</v>
      </c>
      <c r="Y108" s="116">
        <f t="shared" si="59"/>
        <v>0</v>
      </c>
      <c r="Z108" s="116">
        <f t="shared" si="60"/>
        <v>-370.3533333333333</v>
      </c>
      <c r="AA108" s="116">
        <f t="shared" si="61"/>
        <v>-740.70666666666671</v>
      </c>
      <c r="AB108" s="144">
        <f>'Ratios (C)'!$C$21+'Ratios (C)'!$D$21</f>
        <v>0.72495456173162076</v>
      </c>
      <c r="AC108" s="116">
        <f t="shared" si="62"/>
        <v>0</v>
      </c>
      <c r="AD108" s="116">
        <f t="shared" si="63"/>
        <v>0</v>
      </c>
      <c r="AE108" s="118"/>
      <c r="AF108" s="119"/>
      <c r="AG108" s="120"/>
      <c r="AH108" s="118"/>
      <c r="AI108" s="119"/>
      <c r="AJ108" s="121"/>
    </row>
    <row r="109" spans="2:36" s="9" customFormat="1" ht="12" customHeight="1">
      <c r="C109" s="9" t="s">
        <v>983</v>
      </c>
      <c r="D109" s="9">
        <v>204592</v>
      </c>
      <c r="G109" s="9">
        <v>2018</v>
      </c>
      <c r="H109" s="9">
        <v>9</v>
      </c>
      <c r="I109" s="9">
        <v>0</v>
      </c>
      <c r="J109" s="9" t="s">
        <v>78</v>
      </c>
      <c r="K109" s="9">
        <v>1</v>
      </c>
      <c r="L109" s="9">
        <f t="shared" si="43"/>
        <v>2019</v>
      </c>
      <c r="M109" s="114">
        <f t="shared" si="44"/>
        <v>2019.75</v>
      </c>
      <c r="N109" s="13">
        <v>15356.65</v>
      </c>
      <c r="O109" s="13">
        <f t="shared" si="52"/>
        <v>15356.65</v>
      </c>
      <c r="P109" s="13">
        <f t="shared" si="53"/>
        <v>1279.7208333333333</v>
      </c>
      <c r="Q109" s="13">
        <f t="shared" si="45"/>
        <v>15356.65</v>
      </c>
      <c r="R109" s="13">
        <v>11517.487499999999</v>
      </c>
      <c r="S109" s="13">
        <f t="shared" si="54"/>
        <v>0</v>
      </c>
      <c r="T109" s="13">
        <f t="shared" si="55"/>
        <v>15356.65</v>
      </c>
      <c r="U109" s="13">
        <f t="shared" si="56"/>
        <v>15356.65</v>
      </c>
      <c r="V109" s="13">
        <v>3839.1625000000004</v>
      </c>
      <c r="W109" s="13">
        <f t="shared" si="57"/>
        <v>0</v>
      </c>
      <c r="X109" s="115">
        <f t="shared" si="58"/>
        <v>0</v>
      </c>
      <c r="Y109" s="116">
        <f t="shared" si="59"/>
        <v>0</v>
      </c>
      <c r="Z109" s="116">
        <f t="shared" si="60"/>
        <v>-11517.487499999999</v>
      </c>
      <c r="AA109" s="116">
        <f t="shared" si="61"/>
        <v>-3839.1625000000004</v>
      </c>
      <c r="AB109" s="144">
        <f>'Ratios (C)'!$C$21+'Ratios (C)'!$D$21</f>
        <v>0.72495456173162076</v>
      </c>
      <c r="AC109" s="116">
        <f t="shared" si="62"/>
        <v>0</v>
      </c>
      <c r="AD109" s="116">
        <f t="shared" si="63"/>
        <v>0</v>
      </c>
      <c r="AE109" s="118"/>
      <c r="AF109" s="119"/>
      <c r="AG109" s="120"/>
      <c r="AH109" s="118"/>
      <c r="AI109" s="119"/>
      <c r="AJ109" s="121"/>
    </row>
    <row r="110" spans="2:36" s="9" customFormat="1" ht="12" customHeight="1">
      <c r="C110" s="9" t="s">
        <v>984</v>
      </c>
      <c r="D110" s="9">
        <v>206246</v>
      </c>
      <c r="G110" s="9">
        <v>2018</v>
      </c>
      <c r="H110" s="9">
        <v>11</v>
      </c>
      <c r="I110" s="9">
        <v>0</v>
      </c>
      <c r="J110" s="9" t="s">
        <v>78</v>
      </c>
      <c r="K110" s="9">
        <v>3</v>
      </c>
      <c r="L110" s="9">
        <f t="shared" si="43"/>
        <v>2021</v>
      </c>
      <c r="M110" s="114">
        <f t="shared" si="44"/>
        <v>2021.9166666666667</v>
      </c>
      <c r="N110" s="13">
        <v>1484.41</v>
      </c>
      <c r="O110" s="13">
        <f t="shared" si="52"/>
        <v>1484.41</v>
      </c>
      <c r="P110" s="13">
        <f t="shared" si="53"/>
        <v>41.233611111111109</v>
      </c>
      <c r="Q110" s="13">
        <f t="shared" si="45"/>
        <v>494.80333333333328</v>
      </c>
      <c r="R110" s="13">
        <v>494.80333333333328</v>
      </c>
      <c r="S110" s="13">
        <f t="shared" si="54"/>
        <v>0</v>
      </c>
      <c r="T110" s="13">
        <f t="shared" si="55"/>
        <v>1484.41</v>
      </c>
      <c r="U110" s="13">
        <f t="shared" si="56"/>
        <v>1484.41</v>
      </c>
      <c r="V110" s="13">
        <v>989.6066666666668</v>
      </c>
      <c r="W110" s="13">
        <f t="shared" si="57"/>
        <v>0</v>
      </c>
      <c r="X110" s="115">
        <f t="shared" si="58"/>
        <v>0</v>
      </c>
      <c r="Y110" s="116">
        <f t="shared" si="59"/>
        <v>0</v>
      </c>
      <c r="Z110" s="116">
        <f t="shared" si="60"/>
        <v>-494.80333333333328</v>
      </c>
      <c r="AA110" s="116">
        <f t="shared" si="61"/>
        <v>-989.6066666666668</v>
      </c>
      <c r="AB110" s="144">
        <f>'Ratios (C)'!$C$21+'Ratios (C)'!$D$21</f>
        <v>0.72495456173162076</v>
      </c>
      <c r="AC110" s="116">
        <f t="shared" si="62"/>
        <v>0</v>
      </c>
      <c r="AD110" s="116">
        <f t="shared" si="63"/>
        <v>0</v>
      </c>
      <c r="AE110" s="118"/>
      <c r="AF110" s="119"/>
      <c r="AG110" s="120"/>
      <c r="AH110" s="118"/>
      <c r="AI110" s="119"/>
      <c r="AJ110" s="121"/>
    </row>
    <row r="111" spans="2:36" s="9" customFormat="1" ht="12" customHeight="1">
      <c r="C111" s="9" t="s">
        <v>985</v>
      </c>
      <c r="D111" s="9">
        <v>219050</v>
      </c>
      <c r="G111" s="9">
        <v>2019</v>
      </c>
      <c r="H111" s="9">
        <v>8</v>
      </c>
      <c r="I111" s="9">
        <v>0</v>
      </c>
      <c r="J111" s="9" t="s">
        <v>78</v>
      </c>
      <c r="K111" s="9">
        <v>3</v>
      </c>
      <c r="L111" s="9">
        <f t="shared" si="43"/>
        <v>2022</v>
      </c>
      <c r="M111" s="114">
        <f t="shared" si="44"/>
        <v>2022.6666666666667</v>
      </c>
      <c r="N111" s="13">
        <v>1408.73</v>
      </c>
      <c r="O111" s="13">
        <f t="shared" si="52"/>
        <v>1408.73</v>
      </c>
      <c r="P111" s="13">
        <f t="shared" si="53"/>
        <v>39.131388888888885</v>
      </c>
      <c r="Q111" s="13">
        <f t="shared" si="45"/>
        <v>469.5766666666666</v>
      </c>
      <c r="R111" s="13">
        <v>469.5766666666666</v>
      </c>
      <c r="S111" s="13">
        <f t="shared" si="54"/>
        <v>0</v>
      </c>
      <c r="T111" s="13">
        <f t="shared" si="55"/>
        <v>1408.73</v>
      </c>
      <c r="U111" s="13">
        <f t="shared" si="56"/>
        <v>1408.73</v>
      </c>
      <c r="V111" s="13">
        <v>939.15333333333342</v>
      </c>
      <c r="W111" s="13">
        <f t="shared" si="57"/>
        <v>0</v>
      </c>
      <c r="X111" s="115">
        <f t="shared" si="58"/>
        <v>0</v>
      </c>
      <c r="Y111" s="116">
        <f t="shared" si="59"/>
        <v>0</v>
      </c>
      <c r="Z111" s="116">
        <f t="shared" si="60"/>
        <v>-469.5766666666666</v>
      </c>
      <c r="AA111" s="116">
        <f t="shared" si="61"/>
        <v>-939.15333333333342</v>
      </c>
      <c r="AB111" s="144">
        <f>'Ratios (C)'!$C$21+'Ratios (C)'!$D$21</f>
        <v>0.72495456173162076</v>
      </c>
      <c r="AC111" s="116">
        <f t="shared" si="62"/>
        <v>0</v>
      </c>
      <c r="AD111" s="116">
        <f t="shared" si="63"/>
        <v>0</v>
      </c>
      <c r="AE111" s="118"/>
      <c r="AF111" s="119"/>
      <c r="AG111" s="120"/>
      <c r="AH111" s="118"/>
      <c r="AI111" s="119"/>
      <c r="AJ111" s="121"/>
    </row>
    <row r="112" spans="2:36" s="9" customFormat="1" ht="12" customHeight="1">
      <c r="C112" s="9" t="s">
        <v>986</v>
      </c>
      <c r="D112" s="9">
        <v>210007</v>
      </c>
      <c r="G112" s="9">
        <v>2019</v>
      </c>
      <c r="H112" s="9">
        <v>1</v>
      </c>
      <c r="I112" s="9">
        <v>0</v>
      </c>
      <c r="J112" s="9" t="s">
        <v>78</v>
      </c>
      <c r="K112" s="9">
        <v>3</v>
      </c>
      <c r="L112" s="9">
        <f t="shared" si="43"/>
        <v>2022</v>
      </c>
      <c r="M112" s="114">
        <f t="shared" si="44"/>
        <v>2022.0833333333333</v>
      </c>
      <c r="N112" s="13">
        <v>1670.66</v>
      </c>
      <c r="O112" s="13">
        <f t="shared" si="52"/>
        <v>1670.66</v>
      </c>
      <c r="P112" s="13">
        <f t="shared" si="53"/>
        <v>46.407222222222224</v>
      </c>
      <c r="Q112" s="13">
        <f t="shared" si="45"/>
        <v>556.88666666666666</v>
      </c>
      <c r="R112" s="13">
        <v>556.88666666666666</v>
      </c>
      <c r="S112" s="13">
        <f t="shared" si="54"/>
        <v>0</v>
      </c>
      <c r="T112" s="13">
        <f t="shared" si="55"/>
        <v>1670.66</v>
      </c>
      <c r="U112" s="13">
        <f t="shared" si="56"/>
        <v>1670.66</v>
      </c>
      <c r="V112" s="13">
        <v>1113.7733333333335</v>
      </c>
      <c r="W112" s="13">
        <f t="shared" si="57"/>
        <v>0</v>
      </c>
      <c r="X112" s="115">
        <f t="shared" si="58"/>
        <v>0</v>
      </c>
      <c r="Y112" s="116">
        <f t="shared" si="59"/>
        <v>0</v>
      </c>
      <c r="Z112" s="116">
        <f t="shared" si="60"/>
        <v>-556.88666666666666</v>
      </c>
      <c r="AA112" s="116">
        <f t="shared" si="61"/>
        <v>-1113.7733333333335</v>
      </c>
      <c r="AB112" s="144">
        <f>'Ratios (C)'!$C$21+'Ratios (C)'!$D$21</f>
        <v>0.72495456173162076</v>
      </c>
      <c r="AC112" s="116">
        <f t="shared" si="62"/>
        <v>0</v>
      </c>
      <c r="AD112" s="116">
        <f t="shared" si="63"/>
        <v>0</v>
      </c>
      <c r="AE112" s="118"/>
      <c r="AF112" s="119"/>
      <c r="AG112" s="120"/>
      <c r="AH112" s="118"/>
      <c r="AI112" s="119"/>
      <c r="AJ112" s="121"/>
    </row>
    <row r="113" spans="1:36" s="9" customFormat="1">
      <c r="C113" s="9" t="s">
        <v>987</v>
      </c>
      <c r="D113" s="9" t="s">
        <v>988</v>
      </c>
      <c r="G113" s="9">
        <v>2019</v>
      </c>
      <c r="H113" s="9">
        <v>8</v>
      </c>
      <c r="I113" s="9">
        <v>0</v>
      </c>
      <c r="J113" s="9" t="s">
        <v>78</v>
      </c>
      <c r="K113" s="9">
        <v>5</v>
      </c>
      <c r="L113" s="9">
        <f t="shared" si="43"/>
        <v>2024</v>
      </c>
      <c r="M113" s="114">
        <f t="shared" si="44"/>
        <v>2024.6666666666667</v>
      </c>
      <c r="N113" s="13">
        <f>1265.69+17409.41+1475.55</f>
        <v>20150.649999999998</v>
      </c>
      <c r="O113" s="13">
        <f t="shared" si="52"/>
        <v>20150.649999999998</v>
      </c>
      <c r="P113" s="13">
        <f t="shared" si="53"/>
        <v>335.84416666666664</v>
      </c>
      <c r="Q113" s="13">
        <f t="shared" si="45"/>
        <v>4030.1299999999997</v>
      </c>
      <c r="R113" s="13">
        <v>4030.1299999999997</v>
      </c>
      <c r="S113" s="13">
        <f>+IF(M113&lt;=$O$5,0,IF(L113&gt;$O$4,Q113,(P113*H113)))</f>
        <v>4030.1299999999997</v>
      </c>
      <c r="T113" s="13">
        <f>+IF(S113=0,N113,IF($O$3-G113&lt;1,0,(($O$3-G113)*Q113)))</f>
        <v>8060.2599999999993</v>
      </c>
      <c r="U113" s="13">
        <f>+IF(S113=0,T113,T113+S113)</f>
        <v>12090.39</v>
      </c>
      <c r="V113" s="13">
        <v>16120.519999999999</v>
      </c>
      <c r="W113" s="13">
        <f>+N113-U113</f>
        <v>8060.2599999999984</v>
      </c>
      <c r="X113" s="115">
        <f t="shared" si="58"/>
        <v>4030.1299999999997</v>
      </c>
      <c r="Y113" s="116">
        <f t="shared" si="59"/>
        <v>8060.2599999999984</v>
      </c>
      <c r="Z113" s="116">
        <f t="shared" si="60"/>
        <v>0</v>
      </c>
      <c r="AA113" s="116">
        <f t="shared" si="61"/>
        <v>-8060.26</v>
      </c>
      <c r="AB113" s="144">
        <f>'Ratios (C)'!$C$21+'Ratios (C)'!$D$21</f>
        <v>0.72495456173162076</v>
      </c>
      <c r="AC113" s="116">
        <f t="shared" si="62"/>
        <v>2921.6611278714563</v>
      </c>
      <c r="AD113" s="116">
        <f t="shared" si="63"/>
        <v>5843.3222557429126</v>
      </c>
      <c r="AE113" s="118"/>
      <c r="AF113" s="119"/>
      <c r="AG113" s="120"/>
      <c r="AH113" s="118"/>
      <c r="AI113" s="119"/>
      <c r="AJ113" s="121"/>
    </row>
    <row r="114" spans="1:36" s="9" customFormat="1">
      <c r="C114" s="9" t="s">
        <v>1266</v>
      </c>
      <c r="D114" s="9">
        <v>229177</v>
      </c>
      <c r="G114" s="9">
        <v>2020</v>
      </c>
      <c r="H114" s="9">
        <v>2</v>
      </c>
      <c r="I114" s="9">
        <v>0</v>
      </c>
      <c r="J114" s="9" t="s">
        <v>78</v>
      </c>
      <c r="K114" s="9">
        <v>3</v>
      </c>
      <c r="L114" s="9">
        <f t="shared" si="43"/>
        <v>2023</v>
      </c>
      <c r="M114" s="114">
        <f t="shared" si="44"/>
        <v>2023.1666666666667</v>
      </c>
      <c r="N114" s="13">
        <v>893.55</v>
      </c>
      <c r="O114" s="13">
        <f t="shared" ref="O114:O118" si="64">N114-N114*I114</f>
        <v>893.55</v>
      </c>
      <c r="P114" s="13">
        <f t="shared" ref="P114:P118" si="65">O114/K114/12</f>
        <v>24.820833333333329</v>
      </c>
      <c r="Q114" s="13">
        <f t="shared" ref="Q114:Q118" si="66">P114*12</f>
        <v>297.84999999999997</v>
      </c>
      <c r="R114" s="13">
        <v>4031.13</v>
      </c>
      <c r="S114" s="13">
        <f t="shared" ref="S114:S118" si="67">+IF(M114&lt;=$O$5,0,IF(L114&gt;$O$4,Q114,(P114*H114)))</f>
        <v>297.84999999999997</v>
      </c>
      <c r="T114" s="13">
        <f t="shared" ref="T114:T118" si="68">+IF(S114=0,N114,IF($O$3-G114&lt;1,0,(($O$3-G114)*Q114)))</f>
        <v>297.84999999999997</v>
      </c>
      <c r="U114" s="13">
        <f t="shared" ref="U114:U118" si="69">+IF(S114=0,T114,T114+S114)</f>
        <v>595.69999999999993</v>
      </c>
      <c r="V114" s="13">
        <v>16121.52</v>
      </c>
      <c r="W114" s="13">
        <f t="shared" ref="W114:W118" si="70">+N114-U114</f>
        <v>297.85000000000002</v>
      </c>
      <c r="X114" s="147"/>
      <c r="Y114" s="116"/>
      <c r="Z114" s="116"/>
      <c r="AA114" s="116"/>
      <c r="AB114" s="144"/>
      <c r="AC114" s="116"/>
      <c r="AD114" s="116"/>
      <c r="AE114" s="120"/>
      <c r="AF114" s="120"/>
      <c r="AG114" s="120"/>
      <c r="AH114" s="120"/>
      <c r="AI114" s="120"/>
      <c r="AJ114" s="120"/>
    </row>
    <row r="115" spans="1:36" s="9" customFormat="1">
      <c r="C115" s="9" t="s">
        <v>1267</v>
      </c>
      <c r="D115" s="9">
        <v>229178</v>
      </c>
      <c r="G115" s="9">
        <v>2020</v>
      </c>
      <c r="H115" s="9">
        <v>2</v>
      </c>
      <c r="I115" s="9">
        <v>0</v>
      </c>
      <c r="J115" s="9" t="s">
        <v>78</v>
      </c>
      <c r="K115" s="9">
        <v>3</v>
      </c>
      <c r="L115" s="9">
        <f t="shared" si="43"/>
        <v>2023</v>
      </c>
      <c r="M115" s="114">
        <f t="shared" si="44"/>
        <v>2023.1666666666667</v>
      </c>
      <c r="N115" s="13">
        <v>1579.99</v>
      </c>
      <c r="O115" s="13">
        <f t="shared" si="64"/>
        <v>1579.99</v>
      </c>
      <c r="P115" s="13">
        <f t="shared" si="65"/>
        <v>43.888611111111111</v>
      </c>
      <c r="Q115" s="13">
        <f t="shared" si="66"/>
        <v>526.6633333333333</v>
      </c>
      <c r="R115" s="13">
        <v>4032.13</v>
      </c>
      <c r="S115" s="13">
        <f t="shared" si="67"/>
        <v>526.6633333333333</v>
      </c>
      <c r="T115" s="13">
        <f t="shared" si="68"/>
        <v>526.6633333333333</v>
      </c>
      <c r="U115" s="13">
        <f t="shared" si="69"/>
        <v>1053.3266666666666</v>
      </c>
      <c r="V115" s="13">
        <v>16122.52</v>
      </c>
      <c r="W115" s="13">
        <f t="shared" si="70"/>
        <v>526.66333333333341</v>
      </c>
      <c r="X115" s="147"/>
      <c r="Y115" s="116"/>
      <c r="Z115" s="116"/>
      <c r="AA115" s="116"/>
      <c r="AB115" s="144"/>
      <c r="AC115" s="116"/>
      <c r="AD115" s="116"/>
      <c r="AE115" s="120"/>
      <c r="AF115" s="120"/>
      <c r="AG115" s="120"/>
      <c r="AH115" s="120"/>
      <c r="AI115" s="120"/>
      <c r="AJ115" s="120"/>
    </row>
    <row r="116" spans="1:36" s="9" customFormat="1">
      <c r="C116" s="9" t="s">
        <v>1268</v>
      </c>
      <c r="D116" s="9">
        <v>229179</v>
      </c>
      <c r="G116" s="9">
        <v>2020</v>
      </c>
      <c r="H116" s="9">
        <v>2</v>
      </c>
      <c r="I116" s="9">
        <v>0</v>
      </c>
      <c r="J116" s="9" t="s">
        <v>78</v>
      </c>
      <c r="K116" s="9">
        <v>3</v>
      </c>
      <c r="L116" s="9">
        <f t="shared" si="43"/>
        <v>2023</v>
      </c>
      <c r="M116" s="114">
        <f t="shared" si="44"/>
        <v>2023.1666666666667</v>
      </c>
      <c r="N116" s="13">
        <v>69.39</v>
      </c>
      <c r="O116" s="13">
        <f t="shared" si="64"/>
        <v>69.39</v>
      </c>
      <c r="P116" s="13">
        <f t="shared" si="65"/>
        <v>1.9275</v>
      </c>
      <c r="Q116" s="13">
        <f t="shared" si="66"/>
        <v>23.13</v>
      </c>
      <c r="R116" s="13"/>
      <c r="S116" s="13">
        <f t="shared" si="67"/>
        <v>23.13</v>
      </c>
      <c r="T116" s="13">
        <f t="shared" si="68"/>
        <v>23.13</v>
      </c>
      <c r="U116" s="13">
        <f t="shared" si="69"/>
        <v>46.26</v>
      </c>
      <c r="V116" s="13"/>
      <c r="W116" s="13">
        <f t="shared" si="70"/>
        <v>23.130000000000003</v>
      </c>
      <c r="X116" s="147"/>
      <c r="Y116" s="116"/>
      <c r="Z116" s="116"/>
      <c r="AA116" s="116"/>
      <c r="AB116" s="144"/>
      <c r="AC116" s="116"/>
      <c r="AD116" s="116"/>
      <c r="AE116" s="120"/>
      <c r="AF116" s="120"/>
      <c r="AG116" s="120"/>
      <c r="AH116" s="120"/>
      <c r="AI116" s="120"/>
      <c r="AJ116" s="120"/>
    </row>
    <row r="117" spans="1:36" s="9" customFormat="1">
      <c r="C117" s="9" t="s">
        <v>1269</v>
      </c>
      <c r="D117" s="9">
        <v>229401</v>
      </c>
      <c r="G117" s="9">
        <v>2020</v>
      </c>
      <c r="H117" s="9">
        <v>2</v>
      </c>
      <c r="I117" s="9">
        <v>0</v>
      </c>
      <c r="J117" s="9" t="s">
        <v>78</v>
      </c>
      <c r="K117" s="9">
        <v>3</v>
      </c>
      <c r="L117" s="9">
        <f t="shared" si="43"/>
        <v>2023</v>
      </c>
      <c r="M117" s="114">
        <f t="shared" si="44"/>
        <v>2023.1666666666667</v>
      </c>
      <c r="N117" s="13">
        <v>980.03</v>
      </c>
      <c r="O117" s="13">
        <f t="shared" si="64"/>
        <v>980.03</v>
      </c>
      <c r="P117" s="13">
        <f t="shared" si="65"/>
        <v>27.223055555555558</v>
      </c>
      <c r="Q117" s="13">
        <f t="shared" si="66"/>
        <v>326.67666666666668</v>
      </c>
      <c r="R117" s="13"/>
      <c r="S117" s="13">
        <f t="shared" si="67"/>
        <v>326.67666666666668</v>
      </c>
      <c r="T117" s="13">
        <f t="shared" si="68"/>
        <v>326.67666666666668</v>
      </c>
      <c r="U117" s="13">
        <f t="shared" si="69"/>
        <v>653.35333333333335</v>
      </c>
      <c r="V117" s="13"/>
      <c r="W117" s="13">
        <f t="shared" si="70"/>
        <v>326.67666666666662</v>
      </c>
      <c r="X117" s="147"/>
      <c r="Y117" s="116"/>
      <c r="Z117" s="116"/>
      <c r="AA117" s="116"/>
      <c r="AB117" s="144"/>
      <c r="AC117" s="116"/>
      <c r="AD117" s="116"/>
      <c r="AE117" s="120"/>
      <c r="AF117" s="120"/>
      <c r="AG117" s="120"/>
      <c r="AH117" s="120"/>
      <c r="AI117" s="120"/>
      <c r="AJ117" s="120"/>
    </row>
    <row r="118" spans="1:36" s="9" customFormat="1">
      <c r="B118" s="151">
        <v>116</v>
      </c>
      <c r="C118" s="9" t="s">
        <v>1310</v>
      </c>
      <c r="D118" s="9">
        <v>243461</v>
      </c>
      <c r="G118" s="9">
        <v>2020</v>
      </c>
      <c r="H118" s="9">
        <v>9</v>
      </c>
      <c r="I118" s="9">
        <v>0</v>
      </c>
      <c r="J118" s="9" t="s">
        <v>78</v>
      </c>
      <c r="K118" s="9">
        <v>1</v>
      </c>
      <c r="L118" s="9">
        <f t="shared" si="43"/>
        <v>2021</v>
      </c>
      <c r="M118" s="114">
        <f t="shared" si="44"/>
        <v>2021.75</v>
      </c>
      <c r="N118" s="13">
        <v>80766.149999999994</v>
      </c>
      <c r="O118" s="13">
        <f t="shared" si="64"/>
        <v>80766.149999999994</v>
      </c>
      <c r="P118" s="13">
        <f t="shared" si="65"/>
        <v>6730.5124999999998</v>
      </c>
      <c r="Q118" s="13">
        <f t="shared" si="66"/>
        <v>80766.149999999994</v>
      </c>
      <c r="R118" s="13"/>
      <c r="S118" s="13">
        <f t="shared" si="67"/>
        <v>0</v>
      </c>
      <c r="T118" s="13">
        <f t="shared" si="68"/>
        <v>80766.149999999994</v>
      </c>
      <c r="U118" s="13">
        <f t="shared" si="69"/>
        <v>80766.149999999994</v>
      </c>
      <c r="V118" s="13"/>
      <c r="W118" s="13">
        <f t="shared" si="70"/>
        <v>0</v>
      </c>
      <c r="X118" s="147"/>
      <c r="Y118" s="116"/>
      <c r="Z118" s="116"/>
      <c r="AA118" s="116"/>
      <c r="AB118" s="144"/>
      <c r="AC118" s="116"/>
      <c r="AD118" s="116"/>
      <c r="AE118" s="120"/>
      <c r="AF118" s="120"/>
      <c r="AG118" s="120"/>
      <c r="AH118" s="120"/>
      <c r="AI118" s="120"/>
      <c r="AJ118" s="120"/>
    </row>
    <row r="119" spans="1:36" s="9" customFormat="1">
      <c r="B119" s="151"/>
      <c r="C119" s="9" t="s">
        <v>1299</v>
      </c>
      <c r="D119" s="9">
        <v>240723</v>
      </c>
      <c r="G119" s="9">
        <v>2020</v>
      </c>
      <c r="H119" s="9">
        <v>10</v>
      </c>
      <c r="I119" s="9">
        <v>0</v>
      </c>
      <c r="J119" s="9" t="s">
        <v>78</v>
      </c>
      <c r="K119" s="9">
        <v>3</v>
      </c>
      <c r="L119" s="9">
        <f>G119+K119</f>
        <v>2023</v>
      </c>
      <c r="M119" s="114">
        <f>+L119+(H119/12)</f>
        <v>2023.8333333333333</v>
      </c>
      <c r="N119" s="13">
        <v>401.48</v>
      </c>
      <c r="O119" s="13">
        <f>N119-N119*I119</f>
        <v>401.48</v>
      </c>
      <c r="P119" s="13">
        <f>O119/K119/12</f>
        <v>11.152222222222223</v>
      </c>
      <c r="Q119" s="13">
        <f>P119*12</f>
        <v>133.82666666666668</v>
      </c>
      <c r="R119" s="13"/>
      <c r="S119" s="13">
        <f>+IF(M119&lt;=$O$5,0,IF(L119&gt;$O$4,Q119,(P119*H119)))</f>
        <v>133.82666666666668</v>
      </c>
      <c r="T119" s="13">
        <f>+IF(S119=0,N119,IF($O$3-G119&lt;1,0,(($O$3-G119)*Q119)))</f>
        <v>133.82666666666668</v>
      </c>
      <c r="U119" s="13">
        <f>+IF(S119=0,T119,T119+S119)</f>
        <v>267.65333333333336</v>
      </c>
      <c r="V119" s="13"/>
      <c r="W119" s="13">
        <f>+N119-U119</f>
        <v>133.82666666666665</v>
      </c>
      <c r="X119" s="147">
        <f>S119</f>
        <v>133.82666666666668</v>
      </c>
      <c r="Y119" s="116">
        <f>W119</f>
        <v>133.82666666666665</v>
      </c>
      <c r="Z119" s="116"/>
      <c r="AA119" s="116"/>
      <c r="AB119" s="144"/>
      <c r="AC119" s="116"/>
      <c r="AD119" s="116"/>
      <c r="AE119" s="120"/>
      <c r="AF119" s="120"/>
      <c r="AG119" s="120"/>
      <c r="AH119" s="120"/>
      <c r="AI119" s="120"/>
      <c r="AJ119" s="120"/>
    </row>
    <row r="120" spans="1:36" s="9" customFormat="1">
      <c r="B120" s="151"/>
      <c r="C120" s="9" t="s">
        <v>1298</v>
      </c>
      <c r="D120" s="9">
        <v>240724</v>
      </c>
      <c r="G120" s="9">
        <v>2020</v>
      </c>
      <c r="H120" s="9">
        <v>9</v>
      </c>
      <c r="I120" s="9">
        <v>0</v>
      </c>
      <c r="J120" s="9" t="s">
        <v>78</v>
      </c>
      <c r="K120" s="9">
        <v>3</v>
      </c>
      <c r="L120" s="9">
        <f>G120+K120</f>
        <v>2023</v>
      </c>
      <c r="M120" s="114">
        <f>+L120+(H120/12)</f>
        <v>2023.75</v>
      </c>
      <c r="N120" s="13">
        <v>401.49</v>
      </c>
      <c r="O120" s="13">
        <f>N120-N120*I120</f>
        <v>401.49</v>
      </c>
      <c r="P120" s="13">
        <f>O120/K120/12</f>
        <v>11.152500000000002</v>
      </c>
      <c r="Q120" s="13">
        <f>P120*12</f>
        <v>133.83000000000001</v>
      </c>
      <c r="R120" s="13"/>
      <c r="S120" s="13">
        <f>+IF(M120&lt;=$O$5,0,IF(L120&gt;$O$4,Q120,(P120*H120)))</f>
        <v>133.83000000000001</v>
      </c>
      <c r="T120" s="13">
        <f>+IF(S120=0,N120,IF($O$3-G120&lt;1,0,(($O$3-G120)*Q120)))</f>
        <v>133.83000000000001</v>
      </c>
      <c r="U120" s="13">
        <f>+IF(S120=0,T120,T120+S120)</f>
        <v>267.66000000000003</v>
      </c>
      <c r="V120" s="13"/>
      <c r="W120" s="13">
        <f>+N120-U120</f>
        <v>133.82999999999998</v>
      </c>
      <c r="X120" s="147">
        <f>S120</f>
        <v>133.83000000000001</v>
      </c>
      <c r="Y120" s="116">
        <f>W120</f>
        <v>133.82999999999998</v>
      </c>
      <c r="Z120" s="116"/>
      <c r="AA120" s="116"/>
      <c r="AB120" s="144"/>
      <c r="AC120" s="116"/>
      <c r="AD120" s="116"/>
      <c r="AE120" s="120"/>
      <c r="AF120" s="120"/>
      <c r="AG120" s="120"/>
      <c r="AH120" s="120"/>
      <c r="AI120" s="120"/>
      <c r="AJ120" s="120"/>
    </row>
    <row r="121" spans="1:36" s="9" customFormat="1">
      <c r="B121" s="151"/>
      <c r="C121" s="9" t="s">
        <v>1300</v>
      </c>
      <c r="D121" s="9">
        <v>240725</v>
      </c>
      <c r="G121" s="9">
        <v>2020</v>
      </c>
      <c r="H121" s="9">
        <v>10</v>
      </c>
      <c r="I121" s="9">
        <v>0</v>
      </c>
      <c r="J121" s="9" t="s">
        <v>78</v>
      </c>
      <c r="K121" s="9">
        <v>3</v>
      </c>
      <c r="L121" s="9">
        <f>G121+K121</f>
        <v>2023</v>
      </c>
      <c r="M121" s="114">
        <f>+L121+(H121/12)</f>
        <v>2023.8333333333333</v>
      </c>
      <c r="N121" s="13">
        <v>401.48</v>
      </c>
      <c r="O121" s="13">
        <f>N121-N121*I121</f>
        <v>401.48</v>
      </c>
      <c r="P121" s="13">
        <f>O121/K121/12</f>
        <v>11.152222222222223</v>
      </c>
      <c r="Q121" s="13">
        <f>P121*12</f>
        <v>133.82666666666668</v>
      </c>
      <c r="R121" s="13"/>
      <c r="S121" s="13">
        <f>+IF(M121&lt;=$O$5,0,IF(L121&gt;$O$4,Q121,(P121*H121)))</f>
        <v>133.82666666666668</v>
      </c>
      <c r="T121" s="13">
        <f>+IF(S121=0,N121,IF($O$3-G121&lt;1,0,(($O$3-G121)*Q121)))</f>
        <v>133.82666666666668</v>
      </c>
      <c r="U121" s="13">
        <f>+IF(S121=0,T121,T121+S121)</f>
        <v>267.65333333333336</v>
      </c>
      <c r="V121" s="13"/>
      <c r="W121" s="13">
        <f>+N121-U121</f>
        <v>133.82666666666665</v>
      </c>
      <c r="X121" s="147">
        <f>S121</f>
        <v>133.82666666666668</v>
      </c>
      <c r="Y121" s="116">
        <f>W121</f>
        <v>133.82666666666665</v>
      </c>
      <c r="Z121" s="116"/>
      <c r="AA121" s="116"/>
      <c r="AB121" s="144"/>
      <c r="AC121" s="116"/>
      <c r="AD121" s="116"/>
      <c r="AE121" s="120"/>
      <c r="AF121" s="120"/>
      <c r="AG121" s="120"/>
      <c r="AH121" s="120"/>
      <c r="AI121" s="120"/>
      <c r="AJ121" s="120"/>
    </row>
    <row r="122" spans="1:36" s="181" customFormat="1">
      <c r="A122" s="9"/>
      <c r="B122" s="151"/>
      <c r="C122" s="9" t="s">
        <v>1354</v>
      </c>
      <c r="D122" s="9">
        <v>253027</v>
      </c>
      <c r="E122" s="9"/>
      <c r="F122" s="9"/>
      <c r="G122" s="9">
        <v>2021</v>
      </c>
      <c r="H122" s="9">
        <v>5</v>
      </c>
      <c r="I122" s="9">
        <v>0</v>
      </c>
      <c r="J122" s="9" t="s">
        <v>78</v>
      </c>
      <c r="K122" s="9">
        <v>3</v>
      </c>
      <c r="L122" s="9">
        <f>G122+K122</f>
        <v>2024</v>
      </c>
      <c r="M122" s="114">
        <f>+L122+(H122/12)</f>
        <v>2024.4166666666667</v>
      </c>
      <c r="N122" s="13">
        <v>415.32</v>
      </c>
      <c r="O122" s="13">
        <f t="shared" ref="O122:O125" si="71">N122-N122*I122</f>
        <v>415.32</v>
      </c>
      <c r="P122" s="13">
        <f t="shared" ref="P122:P125" si="72">O122/K122/12</f>
        <v>11.536666666666667</v>
      </c>
      <c r="Q122" s="13">
        <f t="shared" ref="Q122:Q126" si="73">P122*12</f>
        <v>138.44</v>
      </c>
      <c r="R122" s="13"/>
      <c r="S122" s="13">
        <f t="shared" ref="S122:S125" si="74">+IF(M122&lt;=$O$5,0,IF(L122&gt;$O$4,Q122,(P122*H122)))</f>
        <v>138.44</v>
      </c>
      <c r="T122" s="13">
        <f t="shared" ref="T122:T125" si="75">+IF(S122=0,N122,IF($O$3-G122&lt;1,0,(($O$3-G122)*Q122)))</f>
        <v>0</v>
      </c>
      <c r="U122" s="13">
        <f t="shared" ref="U122:U125" si="76">+IF(S122=0,T122,T122+S122)</f>
        <v>138.44</v>
      </c>
      <c r="V122" s="13"/>
      <c r="W122" s="13">
        <f t="shared" ref="W122:W125" si="77">+N122-U122</f>
        <v>276.88</v>
      </c>
      <c r="X122" s="185">
        <f t="shared" ref="X122:X125" si="78">S122</f>
        <v>138.44</v>
      </c>
      <c r="Y122" s="183">
        <f t="shared" ref="Y122:Y125" si="79">W122</f>
        <v>276.88</v>
      </c>
      <c r="Z122" s="183"/>
      <c r="AA122" s="183"/>
      <c r="AB122" s="186"/>
      <c r="AC122" s="183"/>
      <c r="AD122" s="183"/>
      <c r="AE122" s="187"/>
      <c r="AF122" s="187"/>
      <c r="AG122" s="187"/>
      <c r="AH122" s="187"/>
      <c r="AI122" s="187"/>
      <c r="AJ122" s="187"/>
    </row>
    <row r="123" spans="1:36" s="181" customFormat="1">
      <c r="A123" s="9"/>
      <c r="B123" s="151"/>
      <c r="C123" s="9" t="s">
        <v>1355</v>
      </c>
      <c r="D123" s="9">
        <v>253026</v>
      </c>
      <c r="E123" s="9"/>
      <c r="F123" s="9"/>
      <c r="G123" s="9">
        <v>2021</v>
      </c>
      <c r="H123" s="9">
        <v>5</v>
      </c>
      <c r="I123" s="9">
        <v>0</v>
      </c>
      <c r="J123" s="9" t="s">
        <v>78</v>
      </c>
      <c r="K123" s="9">
        <v>3</v>
      </c>
      <c r="L123" s="9">
        <f>G123+K123</f>
        <v>2024</v>
      </c>
      <c r="M123" s="114">
        <f>+L123+(H123/12)</f>
        <v>2024.4166666666667</v>
      </c>
      <c r="N123" s="13">
        <v>1079.8599999999999</v>
      </c>
      <c r="O123" s="13">
        <f t="shared" si="71"/>
        <v>1079.8599999999999</v>
      </c>
      <c r="P123" s="13">
        <f t="shared" si="72"/>
        <v>29.996111111111109</v>
      </c>
      <c r="Q123" s="13">
        <f t="shared" si="73"/>
        <v>359.95333333333332</v>
      </c>
      <c r="R123" s="13"/>
      <c r="S123" s="13">
        <f t="shared" si="74"/>
        <v>359.95333333333332</v>
      </c>
      <c r="T123" s="13">
        <f t="shared" si="75"/>
        <v>0</v>
      </c>
      <c r="U123" s="13">
        <f t="shared" si="76"/>
        <v>359.95333333333332</v>
      </c>
      <c r="V123" s="13"/>
      <c r="W123" s="13">
        <f t="shared" si="77"/>
        <v>719.90666666666652</v>
      </c>
      <c r="X123" s="185">
        <f t="shared" si="78"/>
        <v>359.95333333333332</v>
      </c>
      <c r="Y123" s="183">
        <f t="shared" si="79"/>
        <v>719.90666666666652</v>
      </c>
      <c r="Z123" s="183"/>
      <c r="AA123" s="183"/>
      <c r="AB123" s="186"/>
      <c r="AC123" s="183"/>
      <c r="AD123" s="183"/>
      <c r="AE123" s="187"/>
      <c r="AF123" s="187"/>
      <c r="AG123" s="187"/>
      <c r="AH123" s="187"/>
      <c r="AI123" s="187"/>
      <c r="AJ123" s="187"/>
    </row>
    <row r="124" spans="1:36" s="181" customFormat="1">
      <c r="A124" s="9"/>
      <c r="B124" s="151"/>
      <c r="C124" s="9" t="s">
        <v>1356</v>
      </c>
      <c r="D124" s="9">
        <v>253025</v>
      </c>
      <c r="E124" s="9"/>
      <c r="F124" s="9"/>
      <c r="G124" s="9">
        <v>2021</v>
      </c>
      <c r="H124" s="9">
        <v>5</v>
      </c>
      <c r="I124" s="9">
        <v>0</v>
      </c>
      <c r="J124" s="9" t="s">
        <v>78</v>
      </c>
      <c r="K124" s="9">
        <v>3</v>
      </c>
      <c r="L124" s="9">
        <f t="shared" ref="L124:L126" si="80">G124+K124</f>
        <v>2024</v>
      </c>
      <c r="M124" s="114">
        <f t="shared" ref="M124:M126" si="81">+L124+(H124/12)</f>
        <v>2024.4166666666667</v>
      </c>
      <c r="N124" s="13">
        <v>1079.8599999999999</v>
      </c>
      <c r="O124" s="13">
        <f t="shared" si="71"/>
        <v>1079.8599999999999</v>
      </c>
      <c r="P124" s="13">
        <f t="shared" si="72"/>
        <v>29.996111111111109</v>
      </c>
      <c r="Q124" s="13">
        <f t="shared" si="73"/>
        <v>359.95333333333332</v>
      </c>
      <c r="R124" s="13"/>
      <c r="S124" s="13">
        <f t="shared" si="74"/>
        <v>359.95333333333332</v>
      </c>
      <c r="T124" s="13">
        <f t="shared" si="75"/>
        <v>0</v>
      </c>
      <c r="U124" s="13">
        <f t="shared" si="76"/>
        <v>359.95333333333332</v>
      </c>
      <c r="V124" s="13"/>
      <c r="W124" s="13">
        <f t="shared" si="77"/>
        <v>719.90666666666652</v>
      </c>
      <c r="X124" s="185">
        <f t="shared" si="78"/>
        <v>359.95333333333332</v>
      </c>
      <c r="Y124" s="183">
        <f t="shared" si="79"/>
        <v>719.90666666666652</v>
      </c>
      <c r="Z124" s="183"/>
      <c r="AA124" s="183"/>
      <c r="AB124" s="186"/>
      <c r="AC124" s="183"/>
      <c r="AD124" s="183"/>
      <c r="AE124" s="187"/>
      <c r="AF124" s="187"/>
      <c r="AG124" s="187"/>
      <c r="AH124" s="187"/>
      <c r="AI124" s="187"/>
      <c r="AJ124" s="187"/>
    </row>
    <row r="125" spans="1:36" s="181" customFormat="1">
      <c r="A125" s="9"/>
      <c r="B125" s="151"/>
      <c r="C125" s="9" t="s">
        <v>1357</v>
      </c>
      <c r="D125" s="9">
        <v>252759</v>
      </c>
      <c r="E125" s="9"/>
      <c r="F125" s="9"/>
      <c r="G125" s="9">
        <v>2021</v>
      </c>
      <c r="H125" s="9">
        <v>5</v>
      </c>
      <c r="I125" s="9">
        <v>0</v>
      </c>
      <c r="J125" s="9" t="s">
        <v>78</v>
      </c>
      <c r="K125" s="9">
        <v>3</v>
      </c>
      <c r="L125" s="9">
        <f t="shared" si="80"/>
        <v>2024</v>
      </c>
      <c r="M125" s="114">
        <f t="shared" si="81"/>
        <v>2024.4166666666667</v>
      </c>
      <c r="N125" s="13">
        <v>153.35</v>
      </c>
      <c r="O125" s="13">
        <f t="shared" si="71"/>
        <v>153.35</v>
      </c>
      <c r="P125" s="13">
        <f t="shared" si="72"/>
        <v>4.259722222222222</v>
      </c>
      <c r="Q125" s="13">
        <f t="shared" si="73"/>
        <v>51.11666666666666</v>
      </c>
      <c r="R125" s="13"/>
      <c r="S125" s="13">
        <f t="shared" si="74"/>
        <v>51.11666666666666</v>
      </c>
      <c r="T125" s="13">
        <f t="shared" si="75"/>
        <v>0</v>
      </c>
      <c r="U125" s="13">
        <f t="shared" si="76"/>
        <v>51.11666666666666</v>
      </c>
      <c r="V125" s="13"/>
      <c r="W125" s="13">
        <f t="shared" si="77"/>
        <v>102.23333333333333</v>
      </c>
      <c r="X125" s="185">
        <f t="shared" si="78"/>
        <v>51.11666666666666</v>
      </c>
      <c r="Y125" s="183">
        <f t="shared" si="79"/>
        <v>102.23333333333333</v>
      </c>
      <c r="Z125" s="183"/>
      <c r="AA125" s="183"/>
      <c r="AB125" s="186"/>
      <c r="AC125" s="183"/>
      <c r="AD125" s="183"/>
      <c r="AE125" s="187"/>
      <c r="AF125" s="187"/>
      <c r="AG125" s="187"/>
      <c r="AH125" s="187"/>
      <c r="AI125" s="187"/>
      <c r="AJ125" s="187"/>
    </row>
    <row r="126" spans="1:36" s="181" customFormat="1">
      <c r="A126" s="9"/>
      <c r="B126" s="151"/>
      <c r="C126" s="9" t="s">
        <v>1358</v>
      </c>
      <c r="D126" s="9">
        <v>254935</v>
      </c>
      <c r="E126" s="9"/>
      <c r="F126" s="9"/>
      <c r="G126" s="9">
        <v>2021</v>
      </c>
      <c r="H126" s="9">
        <v>5</v>
      </c>
      <c r="I126" s="9">
        <v>0</v>
      </c>
      <c r="J126" s="9" t="s">
        <v>78</v>
      </c>
      <c r="K126" s="9">
        <v>3</v>
      </c>
      <c r="L126" s="9">
        <f t="shared" si="80"/>
        <v>2024</v>
      </c>
      <c r="M126" s="114">
        <f t="shared" si="81"/>
        <v>2024.4166666666667</v>
      </c>
      <c r="N126" s="13">
        <v>1044.8399999999999</v>
      </c>
      <c r="O126" s="13">
        <f t="shared" ref="O126" si="82">N126-N126*I126</f>
        <v>1044.8399999999999</v>
      </c>
      <c r="P126" s="13">
        <f t="shared" ref="P126" si="83">O126/K126/12</f>
        <v>29.02333333333333</v>
      </c>
      <c r="Q126" s="13">
        <f t="shared" si="73"/>
        <v>348.28</v>
      </c>
      <c r="R126" s="13"/>
      <c r="S126" s="13">
        <f t="shared" ref="S126" si="84">+IF(M126&lt;=$O$5,0,IF(L126&gt;$O$4,Q126,(P126*H126)))</f>
        <v>348.28</v>
      </c>
      <c r="T126" s="13">
        <f t="shared" ref="T126" si="85">+IF(S126=0,N126,IF($O$3-G126&lt;1,0,(($O$3-G126)*Q126)))</f>
        <v>0</v>
      </c>
      <c r="U126" s="13">
        <f t="shared" ref="U126" si="86">+IF(S126=0,T126,T126+S126)</f>
        <v>348.28</v>
      </c>
      <c r="V126" s="13"/>
      <c r="W126" s="13">
        <f t="shared" ref="W126" si="87">+N126-U126</f>
        <v>696.56</v>
      </c>
      <c r="X126" s="185">
        <f t="shared" ref="X126" si="88">S126</f>
        <v>348.28</v>
      </c>
      <c r="Y126" s="183">
        <f t="shared" ref="Y126" si="89">W126</f>
        <v>696.56</v>
      </c>
      <c r="Z126" s="183"/>
      <c r="AA126" s="183"/>
      <c r="AB126" s="186"/>
      <c r="AC126" s="183"/>
      <c r="AD126" s="183"/>
      <c r="AE126" s="187"/>
      <c r="AF126" s="187"/>
      <c r="AG126" s="187"/>
      <c r="AH126" s="187"/>
      <c r="AI126" s="187"/>
      <c r="AJ126" s="187"/>
    </row>
    <row r="127" spans="1:36" s="9" customFormat="1">
      <c r="M127" s="114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36" s="9" customFormat="1">
      <c r="L128" s="148" t="s">
        <v>989</v>
      </c>
      <c r="M128" s="149"/>
      <c r="N128" s="150">
        <f>SUM(N69:N127)</f>
        <v>1131890.8300000008</v>
      </c>
      <c r="O128" s="150">
        <f>SUM(O69:O127)</f>
        <v>1131890.8300000008</v>
      </c>
      <c r="P128" s="150">
        <f>SUM(P69:P127)</f>
        <v>24596.791750000004</v>
      </c>
      <c r="Q128" s="150">
        <f>SUM(Q69:Q127)</f>
        <v>295161.50100000005</v>
      </c>
      <c r="R128" s="150"/>
      <c r="S128" s="150">
        <f>SUM(S69:S127)</f>
        <v>6863.6766666666645</v>
      </c>
      <c r="T128" s="150">
        <f>SUM(T69:T127)</f>
        <v>1112875.6033333337</v>
      </c>
      <c r="U128" s="150">
        <f>SUM(U69:U127)</f>
        <v>1119739.2800000003</v>
      </c>
      <c r="V128" s="150"/>
      <c r="W128" s="150">
        <f t="shared" ref="W128:AD128" si="90">SUM(W69:W127)</f>
        <v>12151.549999999994</v>
      </c>
      <c r="X128" s="150">
        <f t="shared" si="90"/>
        <v>5689.3566666666648</v>
      </c>
      <c r="Y128" s="150">
        <f t="shared" si="90"/>
        <v>10977.229999999994</v>
      </c>
      <c r="Z128" s="150">
        <f t="shared" si="90"/>
        <v>-33993.771500000003</v>
      </c>
      <c r="AA128" s="150">
        <f t="shared" si="90"/>
        <v>-56039.45383333334</v>
      </c>
      <c r="AB128" s="150">
        <f t="shared" si="90"/>
        <v>32.622955277922955</v>
      </c>
      <c r="AC128" s="150">
        <f t="shared" si="90"/>
        <v>2921.6611278714563</v>
      </c>
      <c r="AD128" s="150">
        <f t="shared" si="90"/>
        <v>5843.3222557429126</v>
      </c>
      <c r="AE128" s="150">
        <f>$AC$128*'Ratios (C)'!P6</f>
        <v>1236.1394162329075</v>
      </c>
      <c r="AF128" s="150">
        <f>$AC$128*'Ratios (C)'!Q6</f>
        <v>1159.8410909915351</v>
      </c>
      <c r="AG128" s="150">
        <f>$AC$128*'Ratios (C)'!R6</f>
        <v>525.6806206470136</v>
      </c>
      <c r="AH128" s="150">
        <f>$AD$128*'Ratios (C)'!P6</f>
        <v>2472.278832465815</v>
      </c>
      <c r="AI128" s="150">
        <f>$AD$128*'Ratios (C)'!Q6</f>
        <v>2319.6821819830702</v>
      </c>
      <c r="AJ128" s="150">
        <f>$AD$128*'Ratios (C)'!R6</f>
        <v>1051.3612412940272</v>
      </c>
    </row>
    <row r="129" spans="1:36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114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36">
      <c r="A130" s="9"/>
      <c r="B130" s="142" t="s">
        <v>990</v>
      </c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114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36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114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36">
      <c r="A132" s="9" t="s">
        <v>901</v>
      </c>
      <c r="B132" s="9"/>
      <c r="C132" s="9" t="s">
        <v>991</v>
      </c>
      <c r="D132" s="9"/>
      <c r="E132" s="9"/>
      <c r="F132" s="9"/>
      <c r="G132" s="9">
        <v>2004</v>
      </c>
      <c r="H132" s="9">
        <v>9</v>
      </c>
      <c r="I132" s="9">
        <v>0</v>
      </c>
      <c r="J132" s="9" t="s">
        <v>78</v>
      </c>
      <c r="K132" s="9">
        <v>20</v>
      </c>
      <c r="L132" s="9">
        <f t="shared" ref="L132:L140" si="91">G132+K132</f>
        <v>2024</v>
      </c>
      <c r="M132" s="114">
        <f t="shared" ref="M132:M140" si="92">+L132+(H132/12)</f>
        <v>2024.75</v>
      </c>
      <c r="N132" s="13">
        <v>40000</v>
      </c>
      <c r="O132" s="13">
        <f>N132-N132*I132</f>
        <v>40000</v>
      </c>
      <c r="P132" s="13">
        <f>O132/K132/12</f>
        <v>166.66666666666666</v>
      </c>
      <c r="Q132" s="13">
        <f t="shared" ref="Q132:Q138" si="93">P132*12</f>
        <v>2000</v>
      </c>
      <c r="R132" s="13">
        <v>2000</v>
      </c>
      <c r="S132" s="13">
        <f>+IF(M132&lt;=$O$5,0,IF(L132&gt;$O$4,Q132,(P132*H132)))</f>
        <v>2000</v>
      </c>
      <c r="T132" s="13">
        <f>+IF(S132=0,N132,IF($O$3-G132&lt;1,0,(($O$3-G132)*Q132)))</f>
        <v>34000</v>
      </c>
      <c r="U132" s="13">
        <f>+IF(S132=0,T132,T132+S132)</f>
        <v>36000</v>
      </c>
      <c r="V132" s="13">
        <v>10000</v>
      </c>
      <c r="W132" s="13">
        <f>+N132-U132</f>
        <v>4000</v>
      </c>
      <c r="X132" s="103">
        <f t="shared" ref="X132" si="94">S132</f>
        <v>2000</v>
      </c>
      <c r="Y132" s="104">
        <f t="shared" ref="Y132" si="95">W132</f>
        <v>4000</v>
      </c>
      <c r="Z132" s="104">
        <f t="shared" ref="Z132" si="96">X132-R132</f>
        <v>0</v>
      </c>
      <c r="AA132" s="104">
        <f t="shared" ref="AA132" si="97">Y132-V132</f>
        <v>-6000</v>
      </c>
      <c r="AB132" s="111">
        <f>'Ratios (C)'!$C$53+'Ratios (C)'!$D$53</f>
        <v>0.57214824875914061</v>
      </c>
      <c r="AC132" s="104">
        <f t="shared" ref="AC132" si="98">X132*AB132</f>
        <v>1144.2964975182813</v>
      </c>
      <c r="AD132" s="104">
        <f t="shared" ref="AD132" si="99">Y132*AB132</f>
        <v>2288.5929950365626</v>
      </c>
      <c r="AE132" s="105"/>
      <c r="AF132" s="108"/>
      <c r="AG132" s="106"/>
      <c r="AH132" s="105"/>
      <c r="AI132" s="108"/>
      <c r="AJ132" s="107"/>
    </row>
    <row r="133" spans="1:36">
      <c r="A133" s="9" t="s">
        <v>901</v>
      </c>
      <c r="B133" s="9"/>
      <c r="C133" s="9" t="s">
        <v>991</v>
      </c>
      <c r="D133" s="9"/>
      <c r="E133" s="9"/>
      <c r="F133" s="9"/>
      <c r="G133" s="9">
        <v>2004</v>
      </c>
      <c r="H133" s="9">
        <v>9</v>
      </c>
      <c r="I133" s="9">
        <v>0</v>
      </c>
      <c r="J133" s="9" t="s">
        <v>78</v>
      </c>
      <c r="K133" s="9">
        <v>20</v>
      </c>
      <c r="L133" s="9">
        <f t="shared" si="91"/>
        <v>2024</v>
      </c>
      <c r="M133" s="114">
        <f t="shared" si="92"/>
        <v>2024.75</v>
      </c>
      <c r="N133" s="13">
        <v>240000</v>
      </c>
      <c r="O133" s="13">
        <f t="shared" ref="O133:O138" si="100">N133-N133*I133</f>
        <v>240000</v>
      </c>
      <c r="P133" s="13">
        <f t="shared" ref="P133:P138" si="101">O133/K133/12</f>
        <v>1000</v>
      </c>
      <c r="Q133" s="13">
        <f t="shared" si="93"/>
        <v>12000</v>
      </c>
      <c r="R133" s="13">
        <v>12000</v>
      </c>
      <c r="S133" s="13">
        <f t="shared" ref="S133:S138" si="102">+IF(M133&lt;=$O$5,0,IF(L133&gt;$O$4,Q133,(P133*H133)))</f>
        <v>12000</v>
      </c>
      <c r="T133" s="13">
        <f t="shared" ref="T133:T138" si="103">+IF(S133=0,N133,IF($O$3-G133&lt;1,0,(($O$3-G133)*Q133)))</f>
        <v>204000</v>
      </c>
      <c r="U133" s="13">
        <f t="shared" ref="U133:U138" si="104">+IF(S133=0,T133,T133+S133)</f>
        <v>216000</v>
      </c>
      <c r="V133" s="13">
        <v>60000</v>
      </c>
      <c r="W133" s="13">
        <f t="shared" ref="W133:W138" si="105">+N133-U133</f>
        <v>24000</v>
      </c>
      <c r="X133" s="103">
        <f t="shared" ref="X133:X140" si="106">S133</f>
        <v>12000</v>
      </c>
      <c r="Y133" s="104">
        <f t="shared" ref="Y133:Y140" si="107">W133</f>
        <v>24000</v>
      </c>
      <c r="Z133" s="104">
        <f t="shared" ref="Z133:Z140" si="108">X133-R133</f>
        <v>0</v>
      </c>
      <c r="AA133" s="104">
        <f t="shared" ref="AA133:AA140" si="109">Y133-V133</f>
        <v>-36000</v>
      </c>
      <c r="AB133" s="111">
        <f>'Ratios (C)'!$C$53+'Ratios (C)'!$D$53</f>
        <v>0.57214824875914061</v>
      </c>
      <c r="AC133" s="104">
        <f t="shared" ref="AC133:AC140" si="110">X133*AB133</f>
        <v>6865.7789851096877</v>
      </c>
      <c r="AD133" s="104">
        <f t="shared" ref="AD133:AD140" si="111">Y133*AB133</f>
        <v>13731.557970219375</v>
      </c>
      <c r="AE133" s="105"/>
      <c r="AF133" s="108"/>
      <c r="AG133" s="106"/>
      <c r="AH133" s="105"/>
      <c r="AI133" s="108"/>
      <c r="AJ133" s="107"/>
    </row>
    <row r="134" spans="1:36">
      <c r="A134" s="9" t="s">
        <v>901</v>
      </c>
      <c r="B134" s="9"/>
      <c r="C134" s="9" t="s">
        <v>992</v>
      </c>
      <c r="D134" s="9" t="s">
        <v>993</v>
      </c>
      <c r="E134" s="9">
        <v>80461</v>
      </c>
      <c r="F134" s="9"/>
      <c r="G134" s="9">
        <v>2011</v>
      </c>
      <c r="H134" s="9">
        <v>3</v>
      </c>
      <c r="I134" s="9">
        <v>0</v>
      </c>
      <c r="J134" s="9" t="s">
        <v>78</v>
      </c>
      <c r="K134" s="9">
        <v>20</v>
      </c>
      <c r="L134" s="9">
        <f t="shared" si="91"/>
        <v>2031</v>
      </c>
      <c r="M134" s="114">
        <f t="shared" si="92"/>
        <v>2031.25</v>
      </c>
      <c r="N134" s="13">
        <f>841.06+841.06</f>
        <v>1682.12</v>
      </c>
      <c r="O134" s="13">
        <f t="shared" si="100"/>
        <v>1682.12</v>
      </c>
      <c r="P134" s="13">
        <f t="shared" si="101"/>
        <v>7.0088333333333326</v>
      </c>
      <c r="Q134" s="13">
        <f t="shared" si="93"/>
        <v>84.105999999999995</v>
      </c>
      <c r="R134" s="13">
        <v>84.105999999999995</v>
      </c>
      <c r="S134" s="13">
        <f t="shared" si="102"/>
        <v>84.105999999999995</v>
      </c>
      <c r="T134" s="13">
        <f t="shared" si="103"/>
        <v>841.06</v>
      </c>
      <c r="U134" s="13">
        <f t="shared" si="104"/>
        <v>925.16599999999994</v>
      </c>
      <c r="V134" s="13">
        <v>1009.2719999999999</v>
      </c>
      <c r="W134" s="13">
        <f t="shared" si="105"/>
        <v>756.95399999999995</v>
      </c>
      <c r="X134" s="103">
        <f t="shared" si="106"/>
        <v>84.105999999999995</v>
      </c>
      <c r="Y134" s="104">
        <f t="shared" si="107"/>
        <v>756.95399999999995</v>
      </c>
      <c r="Z134" s="104">
        <f t="shared" si="108"/>
        <v>0</v>
      </c>
      <c r="AA134" s="104">
        <f t="shared" si="109"/>
        <v>-252.31799999999998</v>
      </c>
      <c r="AB134" s="111">
        <f>'Ratios (C)'!$C$53+'Ratios (C)'!$D$53</f>
        <v>0.57214824875914061</v>
      </c>
      <c r="AC134" s="104">
        <f t="shared" si="110"/>
        <v>48.121100610136274</v>
      </c>
      <c r="AD134" s="104">
        <f t="shared" si="111"/>
        <v>433.08990549122649</v>
      </c>
      <c r="AE134" s="105"/>
      <c r="AF134" s="108"/>
      <c r="AG134" s="106"/>
      <c r="AH134" s="105"/>
      <c r="AI134" s="108"/>
      <c r="AJ134" s="107"/>
    </row>
    <row r="135" spans="1:36">
      <c r="A135" s="9" t="s">
        <v>901</v>
      </c>
      <c r="B135" s="9"/>
      <c r="C135" s="9" t="s">
        <v>994</v>
      </c>
      <c r="D135" s="9" t="s">
        <v>995</v>
      </c>
      <c r="E135" s="9">
        <v>80461</v>
      </c>
      <c r="F135" s="9"/>
      <c r="G135" s="9">
        <v>2011</v>
      </c>
      <c r="H135" s="9">
        <v>3</v>
      </c>
      <c r="I135" s="9">
        <v>0</v>
      </c>
      <c r="J135" s="9" t="s">
        <v>78</v>
      </c>
      <c r="K135" s="9">
        <v>20</v>
      </c>
      <c r="L135" s="9">
        <f t="shared" si="91"/>
        <v>2031</v>
      </c>
      <c r="M135" s="114">
        <f t="shared" si="92"/>
        <v>2031.25</v>
      </c>
      <c r="N135" s="13">
        <f>5574.14+2711.89</f>
        <v>8286.0300000000007</v>
      </c>
      <c r="O135" s="13">
        <f t="shared" si="100"/>
        <v>8286.0300000000007</v>
      </c>
      <c r="P135" s="13">
        <f t="shared" si="101"/>
        <v>34.525125000000003</v>
      </c>
      <c r="Q135" s="13">
        <f t="shared" si="93"/>
        <v>414.30150000000003</v>
      </c>
      <c r="R135" s="13">
        <v>414.30150000000003</v>
      </c>
      <c r="S135" s="13">
        <f t="shared" si="102"/>
        <v>414.30150000000003</v>
      </c>
      <c r="T135" s="13">
        <f t="shared" si="103"/>
        <v>4143.0150000000003</v>
      </c>
      <c r="U135" s="13">
        <f t="shared" si="104"/>
        <v>4557.3165000000008</v>
      </c>
      <c r="V135" s="13">
        <v>4971.6180000000004</v>
      </c>
      <c r="W135" s="13">
        <f t="shared" si="105"/>
        <v>3728.7134999999998</v>
      </c>
      <c r="X135" s="103">
        <f t="shared" si="106"/>
        <v>414.30150000000003</v>
      </c>
      <c r="Y135" s="104">
        <f t="shared" si="107"/>
        <v>3728.7134999999998</v>
      </c>
      <c r="Z135" s="104">
        <f t="shared" si="108"/>
        <v>0</v>
      </c>
      <c r="AA135" s="104">
        <f t="shared" si="109"/>
        <v>-1242.9045000000006</v>
      </c>
      <c r="AB135" s="111">
        <f>'Ratios (C)'!$C$53+'Ratios (C)'!$D$53</f>
        <v>0.57214824875914061</v>
      </c>
      <c r="AC135" s="104">
        <f t="shared" si="110"/>
        <v>237.04187768328512</v>
      </c>
      <c r="AD135" s="104">
        <f t="shared" si="111"/>
        <v>2133.3768991495658</v>
      </c>
      <c r="AE135" s="105"/>
      <c r="AF135" s="108"/>
      <c r="AG135" s="106"/>
      <c r="AH135" s="105"/>
      <c r="AI135" s="108"/>
      <c r="AJ135" s="107"/>
    </row>
    <row r="136" spans="1:36">
      <c r="A136" s="9" t="s">
        <v>901</v>
      </c>
      <c r="B136" s="9"/>
      <c r="C136" s="9" t="s">
        <v>996</v>
      </c>
      <c r="D136" s="9">
        <v>82335</v>
      </c>
      <c r="E136" s="9">
        <v>80461</v>
      </c>
      <c r="F136" s="9"/>
      <c r="G136" s="9">
        <v>2011</v>
      </c>
      <c r="H136" s="9">
        <v>3</v>
      </c>
      <c r="I136" s="9">
        <v>0</v>
      </c>
      <c r="J136" s="9" t="s">
        <v>78</v>
      </c>
      <c r="K136" s="9">
        <v>20</v>
      </c>
      <c r="L136" s="9">
        <f t="shared" si="91"/>
        <v>2031</v>
      </c>
      <c r="M136" s="114">
        <f t="shared" si="92"/>
        <v>2031.25</v>
      </c>
      <c r="N136" s="13">
        <v>5668.3</v>
      </c>
      <c r="O136" s="13">
        <f t="shared" si="100"/>
        <v>5668.3</v>
      </c>
      <c r="P136" s="13">
        <f t="shared" si="101"/>
        <v>23.61791666666667</v>
      </c>
      <c r="Q136" s="13">
        <f t="shared" si="93"/>
        <v>283.41500000000002</v>
      </c>
      <c r="R136" s="13">
        <v>283.41500000000002</v>
      </c>
      <c r="S136" s="13">
        <f t="shared" si="102"/>
        <v>283.41500000000002</v>
      </c>
      <c r="T136" s="13">
        <f t="shared" si="103"/>
        <v>2834.15</v>
      </c>
      <c r="U136" s="13">
        <f t="shared" si="104"/>
        <v>3117.5650000000001</v>
      </c>
      <c r="V136" s="13">
        <v>3400.98</v>
      </c>
      <c r="W136" s="13">
        <f t="shared" si="105"/>
        <v>2550.7350000000001</v>
      </c>
      <c r="X136" s="103">
        <f t="shared" si="106"/>
        <v>283.41500000000002</v>
      </c>
      <c r="Y136" s="104">
        <f t="shared" si="107"/>
        <v>2550.7350000000001</v>
      </c>
      <c r="Z136" s="104">
        <f t="shared" si="108"/>
        <v>0</v>
      </c>
      <c r="AA136" s="104">
        <f t="shared" si="109"/>
        <v>-850.24499999999989</v>
      </c>
      <c r="AB136" s="111">
        <f>'Ratios (C)'!$C$53+'Ratios (C)'!$D$53</f>
        <v>0.57214824875914061</v>
      </c>
      <c r="AC136" s="104">
        <f t="shared" si="110"/>
        <v>162.15539592207185</v>
      </c>
      <c r="AD136" s="104">
        <f t="shared" si="111"/>
        <v>1459.3985632986466</v>
      </c>
      <c r="AE136" s="105"/>
      <c r="AF136" s="108"/>
      <c r="AG136" s="106"/>
      <c r="AH136" s="105"/>
      <c r="AI136" s="108"/>
      <c r="AJ136" s="107"/>
    </row>
    <row r="137" spans="1:36">
      <c r="A137" s="9" t="s">
        <v>901</v>
      </c>
      <c r="B137" s="9"/>
      <c r="C137" s="9" t="s">
        <v>997</v>
      </c>
      <c r="D137" s="9" t="s">
        <v>998</v>
      </c>
      <c r="E137" s="9">
        <v>80461</v>
      </c>
      <c r="F137" s="9"/>
      <c r="G137" s="9">
        <v>2011</v>
      </c>
      <c r="H137" s="9">
        <v>3</v>
      </c>
      <c r="I137" s="9">
        <v>0</v>
      </c>
      <c r="J137" s="9" t="s">
        <v>78</v>
      </c>
      <c r="K137" s="9">
        <v>20</v>
      </c>
      <c r="L137" s="9">
        <f t="shared" si="91"/>
        <v>2031</v>
      </c>
      <c r="M137" s="114">
        <f t="shared" si="92"/>
        <v>2031.25</v>
      </c>
      <c r="N137" s="13">
        <f>31000.84+80823.8+245.11+59592+4618.5+20568.07+6693.53+6062.87</f>
        <v>209604.72</v>
      </c>
      <c r="O137" s="13">
        <f t="shared" si="100"/>
        <v>209604.72</v>
      </c>
      <c r="P137" s="13">
        <f t="shared" si="101"/>
        <v>873.35300000000007</v>
      </c>
      <c r="Q137" s="13">
        <f t="shared" si="93"/>
        <v>10480.236000000001</v>
      </c>
      <c r="R137" s="13">
        <v>10480.236000000001</v>
      </c>
      <c r="S137" s="13">
        <f t="shared" si="102"/>
        <v>10480.236000000001</v>
      </c>
      <c r="T137" s="13">
        <f t="shared" si="103"/>
        <v>104802.36000000002</v>
      </c>
      <c r="U137" s="13">
        <f t="shared" si="104"/>
        <v>115282.59600000002</v>
      </c>
      <c r="V137" s="13">
        <v>125762.83199999999</v>
      </c>
      <c r="W137" s="13">
        <f t="shared" si="105"/>
        <v>94322.123999999982</v>
      </c>
      <c r="X137" s="103">
        <f t="shared" si="106"/>
        <v>10480.236000000001</v>
      </c>
      <c r="Y137" s="104">
        <f t="shared" si="107"/>
        <v>94322.123999999982</v>
      </c>
      <c r="Z137" s="104">
        <f t="shared" si="108"/>
        <v>0</v>
      </c>
      <c r="AA137" s="104">
        <f t="shared" si="109"/>
        <v>-31440.708000000013</v>
      </c>
      <c r="AB137" s="111">
        <f>'Ratios (C)'!$C$53+'Ratios (C)'!$D$53</f>
        <v>0.57214824875914061</v>
      </c>
      <c r="AC137" s="104">
        <f t="shared" si="110"/>
        <v>5996.2486739825008</v>
      </c>
      <c r="AD137" s="104">
        <f t="shared" si="111"/>
        <v>53966.238065842495</v>
      </c>
      <c r="AE137" s="105"/>
      <c r="AF137" s="108"/>
      <c r="AG137" s="106"/>
      <c r="AH137" s="105"/>
      <c r="AI137" s="108"/>
      <c r="AJ137" s="107"/>
    </row>
    <row r="138" spans="1:36">
      <c r="A138" s="9" t="s">
        <v>901</v>
      </c>
      <c r="B138" s="9"/>
      <c r="C138" s="9" t="s">
        <v>999</v>
      </c>
      <c r="D138" s="9" t="s">
        <v>1000</v>
      </c>
      <c r="E138" s="9">
        <v>80461</v>
      </c>
      <c r="F138" s="9"/>
      <c r="G138" s="9">
        <v>2011</v>
      </c>
      <c r="H138" s="9">
        <v>3</v>
      </c>
      <c r="I138" s="9">
        <v>0</v>
      </c>
      <c r="J138" s="9" t="s">
        <v>78</v>
      </c>
      <c r="K138" s="9">
        <v>10</v>
      </c>
      <c r="L138" s="9">
        <f t="shared" si="91"/>
        <v>2021</v>
      </c>
      <c r="M138" s="114">
        <f t="shared" si="92"/>
        <v>2021.25</v>
      </c>
      <c r="N138" s="13">
        <f>394.57+25.62+247.56+1955.1+1108.85+1867.48+4357.52+196.74+938.88</f>
        <v>11092.32</v>
      </c>
      <c r="O138" s="13">
        <f t="shared" si="100"/>
        <v>11092.32</v>
      </c>
      <c r="P138" s="13">
        <f t="shared" si="101"/>
        <v>92.435999999999993</v>
      </c>
      <c r="Q138" s="13">
        <f t="shared" si="93"/>
        <v>1109.232</v>
      </c>
      <c r="R138" s="13">
        <v>1109.232</v>
      </c>
      <c r="S138" s="13">
        <f t="shared" si="102"/>
        <v>0</v>
      </c>
      <c r="T138" s="13">
        <f t="shared" si="103"/>
        <v>11092.32</v>
      </c>
      <c r="U138" s="13">
        <f t="shared" si="104"/>
        <v>11092.32</v>
      </c>
      <c r="V138" s="13">
        <v>2218.4639999999999</v>
      </c>
      <c r="W138" s="13">
        <f t="shared" si="105"/>
        <v>0</v>
      </c>
      <c r="X138" s="103">
        <f t="shared" si="106"/>
        <v>0</v>
      </c>
      <c r="Y138" s="104">
        <f t="shared" si="107"/>
        <v>0</v>
      </c>
      <c r="Z138" s="104">
        <f t="shared" si="108"/>
        <v>-1109.232</v>
      </c>
      <c r="AA138" s="104">
        <f t="shared" si="109"/>
        <v>-2218.4639999999999</v>
      </c>
      <c r="AB138" s="111">
        <f>'Ratios (C)'!$C$53+'Ratios (C)'!$D$53</f>
        <v>0.57214824875914061</v>
      </c>
      <c r="AC138" s="104">
        <f t="shared" si="110"/>
        <v>0</v>
      </c>
      <c r="AD138" s="104">
        <f t="shared" si="111"/>
        <v>0</v>
      </c>
      <c r="AE138" s="105"/>
      <c r="AF138" s="108"/>
      <c r="AG138" s="106"/>
      <c r="AH138" s="105"/>
      <c r="AI138" s="108"/>
      <c r="AJ138" s="107"/>
    </row>
    <row r="139" spans="1:36">
      <c r="A139" s="9" t="s">
        <v>901</v>
      </c>
      <c r="B139" s="9"/>
      <c r="C139" s="9" t="s">
        <v>1001</v>
      </c>
      <c r="D139" s="9" t="s">
        <v>1002</v>
      </c>
      <c r="E139" s="9"/>
      <c r="F139" s="9"/>
      <c r="G139" s="9">
        <v>2019</v>
      </c>
      <c r="H139" s="9">
        <v>1</v>
      </c>
      <c r="I139" s="9">
        <v>0</v>
      </c>
      <c r="J139" s="9" t="s">
        <v>78</v>
      </c>
      <c r="K139" s="9">
        <v>10</v>
      </c>
      <c r="L139" s="9">
        <f t="shared" si="91"/>
        <v>2029</v>
      </c>
      <c r="M139" s="114">
        <f t="shared" si="92"/>
        <v>2029.0833333333333</v>
      </c>
      <c r="N139" s="13">
        <f>9037-2575.16</f>
        <v>6461.84</v>
      </c>
      <c r="O139" s="13">
        <f>N139-N139*I139</f>
        <v>6461.84</v>
      </c>
      <c r="P139" s="13">
        <f>O139/K139/12</f>
        <v>53.848666666666666</v>
      </c>
      <c r="Q139" s="13">
        <f>P139*12</f>
        <v>646.18399999999997</v>
      </c>
      <c r="R139" s="13">
        <v>646.18399999999997</v>
      </c>
      <c r="S139" s="13">
        <f>+IF(M139&lt;=$O$5,0,IF(L139&gt;$O$4,Q139,(P139*H139)))</f>
        <v>646.18399999999997</v>
      </c>
      <c r="T139" s="13">
        <f>+IF(S139=0,N139,IF($O$3-G139&lt;1,0,(($O$3-G139)*Q139)))</f>
        <v>1292.3679999999999</v>
      </c>
      <c r="U139" s="13">
        <f>+IF(S139=0,T139,T139+S139)</f>
        <v>1938.5519999999999</v>
      </c>
      <c r="V139" s="13">
        <v>5815.6559999999999</v>
      </c>
      <c r="W139" s="13">
        <f>+N139-U139</f>
        <v>4523.2880000000005</v>
      </c>
      <c r="X139" s="103">
        <f t="shared" si="106"/>
        <v>646.18399999999997</v>
      </c>
      <c r="Y139" s="104">
        <f t="shared" si="107"/>
        <v>4523.2880000000005</v>
      </c>
      <c r="Z139" s="104">
        <f t="shared" si="108"/>
        <v>0</v>
      </c>
      <c r="AA139" s="104">
        <f t="shared" si="109"/>
        <v>-1292.3679999999995</v>
      </c>
      <c r="AB139" s="111">
        <f>'Ratios (C)'!$C$53+'Ratios (C)'!$D$53</f>
        <v>0.57214824875914061</v>
      </c>
      <c r="AC139" s="104">
        <f t="shared" si="110"/>
        <v>369.71304397617649</v>
      </c>
      <c r="AD139" s="104">
        <f t="shared" si="111"/>
        <v>2587.9913078332361</v>
      </c>
      <c r="AE139" s="105"/>
      <c r="AF139" s="108"/>
      <c r="AG139" s="106"/>
      <c r="AH139" s="105"/>
      <c r="AI139" s="108"/>
      <c r="AJ139" s="107"/>
    </row>
    <row r="140" spans="1:36">
      <c r="A140" s="9" t="s">
        <v>901</v>
      </c>
      <c r="B140" s="9"/>
      <c r="C140" s="9" t="s">
        <v>1001</v>
      </c>
      <c r="D140" s="9">
        <v>208977</v>
      </c>
      <c r="E140" s="9"/>
      <c r="F140" s="9"/>
      <c r="G140" s="9">
        <v>2019</v>
      </c>
      <c r="H140" s="9">
        <v>1</v>
      </c>
      <c r="I140" s="9">
        <v>0</v>
      </c>
      <c r="J140" s="9" t="s">
        <v>78</v>
      </c>
      <c r="K140" s="9">
        <v>9.11</v>
      </c>
      <c r="L140" s="9">
        <f t="shared" si="91"/>
        <v>2028.11</v>
      </c>
      <c r="M140" s="114">
        <f t="shared" si="92"/>
        <v>2028.1933333333332</v>
      </c>
      <c r="N140" s="13">
        <v>24602.39</v>
      </c>
      <c r="O140" s="13">
        <f>N140-N140*I140</f>
        <v>24602.39</v>
      </c>
      <c r="P140" s="13">
        <f>O140/K140/12</f>
        <v>225.04930479326745</v>
      </c>
      <c r="Q140" s="13">
        <f>P140*12</f>
        <v>2700.5916575192095</v>
      </c>
      <c r="R140" s="13">
        <v>2700.5916575192095</v>
      </c>
      <c r="S140" s="13">
        <f>+IF(M140&lt;=$O$5,0,IF(L140&gt;$O$4,Q140,(P140*H140)))</f>
        <v>2700.5916575192095</v>
      </c>
      <c r="T140" s="13">
        <f>+IF(S140=0,N140,IF($O$3-G140&lt;1,0,(($O$3-G140)*Q140)))</f>
        <v>5401.1833150384191</v>
      </c>
      <c r="U140" s="13">
        <f>+IF(S140=0,T140,T140+S140)</f>
        <v>8101.7749725576286</v>
      </c>
      <c r="V140" s="13">
        <v>21901.79834248079</v>
      </c>
      <c r="W140" s="13">
        <f>+N140-U140</f>
        <v>16500.615027442371</v>
      </c>
      <c r="X140" s="103">
        <f t="shared" si="106"/>
        <v>2700.5916575192095</v>
      </c>
      <c r="Y140" s="104">
        <f t="shared" si="107"/>
        <v>16500.615027442371</v>
      </c>
      <c r="Z140" s="104">
        <f t="shared" si="108"/>
        <v>0</v>
      </c>
      <c r="AA140" s="104">
        <f t="shared" si="109"/>
        <v>-5401.1833150384191</v>
      </c>
      <c r="AB140" s="111">
        <f>'Ratios (C)'!$C$53+'Ratios (C)'!$D$53</f>
        <v>0.57214824875914061</v>
      </c>
      <c r="AC140" s="104">
        <f t="shared" si="110"/>
        <v>1545.1387874631605</v>
      </c>
      <c r="AD140" s="104">
        <f t="shared" si="111"/>
        <v>9440.7979913999116</v>
      </c>
      <c r="AE140" s="105"/>
      <c r="AF140" s="108"/>
      <c r="AG140" s="106"/>
      <c r="AH140" s="105"/>
      <c r="AI140" s="108"/>
      <c r="AJ140" s="107"/>
    </row>
    <row r="141" spans="1:36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114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36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148" t="s">
        <v>1003</v>
      </c>
      <c r="M142" s="149"/>
      <c r="N142" s="150">
        <f>SUM(N132:N141)</f>
        <v>547397.72000000009</v>
      </c>
      <c r="O142" s="150">
        <f t="shared" ref="O142:AD142" si="112">SUM(O132:O141)</f>
        <v>547397.72000000009</v>
      </c>
      <c r="P142" s="150">
        <f t="shared" si="112"/>
        <v>2476.5055131266008</v>
      </c>
      <c r="Q142" s="150">
        <f t="shared" si="112"/>
        <v>29718.06615751921</v>
      </c>
      <c r="R142" s="150"/>
      <c r="S142" s="150">
        <f t="shared" si="112"/>
        <v>28608.83415751921</v>
      </c>
      <c r="T142" s="150">
        <f t="shared" si="112"/>
        <v>368406.45631503849</v>
      </c>
      <c r="U142" s="150">
        <f t="shared" si="112"/>
        <v>397015.29047255765</v>
      </c>
      <c r="V142" s="150"/>
      <c r="W142" s="150">
        <f t="shared" si="112"/>
        <v>150382.42952744235</v>
      </c>
      <c r="X142" s="6">
        <f t="shared" si="112"/>
        <v>28608.83415751921</v>
      </c>
      <c r="Y142" s="6">
        <f t="shared" si="112"/>
        <v>150382.42952744235</v>
      </c>
      <c r="Z142" s="6">
        <f t="shared" si="112"/>
        <v>-1109.232</v>
      </c>
      <c r="AA142" s="6">
        <f t="shared" si="112"/>
        <v>-84698.190815038441</v>
      </c>
      <c r="AB142" s="6">
        <f t="shared" si="112"/>
        <v>5.1493342388322656</v>
      </c>
      <c r="AC142" s="6">
        <f t="shared" si="112"/>
        <v>16368.494362265301</v>
      </c>
      <c r="AD142" s="6">
        <f t="shared" si="112"/>
        <v>86041.043698271023</v>
      </c>
      <c r="AE142" s="6">
        <f>$AC$142*'Ratios (C)'!P36</f>
        <v>11096.093309494589</v>
      </c>
      <c r="AF142" s="6">
        <f>$AC$142*'Ratios (C)'!Q36</f>
        <v>3599.7672331232493</v>
      </c>
      <c r="AG142" s="6">
        <f>$AC$142*'Ratios (C)'!R36</f>
        <v>1672.6338196474655</v>
      </c>
      <c r="AH142" s="6">
        <f>$AD$142*'Ratios (C)'!P36</f>
        <v>58326.650465986364</v>
      </c>
      <c r="AI142" s="6">
        <f>$AD$142*'Ratios (C)'!Q36</f>
        <v>18922.188134956672</v>
      </c>
      <c r="AJ142" s="6">
        <f>$AD$142*'Ratios (C)'!R36</f>
        <v>8792.2050973279966</v>
      </c>
    </row>
    <row r="143" spans="1:36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114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36">
      <c r="A144" s="9"/>
      <c r="B144" s="142" t="s">
        <v>1004</v>
      </c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114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36" ht="13.5" customHeight="1">
      <c r="A145" s="9" t="s">
        <v>1005</v>
      </c>
      <c r="B145" s="9"/>
      <c r="C145" s="9" t="s">
        <v>1006</v>
      </c>
      <c r="D145" s="9" t="s">
        <v>1007</v>
      </c>
      <c r="E145" s="9">
        <v>80461</v>
      </c>
      <c r="F145" s="9"/>
      <c r="G145" s="9">
        <v>2011</v>
      </c>
      <c r="H145" s="9">
        <v>3</v>
      </c>
      <c r="I145" s="9">
        <v>0</v>
      </c>
      <c r="J145" s="9" t="s">
        <v>78</v>
      </c>
      <c r="K145" s="9">
        <v>20</v>
      </c>
      <c r="L145" s="9">
        <f>G145+K145</f>
        <v>2031</v>
      </c>
      <c r="M145" s="114">
        <f>+L145+(H145/12)</f>
        <v>2031.25</v>
      </c>
      <c r="N145" s="13">
        <f>3166.67+673+2240.65+3836.43+6424143.01-114.39+4566.5+20661.47+138250.85+835.05+210612.12+269528.37+118437+71579.83+301+2739.6+45+8499.35-11853.59+5255+553.12+345+216.12+555+5427.5+8571.02+1676.81+2011.12+9964.88+636.67+3673.77+2278.91+2133.77+23372.76</f>
        <v>7334819.3699999973</v>
      </c>
      <c r="O145" s="13">
        <f>N145-N145*I145</f>
        <v>7334819.3699999973</v>
      </c>
      <c r="P145" s="13">
        <f>O145/K145/12</f>
        <v>30561.747374999988</v>
      </c>
      <c r="Q145" s="13">
        <f>P145*12</f>
        <v>366740.96849999984</v>
      </c>
      <c r="R145" s="13">
        <v>366740.96849999984</v>
      </c>
      <c r="S145" s="13">
        <f>+IF(M145&lt;=$O$5,0,IF(L145&gt;$O$4,Q145,(P145*H145)))</f>
        <v>366740.96849999984</v>
      </c>
      <c r="T145" s="13">
        <f>+IF(S145=0,N145,IF($O$3-G145&lt;1,0,(($O$3-G145)*Q145)))</f>
        <v>3667409.6849999987</v>
      </c>
      <c r="U145" s="13">
        <f>+IF(S145=0,T145,T145+S145)</f>
        <v>4034150.6534999986</v>
      </c>
      <c r="V145" s="13">
        <v>4400891.6219999986</v>
      </c>
      <c r="W145" s="13">
        <f>+N145-U145</f>
        <v>3300668.7164999987</v>
      </c>
      <c r="X145" s="103">
        <f t="shared" ref="X145:X148" si="113">S145</f>
        <v>366740.96849999984</v>
      </c>
      <c r="Y145" s="104">
        <f t="shared" ref="Y145:Y148" si="114">W145</f>
        <v>3300668.7164999987</v>
      </c>
      <c r="Z145" s="104">
        <f t="shared" ref="Z145:Z148" si="115">X145-R145</f>
        <v>0</v>
      </c>
      <c r="AA145" s="104">
        <f t="shared" ref="AA145:AA148" si="116">Y145-V145</f>
        <v>-1100222.9054999999</v>
      </c>
      <c r="AB145" s="111">
        <v>0.64855140524538069</v>
      </c>
      <c r="AC145" s="104">
        <f t="shared" ref="AC145:AC148" si="117">X145*AB145</f>
        <v>237850.3704817268</v>
      </c>
      <c r="AD145" s="104">
        <f t="shared" ref="AD145:AD148" si="118">Y145*AB145</f>
        <v>2140653.3343355414</v>
      </c>
      <c r="AE145" s="105"/>
      <c r="AF145" s="108"/>
      <c r="AG145" s="106"/>
      <c r="AH145" s="105"/>
      <c r="AI145" s="108"/>
      <c r="AJ145" s="107"/>
    </row>
    <row r="146" spans="1:36">
      <c r="A146" s="9" t="s">
        <v>1005</v>
      </c>
      <c r="B146" s="9"/>
      <c r="C146" s="9" t="s">
        <v>1008</v>
      </c>
      <c r="D146" s="9" t="s">
        <v>1009</v>
      </c>
      <c r="E146" s="9">
        <v>80461</v>
      </c>
      <c r="F146" s="9"/>
      <c r="G146" s="9">
        <v>2011</v>
      </c>
      <c r="H146" s="9">
        <v>3</v>
      </c>
      <c r="I146" s="9">
        <v>0</v>
      </c>
      <c r="J146" s="9" t="s">
        <v>78</v>
      </c>
      <c r="K146" s="9">
        <v>20</v>
      </c>
      <c r="L146" s="9">
        <f>G146+K146</f>
        <v>2031</v>
      </c>
      <c r="M146" s="114">
        <f>+L146+(H146/12)</f>
        <v>2031.25</v>
      </c>
      <c r="N146" s="13">
        <f>8812.86+42012.06+7370.54</f>
        <v>58195.46</v>
      </c>
      <c r="O146" s="13">
        <f>N146-N146*I146</f>
        <v>58195.46</v>
      </c>
      <c r="P146" s="13">
        <f>O146/K146/12</f>
        <v>242.48108333333334</v>
      </c>
      <c r="Q146" s="13">
        <f>P146*12</f>
        <v>2909.7730000000001</v>
      </c>
      <c r="R146" s="13">
        <v>2909.7730000000001</v>
      </c>
      <c r="S146" s="13">
        <f>+IF(M146&lt;=$O$5,0,IF(L146&gt;$O$4,Q146,(P146*H146)))</f>
        <v>2909.7730000000001</v>
      </c>
      <c r="T146" s="13">
        <f>+IF(S146=0,N146,IF($O$3-G146&lt;1,0,(($O$3-G146)*Q146)))</f>
        <v>29097.730000000003</v>
      </c>
      <c r="U146" s="13">
        <f>+IF(S146=0,T146,T146+S146)</f>
        <v>32007.503000000004</v>
      </c>
      <c r="V146" s="13">
        <v>34917.275999999998</v>
      </c>
      <c r="W146" s="13">
        <f>+N146-U146</f>
        <v>26187.956999999995</v>
      </c>
      <c r="X146" s="103">
        <f t="shared" si="113"/>
        <v>2909.7730000000001</v>
      </c>
      <c r="Y146" s="104">
        <f t="shared" si="114"/>
        <v>26187.956999999995</v>
      </c>
      <c r="Z146" s="104">
        <f t="shared" si="115"/>
        <v>0</v>
      </c>
      <c r="AA146" s="104">
        <f t="shared" si="116"/>
        <v>-8729.3190000000031</v>
      </c>
      <c r="AB146" s="111">
        <v>0.64855140524538069</v>
      </c>
      <c r="AC146" s="104">
        <f t="shared" si="117"/>
        <v>1887.1373680950671</v>
      </c>
      <c r="AD146" s="104">
        <f t="shared" si="118"/>
        <v>16984.236312855599</v>
      </c>
      <c r="AE146" s="105"/>
      <c r="AF146" s="108"/>
      <c r="AG146" s="106"/>
      <c r="AH146" s="105"/>
      <c r="AI146" s="108"/>
      <c r="AJ146" s="107"/>
    </row>
    <row r="147" spans="1:36">
      <c r="A147" s="9" t="s">
        <v>1005</v>
      </c>
      <c r="B147" s="9"/>
      <c r="C147" s="9" t="s">
        <v>1010</v>
      </c>
      <c r="D147" s="9" t="s">
        <v>1011</v>
      </c>
      <c r="E147" s="9">
        <v>80461</v>
      </c>
      <c r="F147" s="9"/>
      <c r="G147" s="9">
        <v>2011</v>
      </c>
      <c r="H147" s="9">
        <v>3</v>
      </c>
      <c r="I147" s="9">
        <v>0</v>
      </c>
      <c r="J147" s="9" t="s">
        <v>78</v>
      </c>
      <c r="K147" s="9">
        <v>20</v>
      </c>
      <c r="L147" s="9">
        <f>G147+K147</f>
        <v>2031</v>
      </c>
      <c r="M147" s="114">
        <f>+L147+(H147/12)</f>
        <v>2031.25</v>
      </c>
      <c r="N147" s="13">
        <f>8580.16+8580.17</f>
        <v>17160.330000000002</v>
      </c>
      <c r="O147" s="13">
        <f>N147-N147*I147</f>
        <v>17160.330000000002</v>
      </c>
      <c r="P147" s="13">
        <f>O147/K147/12</f>
        <v>71.50137500000001</v>
      </c>
      <c r="Q147" s="13">
        <f>P147*12</f>
        <v>858.01650000000018</v>
      </c>
      <c r="R147" s="13">
        <v>858.01650000000018</v>
      </c>
      <c r="S147" s="13">
        <f>+IF(M147&lt;=$O$5,0,IF(L147&gt;$O$4,Q147,(P147*H147)))</f>
        <v>858.01650000000018</v>
      </c>
      <c r="T147" s="13">
        <f>+IF(S147=0,N147,IF($O$3-G147&lt;1,0,(($O$3-G147)*Q147)))</f>
        <v>8580.1650000000009</v>
      </c>
      <c r="U147" s="13">
        <f>+IF(S147=0,T147,T147+S147)</f>
        <v>9438.1815000000006</v>
      </c>
      <c r="V147" s="13">
        <v>10296.198</v>
      </c>
      <c r="W147" s="13">
        <f>+N147-U147</f>
        <v>7722.1485000000011</v>
      </c>
      <c r="X147" s="103">
        <f t="shared" si="113"/>
        <v>858.01650000000018</v>
      </c>
      <c r="Y147" s="104">
        <f t="shared" si="114"/>
        <v>7722.1485000000011</v>
      </c>
      <c r="Z147" s="104">
        <f t="shared" si="115"/>
        <v>0</v>
      </c>
      <c r="AA147" s="104">
        <f t="shared" si="116"/>
        <v>-2574.0494999999992</v>
      </c>
      <c r="AB147" s="111">
        <v>0.64855140524538069</v>
      </c>
      <c r="AC147" s="104">
        <f t="shared" si="117"/>
        <v>556.46780679872325</v>
      </c>
      <c r="AD147" s="104">
        <f t="shared" si="118"/>
        <v>5008.2102611885093</v>
      </c>
      <c r="AE147" s="105"/>
      <c r="AF147" s="108"/>
      <c r="AG147" s="106"/>
      <c r="AH147" s="105"/>
      <c r="AI147" s="108"/>
      <c r="AJ147" s="107"/>
    </row>
    <row r="148" spans="1:36">
      <c r="A148" s="9" t="s">
        <v>1005</v>
      </c>
      <c r="B148" s="9"/>
      <c r="C148" s="9" t="s">
        <v>1012</v>
      </c>
      <c r="D148" s="9">
        <v>80941</v>
      </c>
      <c r="E148" s="9">
        <v>80461</v>
      </c>
      <c r="F148" s="9"/>
      <c r="G148" s="9">
        <v>2011</v>
      </c>
      <c r="H148" s="9">
        <v>3</v>
      </c>
      <c r="I148" s="9">
        <v>0</v>
      </c>
      <c r="J148" s="9" t="s">
        <v>78</v>
      </c>
      <c r="K148" s="9">
        <v>20</v>
      </c>
      <c r="L148" s="9">
        <f>G148+K148</f>
        <v>2031</v>
      </c>
      <c r="M148" s="114">
        <f>+L148+(H148/12)</f>
        <v>2031.25</v>
      </c>
      <c r="N148" s="13">
        <v>23823.03</v>
      </c>
      <c r="O148" s="13">
        <f>N148-N148*I148</f>
        <v>23823.03</v>
      </c>
      <c r="P148" s="13">
        <f>O148/K148/12</f>
        <v>99.262625</v>
      </c>
      <c r="Q148" s="13">
        <f>P148*12</f>
        <v>1191.1514999999999</v>
      </c>
      <c r="R148" s="13">
        <v>1191.1514999999999</v>
      </c>
      <c r="S148" s="13">
        <f>+IF(M148&lt;=$O$5,0,IF(L148&gt;$O$4,Q148,(P148*H148)))</f>
        <v>1191.1514999999999</v>
      </c>
      <c r="T148" s="13">
        <f>+IF(S148=0,N148,IF($O$3-G148&lt;1,0,(($O$3-G148)*Q148)))</f>
        <v>11911.514999999999</v>
      </c>
      <c r="U148" s="13">
        <f>+IF(S148=0,T148,T148+S148)</f>
        <v>13102.666499999999</v>
      </c>
      <c r="V148" s="13">
        <v>14293.817999999999</v>
      </c>
      <c r="W148" s="13">
        <f>+N148-U148</f>
        <v>10720.363499999999</v>
      </c>
      <c r="X148" s="103">
        <f t="shared" si="113"/>
        <v>1191.1514999999999</v>
      </c>
      <c r="Y148" s="104">
        <f t="shared" si="114"/>
        <v>10720.363499999999</v>
      </c>
      <c r="Z148" s="104">
        <f t="shared" si="115"/>
        <v>0</v>
      </c>
      <c r="AA148" s="104">
        <f t="shared" si="116"/>
        <v>-3573.4544999999998</v>
      </c>
      <c r="AB148" s="111">
        <v>0.64855140524538069</v>
      </c>
      <c r="AC148" s="104">
        <f t="shared" si="117"/>
        <v>772.52297918514307</v>
      </c>
      <c r="AD148" s="104">
        <f t="shared" si="118"/>
        <v>6952.7068126662871</v>
      </c>
      <c r="AE148" s="105"/>
      <c r="AF148" s="108"/>
      <c r="AG148" s="106"/>
      <c r="AH148" s="105"/>
      <c r="AI148" s="108"/>
      <c r="AJ148" s="107"/>
    </row>
    <row r="149" spans="1:36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114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36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114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36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148" t="s">
        <v>1013</v>
      </c>
      <c r="M151" s="149"/>
      <c r="N151" s="150">
        <f>SUM(N145:N150)</f>
        <v>7433998.1899999976</v>
      </c>
      <c r="O151" s="150">
        <f>SUM(O145:O150)</f>
        <v>7433998.1899999976</v>
      </c>
      <c r="P151" s="150">
        <f>SUM(P145:P150)</f>
        <v>30974.99245833332</v>
      </c>
      <c r="Q151" s="150">
        <f>SUM(Q145:Q150)</f>
        <v>371699.90949999983</v>
      </c>
      <c r="R151" s="150"/>
      <c r="S151" s="150">
        <f>SUM(S138:S150)</f>
        <v>403655.51931503823</v>
      </c>
      <c r="T151" s="150">
        <f>SUM(T145:T150)</f>
        <v>3716999.0949999988</v>
      </c>
      <c r="U151" s="150">
        <f>SUM(U145:U150)</f>
        <v>4088699.0044999984</v>
      </c>
      <c r="V151" s="150"/>
      <c r="W151" s="150">
        <f>SUM(W145:W150)</f>
        <v>3345299.1854999987</v>
      </c>
      <c r="X151" s="6">
        <f t="shared" ref="X151:AD151" si="119">SUM(X145:X150)</f>
        <v>371699.90949999983</v>
      </c>
      <c r="Y151" s="6">
        <f t="shared" si="119"/>
        <v>3345299.1854999987</v>
      </c>
      <c r="Z151" s="6">
        <f t="shared" si="119"/>
        <v>0</v>
      </c>
      <c r="AA151" s="6">
        <f t="shared" si="119"/>
        <v>-1115099.7284999997</v>
      </c>
      <c r="AB151" s="6">
        <f t="shared" si="119"/>
        <v>2.5942056209815227</v>
      </c>
      <c r="AC151" s="6">
        <f t="shared" si="119"/>
        <v>241066.49863580574</v>
      </c>
      <c r="AD151" s="6">
        <f t="shared" si="119"/>
        <v>2169598.4877222516</v>
      </c>
      <c r="AE151" s="6">
        <f>($AC$151/2*'Ratios (C)'!P6)+($AC$151/2*'Ratios (C)'!P36)</f>
        <v>132705.6690991839</v>
      </c>
      <c r="AF151" s="6">
        <f>($AC$151/2*'Ratios (C)'!Q6)+($AC$151/2*'Ratios (C)'!Q36)</f>
        <v>74357.022396614542</v>
      </c>
      <c r="AG151" s="6">
        <f>($AC$151/2*'Ratios (C)'!R6)+($AC$151/2*'Ratios (C)'!R36)</f>
        <v>34003.807140007309</v>
      </c>
      <c r="AH151" s="6">
        <f>($AD$151/2*'Ratios (C)'!P6)+($AD$151/2*'Ratios (C)'!P36)</f>
        <v>1194351.0218926552</v>
      </c>
      <c r="AI151" s="6">
        <f>($AD$151/2*'Ratios (C)'!Q6)+($AD$151/2*'Ratios (C)'!Q36)</f>
        <v>669213.20156953076</v>
      </c>
      <c r="AJ151" s="6">
        <f>($AD$151/2*'Ratios (C)'!R6)+($AD$151/2*'Ratios (C)'!R36)</f>
        <v>306034.26426006574</v>
      </c>
    </row>
    <row r="152" spans="1:36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114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36">
      <c r="A153" s="9"/>
      <c r="B153" s="142" t="s">
        <v>1014</v>
      </c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114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36">
      <c r="A154" s="9" t="s">
        <v>255</v>
      </c>
      <c r="B154" s="9"/>
      <c r="C154" s="9" t="s">
        <v>1015</v>
      </c>
      <c r="D154" s="9"/>
      <c r="E154" s="9"/>
      <c r="F154" s="9"/>
      <c r="G154" s="9">
        <v>2005</v>
      </c>
      <c r="H154" s="9">
        <v>8</v>
      </c>
      <c r="I154" s="9">
        <v>0</v>
      </c>
      <c r="J154" s="9" t="s">
        <v>78</v>
      </c>
      <c r="K154" s="9">
        <v>5</v>
      </c>
      <c r="L154" s="9">
        <f>G154+K154</f>
        <v>2010</v>
      </c>
      <c r="M154" s="114">
        <f>+L154+(H154/12)</f>
        <v>2010.6666666666667</v>
      </c>
      <c r="N154" s="13">
        <v>32918.879999999997</v>
      </c>
      <c r="O154" s="13">
        <f>N154-N154*I154</f>
        <v>32918.879999999997</v>
      </c>
      <c r="P154" s="13">
        <f>O154/K154/12</f>
        <v>548.64800000000002</v>
      </c>
      <c r="Q154" s="13">
        <f>P154*12</f>
        <v>6583.7759999999998</v>
      </c>
      <c r="R154" s="13">
        <v>0</v>
      </c>
      <c r="S154" s="13">
        <f>+IF(M154&lt;=$O$5,0,IF(L154&gt;$O$4,Q154,(P154*H154)))</f>
        <v>0</v>
      </c>
      <c r="T154" s="13">
        <f>+IF(S154=0,N154,IF($O$3-G154&lt;1,0,(($O$3-G154)*Q154)))</f>
        <v>32918.879999999997</v>
      </c>
      <c r="U154" s="13">
        <f>+IF(S154=0,T154,T154+S154)</f>
        <v>32918.879999999997</v>
      </c>
      <c r="V154" s="13">
        <v>0</v>
      </c>
      <c r="W154" s="13">
        <f>+N154-U154</f>
        <v>0</v>
      </c>
      <c r="X154" s="103">
        <f t="shared" ref="X154:X158" si="120">S154</f>
        <v>0</v>
      </c>
      <c r="Y154" s="104">
        <f t="shared" ref="Y154:Y158" si="121">W154</f>
        <v>0</v>
      </c>
      <c r="Z154" s="104">
        <f t="shared" ref="Z154:Z158" si="122">X154-R154</f>
        <v>0</v>
      </c>
      <c r="AA154" s="104">
        <f t="shared" ref="AA154:AA158" si="123">Y154-V154</f>
        <v>0</v>
      </c>
      <c r="AB154" s="111">
        <f>'Ratios (C)'!$C$21+'Ratios (C)'!$D$21</f>
        <v>0.72495456173162076</v>
      </c>
      <c r="AC154" s="104">
        <f t="shared" ref="AC154:AC158" si="124">X154*AB154</f>
        <v>0</v>
      </c>
      <c r="AD154" s="104">
        <f t="shared" ref="AD154:AD158" si="125">Y154*AB154</f>
        <v>0</v>
      </c>
      <c r="AE154" s="105"/>
      <c r="AF154" s="108"/>
      <c r="AG154" s="106"/>
      <c r="AH154" s="105"/>
      <c r="AI154" s="108"/>
      <c r="AJ154" s="107"/>
    </row>
    <row r="155" spans="1:36">
      <c r="A155" s="9" t="s">
        <v>255</v>
      </c>
      <c r="B155" s="9"/>
      <c r="C155" s="9" t="s">
        <v>1016</v>
      </c>
      <c r="D155" s="9">
        <v>86834</v>
      </c>
      <c r="E155" s="9"/>
      <c r="F155" s="9"/>
      <c r="G155" s="9">
        <v>2008</v>
      </c>
      <c r="H155" s="9">
        <v>11</v>
      </c>
      <c r="I155" s="9">
        <v>0</v>
      </c>
      <c r="J155" s="9" t="s">
        <v>78</v>
      </c>
      <c r="K155" s="9">
        <v>3</v>
      </c>
      <c r="L155" s="9">
        <f>G155+K155</f>
        <v>2011</v>
      </c>
      <c r="M155" s="114">
        <f>+L155+(H155/12)</f>
        <v>2011.9166666666667</v>
      </c>
      <c r="N155" s="13">
        <f>'2180 Other - Orig.'!O121</f>
        <v>1675</v>
      </c>
      <c r="O155" s="13">
        <f>N155-N155*I155</f>
        <v>1675</v>
      </c>
      <c r="P155" s="13">
        <f>O155/K155/12</f>
        <v>46.527777777777779</v>
      </c>
      <c r="Q155" s="13">
        <f>P155*12</f>
        <v>558.33333333333337</v>
      </c>
      <c r="R155" s="13">
        <v>0</v>
      </c>
      <c r="S155" s="13">
        <f>+IF(M155&lt;=$O$5,0,IF(L155&gt;$O$4,Q155,(P155*H155)))</f>
        <v>0</v>
      </c>
      <c r="T155" s="13">
        <f>+IF(S155=0,N155,IF($O$3-G155&lt;1,0,(($O$3-G155)*Q155)))</f>
        <v>1675</v>
      </c>
      <c r="U155" s="13">
        <f>+IF(S155=0,T155,T155+S155)</f>
        <v>1675</v>
      </c>
      <c r="V155" s="13">
        <v>0</v>
      </c>
      <c r="W155" s="13">
        <f>+N155-U155</f>
        <v>0</v>
      </c>
      <c r="X155" s="103">
        <f t="shared" si="120"/>
        <v>0</v>
      </c>
      <c r="Y155" s="104">
        <f t="shared" si="121"/>
        <v>0</v>
      </c>
      <c r="Z155" s="104">
        <f t="shared" si="122"/>
        <v>0</v>
      </c>
      <c r="AA155" s="104">
        <f t="shared" si="123"/>
        <v>0</v>
      </c>
      <c r="AB155" s="111">
        <f>'Ratios (C)'!$C$21+'Ratios (C)'!$D$21</f>
        <v>0.72495456173162076</v>
      </c>
      <c r="AC155" s="104">
        <f t="shared" si="124"/>
        <v>0</v>
      </c>
      <c r="AD155" s="104">
        <f t="shared" si="125"/>
        <v>0</v>
      </c>
      <c r="AE155" s="105"/>
      <c r="AF155" s="108"/>
      <c r="AG155" s="106"/>
      <c r="AH155" s="105"/>
      <c r="AI155" s="108"/>
      <c r="AJ155" s="107"/>
    </row>
    <row r="156" spans="1:36">
      <c r="A156" s="9"/>
      <c r="B156" s="9"/>
      <c r="C156" s="9" t="s">
        <v>1017</v>
      </c>
      <c r="D156" s="9"/>
      <c r="E156" s="9"/>
      <c r="F156" s="9"/>
      <c r="G156" s="9">
        <v>2017</v>
      </c>
      <c r="H156" s="9">
        <v>9</v>
      </c>
      <c r="I156" s="9">
        <v>0</v>
      </c>
      <c r="J156" s="9" t="s">
        <v>78</v>
      </c>
      <c r="K156" s="9">
        <v>3</v>
      </c>
      <c r="L156" s="9">
        <f>G156+K156</f>
        <v>2020</v>
      </c>
      <c r="M156" s="114">
        <f>+L156+(H156/12)</f>
        <v>2020.75</v>
      </c>
      <c r="N156" s="13">
        <f>'2180 Other - Orig.'!N121-'2180 Other'!N155</f>
        <v>825</v>
      </c>
      <c r="O156" s="13">
        <f>N156-N156*I156</f>
        <v>825</v>
      </c>
      <c r="P156" s="13">
        <f>O156/K156/12</f>
        <v>22.916666666666668</v>
      </c>
      <c r="Q156" s="13">
        <f>P156*12</f>
        <v>275</v>
      </c>
      <c r="R156" s="13">
        <v>275</v>
      </c>
      <c r="S156" s="13">
        <f>+IF(M156&lt;=$O$5,0,IF(L156&gt;$O$4,Q156,(P156*H156)))</f>
        <v>0</v>
      </c>
      <c r="T156" s="13">
        <f>+IF(S156=0,N156,IF($O$3-G156&lt;1,0,(($O$3-G156)*Q156)))</f>
        <v>825</v>
      </c>
      <c r="U156" s="13">
        <f>+IF(S156=0,T156,T156+S156)</f>
        <v>825</v>
      </c>
      <c r="V156" s="13">
        <v>275</v>
      </c>
      <c r="W156" s="13">
        <f>+N156-U156</f>
        <v>0</v>
      </c>
      <c r="X156" s="103">
        <f t="shared" si="120"/>
        <v>0</v>
      </c>
      <c r="Y156" s="104">
        <f t="shared" si="121"/>
        <v>0</v>
      </c>
      <c r="Z156" s="104">
        <f t="shared" si="122"/>
        <v>-275</v>
      </c>
      <c r="AA156" s="104">
        <f t="shared" si="123"/>
        <v>-275</v>
      </c>
      <c r="AB156" s="111">
        <f>'Ratios (C)'!$C$21+'Ratios (C)'!$D$21</f>
        <v>0.72495456173162076</v>
      </c>
      <c r="AC156" s="104">
        <f t="shared" si="124"/>
        <v>0</v>
      </c>
      <c r="AD156" s="104">
        <f t="shared" si="125"/>
        <v>0</v>
      </c>
      <c r="AE156" s="105"/>
      <c r="AF156" s="108"/>
      <c r="AG156" s="106"/>
      <c r="AH156" s="105"/>
      <c r="AI156" s="108"/>
      <c r="AJ156" s="107"/>
    </row>
    <row r="157" spans="1:36">
      <c r="A157" s="9"/>
      <c r="B157" s="9"/>
      <c r="C157" s="9" t="s">
        <v>1018</v>
      </c>
      <c r="D157" s="9">
        <v>110353</v>
      </c>
      <c r="E157" s="9"/>
      <c r="F157" s="9"/>
      <c r="G157" s="9">
        <v>2013</v>
      </c>
      <c r="H157" s="9">
        <v>11</v>
      </c>
      <c r="I157" s="9">
        <v>0</v>
      </c>
      <c r="J157" s="9" t="s">
        <v>78</v>
      </c>
      <c r="K157" s="9">
        <v>10</v>
      </c>
      <c r="L157" s="9">
        <f>G157+K157</f>
        <v>2023</v>
      </c>
      <c r="M157" s="114">
        <f>+L157+(H157/12)</f>
        <v>2023.9166666666667</v>
      </c>
      <c r="N157" s="13">
        <v>99307.78</v>
      </c>
      <c r="O157" s="13">
        <f>N157-N157*I157</f>
        <v>99307.78</v>
      </c>
      <c r="P157" s="13">
        <f>O157/K157/12</f>
        <v>827.56483333333335</v>
      </c>
      <c r="Q157" s="13">
        <f>P157*12</f>
        <v>9930.7780000000002</v>
      </c>
      <c r="R157" s="13">
        <v>9930.7780000000002</v>
      </c>
      <c r="S157" s="13">
        <f>+IF(M157&lt;=$O$5,0,IF(L157&gt;$O$4,Q157,(P157*H157)))</f>
        <v>9930.7780000000002</v>
      </c>
      <c r="T157" s="13">
        <f>+IF(S157=0,N157,IF($O$3-G157&lt;1,0,(($O$3-G157)*Q157)))</f>
        <v>79446.224000000002</v>
      </c>
      <c r="U157" s="13">
        <f>+IF(S157=0,T157,T157+S157)</f>
        <v>89377.002000000008</v>
      </c>
      <c r="V157" s="13">
        <v>39723.112000000001</v>
      </c>
      <c r="W157" s="13">
        <f>+N157-U157</f>
        <v>9930.7779999999912</v>
      </c>
      <c r="X157" s="103">
        <f t="shared" si="120"/>
        <v>9930.7780000000002</v>
      </c>
      <c r="Y157" s="104">
        <f t="shared" si="121"/>
        <v>9930.7779999999912</v>
      </c>
      <c r="Z157" s="104">
        <f t="shared" si="122"/>
        <v>0</v>
      </c>
      <c r="AA157" s="104">
        <f t="shared" si="123"/>
        <v>-29792.33400000001</v>
      </c>
      <c r="AB157" s="111">
        <f>'Ratios (C)'!$C$21+'Ratios (C)'!$D$21</f>
        <v>0.72495456173162076</v>
      </c>
      <c r="AC157" s="104">
        <f t="shared" si="124"/>
        <v>7199.3628126440217</v>
      </c>
      <c r="AD157" s="104">
        <f t="shared" si="125"/>
        <v>7199.3628126440153</v>
      </c>
      <c r="AE157" s="105"/>
      <c r="AF157" s="108"/>
      <c r="AG157" s="106"/>
      <c r="AH157" s="105"/>
      <c r="AI157" s="108"/>
      <c r="AJ157" s="107"/>
    </row>
    <row r="158" spans="1:36">
      <c r="A158" s="9"/>
      <c r="B158" s="9"/>
      <c r="C158" s="9" t="s">
        <v>1019</v>
      </c>
      <c r="D158" s="9">
        <v>215688</v>
      </c>
      <c r="E158" s="9"/>
      <c r="F158" s="9"/>
      <c r="G158" s="9">
        <v>2016</v>
      </c>
      <c r="H158" s="9">
        <v>12</v>
      </c>
      <c r="I158" s="9">
        <v>0</v>
      </c>
      <c r="J158" s="9" t="s">
        <v>78</v>
      </c>
      <c r="K158" s="9">
        <v>3</v>
      </c>
      <c r="L158" s="9">
        <f>G158+K158</f>
        <v>2019</v>
      </c>
      <c r="M158" s="114">
        <f>+L158+(H158/12)</f>
        <v>2020</v>
      </c>
      <c r="N158" s="13">
        <v>30000</v>
      </c>
      <c r="O158" s="13">
        <f>N158-N158*I158</f>
        <v>30000</v>
      </c>
      <c r="P158" s="13">
        <f>O158/K158/12</f>
        <v>833.33333333333337</v>
      </c>
      <c r="Q158" s="13">
        <f>P158*12</f>
        <v>10000</v>
      </c>
      <c r="R158" s="13">
        <v>10000</v>
      </c>
      <c r="S158" s="13">
        <v>0</v>
      </c>
      <c r="T158" s="13">
        <f>+IF(S158=0,N158,IF($O$3-G158&lt;1,0,(($O$3-G158)*Q158)))</f>
        <v>30000</v>
      </c>
      <c r="U158" s="13">
        <f>+IF(S158=0,T158,T158+S158)</f>
        <v>30000</v>
      </c>
      <c r="V158" s="13">
        <v>0</v>
      </c>
      <c r="W158" s="13">
        <f>+N158-U158</f>
        <v>0</v>
      </c>
      <c r="X158" s="103">
        <f t="shared" si="120"/>
        <v>0</v>
      </c>
      <c r="Y158" s="104">
        <f t="shared" si="121"/>
        <v>0</v>
      </c>
      <c r="Z158" s="104">
        <f t="shared" si="122"/>
        <v>-10000</v>
      </c>
      <c r="AA158" s="104">
        <f t="shared" si="123"/>
        <v>0</v>
      </c>
      <c r="AB158" s="111">
        <f>'Ratios (C)'!$C$21+'Ratios (C)'!$D$21</f>
        <v>0.72495456173162076</v>
      </c>
      <c r="AC158" s="104">
        <f t="shared" si="124"/>
        <v>0</v>
      </c>
      <c r="AD158" s="104">
        <f t="shared" si="125"/>
        <v>0</v>
      </c>
      <c r="AE158" s="105"/>
      <c r="AF158" s="108"/>
      <c r="AG158" s="106"/>
      <c r="AH158" s="105"/>
      <c r="AI158" s="108"/>
      <c r="AJ158" s="107"/>
    </row>
    <row r="159" spans="1:36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114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36" s="12" customForma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 t="s">
        <v>278</v>
      </c>
      <c r="M160" s="149"/>
      <c r="N160" s="150">
        <f>SUM(N154:N159)</f>
        <v>164726.66</v>
      </c>
      <c r="O160" s="150">
        <f>SUM(O154:O159)</f>
        <v>164726.66</v>
      </c>
      <c r="P160" s="150">
        <f>SUM(P154:P159)</f>
        <v>2278.9906111111113</v>
      </c>
      <c r="Q160" s="150">
        <f>SUM(Q154:Q159)</f>
        <v>27347.887333333332</v>
      </c>
      <c r="R160" s="150"/>
      <c r="S160" s="150">
        <f>SUM(S153:S159)</f>
        <v>9930.7780000000002</v>
      </c>
      <c r="T160" s="150">
        <f>SUM(T154:T159)</f>
        <v>144865.10399999999</v>
      </c>
      <c r="U160" s="150">
        <f>SUM(U154:U159)</f>
        <v>154795.88200000001</v>
      </c>
      <c r="V160" s="150"/>
      <c r="W160" s="150">
        <f>SUM(W154:W159)</f>
        <v>9930.7779999999912</v>
      </c>
      <c r="X160" s="6">
        <f t="shared" ref="X160:AD160" si="126">SUM(X154:X159)</f>
        <v>9930.7780000000002</v>
      </c>
      <c r="Y160" s="6">
        <f t="shared" si="126"/>
        <v>9930.7779999999912</v>
      </c>
      <c r="Z160" s="6">
        <f t="shared" si="126"/>
        <v>-10275</v>
      </c>
      <c r="AA160" s="6">
        <f t="shared" si="126"/>
        <v>-30067.33400000001</v>
      </c>
      <c r="AB160" s="6">
        <f t="shared" si="126"/>
        <v>3.6247728086581037</v>
      </c>
      <c r="AC160" s="6">
        <f t="shared" si="126"/>
        <v>7199.3628126440217</v>
      </c>
      <c r="AD160" s="6">
        <f t="shared" si="126"/>
        <v>7199.3628126440153</v>
      </c>
      <c r="AE160" s="6">
        <f>$AC$160*'Ratios (C)'!F61</f>
        <v>6730.7936465941893</v>
      </c>
      <c r="AF160" s="6">
        <f>$AC$160*'Ratios (C)'!G61</f>
        <v>156.1925151075618</v>
      </c>
      <c r="AG160" s="6">
        <f>$AC$160*'Ratios (C)'!H61</f>
        <v>312.37665094227009</v>
      </c>
      <c r="AH160" s="6">
        <f>$AD$160*'Ratios (C)'!F61</f>
        <v>6730.793646594183</v>
      </c>
      <c r="AI160" s="6">
        <f>$AD$160*'Ratios (C)'!G61</f>
        <v>156.19251510756166</v>
      </c>
      <c r="AJ160" s="6">
        <f>$AD$160*'Ratios (C)'!H61</f>
        <v>312.37665094226986</v>
      </c>
    </row>
    <row r="161" spans="1:36">
      <c r="A161" s="9"/>
      <c r="B161" s="142" t="s">
        <v>1020</v>
      </c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114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36">
      <c r="A162" s="9"/>
      <c r="B162" s="9"/>
      <c r="C162" s="9" t="s">
        <v>1021</v>
      </c>
      <c r="D162" s="9">
        <v>60675</v>
      </c>
      <c r="E162" s="9"/>
      <c r="F162" s="9"/>
      <c r="G162" s="9">
        <v>2008</v>
      </c>
      <c r="H162" s="9">
        <v>11</v>
      </c>
      <c r="I162" s="9"/>
      <c r="J162" s="9"/>
      <c r="K162" s="9"/>
      <c r="L162" s="9"/>
      <c r="M162" s="114"/>
      <c r="N162" s="150">
        <v>9148000</v>
      </c>
      <c r="O162" s="13"/>
      <c r="P162" s="13"/>
      <c r="Q162" s="13"/>
      <c r="R162" s="13"/>
      <c r="S162" s="13"/>
      <c r="T162" s="13"/>
      <c r="U162" s="13"/>
      <c r="V162" s="13">
        <v>9148000</v>
      </c>
      <c r="W162" s="13">
        <f>N162</f>
        <v>9148000</v>
      </c>
      <c r="X162" s="103">
        <f t="shared" ref="X162" si="127">S162</f>
        <v>0</v>
      </c>
      <c r="Y162" s="104">
        <f t="shared" ref="Y162" si="128">W162</f>
        <v>9148000</v>
      </c>
      <c r="Z162" s="104">
        <f t="shared" ref="Z162" si="129">X162-R162</f>
        <v>0</v>
      </c>
      <c r="AA162" s="104">
        <f>Y162-V162</f>
        <v>0</v>
      </c>
      <c r="AB162" s="111">
        <f>'Ratios (C)'!C53+'Ratios (C)'!D53</f>
        <v>0.57214824875914061</v>
      </c>
      <c r="AC162" s="104">
        <f t="shared" ref="AC162" si="130">X162*AB162</f>
        <v>0</v>
      </c>
      <c r="AD162" s="104">
        <f t="shared" ref="AD162" si="131">Y162*AB162</f>
        <v>5234012.1796486182</v>
      </c>
      <c r="AE162" s="105"/>
      <c r="AF162" s="108"/>
      <c r="AG162" s="106"/>
      <c r="AH162" s="105">
        <f>$AD$162*'Ratios (C)'!P36</f>
        <v>3548101.9966197247</v>
      </c>
      <c r="AI162" s="105">
        <f>$AD$162*'Ratios (C)'!Q36</f>
        <v>1151066.5016021414</v>
      </c>
      <c r="AJ162" s="105">
        <f>$AD$162*'Ratios (C)'!R36</f>
        <v>534843.68142675294</v>
      </c>
    </row>
    <row r="163" spans="1:36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114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36" s="12" customForma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 t="s">
        <v>1022</v>
      </c>
      <c r="M164" s="149"/>
      <c r="N164" s="150">
        <f>N160+N151+N128+N65+N41+N162+N142</f>
        <v>19367035.339999996</v>
      </c>
      <c r="O164" s="150">
        <f>O160+O151+O128+O65+O41+O162+O142</f>
        <v>10208523.173664998</v>
      </c>
      <c r="P164" s="150">
        <f>P160+P151+P128+P65+P41+P162+P142</f>
        <v>77594.896950797222</v>
      </c>
      <c r="Q164" s="150">
        <f>Q160+Q151+Q128+Q65+Q41+Q162+Q142</f>
        <v>931138.76340956672</v>
      </c>
      <c r="R164" s="150"/>
      <c r="S164" s="150">
        <f>S160+S151+S128+S65+S41+S162+S142</f>
        <v>492931.12928208121</v>
      </c>
      <c r="T164" s="150">
        <f>T160+T151+T128+T65+T41+T162+T142</f>
        <v>6109500.1495055147</v>
      </c>
      <c r="U164" s="150">
        <f>U160+U151+U128+U65+U41+U162+U142</f>
        <v>6570475.6689725565</v>
      </c>
      <c r="V164" s="150"/>
      <c r="W164" s="150">
        <f t="shared" ref="W164:AJ164" si="132">W160+W151+W128+W65+W41+W162+W142</f>
        <v>12796559.671027441</v>
      </c>
      <c r="X164" s="6">
        <f t="shared" si="132"/>
        <v>459801.19946704287</v>
      </c>
      <c r="Y164" s="6">
        <f t="shared" si="132"/>
        <v>12795385.351027442</v>
      </c>
      <c r="Z164" s="6">
        <f t="shared" si="132"/>
        <v>-82772.462666666674</v>
      </c>
      <c r="AA164" s="6">
        <f t="shared" si="132"/>
        <v>-1386479.2172436097</v>
      </c>
      <c r="AB164" s="6">
        <f t="shared" si="132"/>
        <v>67.449346145519598</v>
      </c>
      <c r="AC164" s="6">
        <f t="shared" si="132"/>
        <v>278690.77660471492</v>
      </c>
      <c r="AD164" s="6">
        <f t="shared" si="132"/>
        <v>7532720.9891219335</v>
      </c>
      <c r="AE164" s="6">
        <f t="shared" si="132"/>
        <v>159316.87488860494</v>
      </c>
      <c r="AF164" s="6">
        <f t="shared" si="132"/>
        <v>81721.584991666721</v>
      </c>
      <c r="AG164" s="6">
        <f t="shared" si="132"/>
        <v>37652.316724443306</v>
      </c>
      <c r="AH164" s="6">
        <f t="shared" si="132"/>
        <v>4830337.5688561676</v>
      </c>
      <c r="AI164" s="6">
        <f t="shared" si="132"/>
        <v>1848281.2289218954</v>
      </c>
      <c r="AJ164" s="6">
        <f t="shared" si="132"/>
        <v>854102.19134387118</v>
      </c>
    </row>
    <row r="165" spans="1:36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114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8" spans="1:36">
      <c r="C168" s="109" t="s">
        <v>1023</v>
      </c>
    </row>
    <row r="169" spans="1:36">
      <c r="A169" s="17" t="s">
        <v>901</v>
      </c>
      <c r="B169" s="17">
        <v>6029</v>
      </c>
      <c r="C169" s="17" t="s">
        <v>1024</v>
      </c>
      <c r="G169" s="17">
        <v>2003</v>
      </c>
      <c r="H169" s="17">
        <v>3</v>
      </c>
      <c r="I169" s="17">
        <v>0.2</v>
      </c>
      <c r="J169" s="17" t="s">
        <v>78</v>
      </c>
      <c r="K169" s="17">
        <v>7</v>
      </c>
      <c r="L169" s="17">
        <f>G169+K169</f>
        <v>2010</v>
      </c>
      <c r="M169" s="10">
        <f>+L169+(H169/12)</f>
        <v>2010.25</v>
      </c>
      <c r="N169" s="3">
        <v>16108.62</v>
      </c>
      <c r="O169" s="3">
        <f>N169-N169*I169</f>
        <v>12886.896000000001</v>
      </c>
      <c r="P169" s="3">
        <f>O169/K169/12</f>
        <v>153.41542857142858</v>
      </c>
      <c r="Q169" s="3">
        <f>P169*12</f>
        <v>1840.9851428571428</v>
      </c>
      <c r="S169" s="3">
        <f>+IF(M169&lt;=$O$5,0,IF(L169&gt;$O$4,Q169,(P169*H169)))</f>
        <v>0</v>
      </c>
      <c r="T169" s="3">
        <f>+IF(S169=0,N169,IF($O$3-G169&lt;1,0,(($O$3-G169)*Q169)))</f>
        <v>16108.62</v>
      </c>
      <c r="U169" s="3">
        <f>+IF(S169=0,T169,T169+S169)</f>
        <v>16108.62</v>
      </c>
      <c r="W169" s="3">
        <f>+N169-U169</f>
        <v>0</v>
      </c>
    </row>
    <row r="171" spans="1:36">
      <c r="C171" s="109" t="s">
        <v>1025</v>
      </c>
    </row>
    <row r="172" spans="1:36">
      <c r="A172" s="17" t="s">
        <v>901</v>
      </c>
      <c r="B172" s="17">
        <v>6033</v>
      </c>
      <c r="C172" s="17" t="s">
        <v>1026</v>
      </c>
      <c r="G172" s="17">
        <v>2005</v>
      </c>
      <c r="H172" s="17">
        <v>10</v>
      </c>
      <c r="I172" s="17">
        <v>0.33</v>
      </c>
      <c r="J172" s="17" t="s">
        <v>78</v>
      </c>
      <c r="K172" s="17">
        <v>5</v>
      </c>
      <c r="L172" s="17">
        <f>G172+K172</f>
        <v>2010</v>
      </c>
      <c r="M172" s="10">
        <f>+L172+(H172/12)</f>
        <v>2010.8333333333333</v>
      </c>
      <c r="N172" s="3">
        <v>2160.1799999999998</v>
      </c>
      <c r="O172" s="3">
        <f>N172-N172*I172</f>
        <v>1447.3206</v>
      </c>
      <c r="P172" s="3">
        <f>O172/K172/12</f>
        <v>24.12201</v>
      </c>
      <c r="Q172" s="3">
        <f>P172*12</f>
        <v>289.46411999999998</v>
      </c>
      <c r="S172" s="3">
        <f>+IF(M172&lt;=$O$5,0,IF(L172&gt;$O$4,Q172,(P172*H172)))</f>
        <v>0</v>
      </c>
      <c r="T172" s="3">
        <f>+IF(S172=0,N172,IF($O$3-G172&lt;1,0,(($O$3-G172)*Q172)))</f>
        <v>2160.1799999999998</v>
      </c>
      <c r="U172" s="3">
        <f>+IF(S172=0,T172,T172+S172)</f>
        <v>2160.1799999999998</v>
      </c>
      <c r="W172" s="3">
        <f>+N172-U172</f>
        <v>0</v>
      </c>
    </row>
    <row r="174" spans="1:36">
      <c r="C174" s="109" t="s">
        <v>1027</v>
      </c>
    </row>
    <row r="175" spans="1:36">
      <c r="B175" s="17">
        <v>6627</v>
      </c>
      <c r="C175" s="17" t="s">
        <v>1028</v>
      </c>
      <c r="D175" s="17">
        <v>103332</v>
      </c>
      <c r="G175" s="17">
        <v>2013</v>
      </c>
      <c r="H175" s="17">
        <v>4</v>
      </c>
      <c r="I175" s="17">
        <v>0.2</v>
      </c>
      <c r="J175" s="17" t="s">
        <v>78</v>
      </c>
      <c r="K175" s="17">
        <v>7</v>
      </c>
      <c r="L175" s="17">
        <f>G175+K175</f>
        <v>2020</v>
      </c>
      <c r="M175" s="10">
        <f>+L175+(H175/12)</f>
        <v>2020.3333333333333</v>
      </c>
      <c r="N175" s="3">
        <v>25999.99</v>
      </c>
      <c r="O175" s="3">
        <f>N175-N175*I175</f>
        <v>20799.992000000002</v>
      </c>
      <c r="P175" s="3">
        <f>O175/K175/12</f>
        <v>247.61895238095238</v>
      </c>
      <c r="Q175" s="3">
        <f>P175*12</f>
        <v>2971.4274285714287</v>
      </c>
      <c r="S175" s="3">
        <f>+IF(M175&lt;=$O$5,0,IF(L175&gt;$O$4,Q175,(P175*H175)))</f>
        <v>0</v>
      </c>
      <c r="T175" s="3">
        <f>+IF(S175=0,N175,IF($O$3-G175&lt;1,0,(($O$3-G175)*Q175)))</f>
        <v>25999.99</v>
      </c>
      <c r="U175" s="3">
        <f>+IF(S175=0,T175,T175+S175)</f>
        <v>25999.99</v>
      </c>
      <c r="W175" s="3">
        <f>+N175-U175</f>
        <v>0</v>
      </c>
    </row>
    <row r="177" spans="1:23">
      <c r="C177" s="109" t="s">
        <v>1029</v>
      </c>
    </row>
    <row r="178" spans="1:23">
      <c r="A178" s="17" t="s">
        <v>929</v>
      </c>
      <c r="B178" s="17">
        <v>6034</v>
      </c>
      <c r="C178" s="17" t="s">
        <v>1030</v>
      </c>
      <c r="G178" s="17">
        <v>2009</v>
      </c>
      <c r="H178" s="17">
        <v>1</v>
      </c>
      <c r="I178" s="17">
        <v>0</v>
      </c>
      <c r="J178" s="17" t="s">
        <v>78</v>
      </c>
      <c r="K178" s="17">
        <v>3</v>
      </c>
      <c r="L178" s="17">
        <f>G178+K178</f>
        <v>2012</v>
      </c>
      <c r="M178" s="10">
        <f>+L178+(H178/12)</f>
        <v>2012.0833333333333</v>
      </c>
      <c r="N178" s="3">
        <v>4355.1400000000003</v>
      </c>
      <c r="O178" s="3">
        <f>N178-N178*I178</f>
        <v>4355.1400000000003</v>
      </c>
      <c r="P178" s="3">
        <f>O178/K178/12</f>
        <v>120.97611111111111</v>
      </c>
      <c r="Q178" s="3">
        <f>P178*12</f>
        <v>1451.7133333333334</v>
      </c>
      <c r="S178" s="3">
        <f>+IF(M178&lt;=$O$5,0,IF(L178&gt;$O$4,Q178,(P178*H178)))</f>
        <v>0</v>
      </c>
      <c r="T178" s="3">
        <f>+IF(S178=0,N178,IF($O$3-G178&lt;1,0,(($O$3-G178)*Q178)))</f>
        <v>4355.1400000000003</v>
      </c>
      <c r="U178" s="3">
        <f>+IF(S178=0,T178,T178+S178)</f>
        <v>4355.1400000000003</v>
      </c>
      <c r="W178" s="3">
        <f>+N178-U178</f>
        <v>0</v>
      </c>
    </row>
    <row r="179" spans="1:23">
      <c r="A179" s="17" t="s">
        <v>929</v>
      </c>
      <c r="B179" s="17">
        <v>6034</v>
      </c>
      <c r="C179" s="17" t="s">
        <v>930</v>
      </c>
      <c r="G179" s="17">
        <v>2006</v>
      </c>
      <c r="H179" s="17">
        <v>3</v>
      </c>
      <c r="I179" s="17">
        <v>0.33</v>
      </c>
      <c r="J179" s="17" t="s">
        <v>78</v>
      </c>
      <c r="K179" s="17">
        <v>5</v>
      </c>
      <c r="L179" s="17">
        <f>G179+K179</f>
        <v>2011</v>
      </c>
      <c r="M179" s="10">
        <f>+L179+(H179/12)</f>
        <v>2011.25</v>
      </c>
      <c r="N179" s="3">
        <v>19888.93</v>
      </c>
      <c r="O179" s="3">
        <f>N179-N179*I179</f>
        <v>13325.5831</v>
      </c>
      <c r="P179" s="3">
        <f>O179/K179/12</f>
        <v>222.09305166666664</v>
      </c>
      <c r="Q179" s="3">
        <f>P179*12</f>
        <v>2665.1166199999998</v>
      </c>
      <c r="S179" s="3">
        <f>+IF(M179&lt;=$O$5,0,IF(L179&gt;$O$4,Q179,(P179*H179)))</f>
        <v>0</v>
      </c>
      <c r="T179" s="3">
        <f>+IF(S179=0,N179,IF($O$3-G179&lt;1,0,(($O$3-G179)*Q179)))</f>
        <v>19888.93</v>
      </c>
      <c r="U179" s="3">
        <f>+IF(S179=0,T179,T179+S179)</f>
        <v>19888.93</v>
      </c>
      <c r="W179" s="3">
        <f>+N179-U179</f>
        <v>0</v>
      </c>
    </row>
    <row r="181" spans="1:23">
      <c r="C181" s="109" t="s">
        <v>1031</v>
      </c>
    </row>
  </sheetData>
  <mergeCells count="9">
    <mergeCell ref="AC9:AD9"/>
    <mergeCell ref="AE9:AJ9"/>
    <mergeCell ref="AE10:AG10"/>
    <mergeCell ref="AH10:AJ10"/>
    <mergeCell ref="A3:C3"/>
    <mergeCell ref="G9:H9"/>
    <mergeCell ref="G10:H10"/>
    <mergeCell ref="X9:Y9"/>
    <mergeCell ref="Z9:AA9"/>
  </mergeCells>
  <pageMargins left="0.2" right="0.2" top="0.75" bottom="0.75" header="0.3" footer="0.3"/>
  <pageSetup scale="44" fitToHeight="4" orientation="landscape" r:id="rId1"/>
  <rowBreaks count="2" manualBreakCount="2">
    <brk id="66" max="20" man="1"/>
    <brk id="129" max="20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L446"/>
  <sheetViews>
    <sheetView workbookViewId="0">
      <selection activeCell="L25" sqref="L25"/>
    </sheetView>
  </sheetViews>
  <sheetFormatPr defaultRowHeight="15"/>
  <cols>
    <col min="1" max="1" width="13.5703125" customWidth="1"/>
    <col min="2" max="2" width="8" customWidth="1"/>
    <col min="3" max="3" width="10.7109375" customWidth="1"/>
    <col min="4" max="4" width="38" bestFit="1" customWidth="1"/>
    <col min="5" max="6" width="9.42578125" customWidth="1"/>
    <col min="7" max="7" width="5" bestFit="1" customWidth="1"/>
    <col min="8" max="8" width="3.85546875" bestFit="1" customWidth="1"/>
    <col min="9" max="9" width="10.7109375" style="8" bestFit="1" customWidth="1"/>
    <col min="10" max="10" width="8" bestFit="1" customWidth="1"/>
    <col min="11" max="11" width="23.28515625" bestFit="1" customWidth="1"/>
    <col min="12" max="12" width="37" bestFit="1" customWidth="1"/>
    <col min="13" max="13" width="16.5703125" bestFit="1" customWidth="1"/>
    <col min="14" max="15" width="12" bestFit="1" customWidth="1"/>
    <col min="16" max="16" width="21.140625" bestFit="1" customWidth="1"/>
    <col min="17" max="18" width="12" bestFit="1" customWidth="1"/>
    <col min="19" max="19" width="17.28515625" bestFit="1" customWidth="1"/>
    <col min="20" max="21" width="12" bestFit="1" customWidth="1"/>
    <col min="22" max="22" width="8.5703125" customWidth="1"/>
    <col min="23" max="23" width="8" hidden="1" customWidth="1"/>
    <col min="24" max="24" width="9.140625" hidden="1" customWidth="1"/>
  </cols>
  <sheetData>
    <row r="1" spans="1:24">
      <c r="A1" s="17"/>
      <c r="B1" s="17" t="s">
        <v>1032</v>
      </c>
      <c r="C1" s="17"/>
      <c r="D1" s="17"/>
      <c r="E1" s="17"/>
      <c r="F1" s="17"/>
      <c r="G1" s="17"/>
      <c r="H1" s="17"/>
      <c r="J1" s="17"/>
      <c r="K1" s="17"/>
      <c r="L1" s="17"/>
      <c r="M1" s="17"/>
      <c r="N1" s="17"/>
      <c r="O1" s="17"/>
      <c r="P1" s="17"/>
      <c r="Q1" s="17"/>
      <c r="R1" s="17" t="e">
        <f>#REF!</f>
        <v>#REF!</v>
      </c>
      <c r="S1" s="17" t="s">
        <v>41</v>
      </c>
      <c r="T1" s="17"/>
      <c r="U1" s="17"/>
      <c r="V1" s="17"/>
      <c r="W1" s="17"/>
      <c r="X1" s="17"/>
    </row>
    <row r="2" spans="1:24">
      <c r="A2" s="17"/>
      <c r="B2" s="17" t="s">
        <v>1033</v>
      </c>
      <c r="C2" s="17"/>
      <c r="D2" s="17"/>
      <c r="E2" s="17"/>
      <c r="F2" s="17"/>
      <c r="G2" s="17"/>
      <c r="H2" s="17"/>
      <c r="J2" s="17"/>
      <c r="K2" s="17"/>
      <c r="L2" s="17"/>
      <c r="M2" s="17"/>
      <c r="N2" s="17"/>
      <c r="O2" s="17">
        <v>5</v>
      </c>
      <c r="P2" s="17" t="s">
        <v>1034</v>
      </c>
      <c r="Q2" s="17"/>
      <c r="R2" s="17" t="e">
        <f>B3</f>
        <v>#REF!</v>
      </c>
      <c r="S2" s="17" t="s">
        <v>46</v>
      </c>
      <c r="T2" s="17"/>
      <c r="U2" s="17"/>
      <c r="V2" s="17"/>
      <c r="W2" s="17"/>
      <c r="X2" s="17"/>
    </row>
    <row r="3" spans="1:24">
      <c r="A3" s="17"/>
      <c r="B3" s="412" t="e">
        <f>#REF!</f>
        <v>#REF!</v>
      </c>
      <c r="C3" s="412"/>
      <c r="D3" s="412"/>
      <c r="E3" s="17"/>
      <c r="F3" s="17"/>
      <c r="G3" s="17"/>
      <c r="H3" s="17"/>
      <c r="J3" s="17"/>
      <c r="K3" s="17"/>
      <c r="L3" s="17"/>
      <c r="M3" s="17"/>
      <c r="N3" s="17"/>
      <c r="O3" s="17">
        <v>7</v>
      </c>
      <c r="P3" s="17" t="s">
        <v>1035</v>
      </c>
      <c r="Q3" s="17"/>
      <c r="R3" s="17"/>
      <c r="S3" s="17"/>
      <c r="T3" s="17"/>
      <c r="U3" s="17"/>
      <c r="V3" s="17"/>
      <c r="W3" s="17"/>
      <c r="X3" s="17"/>
    </row>
    <row r="5" spans="1:24">
      <c r="A5" s="17"/>
      <c r="B5" s="17"/>
      <c r="C5" s="17"/>
      <c r="D5" s="17"/>
      <c r="E5" s="17"/>
      <c r="F5" s="17"/>
      <c r="G5" s="17"/>
      <c r="H5" s="17"/>
      <c r="J5" s="17"/>
      <c r="K5" s="17"/>
      <c r="L5" s="17"/>
      <c r="M5" s="17"/>
      <c r="N5" s="17"/>
      <c r="O5" s="17">
        <v>2017</v>
      </c>
      <c r="P5" s="17" t="s">
        <v>1036</v>
      </c>
      <c r="Q5" s="17"/>
      <c r="R5" s="17"/>
      <c r="S5" s="17"/>
      <c r="T5" s="17"/>
      <c r="U5" s="17"/>
      <c r="V5" s="17"/>
      <c r="W5" s="17"/>
      <c r="X5" s="17"/>
    </row>
    <row r="6" spans="1:24">
      <c r="A6" s="17"/>
      <c r="B6" s="17"/>
      <c r="C6" s="17"/>
      <c r="D6" s="17"/>
      <c r="E6" s="17"/>
      <c r="F6" s="17"/>
      <c r="G6" s="17"/>
      <c r="H6" s="17"/>
      <c r="J6" s="17"/>
      <c r="K6" s="17"/>
      <c r="L6" s="17"/>
      <c r="M6" s="17"/>
      <c r="N6" s="17"/>
      <c r="O6" s="17">
        <v>2018</v>
      </c>
      <c r="P6" s="17" t="s">
        <v>1037</v>
      </c>
      <c r="Q6" s="17"/>
      <c r="R6" s="17"/>
      <c r="S6" s="17"/>
      <c r="T6" s="17"/>
      <c r="U6" s="17"/>
      <c r="V6" s="17"/>
      <c r="W6" s="17"/>
      <c r="X6" s="17"/>
    </row>
    <row r="7" spans="1:24" ht="15" customHeight="1">
      <c r="A7" s="17"/>
      <c r="B7" s="17"/>
      <c r="C7" s="17"/>
      <c r="D7" s="17"/>
      <c r="E7" s="17"/>
      <c r="F7" s="17"/>
      <c r="G7" s="17"/>
      <c r="H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</row>
    <row r="8" spans="1:24" ht="12.75" customHeight="1">
      <c r="A8" s="17"/>
      <c r="B8" s="17"/>
      <c r="C8" s="17"/>
      <c r="D8" s="17"/>
      <c r="E8" s="17"/>
      <c r="F8" s="17"/>
      <c r="G8" s="17"/>
      <c r="H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</row>
    <row r="9" spans="1:24">
      <c r="A9" s="17"/>
      <c r="B9" s="17"/>
      <c r="C9" s="17"/>
      <c r="D9" s="17"/>
      <c r="E9" s="17"/>
      <c r="F9" s="17"/>
      <c r="G9" s="17"/>
      <c r="H9" s="17"/>
      <c r="J9" s="17"/>
      <c r="K9" s="17"/>
      <c r="L9" s="17"/>
      <c r="M9" s="17"/>
      <c r="N9" s="17"/>
      <c r="O9" s="17"/>
      <c r="P9" s="17"/>
      <c r="Q9" s="17"/>
      <c r="R9" s="17"/>
      <c r="S9" s="17" t="s">
        <v>2</v>
      </c>
      <c r="T9" s="17" t="s">
        <v>3</v>
      </c>
      <c r="U9" s="17"/>
      <c r="V9" s="17"/>
      <c r="W9" s="17"/>
      <c r="X9" s="17"/>
    </row>
    <row r="10" spans="1:24">
      <c r="A10" s="17"/>
      <c r="B10" s="17"/>
      <c r="C10" s="17"/>
      <c r="D10" s="17"/>
      <c r="E10" s="17"/>
      <c r="F10" s="17"/>
      <c r="G10" s="413" t="s">
        <v>51</v>
      </c>
      <c r="H10" s="413"/>
      <c r="I10" s="8" t="s">
        <v>52</v>
      </c>
      <c r="J10" s="17"/>
      <c r="K10" s="17"/>
      <c r="L10" s="17" t="s">
        <v>53</v>
      </c>
      <c r="M10" s="17" t="s">
        <v>54</v>
      </c>
      <c r="N10" s="17"/>
      <c r="O10" s="17"/>
      <c r="P10" s="17"/>
      <c r="Q10" s="17"/>
      <c r="R10" s="17"/>
      <c r="S10" s="17" t="s">
        <v>55</v>
      </c>
      <c r="T10" s="17" t="s">
        <v>55</v>
      </c>
      <c r="U10" s="17"/>
      <c r="V10" s="17"/>
      <c r="W10" s="17"/>
      <c r="X10" s="17"/>
    </row>
    <row r="11" spans="1:24">
      <c r="A11" s="17"/>
      <c r="B11" s="17"/>
      <c r="C11" s="17"/>
      <c r="D11" s="17"/>
      <c r="E11" s="17"/>
      <c r="F11" s="17"/>
      <c r="G11" s="413" t="s">
        <v>56</v>
      </c>
      <c r="H11" s="413"/>
      <c r="I11" s="8" t="s">
        <v>7</v>
      </c>
      <c r="J11" s="17"/>
      <c r="K11" s="17" t="s">
        <v>57</v>
      </c>
      <c r="L11" s="17" t="s">
        <v>58</v>
      </c>
      <c r="M11" s="17" t="s">
        <v>58</v>
      </c>
      <c r="N11" s="17" t="s">
        <v>59</v>
      </c>
      <c r="O11" s="17" t="s">
        <v>8</v>
      </c>
      <c r="P11" s="17" t="s">
        <v>60</v>
      </c>
      <c r="Q11" s="17" t="s">
        <v>61</v>
      </c>
      <c r="R11" s="17" t="s">
        <v>9</v>
      </c>
      <c r="S11" s="17" t="s">
        <v>8</v>
      </c>
      <c r="T11" s="17" t="s">
        <v>8</v>
      </c>
      <c r="U11" s="17" t="s">
        <v>4</v>
      </c>
      <c r="V11" s="17"/>
      <c r="W11" s="17"/>
      <c r="X11" s="17"/>
    </row>
    <row r="12" spans="1:24">
      <c r="A12" s="17" t="s">
        <v>62</v>
      </c>
      <c r="B12" s="17" t="s">
        <v>63</v>
      </c>
      <c r="C12" s="17" t="s">
        <v>64</v>
      </c>
      <c r="D12" s="17" t="s">
        <v>65</v>
      </c>
      <c r="E12" s="17" t="s">
        <v>66</v>
      </c>
      <c r="F12" s="17" t="s">
        <v>67</v>
      </c>
      <c r="G12" s="17" t="s">
        <v>53</v>
      </c>
      <c r="H12" s="17" t="s">
        <v>68</v>
      </c>
      <c r="I12" s="8" t="s">
        <v>69</v>
      </c>
      <c r="J12" s="17" t="s">
        <v>70</v>
      </c>
      <c r="K12" s="17" t="s">
        <v>71</v>
      </c>
      <c r="L12" s="17" t="s">
        <v>72</v>
      </c>
      <c r="M12" s="17" t="s">
        <v>72</v>
      </c>
      <c r="N12" s="17" t="s">
        <v>6</v>
      </c>
      <c r="O12" s="17" t="s">
        <v>6</v>
      </c>
      <c r="P12" s="17" t="s">
        <v>73</v>
      </c>
      <c r="Q12" s="17" t="s">
        <v>73</v>
      </c>
      <c r="R12" s="17" t="s">
        <v>73</v>
      </c>
      <c r="S12" s="17">
        <v>42948</v>
      </c>
      <c r="T12" s="17" t="e">
        <f>R2</f>
        <v>#REF!</v>
      </c>
      <c r="U12" s="17" t="s">
        <v>11</v>
      </c>
      <c r="V12" s="17"/>
      <c r="W12" s="17"/>
      <c r="X12" s="17" t="s">
        <v>1038</v>
      </c>
    </row>
    <row r="14" spans="1:24">
      <c r="A14" s="17"/>
      <c r="B14" s="17" t="s">
        <v>1039</v>
      </c>
      <c r="C14" s="17"/>
      <c r="D14" s="17"/>
      <c r="E14" s="17"/>
      <c r="F14" s="17"/>
      <c r="G14" s="17"/>
      <c r="H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1:24">
      <c r="A15" s="17" t="s">
        <v>75</v>
      </c>
      <c r="B15" s="17" t="s">
        <v>76</v>
      </c>
      <c r="C15" s="17"/>
      <c r="D15" s="17" t="s">
        <v>77</v>
      </c>
      <c r="E15" s="17"/>
      <c r="F15" s="17"/>
      <c r="G15" s="17">
        <v>1993</v>
      </c>
      <c r="H15" s="17">
        <v>6</v>
      </c>
      <c r="I15" s="8">
        <v>0</v>
      </c>
      <c r="J15" s="17" t="s">
        <v>78</v>
      </c>
      <c r="K15" s="17">
        <v>5</v>
      </c>
      <c r="L15" s="17">
        <f t="shared" ref="L15:L78" si="0">G15+K15</f>
        <v>1998</v>
      </c>
      <c r="M15" s="17">
        <f>+L15+(H15/12)</f>
        <v>1998.5</v>
      </c>
      <c r="N15" s="17">
        <v>3719</v>
      </c>
      <c r="O15" s="17">
        <f t="shared" ref="O15:O78" si="1">N15-N15*I15</f>
        <v>3719</v>
      </c>
      <c r="P15" s="17">
        <f t="shared" ref="P15:P78" si="2">O15/K15/12</f>
        <v>61.983333333333327</v>
      </c>
      <c r="Q15" s="17">
        <f>P15*12</f>
        <v>743.8</v>
      </c>
      <c r="R15" s="17">
        <f t="shared" ref="R15:R78" si="3">+IF(M15&lt;=$O$6,0,IF(L15&gt;$O$5,Q15,(P15*G15)))</f>
        <v>0</v>
      </c>
      <c r="S15" s="17">
        <f>+IF(R15=0,N15,IF($O$5-G15&lt;1,0,(($O$5-G15)*Q15)))</f>
        <v>3719</v>
      </c>
      <c r="T15" s="17">
        <f>+IF(R15=0,S15,S15+R15)-(N15-O15)</f>
        <v>3719</v>
      </c>
      <c r="U15" s="17">
        <f>+IF(R15=0,0,((N15-S15)+(N15-T15))/2)</f>
        <v>0</v>
      </c>
      <c r="V15" s="17"/>
      <c r="W15" s="17"/>
      <c r="X15" s="17">
        <v>0</v>
      </c>
    </row>
    <row r="16" spans="1:24">
      <c r="A16" s="17" t="s">
        <v>75</v>
      </c>
      <c r="B16" s="17" t="s">
        <v>378</v>
      </c>
      <c r="C16" s="17">
        <v>1023</v>
      </c>
      <c r="D16" s="17" t="s">
        <v>379</v>
      </c>
      <c r="E16" s="17"/>
      <c r="F16" s="17"/>
      <c r="G16" s="17">
        <v>2000</v>
      </c>
      <c r="H16" s="17">
        <v>1</v>
      </c>
      <c r="I16" s="8">
        <v>0.2</v>
      </c>
      <c r="J16" s="17" t="s">
        <v>78</v>
      </c>
      <c r="K16" s="17">
        <v>7</v>
      </c>
      <c r="L16" s="17">
        <f>G16+K16</f>
        <v>2007</v>
      </c>
      <c r="M16" s="17">
        <f t="shared" ref="M16:M79" si="4">+L16+(H16/12)</f>
        <v>2007.0833333333333</v>
      </c>
      <c r="N16" s="17">
        <f>34856.01+60270.4</f>
        <v>95126.41</v>
      </c>
      <c r="O16" s="17">
        <f t="shared" si="1"/>
        <v>76101.127999999997</v>
      </c>
      <c r="P16" s="17">
        <f t="shared" si="2"/>
        <v>905.96580952380953</v>
      </c>
      <c r="Q16" s="17">
        <f t="shared" ref="Q16:Q79" si="5">P16*12</f>
        <v>10871.589714285714</v>
      </c>
      <c r="R16" s="17">
        <f t="shared" si="3"/>
        <v>0</v>
      </c>
      <c r="S16" s="17">
        <f t="shared" ref="S16:S79" si="6">+IF(R16=0,N16,IF($O$5-G16&lt;1,0,(($O$5-G16)*Q16)))</f>
        <v>95126.41</v>
      </c>
      <c r="T16" s="17">
        <f t="shared" ref="T16:T79" si="7">+IF(R16=0,S16,S16+R16)-(N16-O16)</f>
        <v>76101.127999999997</v>
      </c>
      <c r="U16" s="17">
        <f t="shared" ref="U16:U79" si="8">+IF(R16=0,0,((N16-S16)+(N16-T16))/2)</f>
        <v>0</v>
      </c>
      <c r="V16" s="17"/>
      <c r="W16" s="17"/>
      <c r="X16" s="17">
        <v>0</v>
      </c>
    </row>
    <row r="17" spans="1:24">
      <c r="A17" s="17" t="s">
        <v>75</v>
      </c>
      <c r="B17" s="17" t="s">
        <v>378</v>
      </c>
      <c r="C17" s="17">
        <v>1023</v>
      </c>
      <c r="D17" s="17" t="s">
        <v>381</v>
      </c>
      <c r="E17" s="17"/>
      <c r="F17" s="17"/>
      <c r="G17" s="17">
        <v>2000</v>
      </c>
      <c r="H17" s="17">
        <v>2</v>
      </c>
      <c r="I17" s="8">
        <v>0.2</v>
      </c>
      <c r="J17" s="17" t="s">
        <v>78</v>
      </c>
      <c r="K17" s="17">
        <v>7</v>
      </c>
      <c r="L17" s="17">
        <f>G17+K17</f>
        <v>2007</v>
      </c>
      <c r="M17" s="17">
        <f t="shared" si="4"/>
        <v>2007.1666666666667</v>
      </c>
      <c r="N17" s="17">
        <v>3252</v>
      </c>
      <c r="O17" s="17">
        <f t="shared" si="1"/>
        <v>2601.6</v>
      </c>
      <c r="P17" s="17">
        <f t="shared" si="2"/>
        <v>30.971428571428572</v>
      </c>
      <c r="Q17" s="17">
        <f t="shared" si="5"/>
        <v>371.65714285714284</v>
      </c>
      <c r="R17" s="17">
        <f t="shared" si="3"/>
        <v>0</v>
      </c>
      <c r="S17" s="17">
        <f t="shared" si="6"/>
        <v>3252</v>
      </c>
      <c r="T17" s="17">
        <f t="shared" si="7"/>
        <v>2601.6</v>
      </c>
      <c r="U17" s="17">
        <f t="shared" si="8"/>
        <v>0</v>
      </c>
      <c r="V17" s="17"/>
      <c r="W17" s="17"/>
      <c r="X17" s="17">
        <v>0</v>
      </c>
    </row>
    <row r="18" spans="1:24">
      <c r="A18" s="17" t="s">
        <v>75</v>
      </c>
      <c r="B18" s="17" t="s">
        <v>76</v>
      </c>
      <c r="C18" s="17">
        <v>1027</v>
      </c>
      <c r="D18" s="17" t="s">
        <v>374</v>
      </c>
      <c r="E18" s="17">
        <v>94206</v>
      </c>
      <c r="F18" s="17"/>
      <c r="G18" s="17">
        <v>2000</v>
      </c>
      <c r="H18" s="17">
        <v>6</v>
      </c>
      <c r="I18" s="8">
        <v>0.2</v>
      </c>
      <c r="J18" s="17" t="s">
        <v>78</v>
      </c>
      <c r="K18" s="17">
        <v>7</v>
      </c>
      <c r="L18" s="17">
        <f>G18+K18</f>
        <v>2007</v>
      </c>
      <c r="M18" s="17">
        <f t="shared" si="4"/>
        <v>2007.5</v>
      </c>
      <c r="N18" s="17">
        <v>95126.41</v>
      </c>
      <c r="O18" s="17">
        <f t="shared" si="1"/>
        <v>76101.127999999997</v>
      </c>
      <c r="P18" s="17">
        <f t="shared" si="2"/>
        <v>905.96580952380953</v>
      </c>
      <c r="Q18" s="17">
        <f t="shared" si="5"/>
        <v>10871.589714285714</v>
      </c>
      <c r="R18" s="17">
        <f t="shared" si="3"/>
        <v>0</v>
      </c>
      <c r="S18" s="17">
        <f t="shared" si="6"/>
        <v>95126.41</v>
      </c>
      <c r="T18" s="17">
        <f t="shared" si="7"/>
        <v>76101.127999999997</v>
      </c>
      <c r="U18" s="17">
        <f t="shared" si="8"/>
        <v>0</v>
      </c>
      <c r="V18" s="17"/>
      <c r="W18" s="17"/>
      <c r="X18" s="17">
        <v>0</v>
      </c>
    </row>
    <row r="19" spans="1:24">
      <c r="A19" s="17" t="s">
        <v>371</v>
      </c>
      <c r="B19" s="17" t="s">
        <v>76</v>
      </c>
      <c r="C19" s="17">
        <v>1032</v>
      </c>
      <c r="D19" s="17" t="s">
        <v>372</v>
      </c>
      <c r="E19" s="17"/>
      <c r="F19" s="17"/>
      <c r="G19" s="17">
        <v>2002</v>
      </c>
      <c r="H19" s="17">
        <v>6</v>
      </c>
      <c r="I19" s="8">
        <v>0.2</v>
      </c>
      <c r="J19" s="17" t="s">
        <v>78</v>
      </c>
      <c r="K19" s="17">
        <v>7</v>
      </c>
      <c r="L19" s="17">
        <f t="shared" si="0"/>
        <v>2009</v>
      </c>
      <c r="M19" s="17">
        <f t="shared" si="4"/>
        <v>2009.5</v>
      </c>
      <c r="N19" s="17">
        <v>101881.5</v>
      </c>
      <c r="O19" s="17">
        <f t="shared" si="1"/>
        <v>81505.2</v>
      </c>
      <c r="P19" s="17">
        <f t="shared" si="2"/>
        <v>970.30000000000007</v>
      </c>
      <c r="Q19" s="17">
        <f t="shared" si="5"/>
        <v>11643.6</v>
      </c>
      <c r="R19" s="17">
        <f t="shared" si="3"/>
        <v>0</v>
      </c>
      <c r="S19" s="17">
        <f t="shared" si="6"/>
        <v>101881.5</v>
      </c>
      <c r="T19" s="17">
        <f t="shared" si="7"/>
        <v>81505.2</v>
      </c>
      <c r="U19" s="17">
        <f t="shared" si="8"/>
        <v>0</v>
      </c>
      <c r="V19" s="17"/>
      <c r="W19" s="17"/>
      <c r="X19" s="17">
        <v>0</v>
      </c>
    </row>
    <row r="20" spans="1:24">
      <c r="A20" s="17"/>
      <c r="B20" s="17" t="s">
        <v>76</v>
      </c>
      <c r="C20" s="17">
        <v>1034</v>
      </c>
      <c r="D20" s="17" t="s">
        <v>79</v>
      </c>
      <c r="E20" s="17"/>
      <c r="F20" s="17"/>
      <c r="G20" s="17">
        <v>2002</v>
      </c>
      <c r="H20" s="17">
        <v>6</v>
      </c>
      <c r="I20" s="8">
        <v>0.2</v>
      </c>
      <c r="J20" s="17" t="s">
        <v>78</v>
      </c>
      <c r="K20" s="17">
        <v>7</v>
      </c>
      <c r="L20" s="17">
        <f t="shared" si="0"/>
        <v>2009</v>
      </c>
      <c r="M20" s="17">
        <f t="shared" si="4"/>
        <v>2009.5</v>
      </c>
      <c r="N20" s="17">
        <v>101882.5</v>
      </c>
      <c r="O20" s="17">
        <f t="shared" si="1"/>
        <v>81506</v>
      </c>
      <c r="P20" s="17">
        <f t="shared" si="2"/>
        <v>970.30952380952385</v>
      </c>
      <c r="Q20" s="17">
        <f t="shared" si="5"/>
        <v>11643.714285714286</v>
      </c>
      <c r="R20" s="17">
        <f t="shared" si="3"/>
        <v>0</v>
      </c>
      <c r="S20" s="17">
        <f t="shared" si="6"/>
        <v>101882.5</v>
      </c>
      <c r="T20" s="17">
        <f t="shared" si="7"/>
        <v>81506</v>
      </c>
      <c r="U20" s="17">
        <f t="shared" si="8"/>
        <v>0</v>
      </c>
      <c r="V20" s="17"/>
      <c r="W20" s="17"/>
      <c r="X20" s="17">
        <v>0</v>
      </c>
    </row>
    <row r="21" spans="1:24">
      <c r="A21" s="17" t="s">
        <v>246</v>
      </c>
      <c r="B21" s="17" t="s">
        <v>207</v>
      </c>
      <c r="C21" s="17">
        <v>4517</v>
      </c>
      <c r="D21" s="17" t="s">
        <v>317</v>
      </c>
      <c r="E21" s="17">
        <v>86841</v>
      </c>
      <c r="F21" s="17"/>
      <c r="G21" s="17">
        <v>2004</v>
      </c>
      <c r="H21" s="17">
        <v>2</v>
      </c>
      <c r="I21" s="8">
        <v>0.2</v>
      </c>
      <c r="J21" s="17" t="s">
        <v>78</v>
      </c>
      <c r="K21" s="17">
        <v>7</v>
      </c>
      <c r="L21" s="17">
        <f t="shared" si="0"/>
        <v>2011</v>
      </c>
      <c r="M21" s="17">
        <f t="shared" si="4"/>
        <v>2011.1666666666667</v>
      </c>
      <c r="N21" s="17">
        <v>71912.5</v>
      </c>
      <c r="O21" s="17">
        <f t="shared" si="1"/>
        <v>57530</v>
      </c>
      <c r="P21" s="17">
        <f t="shared" si="2"/>
        <v>684.88095238095241</v>
      </c>
      <c r="Q21" s="17">
        <f t="shared" si="5"/>
        <v>8218.5714285714294</v>
      </c>
      <c r="R21" s="17">
        <f t="shared" si="3"/>
        <v>0</v>
      </c>
      <c r="S21" s="17">
        <f t="shared" si="6"/>
        <v>71912.5</v>
      </c>
      <c r="T21" s="17">
        <f t="shared" si="7"/>
        <v>57530</v>
      </c>
      <c r="U21" s="17">
        <f t="shared" si="8"/>
        <v>0</v>
      </c>
      <c r="V21" s="17"/>
      <c r="W21" s="17"/>
      <c r="X21" s="17">
        <v>0</v>
      </c>
    </row>
    <row r="22" spans="1:24">
      <c r="A22" s="17" t="s">
        <v>75</v>
      </c>
      <c r="B22" s="17"/>
      <c r="C22" s="17">
        <v>11085</v>
      </c>
      <c r="D22" s="17" t="s">
        <v>81</v>
      </c>
      <c r="E22" s="17"/>
      <c r="F22" s="17"/>
      <c r="G22" s="17">
        <v>2004</v>
      </c>
      <c r="H22" s="17">
        <v>12</v>
      </c>
      <c r="I22" s="8">
        <v>0.2</v>
      </c>
      <c r="J22" s="17" t="s">
        <v>78</v>
      </c>
      <c r="K22" s="17">
        <v>5</v>
      </c>
      <c r="L22" s="17">
        <f t="shared" si="0"/>
        <v>2009</v>
      </c>
      <c r="M22" s="17">
        <f t="shared" si="4"/>
        <v>2010</v>
      </c>
      <c r="N22" s="17">
        <f>154600.26*18/36</f>
        <v>77300.13</v>
      </c>
      <c r="O22" s="17">
        <f t="shared" si="1"/>
        <v>61840.104000000007</v>
      </c>
      <c r="P22" s="17">
        <f t="shared" si="2"/>
        <v>1030.6684000000002</v>
      </c>
      <c r="Q22" s="17">
        <f t="shared" si="5"/>
        <v>12368.020800000002</v>
      </c>
      <c r="R22" s="17">
        <f t="shared" si="3"/>
        <v>0</v>
      </c>
      <c r="S22" s="17">
        <f t="shared" si="6"/>
        <v>77300.13</v>
      </c>
      <c r="T22" s="17">
        <f t="shared" si="7"/>
        <v>61840.104000000007</v>
      </c>
      <c r="U22" s="17">
        <f t="shared" si="8"/>
        <v>0</v>
      </c>
      <c r="V22" s="17"/>
      <c r="W22" s="17"/>
      <c r="X22" s="17">
        <v>0</v>
      </c>
    </row>
    <row r="23" spans="1:24">
      <c r="A23" s="17" t="s">
        <v>364</v>
      </c>
      <c r="B23" s="17" t="s">
        <v>207</v>
      </c>
      <c r="C23" s="17">
        <v>2023</v>
      </c>
      <c r="D23" s="17" t="s">
        <v>365</v>
      </c>
      <c r="E23" s="17"/>
      <c r="F23" s="17"/>
      <c r="G23" s="17">
        <v>2005</v>
      </c>
      <c r="H23" s="17">
        <v>5</v>
      </c>
      <c r="I23" s="8">
        <v>0.2</v>
      </c>
      <c r="J23" s="17" t="s">
        <v>78</v>
      </c>
      <c r="K23" s="17">
        <v>7</v>
      </c>
      <c r="L23" s="17">
        <f t="shared" si="0"/>
        <v>2012</v>
      </c>
      <c r="M23" s="17">
        <f t="shared" si="4"/>
        <v>2012.4166666666667</v>
      </c>
      <c r="N23" s="17">
        <v>190419.59</v>
      </c>
      <c r="O23" s="17">
        <f t="shared" si="1"/>
        <v>152335.67199999999</v>
      </c>
      <c r="P23" s="17">
        <f t="shared" si="2"/>
        <v>1813.5199047619046</v>
      </c>
      <c r="Q23" s="17">
        <f t="shared" si="5"/>
        <v>21762.238857142856</v>
      </c>
      <c r="R23" s="17">
        <f t="shared" si="3"/>
        <v>0</v>
      </c>
      <c r="S23" s="17">
        <f t="shared" si="6"/>
        <v>190419.59</v>
      </c>
      <c r="T23" s="17">
        <f t="shared" si="7"/>
        <v>152335.67199999999</v>
      </c>
      <c r="U23" s="17">
        <f t="shared" si="8"/>
        <v>0</v>
      </c>
      <c r="V23" s="17"/>
      <c r="W23" s="17"/>
      <c r="X23" s="17">
        <v>0</v>
      </c>
    </row>
    <row r="24" spans="1:24">
      <c r="A24" s="17" t="s">
        <v>75</v>
      </c>
      <c r="B24" s="17" t="s">
        <v>93</v>
      </c>
      <c r="C24" s="17">
        <v>9578</v>
      </c>
      <c r="D24" s="17" t="s">
        <v>315</v>
      </c>
      <c r="E24" s="17"/>
      <c r="F24" s="17"/>
      <c r="G24" s="17">
        <v>2005</v>
      </c>
      <c r="H24" s="17">
        <v>8</v>
      </c>
      <c r="I24" s="8">
        <v>0.33</v>
      </c>
      <c r="J24" s="17" t="s">
        <v>78</v>
      </c>
      <c r="K24" s="17">
        <v>5</v>
      </c>
      <c r="L24" s="17">
        <f t="shared" si="0"/>
        <v>2010</v>
      </c>
      <c r="M24" s="17">
        <f t="shared" si="4"/>
        <v>2010.6666666666667</v>
      </c>
      <c r="N24" s="17">
        <v>22531.5</v>
      </c>
      <c r="O24" s="17">
        <f t="shared" si="1"/>
        <v>15096.105</v>
      </c>
      <c r="P24" s="17">
        <f t="shared" si="2"/>
        <v>251.60175000000001</v>
      </c>
      <c r="Q24" s="17">
        <f t="shared" si="5"/>
        <v>3019.221</v>
      </c>
      <c r="R24" s="17">
        <f t="shared" si="3"/>
        <v>0</v>
      </c>
      <c r="S24" s="17">
        <f t="shared" si="6"/>
        <v>22531.5</v>
      </c>
      <c r="T24" s="17">
        <f t="shared" si="7"/>
        <v>15096.105</v>
      </c>
      <c r="U24" s="17">
        <f t="shared" si="8"/>
        <v>0</v>
      </c>
      <c r="V24" s="17"/>
      <c r="W24" s="17"/>
      <c r="X24" s="17">
        <v>0</v>
      </c>
    </row>
    <row r="25" spans="1:24">
      <c r="A25" s="17" t="s">
        <v>75</v>
      </c>
      <c r="B25" s="17" t="s">
        <v>76</v>
      </c>
      <c r="C25" s="17">
        <v>1043</v>
      </c>
      <c r="D25" s="17" t="s">
        <v>424</v>
      </c>
      <c r="E25" s="17"/>
      <c r="F25" s="17"/>
      <c r="G25" s="17">
        <v>2005</v>
      </c>
      <c r="H25" s="17">
        <v>12</v>
      </c>
      <c r="I25" s="8">
        <v>0.2</v>
      </c>
      <c r="J25" s="17" t="s">
        <v>78</v>
      </c>
      <c r="K25" s="17">
        <v>7</v>
      </c>
      <c r="L25" s="17">
        <f t="shared" si="0"/>
        <v>2012</v>
      </c>
      <c r="M25" s="17">
        <f t="shared" si="4"/>
        <v>2013</v>
      </c>
      <c r="N25" s="17">
        <v>125862.6</v>
      </c>
      <c r="O25" s="17">
        <f t="shared" si="1"/>
        <v>100690.08</v>
      </c>
      <c r="P25" s="17">
        <f t="shared" si="2"/>
        <v>1198.6914285714286</v>
      </c>
      <c r="Q25" s="17">
        <f t="shared" si="5"/>
        <v>14384.297142857144</v>
      </c>
      <c r="R25" s="17">
        <f t="shared" si="3"/>
        <v>0</v>
      </c>
      <c r="S25" s="17">
        <f t="shared" si="6"/>
        <v>125862.6</v>
      </c>
      <c r="T25" s="17">
        <f t="shared" si="7"/>
        <v>100690.08</v>
      </c>
      <c r="U25" s="17">
        <f t="shared" si="8"/>
        <v>0</v>
      </c>
      <c r="V25" s="17"/>
      <c r="W25" s="17"/>
      <c r="X25" s="17">
        <v>0</v>
      </c>
    </row>
    <row r="26" spans="1:24">
      <c r="A26" s="17" t="s">
        <v>246</v>
      </c>
      <c r="B26" s="17" t="s">
        <v>111</v>
      </c>
      <c r="C26" s="17">
        <v>3584</v>
      </c>
      <c r="D26" s="17" t="s">
        <v>346</v>
      </c>
      <c r="E26" s="17"/>
      <c r="F26" s="17"/>
      <c r="G26" s="17">
        <v>2006</v>
      </c>
      <c r="H26" s="17">
        <v>1</v>
      </c>
      <c r="I26" s="8">
        <v>0.2</v>
      </c>
      <c r="J26" s="17" t="s">
        <v>78</v>
      </c>
      <c r="K26" s="17">
        <v>7</v>
      </c>
      <c r="L26" s="17">
        <f t="shared" si="0"/>
        <v>2013</v>
      </c>
      <c r="M26" s="17">
        <f t="shared" si="4"/>
        <v>2013.0833333333333</v>
      </c>
      <c r="N26" s="17"/>
      <c r="O26" s="17">
        <f>N26-N26*I26</f>
        <v>0</v>
      </c>
      <c r="P26" s="17">
        <f t="shared" si="2"/>
        <v>0</v>
      </c>
      <c r="Q26" s="17">
        <f t="shared" si="5"/>
        <v>0</v>
      </c>
      <c r="R26" s="17">
        <f t="shared" si="3"/>
        <v>0</v>
      </c>
      <c r="S26" s="17">
        <f t="shared" si="6"/>
        <v>0</v>
      </c>
      <c r="T26" s="17">
        <f t="shared" si="7"/>
        <v>0</v>
      </c>
      <c r="U26" s="17">
        <f t="shared" si="8"/>
        <v>0</v>
      </c>
      <c r="V26" s="17"/>
      <c r="W26" s="17"/>
      <c r="X26" s="17">
        <v>0</v>
      </c>
    </row>
    <row r="27" spans="1:24">
      <c r="A27" s="17" t="s">
        <v>75</v>
      </c>
      <c r="B27" s="17" t="s">
        <v>76</v>
      </c>
      <c r="C27" s="17">
        <v>1044</v>
      </c>
      <c r="D27" s="17" t="s">
        <v>426</v>
      </c>
      <c r="E27" s="17"/>
      <c r="F27" s="17"/>
      <c r="G27" s="17">
        <v>2006</v>
      </c>
      <c r="H27" s="17">
        <v>2</v>
      </c>
      <c r="I27" s="8">
        <v>0.2</v>
      </c>
      <c r="J27" s="17" t="s">
        <v>78</v>
      </c>
      <c r="K27" s="17">
        <v>7</v>
      </c>
      <c r="L27" s="17">
        <f t="shared" si="0"/>
        <v>2013</v>
      </c>
      <c r="M27" s="17">
        <f t="shared" si="4"/>
        <v>2013.1666666666667</v>
      </c>
      <c r="N27" s="17">
        <v>122285.81</v>
      </c>
      <c r="O27" s="17">
        <f t="shared" si="1"/>
        <v>97828.648000000001</v>
      </c>
      <c r="P27" s="17">
        <f t="shared" si="2"/>
        <v>1164.6267619047619</v>
      </c>
      <c r="Q27" s="17">
        <f t="shared" si="5"/>
        <v>13975.521142857142</v>
      </c>
      <c r="R27" s="17">
        <f t="shared" si="3"/>
        <v>0</v>
      </c>
      <c r="S27" s="17">
        <f t="shared" si="6"/>
        <v>122285.81</v>
      </c>
      <c r="T27" s="17">
        <f t="shared" si="7"/>
        <v>97828.648000000001</v>
      </c>
      <c r="U27" s="17">
        <f t="shared" si="8"/>
        <v>0</v>
      </c>
      <c r="V27" s="17"/>
      <c r="W27" s="17"/>
      <c r="X27" s="17">
        <v>0</v>
      </c>
    </row>
    <row r="28" spans="1:24">
      <c r="A28" s="17" t="s">
        <v>75</v>
      </c>
      <c r="B28" s="17" t="s">
        <v>111</v>
      </c>
      <c r="C28" s="17">
        <v>3594</v>
      </c>
      <c r="D28" s="17" t="s">
        <v>222</v>
      </c>
      <c r="E28" s="17"/>
      <c r="F28" s="17"/>
      <c r="G28" s="17">
        <v>2006</v>
      </c>
      <c r="H28" s="17">
        <v>5</v>
      </c>
      <c r="I28" s="8">
        <v>0.2</v>
      </c>
      <c r="J28" s="17" t="s">
        <v>78</v>
      </c>
      <c r="K28" s="17">
        <v>7</v>
      </c>
      <c r="L28" s="17">
        <f t="shared" si="0"/>
        <v>2013</v>
      </c>
      <c r="M28" s="17">
        <f t="shared" si="4"/>
        <v>2013.4166666666667</v>
      </c>
      <c r="N28" s="17">
        <v>183553.22</v>
      </c>
      <c r="O28" s="17">
        <f t="shared" si="1"/>
        <v>146842.576</v>
      </c>
      <c r="P28" s="17">
        <f t="shared" si="2"/>
        <v>1748.1259047619048</v>
      </c>
      <c r="Q28" s="17">
        <f t="shared" si="5"/>
        <v>20977.510857142857</v>
      </c>
      <c r="R28" s="17">
        <f t="shared" si="3"/>
        <v>0</v>
      </c>
      <c r="S28" s="17">
        <f t="shared" si="6"/>
        <v>183553.22</v>
      </c>
      <c r="T28" s="17">
        <f t="shared" si="7"/>
        <v>146842.576</v>
      </c>
      <c r="U28" s="17">
        <f t="shared" si="8"/>
        <v>0</v>
      </c>
      <c r="V28" s="17"/>
      <c r="W28" s="17"/>
      <c r="X28" s="17">
        <v>0</v>
      </c>
    </row>
    <row r="29" spans="1:24">
      <c r="A29" s="17" t="s">
        <v>75</v>
      </c>
      <c r="B29" s="17" t="s">
        <v>207</v>
      </c>
      <c r="C29" s="17">
        <v>2025</v>
      </c>
      <c r="D29" s="17" t="s">
        <v>389</v>
      </c>
      <c r="E29" s="17"/>
      <c r="F29" s="17"/>
      <c r="G29" s="17">
        <v>2006</v>
      </c>
      <c r="H29" s="17">
        <v>8</v>
      </c>
      <c r="I29" s="8">
        <v>0.2</v>
      </c>
      <c r="J29" s="17" t="s">
        <v>78</v>
      </c>
      <c r="K29" s="17">
        <v>7</v>
      </c>
      <c r="L29" s="17">
        <f>G29+K29</f>
        <v>2013</v>
      </c>
      <c r="M29" s="17">
        <f t="shared" si="4"/>
        <v>2013.6666666666667</v>
      </c>
      <c r="N29" s="17">
        <v>208742.37</v>
      </c>
      <c r="O29" s="17">
        <f t="shared" si="1"/>
        <v>166993.89600000001</v>
      </c>
      <c r="P29" s="17">
        <f t="shared" si="2"/>
        <v>1988.0225714285716</v>
      </c>
      <c r="Q29" s="17">
        <f t="shared" si="5"/>
        <v>23856.270857142859</v>
      </c>
      <c r="R29" s="17">
        <f t="shared" si="3"/>
        <v>0</v>
      </c>
      <c r="S29" s="17">
        <f t="shared" si="6"/>
        <v>208742.37</v>
      </c>
      <c r="T29" s="17">
        <f t="shared" si="7"/>
        <v>166993.89600000001</v>
      </c>
      <c r="U29" s="17">
        <f t="shared" si="8"/>
        <v>0</v>
      </c>
      <c r="V29" s="17"/>
      <c r="W29" s="17"/>
      <c r="X29" s="17">
        <v>0</v>
      </c>
    </row>
    <row r="30" spans="1:24">
      <c r="A30" s="17" t="s">
        <v>75</v>
      </c>
      <c r="B30" s="17" t="s">
        <v>76</v>
      </c>
      <c r="C30" s="17">
        <v>1048</v>
      </c>
      <c r="D30" s="17" t="s">
        <v>83</v>
      </c>
      <c r="E30" s="17"/>
      <c r="F30" s="17"/>
      <c r="G30" s="17">
        <v>2006</v>
      </c>
      <c r="H30" s="17">
        <v>11</v>
      </c>
      <c r="I30" s="8">
        <v>0.2</v>
      </c>
      <c r="J30" s="17" t="s">
        <v>78</v>
      </c>
      <c r="K30" s="17">
        <v>7</v>
      </c>
      <c r="L30" s="17">
        <f>G30+K30</f>
        <v>2013</v>
      </c>
      <c r="M30" s="17">
        <f t="shared" si="4"/>
        <v>2013.9166666666667</v>
      </c>
      <c r="N30" s="17">
        <v>126621.44</v>
      </c>
      <c r="O30" s="17">
        <f t="shared" si="1"/>
        <v>101297.152</v>
      </c>
      <c r="P30" s="17">
        <f t="shared" si="2"/>
        <v>1205.9184761904762</v>
      </c>
      <c r="Q30" s="17">
        <f t="shared" si="5"/>
        <v>14471.021714285715</v>
      </c>
      <c r="R30" s="17">
        <f t="shared" si="3"/>
        <v>0</v>
      </c>
      <c r="S30" s="17">
        <f t="shared" si="6"/>
        <v>126621.44</v>
      </c>
      <c r="T30" s="17">
        <f t="shared" si="7"/>
        <v>101297.152</v>
      </c>
      <c r="U30" s="17">
        <f t="shared" si="8"/>
        <v>0</v>
      </c>
      <c r="V30" s="17"/>
      <c r="W30" s="17"/>
      <c r="X30" s="17">
        <v>0</v>
      </c>
    </row>
    <row r="31" spans="1:24">
      <c r="A31" s="17" t="s">
        <v>75</v>
      </c>
      <c r="B31" s="17" t="s">
        <v>76</v>
      </c>
      <c r="C31" s="17">
        <v>1052</v>
      </c>
      <c r="D31" s="17" t="s">
        <v>85</v>
      </c>
      <c r="E31" s="17"/>
      <c r="F31" s="17"/>
      <c r="G31" s="17">
        <v>2006</v>
      </c>
      <c r="H31" s="17">
        <v>12</v>
      </c>
      <c r="I31" s="8">
        <v>0.2</v>
      </c>
      <c r="J31" s="17" t="s">
        <v>78</v>
      </c>
      <c r="K31" s="17">
        <v>7</v>
      </c>
      <c r="L31" s="17">
        <f t="shared" si="0"/>
        <v>2013</v>
      </c>
      <c r="M31" s="17">
        <f t="shared" si="4"/>
        <v>2014</v>
      </c>
      <c r="N31" s="17">
        <v>122672</v>
      </c>
      <c r="O31" s="17">
        <f t="shared" si="1"/>
        <v>98137.600000000006</v>
      </c>
      <c r="P31" s="17">
        <f t="shared" si="2"/>
        <v>1168.304761904762</v>
      </c>
      <c r="Q31" s="17">
        <f t="shared" si="5"/>
        <v>14019.657142857144</v>
      </c>
      <c r="R31" s="17">
        <f t="shared" si="3"/>
        <v>0</v>
      </c>
      <c r="S31" s="17">
        <f t="shared" si="6"/>
        <v>122672</v>
      </c>
      <c r="T31" s="17">
        <f t="shared" si="7"/>
        <v>98137.600000000006</v>
      </c>
      <c r="U31" s="17">
        <f t="shared" si="8"/>
        <v>0</v>
      </c>
      <c r="V31" s="17"/>
      <c r="W31" s="17"/>
      <c r="X31" s="17">
        <v>0</v>
      </c>
    </row>
    <row r="32" spans="1:24">
      <c r="A32" s="17" t="s">
        <v>75</v>
      </c>
      <c r="B32" s="17" t="s">
        <v>111</v>
      </c>
      <c r="C32" s="17">
        <v>3595</v>
      </c>
      <c r="D32" s="17" t="s">
        <v>420</v>
      </c>
      <c r="E32" s="17"/>
      <c r="F32" s="17"/>
      <c r="G32" s="17">
        <v>2006</v>
      </c>
      <c r="H32" s="17">
        <v>12</v>
      </c>
      <c r="I32" s="8">
        <v>0.2</v>
      </c>
      <c r="J32" s="17" t="s">
        <v>78</v>
      </c>
      <c r="K32" s="17">
        <v>7</v>
      </c>
      <c r="L32" s="17">
        <f t="shared" si="0"/>
        <v>2013</v>
      </c>
      <c r="M32" s="17">
        <f t="shared" si="4"/>
        <v>2014</v>
      </c>
      <c r="N32" s="17">
        <v>183553.22</v>
      </c>
      <c r="O32" s="17">
        <f t="shared" si="1"/>
        <v>146842.576</v>
      </c>
      <c r="P32" s="17">
        <f t="shared" si="2"/>
        <v>1748.1259047619048</v>
      </c>
      <c r="Q32" s="17">
        <f t="shared" si="5"/>
        <v>20977.510857142857</v>
      </c>
      <c r="R32" s="17">
        <f t="shared" si="3"/>
        <v>0</v>
      </c>
      <c r="S32" s="17">
        <f t="shared" si="6"/>
        <v>183553.22</v>
      </c>
      <c r="T32" s="17">
        <f t="shared" si="7"/>
        <v>146842.576</v>
      </c>
      <c r="U32" s="17">
        <f t="shared" si="8"/>
        <v>0</v>
      </c>
      <c r="V32" s="17"/>
      <c r="W32" s="17"/>
      <c r="X32" s="17">
        <v>0</v>
      </c>
    </row>
    <row r="33" spans="1:24">
      <c r="A33" s="17" t="s">
        <v>75</v>
      </c>
      <c r="B33" s="17"/>
      <c r="C33" s="17"/>
      <c r="D33" s="17" t="s">
        <v>87</v>
      </c>
      <c r="E33" s="17" t="s">
        <v>88</v>
      </c>
      <c r="F33" s="17"/>
      <c r="G33" s="17">
        <v>2006</v>
      </c>
      <c r="H33" s="17">
        <v>12</v>
      </c>
      <c r="I33" s="8">
        <v>0</v>
      </c>
      <c r="J33" s="17" t="s">
        <v>78</v>
      </c>
      <c r="K33" s="17">
        <v>5</v>
      </c>
      <c r="L33" s="17">
        <f t="shared" si="0"/>
        <v>2011</v>
      </c>
      <c r="M33" s="17">
        <f t="shared" si="4"/>
        <v>2012</v>
      </c>
      <c r="N33" s="17">
        <f>(9918.49+20060.36+141742.3)*18/36</f>
        <v>85860.574999999997</v>
      </c>
      <c r="O33" s="17">
        <f t="shared" si="1"/>
        <v>85860.574999999997</v>
      </c>
      <c r="P33" s="17">
        <f t="shared" si="2"/>
        <v>1431.0095833333332</v>
      </c>
      <c r="Q33" s="17">
        <f t="shared" si="5"/>
        <v>17172.114999999998</v>
      </c>
      <c r="R33" s="17">
        <f t="shared" si="3"/>
        <v>0</v>
      </c>
      <c r="S33" s="17">
        <f t="shared" si="6"/>
        <v>85860.574999999997</v>
      </c>
      <c r="T33" s="17">
        <f t="shared" si="7"/>
        <v>85860.574999999997</v>
      </c>
      <c r="U33" s="17">
        <f t="shared" si="8"/>
        <v>0</v>
      </c>
      <c r="V33" s="17"/>
      <c r="W33" s="17"/>
      <c r="X33" s="17">
        <v>0</v>
      </c>
    </row>
    <row r="34" spans="1:24">
      <c r="A34" s="17" t="s">
        <v>75</v>
      </c>
      <c r="B34" s="17"/>
      <c r="C34" s="17">
        <v>1052</v>
      </c>
      <c r="D34" s="17" t="s">
        <v>89</v>
      </c>
      <c r="E34" s="17"/>
      <c r="F34" s="17"/>
      <c r="G34" s="17">
        <v>2007</v>
      </c>
      <c r="H34" s="17">
        <v>1</v>
      </c>
      <c r="I34" s="8">
        <v>0.2</v>
      </c>
      <c r="J34" s="17" t="s">
        <v>78</v>
      </c>
      <c r="K34" s="17">
        <v>7</v>
      </c>
      <c r="L34" s="17">
        <f t="shared" si="0"/>
        <v>2014</v>
      </c>
      <c r="M34" s="17">
        <f t="shared" si="4"/>
        <v>2014.0833333333333</v>
      </c>
      <c r="N34" s="17">
        <v>3949.44</v>
      </c>
      <c r="O34" s="17">
        <f t="shared" si="1"/>
        <v>3159.5520000000001</v>
      </c>
      <c r="P34" s="17">
        <f t="shared" si="2"/>
        <v>37.613714285714288</v>
      </c>
      <c r="Q34" s="17">
        <f t="shared" si="5"/>
        <v>451.36457142857148</v>
      </c>
      <c r="R34" s="17">
        <f t="shared" si="3"/>
        <v>0</v>
      </c>
      <c r="S34" s="17">
        <f t="shared" si="6"/>
        <v>3949.44</v>
      </c>
      <c r="T34" s="17">
        <f t="shared" si="7"/>
        <v>3159.5520000000001</v>
      </c>
      <c r="U34" s="17">
        <f t="shared" si="8"/>
        <v>0</v>
      </c>
      <c r="V34" s="17"/>
      <c r="W34" s="17"/>
      <c r="X34" s="17">
        <v>0</v>
      </c>
    </row>
    <row r="35" spans="1:24">
      <c r="A35" s="17" t="s">
        <v>75</v>
      </c>
      <c r="B35" s="17" t="s">
        <v>207</v>
      </c>
      <c r="C35" s="17">
        <v>2028</v>
      </c>
      <c r="D35" s="17" t="s">
        <v>431</v>
      </c>
      <c r="E35" s="17"/>
      <c r="F35" s="17"/>
      <c r="G35" s="17">
        <v>2007</v>
      </c>
      <c r="H35" s="17">
        <v>1</v>
      </c>
      <c r="I35" s="8">
        <v>0.2</v>
      </c>
      <c r="J35" s="17" t="s">
        <v>78</v>
      </c>
      <c r="K35" s="17">
        <v>7</v>
      </c>
      <c r="L35" s="17">
        <f t="shared" si="0"/>
        <v>2014</v>
      </c>
      <c r="M35" s="17">
        <f t="shared" si="4"/>
        <v>2014.0833333333333</v>
      </c>
      <c r="N35" s="17">
        <v>212773.48</v>
      </c>
      <c r="O35" s="17">
        <f t="shared" si="1"/>
        <v>170218.78400000001</v>
      </c>
      <c r="P35" s="17">
        <f t="shared" si="2"/>
        <v>2026.4140952380956</v>
      </c>
      <c r="Q35" s="17">
        <f t="shared" si="5"/>
        <v>24316.969142857146</v>
      </c>
      <c r="R35" s="17">
        <f t="shared" si="3"/>
        <v>0</v>
      </c>
      <c r="S35" s="17">
        <f t="shared" si="6"/>
        <v>212773.48</v>
      </c>
      <c r="T35" s="17">
        <f t="shared" si="7"/>
        <v>170218.78400000001</v>
      </c>
      <c r="U35" s="17">
        <f t="shared" si="8"/>
        <v>0</v>
      </c>
      <c r="V35" s="17"/>
      <c r="W35" s="17"/>
      <c r="X35" s="17">
        <v>0</v>
      </c>
    </row>
    <row r="36" spans="1:24">
      <c r="A36" s="17" t="s">
        <v>75</v>
      </c>
      <c r="B36" s="17" t="s">
        <v>76</v>
      </c>
      <c r="C36" s="17">
        <v>1063</v>
      </c>
      <c r="D36" s="17" t="s">
        <v>91</v>
      </c>
      <c r="E36" s="17"/>
      <c r="F36" s="17"/>
      <c r="G36" s="17">
        <v>2007</v>
      </c>
      <c r="H36" s="17">
        <v>5</v>
      </c>
      <c r="I36" s="8">
        <v>0.2</v>
      </c>
      <c r="J36" s="17" t="s">
        <v>78</v>
      </c>
      <c r="K36" s="17">
        <v>7</v>
      </c>
      <c r="L36" s="17">
        <f t="shared" si="0"/>
        <v>2014</v>
      </c>
      <c r="M36" s="17">
        <f t="shared" si="4"/>
        <v>2014.4166666666667</v>
      </c>
      <c r="N36" s="17">
        <v>127343.72</v>
      </c>
      <c r="O36" s="17">
        <f t="shared" si="1"/>
        <v>101874.976</v>
      </c>
      <c r="P36" s="17">
        <f t="shared" si="2"/>
        <v>1212.7973333333332</v>
      </c>
      <c r="Q36" s="17">
        <f t="shared" si="5"/>
        <v>14553.567999999999</v>
      </c>
      <c r="R36" s="17">
        <f t="shared" si="3"/>
        <v>0</v>
      </c>
      <c r="S36" s="17">
        <f t="shared" si="6"/>
        <v>127343.72</v>
      </c>
      <c r="T36" s="17">
        <f t="shared" si="7"/>
        <v>101874.976</v>
      </c>
      <c r="U36" s="17">
        <f t="shared" si="8"/>
        <v>0</v>
      </c>
      <c r="V36" s="17"/>
      <c r="W36" s="17"/>
      <c r="X36" s="17">
        <v>0</v>
      </c>
    </row>
    <row r="37" spans="1:24">
      <c r="A37" s="17" t="s">
        <v>75</v>
      </c>
      <c r="B37" s="17" t="s">
        <v>76</v>
      </c>
      <c r="C37" s="17">
        <v>1065</v>
      </c>
      <c r="D37" s="17" t="s">
        <v>91</v>
      </c>
      <c r="E37" s="17"/>
      <c r="F37" s="17"/>
      <c r="G37" s="17">
        <v>2007</v>
      </c>
      <c r="H37" s="17">
        <v>5</v>
      </c>
      <c r="I37" s="8">
        <v>0.2</v>
      </c>
      <c r="J37" s="17" t="s">
        <v>78</v>
      </c>
      <c r="K37" s="17">
        <v>7</v>
      </c>
      <c r="L37" s="17">
        <f t="shared" si="0"/>
        <v>2014</v>
      </c>
      <c r="M37" s="17">
        <f t="shared" si="4"/>
        <v>2014.4166666666667</v>
      </c>
      <c r="N37" s="17">
        <v>127343.72</v>
      </c>
      <c r="O37" s="17">
        <f t="shared" si="1"/>
        <v>101874.976</v>
      </c>
      <c r="P37" s="17">
        <f t="shared" si="2"/>
        <v>1212.7973333333332</v>
      </c>
      <c r="Q37" s="17">
        <f t="shared" si="5"/>
        <v>14553.567999999999</v>
      </c>
      <c r="R37" s="17">
        <f t="shared" si="3"/>
        <v>0</v>
      </c>
      <c r="S37" s="17">
        <f t="shared" si="6"/>
        <v>127343.72</v>
      </c>
      <c r="T37" s="17">
        <f t="shared" si="7"/>
        <v>101874.976</v>
      </c>
      <c r="U37" s="17">
        <f t="shared" si="8"/>
        <v>0</v>
      </c>
      <c r="V37" s="17"/>
      <c r="W37" s="17"/>
      <c r="X37" s="17">
        <v>0</v>
      </c>
    </row>
    <row r="38" spans="1:24">
      <c r="A38" s="17" t="s">
        <v>75</v>
      </c>
      <c r="B38" s="17" t="s">
        <v>76</v>
      </c>
      <c r="C38" s="17">
        <v>1066</v>
      </c>
      <c r="D38" s="17" t="s">
        <v>91</v>
      </c>
      <c r="E38" s="17"/>
      <c r="F38" s="17"/>
      <c r="G38" s="17">
        <v>2007</v>
      </c>
      <c r="H38" s="17">
        <v>5</v>
      </c>
      <c r="I38" s="8">
        <v>0.2</v>
      </c>
      <c r="J38" s="17" t="s">
        <v>78</v>
      </c>
      <c r="K38" s="17">
        <v>7</v>
      </c>
      <c r="L38" s="17">
        <f t="shared" si="0"/>
        <v>2014</v>
      </c>
      <c r="M38" s="17">
        <f t="shared" si="4"/>
        <v>2014.4166666666667</v>
      </c>
      <c r="N38" s="17">
        <v>127343.72</v>
      </c>
      <c r="O38" s="17">
        <f t="shared" si="1"/>
        <v>101874.976</v>
      </c>
      <c r="P38" s="17">
        <f t="shared" si="2"/>
        <v>1212.7973333333332</v>
      </c>
      <c r="Q38" s="17">
        <f t="shared" si="5"/>
        <v>14553.567999999999</v>
      </c>
      <c r="R38" s="17">
        <f t="shared" si="3"/>
        <v>0</v>
      </c>
      <c r="S38" s="17">
        <f t="shared" si="6"/>
        <v>127343.72</v>
      </c>
      <c r="T38" s="17">
        <f t="shared" si="7"/>
        <v>101874.976</v>
      </c>
      <c r="U38" s="17">
        <f t="shared" si="8"/>
        <v>0</v>
      </c>
      <c r="V38" s="17"/>
      <c r="W38" s="17"/>
      <c r="X38" s="17">
        <v>0</v>
      </c>
    </row>
    <row r="39" spans="1:24">
      <c r="A39" s="17" t="s">
        <v>75</v>
      </c>
      <c r="B39" s="17" t="s">
        <v>76</v>
      </c>
      <c r="C39" s="17">
        <v>1058</v>
      </c>
      <c r="D39" s="17" t="s">
        <v>91</v>
      </c>
      <c r="E39" s="17"/>
      <c r="F39" s="17"/>
      <c r="G39" s="17">
        <v>2007</v>
      </c>
      <c r="H39" s="17">
        <v>5</v>
      </c>
      <c r="I39" s="8">
        <v>0.2</v>
      </c>
      <c r="J39" s="17" t="s">
        <v>78</v>
      </c>
      <c r="K39" s="17">
        <v>7</v>
      </c>
      <c r="L39" s="17">
        <f t="shared" si="0"/>
        <v>2014</v>
      </c>
      <c r="M39" s="17">
        <f t="shared" si="4"/>
        <v>2014.4166666666667</v>
      </c>
      <c r="N39" s="17">
        <v>127343.72</v>
      </c>
      <c r="O39" s="17">
        <f t="shared" si="1"/>
        <v>101874.976</v>
      </c>
      <c r="P39" s="17">
        <f t="shared" si="2"/>
        <v>1212.7973333333332</v>
      </c>
      <c r="Q39" s="17">
        <f t="shared" si="5"/>
        <v>14553.567999999999</v>
      </c>
      <c r="R39" s="17">
        <f t="shared" si="3"/>
        <v>0</v>
      </c>
      <c r="S39" s="17">
        <f t="shared" si="6"/>
        <v>127343.72</v>
      </c>
      <c r="T39" s="17">
        <f t="shared" si="7"/>
        <v>101874.976</v>
      </c>
      <c r="U39" s="17">
        <f t="shared" si="8"/>
        <v>0</v>
      </c>
      <c r="V39" s="17"/>
      <c r="W39" s="17"/>
      <c r="X39" s="17"/>
    </row>
    <row r="40" spans="1:24">
      <c r="A40" s="17" t="s">
        <v>75</v>
      </c>
      <c r="B40" s="17" t="s">
        <v>76</v>
      </c>
      <c r="C40" s="17">
        <v>1064</v>
      </c>
      <c r="D40" s="17" t="s">
        <v>91</v>
      </c>
      <c r="E40" s="17"/>
      <c r="F40" s="17"/>
      <c r="G40" s="17">
        <v>2007</v>
      </c>
      <c r="H40" s="17">
        <v>7</v>
      </c>
      <c r="I40" s="8">
        <v>0.2</v>
      </c>
      <c r="J40" s="17" t="s">
        <v>78</v>
      </c>
      <c r="K40" s="17">
        <v>7</v>
      </c>
      <c r="L40" s="17">
        <f t="shared" si="0"/>
        <v>2014</v>
      </c>
      <c r="M40" s="17">
        <f t="shared" si="4"/>
        <v>2014.5833333333333</v>
      </c>
      <c r="N40" s="17">
        <v>127343.72</v>
      </c>
      <c r="O40" s="17">
        <f t="shared" si="1"/>
        <v>101874.976</v>
      </c>
      <c r="P40" s="17">
        <f t="shared" si="2"/>
        <v>1212.7973333333332</v>
      </c>
      <c r="Q40" s="17">
        <f t="shared" si="5"/>
        <v>14553.567999999999</v>
      </c>
      <c r="R40" s="17">
        <f t="shared" si="3"/>
        <v>0</v>
      </c>
      <c r="S40" s="17">
        <f t="shared" si="6"/>
        <v>127343.72</v>
      </c>
      <c r="T40" s="17">
        <f t="shared" si="7"/>
        <v>101874.976</v>
      </c>
      <c r="U40" s="17">
        <f t="shared" si="8"/>
        <v>0</v>
      </c>
      <c r="V40" s="17"/>
      <c r="W40" s="17"/>
      <c r="X40" s="17"/>
    </row>
    <row r="41" spans="1:24">
      <c r="A41" s="17" t="s">
        <v>75</v>
      </c>
      <c r="B41" s="17" t="s">
        <v>111</v>
      </c>
      <c r="C41" s="17">
        <v>3610</v>
      </c>
      <c r="D41" s="17" t="s">
        <v>178</v>
      </c>
      <c r="E41" s="17"/>
      <c r="F41" s="17"/>
      <c r="G41" s="17">
        <v>2007</v>
      </c>
      <c r="H41" s="17">
        <v>8</v>
      </c>
      <c r="I41" s="8">
        <v>0.2</v>
      </c>
      <c r="J41" s="17" t="s">
        <v>78</v>
      </c>
      <c r="K41" s="17">
        <v>7</v>
      </c>
      <c r="L41" s="17">
        <f t="shared" si="0"/>
        <v>2014</v>
      </c>
      <c r="M41" s="17">
        <f>+L41+(H41/12)</f>
        <v>2014.6666666666667</v>
      </c>
      <c r="N41" s="17">
        <v>194705.04</v>
      </c>
      <c r="O41" s="17">
        <f t="shared" si="1"/>
        <v>155764.03200000001</v>
      </c>
      <c r="P41" s="17">
        <f t="shared" si="2"/>
        <v>1854.3337142857144</v>
      </c>
      <c r="Q41" s="17">
        <f t="shared" si="5"/>
        <v>22252.004571428573</v>
      </c>
      <c r="R41" s="17">
        <f t="shared" si="3"/>
        <v>0</v>
      </c>
      <c r="S41" s="17">
        <f t="shared" si="6"/>
        <v>194705.04</v>
      </c>
      <c r="T41" s="17">
        <f t="shared" si="7"/>
        <v>155764.03200000001</v>
      </c>
      <c r="U41" s="17">
        <f t="shared" si="8"/>
        <v>0</v>
      </c>
      <c r="V41" s="17"/>
      <c r="W41" s="17"/>
      <c r="X41" s="17"/>
    </row>
    <row r="42" spans="1:24">
      <c r="A42" s="17" t="s">
        <v>75</v>
      </c>
      <c r="B42" s="17" t="s">
        <v>111</v>
      </c>
      <c r="C42" s="17">
        <v>3611</v>
      </c>
      <c r="D42" s="17" t="s">
        <v>178</v>
      </c>
      <c r="E42" s="17"/>
      <c r="F42" s="17"/>
      <c r="G42" s="17">
        <v>2007</v>
      </c>
      <c r="H42" s="17">
        <v>8</v>
      </c>
      <c r="I42" s="8">
        <v>0.2</v>
      </c>
      <c r="J42" s="17" t="s">
        <v>78</v>
      </c>
      <c r="K42" s="17">
        <v>7</v>
      </c>
      <c r="L42" s="17">
        <f t="shared" si="0"/>
        <v>2014</v>
      </c>
      <c r="M42" s="17">
        <f t="shared" si="4"/>
        <v>2014.6666666666667</v>
      </c>
      <c r="N42" s="17">
        <v>194705.04</v>
      </c>
      <c r="O42" s="17">
        <f t="shared" si="1"/>
        <v>155764.03200000001</v>
      </c>
      <c r="P42" s="17">
        <f t="shared" si="2"/>
        <v>1854.3337142857144</v>
      </c>
      <c r="Q42" s="17">
        <f t="shared" si="5"/>
        <v>22252.004571428573</v>
      </c>
      <c r="R42" s="17">
        <f t="shared" si="3"/>
        <v>0</v>
      </c>
      <c r="S42" s="17">
        <f t="shared" si="6"/>
        <v>194705.04</v>
      </c>
      <c r="T42" s="17">
        <f t="shared" si="7"/>
        <v>155764.03200000001</v>
      </c>
      <c r="U42" s="17">
        <f t="shared" si="8"/>
        <v>0</v>
      </c>
      <c r="V42" s="17"/>
      <c r="W42" s="17"/>
      <c r="X42" s="17"/>
    </row>
    <row r="43" spans="1:24">
      <c r="A43" s="17" t="s">
        <v>75</v>
      </c>
      <c r="B43" s="17" t="s">
        <v>111</v>
      </c>
      <c r="C43" s="17">
        <v>3616</v>
      </c>
      <c r="D43" s="17" t="s">
        <v>180</v>
      </c>
      <c r="E43" s="17"/>
      <c r="F43" s="17"/>
      <c r="G43" s="17">
        <v>2007</v>
      </c>
      <c r="H43" s="17">
        <v>9</v>
      </c>
      <c r="I43" s="8">
        <v>0.2</v>
      </c>
      <c r="J43" s="17" t="s">
        <v>78</v>
      </c>
      <c r="K43" s="17">
        <v>7</v>
      </c>
      <c r="L43" s="17">
        <f t="shared" si="0"/>
        <v>2014</v>
      </c>
      <c r="M43" s="17">
        <f t="shared" si="4"/>
        <v>2014.75</v>
      </c>
      <c r="N43" s="17">
        <v>194705.04</v>
      </c>
      <c r="O43" s="17">
        <f t="shared" si="1"/>
        <v>155764.03200000001</v>
      </c>
      <c r="P43" s="17">
        <f t="shared" si="2"/>
        <v>1854.3337142857144</v>
      </c>
      <c r="Q43" s="17">
        <f t="shared" si="5"/>
        <v>22252.004571428573</v>
      </c>
      <c r="R43" s="17">
        <f t="shared" si="3"/>
        <v>0</v>
      </c>
      <c r="S43" s="17">
        <f t="shared" si="6"/>
        <v>194705.04</v>
      </c>
      <c r="T43" s="17">
        <f t="shared" si="7"/>
        <v>155764.03200000001</v>
      </c>
      <c r="U43" s="17">
        <f t="shared" si="8"/>
        <v>0</v>
      </c>
      <c r="V43" s="17"/>
      <c r="W43" s="17"/>
      <c r="X43" s="17"/>
    </row>
    <row r="44" spans="1:24">
      <c r="A44" s="17" t="s">
        <v>75</v>
      </c>
      <c r="B44" s="17" t="s">
        <v>111</v>
      </c>
      <c r="C44" s="17">
        <v>3618</v>
      </c>
      <c r="D44" s="17" t="s">
        <v>180</v>
      </c>
      <c r="E44" s="17"/>
      <c r="F44" s="17"/>
      <c r="G44" s="17">
        <v>2007</v>
      </c>
      <c r="H44" s="17">
        <v>9</v>
      </c>
      <c r="I44" s="8">
        <v>0.2</v>
      </c>
      <c r="J44" s="17" t="s">
        <v>78</v>
      </c>
      <c r="K44" s="17">
        <v>7</v>
      </c>
      <c r="L44" s="17">
        <f t="shared" si="0"/>
        <v>2014</v>
      </c>
      <c r="M44" s="17">
        <f t="shared" si="4"/>
        <v>2014.75</v>
      </c>
      <c r="N44" s="17">
        <v>194705.04</v>
      </c>
      <c r="O44" s="17">
        <f t="shared" si="1"/>
        <v>155764.03200000001</v>
      </c>
      <c r="P44" s="17">
        <f t="shared" si="2"/>
        <v>1854.3337142857144</v>
      </c>
      <c r="Q44" s="17">
        <f t="shared" si="5"/>
        <v>22252.004571428573</v>
      </c>
      <c r="R44" s="17">
        <f t="shared" si="3"/>
        <v>0</v>
      </c>
      <c r="S44" s="17">
        <f t="shared" si="6"/>
        <v>194705.04</v>
      </c>
      <c r="T44" s="17">
        <f t="shared" si="7"/>
        <v>155764.03200000001</v>
      </c>
      <c r="U44" s="17">
        <f t="shared" si="8"/>
        <v>0</v>
      </c>
      <c r="V44" s="17"/>
      <c r="W44" s="17"/>
      <c r="X44" s="17"/>
    </row>
    <row r="45" spans="1:24">
      <c r="A45" s="17" t="s">
        <v>75</v>
      </c>
      <c r="B45" s="17" t="s">
        <v>111</v>
      </c>
      <c r="C45" s="17">
        <v>3617</v>
      </c>
      <c r="D45" s="17" t="s">
        <v>180</v>
      </c>
      <c r="E45" s="17"/>
      <c r="F45" s="17"/>
      <c r="G45" s="17">
        <v>2007</v>
      </c>
      <c r="H45" s="17">
        <v>10</v>
      </c>
      <c r="I45" s="8">
        <v>0.2</v>
      </c>
      <c r="J45" s="17" t="s">
        <v>78</v>
      </c>
      <c r="K45" s="17">
        <v>7</v>
      </c>
      <c r="L45" s="17">
        <f t="shared" si="0"/>
        <v>2014</v>
      </c>
      <c r="M45" s="17">
        <f t="shared" si="4"/>
        <v>2014.8333333333333</v>
      </c>
      <c r="N45" s="17">
        <v>194705.04</v>
      </c>
      <c r="O45" s="17">
        <f t="shared" si="1"/>
        <v>155764.03200000001</v>
      </c>
      <c r="P45" s="17">
        <f t="shared" si="2"/>
        <v>1854.3337142857144</v>
      </c>
      <c r="Q45" s="17">
        <f t="shared" si="5"/>
        <v>22252.004571428573</v>
      </c>
      <c r="R45" s="17">
        <f t="shared" si="3"/>
        <v>0</v>
      </c>
      <c r="S45" s="17">
        <f t="shared" si="6"/>
        <v>194705.04</v>
      </c>
      <c r="T45" s="17">
        <f t="shared" si="7"/>
        <v>155764.03200000001</v>
      </c>
      <c r="U45" s="17">
        <f t="shared" si="8"/>
        <v>0</v>
      </c>
      <c r="V45" s="17"/>
      <c r="W45" s="17"/>
      <c r="X45" s="17"/>
    </row>
    <row r="46" spans="1:24">
      <c r="A46" s="17" t="s">
        <v>75</v>
      </c>
      <c r="B46" s="17" t="s">
        <v>111</v>
      </c>
      <c r="C46" s="17">
        <v>3619</v>
      </c>
      <c r="D46" s="17" t="s">
        <v>180</v>
      </c>
      <c r="E46" s="17"/>
      <c r="F46" s="17"/>
      <c r="G46" s="17">
        <v>2007</v>
      </c>
      <c r="H46" s="17">
        <v>10</v>
      </c>
      <c r="I46" s="8">
        <v>0.2</v>
      </c>
      <c r="J46" s="17" t="s">
        <v>78</v>
      </c>
      <c r="K46" s="17">
        <v>7</v>
      </c>
      <c r="L46" s="17">
        <f t="shared" si="0"/>
        <v>2014</v>
      </c>
      <c r="M46" s="17">
        <f t="shared" si="4"/>
        <v>2014.8333333333333</v>
      </c>
      <c r="N46" s="17">
        <v>194705.04</v>
      </c>
      <c r="O46" s="17">
        <f t="shared" si="1"/>
        <v>155764.03200000001</v>
      </c>
      <c r="P46" s="17">
        <f t="shared" si="2"/>
        <v>1854.3337142857144</v>
      </c>
      <c r="Q46" s="17">
        <f t="shared" si="5"/>
        <v>22252.004571428573</v>
      </c>
      <c r="R46" s="17">
        <f t="shared" si="3"/>
        <v>0</v>
      </c>
      <c r="S46" s="17">
        <f t="shared" si="6"/>
        <v>194705.04</v>
      </c>
      <c r="T46" s="17">
        <f t="shared" si="7"/>
        <v>155764.03200000001</v>
      </c>
      <c r="U46" s="17">
        <f t="shared" si="8"/>
        <v>0</v>
      </c>
      <c r="V46" s="17"/>
      <c r="W46" s="17"/>
      <c r="X46" s="17"/>
    </row>
    <row r="47" spans="1:24">
      <c r="A47" s="17" t="s">
        <v>75</v>
      </c>
      <c r="B47" s="17" t="s">
        <v>111</v>
      </c>
      <c r="C47" s="17">
        <v>3620</v>
      </c>
      <c r="D47" s="17" t="s">
        <v>180</v>
      </c>
      <c r="E47" s="17"/>
      <c r="F47" s="17"/>
      <c r="G47" s="17">
        <v>2007</v>
      </c>
      <c r="H47" s="17">
        <v>10</v>
      </c>
      <c r="I47" s="8">
        <v>0.2</v>
      </c>
      <c r="J47" s="17" t="s">
        <v>78</v>
      </c>
      <c r="K47" s="17">
        <v>7</v>
      </c>
      <c r="L47" s="17">
        <f t="shared" si="0"/>
        <v>2014</v>
      </c>
      <c r="M47" s="17">
        <f t="shared" si="4"/>
        <v>2014.8333333333333</v>
      </c>
      <c r="N47" s="17">
        <v>194705.04</v>
      </c>
      <c r="O47" s="17">
        <f t="shared" si="1"/>
        <v>155764.03200000001</v>
      </c>
      <c r="P47" s="17">
        <f t="shared" si="2"/>
        <v>1854.3337142857144</v>
      </c>
      <c r="Q47" s="17">
        <f t="shared" si="5"/>
        <v>22252.004571428573</v>
      </c>
      <c r="R47" s="17">
        <f t="shared" si="3"/>
        <v>0</v>
      </c>
      <c r="S47" s="17">
        <f t="shared" si="6"/>
        <v>194705.04</v>
      </c>
      <c r="T47" s="17">
        <f t="shared" si="7"/>
        <v>155764.03200000001</v>
      </c>
      <c r="U47" s="17">
        <f t="shared" si="8"/>
        <v>0</v>
      </c>
      <c r="V47" s="17"/>
      <c r="W47" s="17"/>
      <c r="X47" s="17"/>
    </row>
    <row r="48" spans="1:24">
      <c r="A48" s="17" t="s">
        <v>75</v>
      </c>
      <c r="B48" s="17" t="s">
        <v>111</v>
      </c>
      <c r="C48" s="17">
        <v>3624</v>
      </c>
      <c r="D48" s="17" t="s">
        <v>182</v>
      </c>
      <c r="E48" s="17"/>
      <c r="F48" s="17"/>
      <c r="G48" s="17">
        <v>2008</v>
      </c>
      <c r="H48" s="17">
        <v>11</v>
      </c>
      <c r="I48" s="8">
        <v>0.2</v>
      </c>
      <c r="J48" s="17" t="s">
        <v>78</v>
      </c>
      <c r="K48" s="17">
        <v>7</v>
      </c>
      <c r="L48" s="17">
        <f t="shared" si="0"/>
        <v>2015</v>
      </c>
      <c r="M48" s="17">
        <f t="shared" si="4"/>
        <v>2015.9166666666667</v>
      </c>
      <c r="N48" s="17">
        <v>222209.95</v>
      </c>
      <c r="O48" s="17">
        <f t="shared" si="1"/>
        <v>177767.96000000002</v>
      </c>
      <c r="P48" s="17">
        <f t="shared" si="2"/>
        <v>2116.2852380952386</v>
      </c>
      <c r="Q48" s="17">
        <f t="shared" si="5"/>
        <v>25395.422857142861</v>
      </c>
      <c r="R48" s="17">
        <f t="shared" si="3"/>
        <v>0</v>
      </c>
      <c r="S48" s="17">
        <f t="shared" si="6"/>
        <v>222209.95</v>
      </c>
      <c r="T48" s="17">
        <f t="shared" si="7"/>
        <v>177767.96000000002</v>
      </c>
      <c r="U48" s="17">
        <f t="shared" si="8"/>
        <v>0</v>
      </c>
      <c r="V48" s="17"/>
      <c r="W48" s="17"/>
      <c r="X48" s="17"/>
    </row>
    <row r="49" spans="1:21">
      <c r="A49" s="17" t="s">
        <v>75</v>
      </c>
      <c r="B49" s="17" t="s">
        <v>111</v>
      </c>
      <c r="C49" s="17">
        <v>3626</v>
      </c>
      <c r="D49" s="17" t="s">
        <v>184</v>
      </c>
      <c r="E49" s="17"/>
      <c r="F49" s="17"/>
      <c r="G49" s="17">
        <v>2008</v>
      </c>
      <c r="H49" s="17">
        <v>12</v>
      </c>
      <c r="I49" s="8">
        <v>0.2</v>
      </c>
      <c r="J49" s="17" t="s">
        <v>78</v>
      </c>
      <c r="K49" s="17">
        <v>7</v>
      </c>
      <c r="L49" s="17">
        <f t="shared" si="0"/>
        <v>2015</v>
      </c>
      <c r="M49" s="17">
        <f t="shared" si="4"/>
        <v>2016</v>
      </c>
      <c r="N49" s="17">
        <v>100569.69</v>
      </c>
      <c r="O49" s="17">
        <f t="shared" si="1"/>
        <v>80455.752000000008</v>
      </c>
      <c r="P49" s="17">
        <f t="shared" si="2"/>
        <v>957.8065714285716</v>
      </c>
      <c r="Q49" s="17">
        <f t="shared" si="5"/>
        <v>11493.678857142859</v>
      </c>
      <c r="R49" s="17">
        <f t="shared" si="3"/>
        <v>0</v>
      </c>
      <c r="S49" s="17">
        <f t="shared" si="6"/>
        <v>100569.69</v>
      </c>
      <c r="T49" s="17">
        <f t="shared" si="7"/>
        <v>80455.752000000008</v>
      </c>
      <c r="U49" s="17">
        <f t="shared" si="8"/>
        <v>0</v>
      </c>
    </row>
    <row r="50" spans="1:21">
      <c r="A50" s="17"/>
      <c r="B50" s="17" t="s">
        <v>93</v>
      </c>
      <c r="C50" s="17">
        <v>9578</v>
      </c>
      <c r="D50" s="17" t="s">
        <v>94</v>
      </c>
      <c r="E50" s="17"/>
      <c r="F50" s="17"/>
      <c r="G50" s="17">
        <v>2009</v>
      </c>
      <c r="H50" s="17">
        <v>7</v>
      </c>
      <c r="I50" s="8">
        <v>0</v>
      </c>
      <c r="J50" s="17" t="s">
        <v>78</v>
      </c>
      <c r="K50" s="17">
        <v>3</v>
      </c>
      <c r="L50" s="17">
        <f t="shared" si="0"/>
        <v>2012</v>
      </c>
      <c r="M50" s="17">
        <f t="shared" si="4"/>
        <v>2012.5833333333333</v>
      </c>
      <c r="N50" s="17">
        <v>6184.03</v>
      </c>
      <c r="O50" s="17">
        <f t="shared" si="1"/>
        <v>6184.03</v>
      </c>
      <c r="P50" s="17">
        <f t="shared" si="2"/>
        <v>171.7786111111111</v>
      </c>
      <c r="Q50" s="17">
        <f t="shared" si="5"/>
        <v>2061.3433333333332</v>
      </c>
      <c r="R50" s="17">
        <f t="shared" si="3"/>
        <v>0</v>
      </c>
      <c r="S50" s="17">
        <f t="shared" si="6"/>
        <v>6184.03</v>
      </c>
      <c r="T50" s="17">
        <f t="shared" si="7"/>
        <v>6184.03</v>
      </c>
      <c r="U50" s="17">
        <f t="shared" si="8"/>
        <v>0</v>
      </c>
    </row>
    <row r="51" spans="1:21">
      <c r="A51" s="17" t="s">
        <v>75</v>
      </c>
      <c r="B51" s="17"/>
      <c r="C51" s="17"/>
      <c r="D51" s="17" t="s">
        <v>95</v>
      </c>
      <c r="E51" s="17" t="s">
        <v>96</v>
      </c>
      <c r="F51" s="17" t="s">
        <v>97</v>
      </c>
      <c r="G51" s="17">
        <v>2009</v>
      </c>
      <c r="H51" s="17">
        <v>7</v>
      </c>
      <c r="I51" s="8">
        <v>0</v>
      </c>
      <c r="J51" s="17" t="s">
        <v>78</v>
      </c>
      <c r="K51" s="17">
        <v>5</v>
      </c>
      <c r="L51" s="17">
        <f t="shared" si="0"/>
        <v>2014</v>
      </c>
      <c r="M51" s="17">
        <f t="shared" si="4"/>
        <v>2014.5833333333333</v>
      </c>
      <c r="N51" s="17">
        <f>(6722.48+38653.29+641.31+1194.22+14225.95)*38/61</f>
        <v>38272.385245901642</v>
      </c>
      <c r="O51" s="17">
        <f t="shared" si="1"/>
        <v>38272.385245901642</v>
      </c>
      <c r="P51" s="17">
        <f t="shared" si="2"/>
        <v>637.87308743169399</v>
      </c>
      <c r="Q51" s="17">
        <f t="shared" si="5"/>
        <v>7654.4770491803283</v>
      </c>
      <c r="R51" s="17">
        <f t="shared" si="3"/>
        <v>0</v>
      </c>
      <c r="S51" s="17">
        <f t="shared" si="6"/>
        <v>38272.385245901642</v>
      </c>
      <c r="T51" s="17">
        <f t="shared" si="7"/>
        <v>38272.385245901642</v>
      </c>
      <c r="U51" s="17">
        <f t="shared" si="8"/>
        <v>0</v>
      </c>
    </row>
    <row r="52" spans="1:21">
      <c r="A52" s="17"/>
      <c r="B52" s="17"/>
      <c r="C52" s="17"/>
      <c r="D52" s="17" t="s">
        <v>98</v>
      </c>
      <c r="E52" s="17" t="s">
        <v>99</v>
      </c>
      <c r="F52" s="17"/>
      <c r="G52" s="17">
        <v>2009</v>
      </c>
      <c r="H52" s="17">
        <v>7</v>
      </c>
      <c r="I52" s="8">
        <v>0</v>
      </c>
      <c r="J52" s="17" t="s">
        <v>78</v>
      </c>
      <c r="K52" s="17">
        <v>5</v>
      </c>
      <c r="L52" s="17">
        <f t="shared" si="0"/>
        <v>2014</v>
      </c>
      <c r="M52" s="17">
        <f t="shared" si="4"/>
        <v>2014.5833333333333</v>
      </c>
      <c r="N52" s="17">
        <f>(34912.65+1078.65+10913.06)*18/46</f>
        <v>18353.88</v>
      </c>
      <c r="O52" s="17">
        <f t="shared" si="1"/>
        <v>18353.88</v>
      </c>
      <c r="P52" s="17">
        <f t="shared" si="2"/>
        <v>305.89800000000002</v>
      </c>
      <c r="Q52" s="17">
        <f t="shared" si="5"/>
        <v>3670.7760000000003</v>
      </c>
      <c r="R52" s="17">
        <f t="shared" si="3"/>
        <v>0</v>
      </c>
      <c r="S52" s="17">
        <f t="shared" si="6"/>
        <v>18353.88</v>
      </c>
      <c r="T52" s="17">
        <f t="shared" si="7"/>
        <v>18353.88</v>
      </c>
      <c r="U52" s="17">
        <f t="shared" si="8"/>
        <v>0</v>
      </c>
    </row>
    <row r="53" spans="1:21">
      <c r="A53" s="17" t="s">
        <v>174</v>
      </c>
      <c r="B53" s="17" t="s">
        <v>378</v>
      </c>
      <c r="C53" s="17">
        <v>1023</v>
      </c>
      <c r="D53" s="17" t="s">
        <v>383</v>
      </c>
      <c r="E53" s="17">
        <v>73239</v>
      </c>
      <c r="F53" s="17" t="s">
        <v>384</v>
      </c>
      <c r="G53" s="17">
        <v>2010</v>
      </c>
      <c r="H53" s="17">
        <v>4</v>
      </c>
      <c r="I53" s="8">
        <v>0</v>
      </c>
      <c r="J53" s="17" t="s">
        <v>78</v>
      </c>
      <c r="K53" s="17">
        <v>3</v>
      </c>
      <c r="L53" s="17">
        <f t="shared" si="0"/>
        <v>2013</v>
      </c>
      <c r="M53" s="17">
        <f t="shared" si="4"/>
        <v>2013.3333333333333</v>
      </c>
      <c r="N53" s="17">
        <v>9991.58</v>
      </c>
      <c r="O53" s="17">
        <f t="shared" si="1"/>
        <v>9991.58</v>
      </c>
      <c r="P53" s="17">
        <f t="shared" si="2"/>
        <v>277.54388888888889</v>
      </c>
      <c r="Q53" s="17">
        <f t="shared" si="5"/>
        <v>3330.5266666666666</v>
      </c>
      <c r="R53" s="17">
        <f t="shared" si="3"/>
        <v>0</v>
      </c>
      <c r="S53" s="17">
        <f t="shared" si="6"/>
        <v>9991.58</v>
      </c>
      <c r="T53" s="17">
        <f t="shared" si="7"/>
        <v>9991.58</v>
      </c>
      <c r="U53" s="17">
        <f t="shared" si="8"/>
        <v>0</v>
      </c>
    </row>
    <row r="54" spans="1:21">
      <c r="A54" s="17"/>
      <c r="B54" s="17"/>
      <c r="C54" s="17"/>
      <c r="D54" s="17" t="s">
        <v>100</v>
      </c>
      <c r="E54" s="17">
        <v>75160</v>
      </c>
      <c r="F54" s="17" t="s">
        <v>97</v>
      </c>
      <c r="G54" s="17">
        <v>2010</v>
      </c>
      <c r="H54" s="17">
        <v>6</v>
      </c>
      <c r="I54" s="8">
        <v>0</v>
      </c>
      <c r="J54" s="17" t="s">
        <v>78</v>
      </c>
      <c r="K54" s="17">
        <v>5</v>
      </c>
      <c r="L54" s="17">
        <f t="shared" si="0"/>
        <v>2015</v>
      </c>
      <c r="M54" s="17">
        <f t="shared" si="4"/>
        <v>2015.5</v>
      </c>
      <c r="N54" s="17">
        <f>16772.32*38/61</f>
        <v>10448.330491803279</v>
      </c>
      <c r="O54" s="17">
        <f t="shared" si="1"/>
        <v>10448.330491803279</v>
      </c>
      <c r="P54" s="17">
        <f t="shared" si="2"/>
        <v>174.13884153005463</v>
      </c>
      <c r="Q54" s="17">
        <f t="shared" si="5"/>
        <v>2089.6660983606557</v>
      </c>
      <c r="R54" s="17">
        <f t="shared" si="3"/>
        <v>0</v>
      </c>
      <c r="S54" s="17">
        <f t="shared" si="6"/>
        <v>10448.330491803279</v>
      </c>
      <c r="T54" s="17">
        <f t="shared" si="7"/>
        <v>10448.330491803279</v>
      </c>
      <c r="U54" s="17">
        <f t="shared" si="8"/>
        <v>0</v>
      </c>
    </row>
    <row r="55" spans="1:21">
      <c r="A55" s="17" t="s">
        <v>75</v>
      </c>
      <c r="B55" s="17" t="s">
        <v>111</v>
      </c>
      <c r="C55" s="17">
        <v>3630</v>
      </c>
      <c r="D55" s="17" t="s">
        <v>186</v>
      </c>
      <c r="E55" s="17" t="s">
        <v>187</v>
      </c>
      <c r="F55" s="17"/>
      <c r="G55" s="17">
        <v>2010</v>
      </c>
      <c r="H55" s="17">
        <v>8</v>
      </c>
      <c r="I55" s="8">
        <v>0.2</v>
      </c>
      <c r="J55" s="17" t="s">
        <v>78</v>
      </c>
      <c r="K55" s="17">
        <v>7</v>
      </c>
      <c r="L55" s="17">
        <f t="shared" si="0"/>
        <v>2017</v>
      </c>
      <c r="M55" s="17">
        <f t="shared" si="4"/>
        <v>2017.6666666666667</v>
      </c>
      <c r="N55" s="17">
        <f>279344.97+463.13</f>
        <v>279808.09999999998</v>
      </c>
      <c r="O55" s="17">
        <f t="shared" si="1"/>
        <v>223846.47999999998</v>
      </c>
      <c r="P55" s="17">
        <f t="shared" si="2"/>
        <v>2664.8390476190475</v>
      </c>
      <c r="Q55" s="17">
        <f t="shared" si="5"/>
        <v>31978.068571428572</v>
      </c>
      <c r="R55" s="17">
        <f t="shared" si="3"/>
        <v>0</v>
      </c>
      <c r="S55" s="17">
        <f t="shared" si="6"/>
        <v>279808.09999999998</v>
      </c>
      <c r="T55" s="17">
        <f t="shared" si="7"/>
        <v>223846.47999999998</v>
      </c>
      <c r="U55" s="17">
        <f t="shared" si="8"/>
        <v>0</v>
      </c>
    </row>
    <row r="56" spans="1:21">
      <c r="A56" s="17" t="s">
        <v>75</v>
      </c>
      <c r="B56" s="17" t="s">
        <v>93</v>
      </c>
      <c r="C56" s="17">
        <v>9572</v>
      </c>
      <c r="D56" s="17" t="s">
        <v>321</v>
      </c>
      <c r="E56" s="17">
        <v>78951</v>
      </c>
      <c r="F56" s="17" t="s">
        <v>97</v>
      </c>
      <c r="G56" s="17">
        <v>2010</v>
      </c>
      <c r="H56" s="17">
        <v>12</v>
      </c>
      <c r="I56" s="8">
        <v>0.33</v>
      </c>
      <c r="J56" s="17" t="s">
        <v>78</v>
      </c>
      <c r="K56" s="17">
        <v>5</v>
      </c>
      <c r="L56" s="17">
        <f t="shared" si="0"/>
        <v>2015</v>
      </c>
      <c r="M56" s="17">
        <f t="shared" si="4"/>
        <v>2016</v>
      </c>
      <c r="N56" s="17">
        <v>15751.58</v>
      </c>
      <c r="O56" s="17">
        <f t="shared" si="1"/>
        <v>10553.5586</v>
      </c>
      <c r="P56" s="17">
        <f t="shared" si="2"/>
        <v>175.89264333333335</v>
      </c>
      <c r="Q56" s="17">
        <f t="shared" si="5"/>
        <v>2110.7117200000002</v>
      </c>
      <c r="R56" s="17">
        <f t="shared" si="3"/>
        <v>0</v>
      </c>
      <c r="S56" s="17">
        <f t="shared" si="6"/>
        <v>15751.58</v>
      </c>
      <c r="T56" s="17">
        <f t="shared" si="7"/>
        <v>10553.5586</v>
      </c>
      <c r="U56" s="17">
        <f t="shared" si="8"/>
        <v>0</v>
      </c>
    </row>
    <row r="57" spans="1:21">
      <c r="A57" s="17"/>
      <c r="B57" s="17" t="s">
        <v>76</v>
      </c>
      <c r="C57" s="17">
        <v>1027</v>
      </c>
      <c r="D57" s="17" t="s">
        <v>376</v>
      </c>
      <c r="E57" s="17">
        <v>94208</v>
      </c>
      <c r="F57" s="17"/>
      <c r="G57" s="17">
        <v>2011</v>
      </c>
      <c r="H57" s="17">
        <v>6</v>
      </c>
      <c r="I57" s="8">
        <v>0</v>
      </c>
      <c r="J57" s="17" t="s">
        <v>78</v>
      </c>
      <c r="K57" s="17">
        <v>3</v>
      </c>
      <c r="L57" s="17">
        <f t="shared" si="0"/>
        <v>2014</v>
      </c>
      <c r="M57" s="17">
        <f t="shared" si="4"/>
        <v>2014.5</v>
      </c>
      <c r="N57" s="17">
        <v>7121.09</v>
      </c>
      <c r="O57" s="17">
        <f t="shared" si="1"/>
        <v>7121.09</v>
      </c>
      <c r="P57" s="17">
        <f t="shared" si="2"/>
        <v>197.80805555555557</v>
      </c>
      <c r="Q57" s="17">
        <f t="shared" si="5"/>
        <v>2373.6966666666667</v>
      </c>
      <c r="R57" s="17">
        <f t="shared" si="3"/>
        <v>0</v>
      </c>
      <c r="S57" s="17">
        <f t="shared" si="6"/>
        <v>7121.09</v>
      </c>
      <c r="T57" s="17">
        <f t="shared" si="7"/>
        <v>7121.09</v>
      </c>
      <c r="U57" s="17">
        <f t="shared" si="8"/>
        <v>0</v>
      </c>
    </row>
    <row r="58" spans="1:21">
      <c r="A58" s="17" t="s">
        <v>75</v>
      </c>
      <c r="B58" s="17" t="s">
        <v>111</v>
      </c>
      <c r="C58" s="17">
        <v>3631</v>
      </c>
      <c r="D58" s="17" t="s">
        <v>189</v>
      </c>
      <c r="E58" s="17" t="s">
        <v>190</v>
      </c>
      <c r="F58" s="17"/>
      <c r="G58" s="17">
        <v>2011</v>
      </c>
      <c r="H58" s="17">
        <v>8</v>
      </c>
      <c r="I58" s="8">
        <v>0.2</v>
      </c>
      <c r="J58" s="17" t="s">
        <v>78</v>
      </c>
      <c r="K58" s="17">
        <v>7</v>
      </c>
      <c r="L58" s="17">
        <f t="shared" si="0"/>
        <v>2018</v>
      </c>
      <c r="M58" s="17">
        <f t="shared" si="4"/>
        <v>2018.6666666666667</v>
      </c>
      <c r="N58" s="17">
        <f>137814.17+156624.2+2451.19</f>
        <v>296889.56</v>
      </c>
      <c r="O58" s="17">
        <f t="shared" si="1"/>
        <v>237511.64799999999</v>
      </c>
      <c r="P58" s="17">
        <f t="shared" si="2"/>
        <v>2827.5196190476186</v>
      </c>
      <c r="Q58" s="17">
        <f t="shared" si="5"/>
        <v>33930.235428571425</v>
      </c>
      <c r="R58" s="17">
        <f t="shared" si="3"/>
        <v>33930.235428571425</v>
      </c>
      <c r="S58" s="17">
        <f t="shared" si="6"/>
        <v>203581.41257142855</v>
      </c>
      <c r="T58" s="17">
        <f t="shared" si="7"/>
        <v>178133.73599999998</v>
      </c>
      <c r="U58" s="17">
        <f t="shared" si="8"/>
        <v>106031.98571428574</v>
      </c>
    </row>
    <row r="59" spans="1:21">
      <c r="A59" s="17" t="s">
        <v>75</v>
      </c>
      <c r="B59" s="17"/>
      <c r="C59" s="17">
        <v>3631</v>
      </c>
      <c r="D59" s="17" t="s">
        <v>192</v>
      </c>
      <c r="E59" s="17">
        <v>85654</v>
      </c>
      <c r="F59" s="17"/>
      <c r="G59" s="17">
        <v>2011</v>
      </c>
      <c r="H59" s="17">
        <v>8</v>
      </c>
      <c r="I59" s="8">
        <v>0</v>
      </c>
      <c r="J59" s="17" t="s">
        <v>78</v>
      </c>
      <c r="K59" s="17">
        <v>5</v>
      </c>
      <c r="L59" s="17">
        <f t="shared" si="0"/>
        <v>2016</v>
      </c>
      <c r="M59" s="17">
        <f t="shared" si="4"/>
        <v>2016.6666666666667</v>
      </c>
      <c r="N59" s="17">
        <v>7261.89</v>
      </c>
      <c r="O59" s="17">
        <f t="shared" si="1"/>
        <v>7261.89</v>
      </c>
      <c r="P59" s="17">
        <f t="shared" si="2"/>
        <v>121.03150000000001</v>
      </c>
      <c r="Q59" s="17">
        <f t="shared" si="5"/>
        <v>1452.3780000000002</v>
      </c>
      <c r="R59" s="17">
        <f t="shared" si="3"/>
        <v>0</v>
      </c>
      <c r="S59" s="17">
        <f t="shared" si="6"/>
        <v>7261.89</v>
      </c>
      <c r="T59" s="17">
        <f t="shared" si="7"/>
        <v>7261.89</v>
      </c>
      <c r="U59" s="17">
        <f t="shared" si="8"/>
        <v>0</v>
      </c>
    </row>
    <row r="60" spans="1:21">
      <c r="A60" s="17"/>
      <c r="B60" s="17" t="s">
        <v>193</v>
      </c>
      <c r="C60" s="17">
        <v>3305</v>
      </c>
      <c r="D60" s="17" t="s">
        <v>194</v>
      </c>
      <c r="E60" s="17" t="s">
        <v>195</v>
      </c>
      <c r="F60" s="17"/>
      <c r="G60" s="17">
        <v>2011</v>
      </c>
      <c r="H60" s="17">
        <v>11</v>
      </c>
      <c r="I60" s="8">
        <v>0.2</v>
      </c>
      <c r="J60" s="17" t="s">
        <v>78</v>
      </c>
      <c r="K60" s="17">
        <v>7</v>
      </c>
      <c r="L60" s="17">
        <f t="shared" si="0"/>
        <v>2018</v>
      </c>
      <c r="M60" s="17">
        <f t="shared" si="4"/>
        <v>2018.9166666666667</v>
      </c>
      <c r="N60" s="17">
        <f>117533.59+6989.73</f>
        <v>124523.31999999999</v>
      </c>
      <c r="O60" s="17">
        <f t="shared" si="1"/>
        <v>99618.655999999988</v>
      </c>
      <c r="P60" s="17">
        <f t="shared" si="2"/>
        <v>1185.9363809523809</v>
      </c>
      <c r="Q60" s="17">
        <f t="shared" si="5"/>
        <v>14231.23657142857</v>
      </c>
      <c r="R60" s="17">
        <f t="shared" si="3"/>
        <v>14231.23657142857</v>
      </c>
      <c r="S60" s="17">
        <f t="shared" si="6"/>
        <v>85387.419428571418</v>
      </c>
      <c r="T60" s="17">
        <f t="shared" si="7"/>
        <v>74713.991999999984</v>
      </c>
      <c r="U60" s="17">
        <f t="shared" si="8"/>
        <v>44472.614285714291</v>
      </c>
    </row>
    <row r="61" spans="1:21">
      <c r="A61" s="17"/>
      <c r="B61" s="17"/>
      <c r="C61" s="17">
        <v>1027</v>
      </c>
      <c r="D61" s="17" t="s">
        <v>377</v>
      </c>
      <c r="E61" s="17">
        <v>94207</v>
      </c>
      <c r="F61" s="17"/>
      <c r="G61" s="17">
        <v>2012</v>
      </c>
      <c r="H61" s="17">
        <v>1</v>
      </c>
      <c r="I61" s="8">
        <v>0</v>
      </c>
      <c r="J61" s="17" t="s">
        <v>78</v>
      </c>
      <c r="K61" s="17">
        <v>3</v>
      </c>
      <c r="L61" s="17">
        <f t="shared" si="0"/>
        <v>2015</v>
      </c>
      <c r="M61" s="17">
        <f t="shared" si="4"/>
        <v>2015.0833333333333</v>
      </c>
      <c r="N61" s="17">
        <v>9199.7800000000007</v>
      </c>
      <c r="O61" s="17">
        <f t="shared" si="1"/>
        <v>9199.7800000000007</v>
      </c>
      <c r="P61" s="17">
        <f t="shared" si="2"/>
        <v>255.54944444444448</v>
      </c>
      <c r="Q61" s="17">
        <f t="shared" si="5"/>
        <v>3066.5933333333337</v>
      </c>
      <c r="R61" s="17">
        <f t="shared" si="3"/>
        <v>0</v>
      </c>
      <c r="S61" s="17">
        <f t="shared" si="6"/>
        <v>9199.7800000000007</v>
      </c>
      <c r="T61" s="17">
        <f t="shared" si="7"/>
        <v>9199.7800000000007</v>
      </c>
      <c r="U61" s="17">
        <f t="shared" si="8"/>
        <v>0</v>
      </c>
    </row>
    <row r="62" spans="1:21">
      <c r="A62" s="17" t="s">
        <v>75</v>
      </c>
      <c r="B62" s="17" t="s">
        <v>101</v>
      </c>
      <c r="C62" s="17">
        <v>626</v>
      </c>
      <c r="D62" s="17" t="s">
        <v>102</v>
      </c>
      <c r="E62" s="17">
        <v>187421</v>
      </c>
      <c r="F62" s="17"/>
      <c r="G62" s="17">
        <v>2012</v>
      </c>
      <c r="H62" s="17">
        <v>2</v>
      </c>
      <c r="I62" s="8">
        <v>0</v>
      </c>
      <c r="J62" s="17" t="s">
        <v>78</v>
      </c>
      <c r="K62" s="17">
        <v>10</v>
      </c>
      <c r="L62" s="17">
        <f t="shared" si="0"/>
        <v>2022</v>
      </c>
      <c r="M62" s="17">
        <f t="shared" si="4"/>
        <v>2022.1666666666667</v>
      </c>
      <c r="N62" s="17">
        <v>247726.06</v>
      </c>
      <c r="O62" s="17">
        <f t="shared" si="1"/>
        <v>247726.06</v>
      </c>
      <c r="P62" s="17">
        <f t="shared" si="2"/>
        <v>2064.3838333333333</v>
      </c>
      <c r="Q62" s="17">
        <f t="shared" si="5"/>
        <v>24772.606</v>
      </c>
      <c r="R62" s="17">
        <f t="shared" si="3"/>
        <v>24772.606</v>
      </c>
      <c r="S62" s="17">
        <f t="shared" si="6"/>
        <v>123863.03</v>
      </c>
      <c r="T62" s="17">
        <f t="shared" si="7"/>
        <v>148635.636</v>
      </c>
      <c r="U62" s="17">
        <f t="shared" si="8"/>
        <v>111476.727</v>
      </c>
    </row>
    <row r="63" spans="1:21">
      <c r="A63" s="17" t="s">
        <v>75</v>
      </c>
      <c r="B63" s="17" t="s">
        <v>101</v>
      </c>
      <c r="C63" s="17">
        <v>627</v>
      </c>
      <c r="D63" s="17" t="s">
        <v>336</v>
      </c>
      <c r="E63" s="17">
        <v>187420</v>
      </c>
      <c r="F63" s="17"/>
      <c r="G63" s="17">
        <v>2012</v>
      </c>
      <c r="H63" s="17">
        <v>1</v>
      </c>
      <c r="I63" s="8">
        <v>0</v>
      </c>
      <c r="J63" s="17" t="s">
        <v>78</v>
      </c>
      <c r="K63" s="17">
        <v>10</v>
      </c>
      <c r="L63" s="17">
        <f t="shared" si="0"/>
        <v>2022</v>
      </c>
      <c r="M63" s="17">
        <f t="shared" si="4"/>
        <v>2022.0833333333333</v>
      </c>
      <c r="N63" s="17">
        <v>247726.06</v>
      </c>
      <c r="O63" s="17">
        <f t="shared" si="1"/>
        <v>247726.06</v>
      </c>
      <c r="P63" s="17">
        <f t="shared" si="2"/>
        <v>2064.3838333333333</v>
      </c>
      <c r="Q63" s="17">
        <f t="shared" si="5"/>
        <v>24772.606</v>
      </c>
      <c r="R63" s="17">
        <f t="shared" si="3"/>
        <v>24772.606</v>
      </c>
      <c r="S63" s="17">
        <f t="shared" si="6"/>
        <v>123863.03</v>
      </c>
      <c r="T63" s="17">
        <f t="shared" si="7"/>
        <v>148635.636</v>
      </c>
      <c r="U63" s="17">
        <f t="shared" si="8"/>
        <v>111476.727</v>
      </c>
    </row>
    <row r="64" spans="1:21">
      <c r="A64" s="17"/>
      <c r="B64" s="17" t="s">
        <v>111</v>
      </c>
      <c r="C64" s="17">
        <v>3634</v>
      </c>
      <c r="D64" s="17" t="s">
        <v>196</v>
      </c>
      <c r="E64" s="17" t="s">
        <v>197</v>
      </c>
      <c r="F64" s="17"/>
      <c r="G64" s="17">
        <v>2012</v>
      </c>
      <c r="H64" s="17">
        <v>9</v>
      </c>
      <c r="I64" s="8">
        <v>0.2</v>
      </c>
      <c r="J64" s="17" t="s">
        <v>78</v>
      </c>
      <c r="K64" s="17">
        <v>7</v>
      </c>
      <c r="L64" s="17">
        <f t="shared" si="0"/>
        <v>2019</v>
      </c>
      <c r="M64" s="17">
        <f t="shared" si="4"/>
        <v>2019.75</v>
      </c>
      <c r="N64" s="17">
        <f>314012-63</f>
        <v>313949</v>
      </c>
      <c r="O64" s="17">
        <f t="shared" si="1"/>
        <v>251159.2</v>
      </c>
      <c r="P64" s="17">
        <f t="shared" si="2"/>
        <v>2989.9904761904763</v>
      </c>
      <c r="Q64" s="17">
        <f t="shared" si="5"/>
        <v>35879.885714285716</v>
      </c>
      <c r="R64" s="17">
        <f t="shared" si="3"/>
        <v>35879.885714285716</v>
      </c>
      <c r="S64" s="17">
        <f t="shared" si="6"/>
        <v>179399.42857142858</v>
      </c>
      <c r="T64" s="17">
        <f t="shared" si="7"/>
        <v>152489.51428571431</v>
      </c>
      <c r="U64" s="17">
        <f t="shared" si="8"/>
        <v>148004.52857142856</v>
      </c>
    </row>
    <row r="65" spans="1:21">
      <c r="A65" s="17"/>
      <c r="B65" s="17"/>
      <c r="C65" s="17">
        <v>3634</v>
      </c>
      <c r="D65" s="17" t="s">
        <v>198</v>
      </c>
      <c r="E65" s="17">
        <v>98468</v>
      </c>
      <c r="F65" s="17"/>
      <c r="G65" s="17">
        <v>2012</v>
      </c>
      <c r="H65" s="17">
        <v>9</v>
      </c>
      <c r="I65" s="8">
        <v>0</v>
      </c>
      <c r="J65" s="17" t="s">
        <v>78</v>
      </c>
      <c r="K65" s="17">
        <v>5</v>
      </c>
      <c r="L65" s="17">
        <f t="shared" si="0"/>
        <v>2017</v>
      </c>
      <c r="M65" s="17">
        <f t="shared" si="4"/>
        <v>2017.75</v>
      </c>
      <c r="N65" s="17">
        <v>593</v>
      </c>
      <c r="O65" s="17">
        <f t="shared" si="1"/>
        <v>593</v>
      </c>
      <c r="P65" s="17">
        <f t="shared" si="2"/>
        <v>9.8833333333333329</v>
      </c>
      <c r="Q65" s="17">
        <f t="shared" si="5"/>
        <v>118.6</v>
      </c>
      <c r="R65" s="17">
        <f t="shared" si="3"/>
        <v>0</v>
      </c>
      <c r="S65" s="17">
        <f t="shared" si="6"/>
        <v>593</v>
      </c>
      <c r="T65" s="17">
        <f t="shared" si="7"/>
        <v>593</v>
      </c>
      <c r="U65" s="17">
        <f t="shared" si="8"/>
        <v>0</v>
      </c>
    </row>
    <row r="66" spans="1:21">
      <c r="A66" s="17"/>
      <c r="B66" s="17" t="s">
        <v>111</v>
      </c>
      <c r="C66" s="17">
        <v>3610</v>
      </c>
      <c r="D66" s="17" t="s">
        <v>200</v>
      </c>
      <c r="E66" s="17">
        <v>105110</v>
      </c>
      <c r="F66" s="17">
        <v>60784</v>
      </c>
      <c r="G66" s="17">
        <v>2013</v>
      </c>
      <c r="H66" s="17">
        <v>6</v>
      </c>
      <c r="I66" s="8">
        <v>0</v>
      </c>
      <c r="J66" s="17" t="s">
        <v>78</v>
      </c>
      <c r="K66" s="17">
        <v>3</v>
      </c>
      <c r="L66" s="17">
        <f t="shared" si="0"/>
        <v>2016</v>
      </c>
      <c r="M66" s="17">
        <f t="shared" si="4"/>
        <v>2016.5</v>
      </c>
      <c r="N66" s="17">
        <v>19105.150000000001</v>
      </c>
      <c r="O66" s="17">
        <f t="shared" si="1"/>
        <v>19105.150000000001</v>
      </c>
      <c r="P66" s="17">
        <f t="shared" si="2"/>
        <v>530.69861111111118</v>
      </c>
      <c r="Q66" s="17">
        <f t="shared" si="5"/>
        <v>6368.3833333333341</v>
      </c>
      <c r="R66" s="17">
        <f t="shared" si="3"/>
        <v>0</v>
      </c>
      <c r="S66" s="17">
        <f t="shared" si="6"/>
        <v>19105.150000000001</v>
      </c>
      <c r="T66" s="17">
        <f t="shared" si="7"/>
        <v>19105.150000000001</v>
      </c>
      <c r="U66" s="17">
        <f t="shared" si="8"/>
        <v>0</v>
      </c>
    </row>
    <row r="67" spans="1:21">
      <c r="A67" s="17"/>
      <c r="B67" s="17" t="s">
        <v>93</v>
      </c>
      <c r="C67" s="17">
        <v>9570</v>
      </c>
      <c r="D67" s="17" t="s">
        <v>323</v>
      </c>
      <c r="E67" s="17">
        <v>105945</v>
      </c>
      <c r="F67" s="17"/>
      <c r="G67" s="17">
        <v>2013</v>
      </c>
      <c r="H67" s="17">
        <v>7</v>
      </c>
      <c r="I67" s="8">
        <v>0.2</v>
      </c>
      <c r="J67" s="17" t="s">
        <v>78</v>
      </c>
      <c r="K67" s="17">
        <v>7</v>
      </c>
      <c r="L67" s="17">
        <f t="shared" si="0"/>
        <v>2020</v>
      </c>
      <c r="M67" s="17">
        <f t="shared" si="4"/>
        <v>2020.5833333333333</v>
      </c>
      <c r="N67" s="17">
        <v>53720.41</v>
      </c>
      <c r="O67" s="17">
        <f t="shared" si="1"/>
        <v>42976.328000000001</v>
      </c>
      <c r="P67" s="17">
        <f t="shared" si="2"/>
        <v>511.62295238095243</v>
      </c>
      <c r="Q67" s="17">
        <f t="shared" si="5"/>
        <v>6139.4754285714289</v>
      </c>
      <c r="R67" s="17">
        <f t="shared" si="3"/>
        <v>6139.4754285714289</v>
      </c>
      <c r="S67" s="17">
        <f t="shared" si="6"/>
        <v>24557.901714285716</v>
      </c>
      <c r="T67" s="17">
        <f t="shared" si="7"/>
        <v>19953.295142857143</v>
      </c>
      <c r="U67" s="17">
        <f t="shared" si="8"/>
        <v>31464.811571428574</v>
      </c>
    </row>
    <row r="68" spans="1:21">
      <c r="A68" s="17"/>
      <c r="B68" s="17" t="s">
        <v>93</v>
      </c>
      <c r="C68" s="17">
        <v>3308</v>
      </c>
      <c r="D68" s="17" t="s">
        <v>324</v>
      </c>
      <c r="E68" s="17">
        <v>107324</v>
      </c>
      <c r="F68" s="17"/>
      <c r="G68" s="17">
        <v>2013</v>
      </c>
      <c r="H68" s="17">
        <v>9</v>
      </c>
      <c r="I68" s="8">
        <v>0.2</v>
      </c>
      <c r="J68" s="17" t="s">
        <v>78</v>
      </c>
      <c r="K68" s="17">
        <v>7</v>
      </c>
      <c r="L68" s="17">
        <f t="shared" si="0"/>
        <v>2020</v>
      </c>
      <c r="M68" s="17">
        <f t="shared" si="4"/>
        <v>2020.75</v>
      </c>
      <c r="N68" s="17">
        <v>125924.63</v>
      </c>
      <c r="O68" s="17">
        <f t="shared" si="1"/>
        <v>100739.704</v>
      </c>
      <c r="P68" s="17">
        <f t="shared" si="2"/>
        <v>1199.2821904761904</v>
      </c>
      <c r="Q68" s="17">
        <f t="shared" si="5"/>
        <v>14391.386285714285</v>
      </c>
      <c r="R68" s="17">
        <f t="shared" si="3"/>
        <v>14391.386285714285</v>
      </c>
      <c r="S68" s="17">
        <f t="shared" si="6"/>
        <v>57565.54514285714</v>
      </c>
      <c r="T68" s="17">
        <f t="shared" si="7"/>
        <v>46772.005428571414</v>
      </c>
      <c r="U68" s="17">
        <f t="shared" si="8"/>
        <v>73755.854714285728</v>
      </c>
    </row>
    <row r="69" spans="1:21">
      <c r="A69" s="17"/>
      <c r="B69" s="17" t="s">
        <v>93</v>
      </c>
      <c r="C69" s="17">
        <v>3308</v>
      </c>
      <c r="D69" s="17" t="s">
        <v>325</v>
      </c>
      <c r="E69" s="17">
        <v>107573</v>
      </c>
      <c r="F69" s="17"/>
      <c r="G69" s="17">
        <v>2013</v>
      </c>
      <c r="H69" s="17">
        <v>9</v>
      </c>
      <c r="I69" s="8">
        <v>0.2</v>
      </c>
      <c r="J69" s="17" t="s">
        <v>78</v>
      </c>
      <c r="K69" s="17">
        <v>7</v>
      </c>
      <c r="L69" s="17">
        <f t="shared" si="0"/>
        <v>2020</v>
      </c>
      <c r="M69" s="17">
        <f t="shared" si="4"/>
        <v>2020.75</v>
      </c>
      <c r="N69" s="17">
        <v>602.30999999999995</v>
      </c>
      <c r="O69" s="17">
        <f t="shared" si="1"/>
        <v>481.84799999999996</v>
      </c>
      <c r="P69" s="17">
        <f t="shared" si="2"/>
        <v>5.7362857142857138</v>
      </c>
      <c r="Q69" s="17">
        <f t="shared" si="5"/>
        <v>68.835428571428565</v>
      </c>
      <c r="R69" s="17">
        <f t="shared" si="3"/>
        <v>68.835428571428565</v>
      </c>
      <c r="S69" s="17">
        <f t="shared" si="6"/>
        <v>275.34171428571426</v>
      </c>
      <c r="T69" s="17">
        <f t="shared" si="7"/>
        <v>223.71514285714284</v>
      </c>
      <c r="U69" s="17">
        <f t="shared" si="8"/>
        <v>352.7815714285714</v>
      </c>
    </row>
    <row r="70" spans="1:21">
      <c r="A70" s="17"/>
      <c r="B70" s="17" t="s">
        <v>111</v>
      </c>
      <c r="C70" s="17">
        <v>3635</v>
      </c>
      <c r="D70" s="17" t="s">
        <v>201</v>
      </c>
      <c r="E70" s="17" t="s">
        <v>202</v>
      </c>
      <c r="F70" s="17"/>
      <c r="G70" s="17">
        <v>2013</v>
      </c>
      <c r="H70" s="17">
        <v>10</v>
      </c>
      <c r="I70" s="8">
        <v>0.2</v>
      </c>
      <c r="J70" s="17" t="s">
        <v>78</v>
      </c>
      <c r="K70" s="17">
        <v>7</v>
      </c>
      <c r="L70" s="17">
        <f t="shared" si="0"/>
        <v>2020</v>
      </c>
      <c r="M70" s="17">
        <f t="shared" si="4"/>
        <v>2020.8333333333333</v>
      </c>
      <c r="N70" s="17">
        <f>319248.73+902.53</f>
        <v>320151.26</v>
      </c>
      <c r="O70" s="17">
        <f t="shared" si="1"/>
        <v>256121.008</v>
      </c>
      <c r="P70" s="17">
        <f t="shared" si="2"/>
        <v>3049.059619047619</v>
      </c>
      <c r="Q70" s="17">
        <f t="shared" si="5"/>
        <v>36588.715428571428</v>
      </c>
      <c r="R70" s="17">
        <f t="shared" si="3"/>
        <v>36588.715428571428</v>
      </c>
      <c r="S70" s="17">
        <f t="shared" si="6"/>
        <v>146354.86171428571</v>
      </c>
      <c r="T70" s="17">
        <f t="shared" si="7"/>
        <v>118913.32514285712</v>
      </c>
      <c r="U70" s="17">
        <f t="shared" si="8"/>
        <v>187517.16657142859</v>
      </c>
    </row>
    <row r="71" spans="1:21">
      <c r="A71" s="17"/>
      <c r="B71" s="17" t="s">
        <v>117</v>
      </c>
      <c r="C71" s="17">
        <v>2041</v>
      </c>
      <c r="D71" s="17" t="s">
        <v>218</v>
      </c>
      <c r="E71" s="17" t="s">
        <v>219</v>
      </c>
      <c r="F71" s="17"/>
      <c r="G71" s="17">
        <v>2013</v>
      </c>
      <c r="H71" s="17">
        <v>12</v>
      </c>
      <c r="I71" s="8">
        <v>0.2</v>
      </c>
      <c r="J71" s="17" t="s">
        <v>78</v>
      </c>
      <c r="K71" s="17">
        <v>7</v>
      </c>
      <c r="L71" s="17">
        <f t="shared" si="0"/>
        <v>2020</v>
      </c>
      <c r="M71" s="17">
        <f t="shared" si="4"/>
        <v>2021</v>
      </c>
      <c r="N71" s="17">
        <f>295986.36+629.19+798</f>
        <v>297413.55</v>
      </c>
      <c r="O71" s="17">
        <f t="shared" si="1"/>
        <v>237930.84</v>
      </c>
      <c r="P71" s="17">
        <f t="shared" si="2"/>
        <v>2832.51</v>
      </c>
      <c r="Q71" s="17">
        <f t="shared" si="5"/>
        <v>33990.120000000003</v>
      </c>
      <c r="R71" s="17">
        <f t="shared" si="3"/>
        <v>33990.120000000003</v>
      </c>
      <c r="S71" s="17">
        <f t="shared" si="6"/>
        <v>135960.48000000001</v>
      </c>
      <c r="T71" s="17">
        <f t="shared" si="7"/>
        <v>110467.89000000001</v>
      </c>
      <c r="U71" s="17">
        <f t="shared" si="8"/>
        <v>174199.36499999999</v>
      </c>
    </row>
    <row r="72" spans="1:21">
      <c r="A72" s="17"/>
      <c r="B72" s="17" t="s">
        <v>93</v>
      </c>
      <c r="C72" s="17">
        <v>9560</v>
      </c>
      <c r="D72" s="17" t="s">
        <v>326</v>
      </c>
      <c r="E72" s="17">
        <v>114984</v>
      </c>
      <c r="F72" s="17"/>
      <c r="G72" s="17">
        <v>2014</v>
      </c>
      <c r="H72" s="17">
        <v>8</v>
      </c>
      <c r="I72" s="8">
        <v>0.2</v>
      </c>
      <c r="J72" s="17" t="s">
        <v>78</v>
      </c>
      <c r="K72" s="17">
        <v>7</v>
      </c>
      <c r="L72" s="17">
        <f t="shared" si="0"/>
        <v>2021</v>
      </c>
      <c r="M72" s="17">
        <f t="shared" si="4"/>
        <v>2021.6666666666667</v>
      </c>
      <c r="N72" s="17">
        <v>59098.89</v>
      </c>
      <c r="O72" s="17">
        <f t="shared" si="1"/>
        <v>47279.112000000001</v>
      </c>
      <c r="P72" s="17">
        <f t="shared" si="2"/>
        <v>562.84657142857145</v>
      </c>
      <c r="Q72" s="17">
        <f t="shared" si="5"/>
        <v>6754.1588571428574</v>
      </c>
      <c r="R72" s="17">
        <f t="shared" si="3"/>
        <v>6754.1588571428574</v>
      </c>
      <c r="S72" s="17">
        <f t="shared" si="6"/>
        <v>20262.476571428571</v>
      </c>
      <c r="T72" s="17">
        <f t="shared" si="7"/>
        <v>15196.857428571431</v>
      </c>
      <c r="U72" s="17">
        <f t="shared" si="8"/>
        <v>41369.222999999998</v>
      </c>
    </row>
    <row r="73" spans="1:21">
      <c r="A73" s="17" t="s">
        <v>75</v>
      </c>
      <c r="B73" s="17" t="s">
        <v>111</v>
      </c>
      <c r="C73" s="17">
        <v>3638</v>
      </c>
      <c r="D73" s="17" t="s">
        <v>199</v>
      </c>
      <c r="E73" s="17">
        <v>115278</v>
      </c>
      <c r="F73" s="17"/>
      <c r="G73" s="17">
        <v>2014</v>
      </c>
      <c r="H73" s="17">
        <v>8</v>
      </c>
      <c r="I73" s="8">
        <v>0.2</v>
      </c>
      <c r="J73" s="17" t="s">
        <v>78</v>
      </c>
      <c r="K73" s="17">
        <v>7</v>
      </c>
      <c r="L73" s="17">
        <f t="shared" si="0"/>
        <v>2021</v>
      </c>
      <c r="M73" s="17">
        <f t="shared" si="4"/>
        <v>2021.6666666666667</v>
      </c>
      <c r="N73" s="17">
        <f>317973.28+913.92</f>
        <v>318887.2</v>
      </c>
      <c r="O73" s="17">
        <f t="shared" si="1"/>
        <v>255109.76000000001</v>
      </c>
      <c r="P73" s="17">
        <f t="shared" si="2"/>
        <v>3037.0209523809522</v>
      </c>
      <c r="Q73" s="17">
        <f t="shared" si="5"/>
        <v>36444.251428571428</v>
      </c>
      <c r="R73" s="17">
        <f t="shared" si="3"/>
        <v>36444.251428571428</v>
      </c>
      <c r="S73" s="17">
        <f t="shared" si="6"/>
        <v>109332.75428571428</v>
      </c>
      <c r="T73" s="17">
        <f t="shared" si="7"/>
        <v>81999.565714285709</v>
      </c>
      <c r="U73" s="17">
        <f t="shared" si="8"/>
        <v>223221.04</v>
      </c>
    </row>
    <row r="74" spans="1:21">
      <c r="A74" s="17"/>
      <c r="B74" s="17"/>
      <c r="C74" s="17" t="s">
        <v>103</v>
      </c>
      <c r="D74" s="17" t="s">
        <v>104</v>
      </c>
      <c r="E74" s="17">
        <v>111005</v>
      </c>
      <c r="F74" s="17"/>
      <c r="G74" s="17">
        <v>2014</v>
      </c>
      <c r="H74" s="17">
        <v>1</v>
      </c>
      <c r="I74" s="8">
        <v>0</v>
      </c>
      <c r="J74" s="17" t="s">
        <v>78</v>
      </c>
      <c r="K74" s="17">
        <v>5</v>
      </c>
      <c r="L74" s="17">
        <f t="shared" si="0"/>
        <v>2019</v>
      </c>
      <c r="M74" s="17">
        <f t="shared" si="4"/>
        <v>2019.0833333333333</v>
      </c>
      <c r="N74" s="17">
        <v>1223.43</v>
      </c>
      <c r="O74" s="17">
        <f t="shared" si="1"/>
        <v>1223.43</v>
      </c>
      <c r="P74" s="17">
        <f t="shared" si="2"/>
        <v>20.390499999999999</v>
      </c>
      <c r="Q74" s="17">
        <f t="shared" si="5"/>
        <v>244.68599999999998</v>
      </c>
      <c r="R74" s="17">
        <f t="shared" si="3"/>
        <v>244.68599999999998</v>
      </c>
      <c r="S74" s="17">
        <f t="shared" si="6"/>
        <v>734.05799999999999</v>
      </c>
      <c r="T74" s="17">
        <f t="shared" si="7"/>
        <v>978.74399999999991</v>
      </c>
      <c r="U74" s="17">
        <f t="shared" si="8"/>
        <v>367.02900000000011</v>
      </c>
    </row>
    <row r="75" spans="1:21">
      <c r="A75" s="17" t="s">
        <v>75</v>
      </c>
      <c r="B75" s="17" t="s">
        <v>111</v>
      </c>
      <c r="C75" s="17">
        <v>3641</v>
      </c>
      <c r="D75" s="17" t="s">
        <v>199</v>
      </c>
      <c r="E75" s="17">
        <v>117319</v>
      </c>
      <c r="F75" s="17"/>
      <c r="G75" s="17">
        <v>2014</v>
      </c>
      <c r="H75" s="17">
        <v>11</v>
      </c>
      <c r="I75" s="8">
        <v>0.2</v>
      </c>
      <c r="J75" s="17" t="s">
        <v>78</v>
      </c>
      <c r="K75" s="17">
        <v>7</v>
      </c>
      <c r="L75" s="17">
        <f t="shared" si="0"/>
        <v>2021</v>
      </c>
      <c r="M75" s="17">
        <f t="shared" si="4"/>
        <v>2021.9166666666667</v>
      </c>
      <c r="N75" s="17">
        <v>318890.2</v>
      </c>
      <c r="O75" s="17">
        <f t="shared" si="1"/>
        <v>255112.16</v>
      </c>
      <c r="P75" s="17">
        <f t="shared" si="2"/>
        <v>3037.0495238095241</v>
      </c>
      <c r="Q75" s="17">
        <f t="shared" si="5"/>
        <v>36444.594285714287</v>
      </c>
      <c r="R75" s="17">
        <f t="shared" si="3"/>
        <v>36444.594285714287</v>
      </c>
      <c r="S75" s="17">
        <f t="shared" si="6"/>
        <v>109333.78285714285</v>
      </c>
      <c r="T75" s="17">
        <f t="shared" si="7"/>
        <v>82000.337142857141</v>
      </c>
      <c r="U75" s="17">
        <f t="shared" si="8"/>
        <v>223223.14</v>
      </c>
    </row>
    <row r="76" spans="1:21">
      <c r="A76" s="17" t="s">
        <v>75</v>
      </c>
      <c r="B76" s="17" t="s">
        <v>207</v>
      </c>
      <c r="C76" s="17">
        <v>2043</v>
      </c>
      <c r="D76" s="17" t="s">
        <v>238</v>
      </c>
      <c r="E76" s="17" t="s">
        <v>239</v>
      </c>
      <c r="F76" s="17"/>
      <c r="G76" s="17">
        <v>2014</v>
      </c>
      <c r="H76" s="17">
        <v>10</v>
      </c>
      <c r="I76" s="8">
        <v>0.33</v>
      </c>
      <c r="J76" s="17" t="s">
        <v>78</v>
      </c>
      <c r="K76" s="17">
        <v>5</v>
      </c>
      <c r="L76" s="17">
        <f t="shared" si="0"/>
        <v>2019</v>
      </c>
      <c r="M76" s="17">
        <f t="shared" si="4"/>
        <v>2019.8333333333333</v>
      </c>
      <c r="N76" s="17">
        <f>257104+22274.73+913.92</f>
        <v>280292.64999999997</v>
      </c>
      <c r="O76" s="17">
        <f t="shared" si="1"/>
        <v>187796.07549999998</v>
      </c>
      <c r="P76" s="17">
        <f t="shared" si="2"/>
        <v>3129.9345916666662</v>
      </c>
      <c r="Q76" s="17">
        <f t="shared" si="5"/>
        <v>37559.215099999994</v>
      </c>
      <c r="R76" s="17">
        <f t="shared" si="3"/>
        <v>37559.215099999994</v>
      </c>
      <c r="S76" s="17">
        <f t="shared" si="6"/>
        <v>112677.64529999997</v>
      </c>
      <c r="T76" s="17">
        <f t="shared" si="7"/>
        <v>57740.285899999988</v>
      </c>
      <c r="U76" s="17">
        <f t="shared" si="8"/>
        <v>195083.68439999997</v>
      </c>
    </row>
    <row r="77" spans="1:21">
      <c r="A77" s="17" t="s">
        <v>75</v>
      </c>
      <c r="B77" s="17" t="s">
        <v>207</v>
      </c>
      <c r="C77" s="17">
        <v>2042</v>
      </c>
      <c r="D77" s="17" t="s">
        <v>237</v>
      </c>
      <c r="E77" s="17">
        <v>114545</v>
      </c>
      <c r="F77" s="17"/>
      <c r="G77" s="17">
        <v>2014</v>
      </c>
      <c r="H77" s="17">
        <v>7</v>
      </c>
      <c r="I77" s="8">
        <v>0.33</v>
      </c>
      <c r="J77" s="17" t="s">
        <v>78</v>
      </c>
      <c r="K77" s="17">
        <v>5</v>
      </c>
      <c r="L77" s="17">
        <f t="shared" si="0"/>
        <v>2019</v>
      </c>
      <c r="M77" s="17">
        <f t="shared" si="4"/>
        <v>2019.5833333333333</v>
      </c>
      <c r="N77" s="17">
        <v>285481.71999999997</v>
      </c>
      <c r="O77" s="17">
        <f t="shared" si="1"/>
        <v>191272.7524</v>
      </c>
      <c r="P77" s="17">
        <f t="shared" si="2"/>
        <v>3187.8792066666665</v>
      </c>
      <c r="Q77" s="17">
        <f t="shared" si="5"/>
        <v>38254.550479999998</v>
      </c>
      <c r="R77" s="17">
        <f t="shared" si="3"/>
        <v>38254.550479999998</v>
      </c>
      <c r="S77" s="17">
        <f t="shared" si="6"/>
        <v>114763.65143999999</v>
      </c>
      <c r="T77" s="17">
        <f t="shared" si="7"/>
        <v>58809.234320000018</v>
      </c>
      <c r="U77" s="17">
        <f t="shared" si="8"/>
        <v>198695.27711999998</v>
      </c>
    </row>
    <row r="78" spans="1:21">
      <c r="A78" s="17"/>
      <c r="B78" s="17"/>
      <c r="C78" s="17">
        <v>3309</v>
      </c>
      <c r="D78" s="17" t="s">
        <v>203</v>
      </c>
      <c r="E78" s="17">
        <v>115086</v>
      </c>
      <c r="F78" s="17"/>
      <c r="G78" s="17">
        <v>2014</v>
      </c>
      <c r="H78" s="17">
        <v>7</v>
      </c>
      <c r="I78" s="8">
        <v>0.2</v>
      </c>
      <c r="J78" s="17" t="s">
        <v>78</v>
      </c>
      <c r="K78" s="17">
        <v>7</v>
      </c>
      <c r="L78" s="17">
        <f t="shared" si="0"/>
        <v>2021</v>
      </c>
      <c r="M78" s="17">
        <f t="shared" si="4"/>
        <v>2021.5833333333333</v>
      </c>
      <c r="N78" s="17">
        <v>133477.48000000001</v>
      </c>
      <c r="O78" s="17">
        <f t="shared" si="1"/>
        <v>106781.98400000001</v>
      </c>
      <c r="P78" s="17">
        <f t="shared" si="2"/>
        <v>1271.2140952380953</v>
      </c>
      <c r="Q78" s="17">
        <f t="shared" si="5"/>
        <v>15254.569142857144</v>
      </c>
      <c r="R78" s="17">
        <f t="shared" si="3"/>
        <v>15254.569142857144</v>
      </c>
      <c r="S78" s="17">
        <f t="shared" si="6"/>
        <v>45763.707428571433</v>
      </c>
      <c r="T78" s="17">
        <f t="shared" si="7"/>
        <v>34322.780571428579</v>
      </c>
      <c r="U78" s="17">
        <f t="shared" si="8"/>
        <v>93434.236000000004</v>
      </c>
    </row>
    <row r="79" spans="1:21">
      <c r="A79" s="17" t="s">
        <v>75</v>
      </c>
      <c r="B79" s="17" t="s">
        <v>207</v>
      </c>
      <c r="C79" s="17">
        <v>2044</v>
      </c>
      <c r="D79" s="17" t="s">
        <v>339</v>
      </c>
      <c r="E79" s="17" t="s">
        <v>340</v>
      </c>
      <c r="F79" s="17"/>
      <c r="G79" s="17">
        <v>2014</v>
      </c>
      <c r="H79" s="17">
        <v>12</v>
      </c>
      <c r="I79" s="8">
        <v>0.33</v>
      </c>
      <c r="J79" s="17" t="s">
        <v>78</v>
      </c>
      <c r="K79" s="17">
        <v>5</v>
      </c>
      <c r="L79" s="17">
        <f t="shared" ref="L79:L118" si="9">G79+K79</f>
        <v>2019</v>
      </c>
      <c r="M79" s="17">
        <f t="shared" si="4"/>
        <v>2020</v>
      </c>
      <c r="N79" s="17">
        <f>257933.15+22647</f>
        <v>280580.15000000002</v>
      </c>
      <c r="O79" s="17">
        <f t="shared" ref="O79:O118" si="10">N79-N79*I79</f>
        <v>187988.70050000001</v>
      </c>
      <c r="P79" s="17">
        <f t="shared" ref="P79:P118" si="11">O79/K79/12</f>
        <v>3133.1450083333334</v>
      </c>
      <c r="Q79" s="17">
        <f t="shared" si="5"/>
        <v>37597.740100000003</v>
      </c>
      <c r="R79" s="17">
        <f t="shared" ref="R79:R118" si="12">+IF(M79&lt;=$O$6,0,IF(L79&gt;$O$5,Q79,(P79*G79)))</f>
        <v>37597.740100000003</v>
      </c>
      <c r="S79" s="17">
        <f t="shared" si="6"/>
        <v>112793.22030000002</v>
      </c>
      <c r="T79" s="17">
        <f t="shared" si="7"/>
        <v>57799.510899999994</v>
      </c>
      <c r="U79" s="17">
        <f t="shared" si="8"/>
        <v>195283.7844</v>
      </c>
    </row>
    <row r="80" spans="1:21">
      <c r="A80" s="17" t="s">
        <v>75</v>
      </c>
      <c r="B80" s="17"/>
      <c r="C80" s="17">
        <v>3644</v>
      </c>
      <c r="D80" s="17" t="s">
        <v>105</v>
      </c>
      <c r="E80" s="17" t="s">
        <v>106</v>
      </c>
      <c r="F80" s="17"/>
      <c r="G80" s="17">
        <v>2015</v>
      </c>
      <c r="H80" s="17">
        <v>9</v>
      </c>
      <c r="I80" s="8">
        <v>0.2</v>
      </c>
      <c r="J80" s="17" t="s">
        <v>78</v>
      </c>
      <c r="K80" s="17">
        <v>7</v>
      </c>
      <c r="L80" s="17">
        <f t="shared" si="9"/>
        <v>2022</v>
      </c>
      <c r="M80" s="17">
        <f t="shared" ref="M80:M118" si="13">+L80+(H80/12)</f>
        <v>2022.75</v>
      </c>
      <c r="N80" s="17">
        <f>341500.78+3252.04</f>
        <v>344752.82</v>
      </c>
      <c r="O80" s="17">
        <f t="shared" si="10"/>
        <v>275802.25599999999</v>
      </c>
      <c r="P80" s="17">
        <f t="shared" si="11"/>
        <v>3283.3601904761904</v>
      </c>
      <c r="Q80" s="17">
        <f t="shared" ref="Q80:Q117" si="14">P80*12</f>
        <v>39400.322285714283</v>
      </c>
      <c r="R80" s="17">
        <f t="shared" si="12"/>
        <v>39400.322285714283</v>
      </c>
      <c r="S80" s="17">
        <f t="shared" ref="S80:S118" si="15">+IF(R80=0,N80,IF($O$5-G80&lt;1,0,(($O$5-G80)*Q80)))</f>
        <v>78800.644571428566</v>
      </c>
      <c r="T80" s="17">
        <f t="shared" ref="T80:T118" si="16">+IF(R80=0,S80,S80+R80)-(N80-O80)</f>
        <v>49250.402857142835</v>
      </c>
      <c r="U80" s="17">
        <f t="shared" ref="U80:U118" si="17">+IF(R80=0,0,((N80-S80)+(N80-T80))/2)</f>
        <v>280727.29628571426</v>
      </c>
    </row>
    <row r="81" spans="2:21">
      <c r="B81" s="17"/>
      <c r="C81" s="17">
        <v>3648</v>
      </c>
      <c r="D81" s="17" t="s">
        <v>107</v>
      </c>
      <c r="E81" s="17">
        <v>128669</v>
      </c>
      <c r="F81" s="17"/>
      <c r="G81" s="17">
        <v>2015</v>
      </c>
      <c r="H81" s="17">
        <v>12</v>
      </c>
      <c r="I81" s="8">
        <v>0.2</v>
      </c>
      <c r="J81" s="17" t="s">
        <v>78</v>
      </c>
      <c r="K81" s="17">
        <v>7</v>
      </c>
      <c r="L81" s="17">
        <f t="shared" si="9"/>
        <v>2022</v>
      </c>
      <c r="M81" s="17">
        <f t="shared" si="13"/>
        <v>2023</v>
      </c>
      <c r="N81" s="17">
        <v>335912.58</v>
      </c>
      <c r="O81" s="17">
        <f t="shared" si="10"/>
        <v>268730.06400000001</v>
      </c>
      <c r="P81" s="17">
        <f t="shared" si="11"/>
        <v>3199.1674285714289</v>
      </c>
      <c r="Q81" s="17">
        <f t="shared" si="14"/>
        <v>38390.009142857147</v>
      </c>
      <c r="R81" s="17">
        <f t="shared" si="12"/>
        <v>38390.009142857147</v>
      </c>
      <c r="S81" s="17">
        <f t="shared" si="15"/>
        <v>76780.018285714294</v>
      </c>
      <c r="T81" s="17">
        <f t="shared" si="16"/>
        <v>47987.511428571437</v>
      </c>
      <c r="U81" s="17">
        <f t="shared" si="17"/>
        <v>273528.81514285714</v>
      </c>
    </row>
    <row r="82" spans="2:21">
      <c r="B82" s="17"/>
      <c r="C82" s="17">
        <v>3648</v>
      </c>
      <c r="D82" s="17" t="s">
        <v>108</v>
      </c>
      <c r="E82" s="17">
        <v>128929</v>
      </c>
      <c r="F82" s="17">
        <v>128669</v>
      </c>
      <c r="G82" s="17">
        <v>2015</v>
      </c>
      <c r="H82" s="17">
        <v>12</v>
      </c>
      <c r="I82" s="8">
        <v>0.2</v>
      </c>
      <c r="J82" s="17" t="s">
        <v>78</v>
      </c>
      <c r="K82" s="17">
        <v>7</v>
      </c>
      <c r="L82" s="17">
        <f t="shared" si="9"/>
        <v>2022</v>
      </c>
      <c r="M82" s="17">
        <f t="shared" si="13"/>
        <v>2023</v>
      </c>
      <c r="N82" s="17">
        <v>1607.35</v>
      </c>
      <c r="O82" s="17">
        <f t="shared" si="10"/>
        <v>1285.8799999999999</v>
      </c>
      <c r="P82" s="17">
        <f t="shared" si="11"/>
        <v>15.308095238095236</v>
      </c>
      <c r="Q82" s="17">
        <f t="shared" si="14"/>
        <v>183.69714285714284</v>
      </c>
      <c r="R82" s="17">
        <f t="shared" si="12"/>
        <v>183.69714285714284</v>
      </c>
      <c r="S82" s="17">
        <f t="shared" si="15"/>
        <v>367.39428571428567</v>
      </c>
      <c r="T82" s="17">
        <f t="shared" si="16"/>
        <v>229.62142857142851</v>
      </c>
      <c r="U82" s="17">
        <f t="shared" si="17"/>
        <v>1308.8421428571428</v>
      </c>
    </row>
    <row r="83" spans="2:21">
      <c r="B83" s="17"/>
      <c r="C83" s="17">
        <v>3647</v>
      </c>
      <c r="D83" s="17" t="s">
        <v>107</v>
      </c>
      <c r="E83" s="17">
        <v>128670</v>
      </c>
      <c r="F83" s="17"/>
      <c r="G83" s="17">
        <v>2015</v>
      </c>
      <c r="H83" s="17">
        <v>12</v>
      </c>
      <c r="I83" s="8">
        <v>0.2</v>
      </c>
      <c r="J83" s="17" t="s">
        <v>78</v>
      </c>
      <c r="K83" s="17">
        <v>7</v>
      </c>
      <c r="L83" s="17">
        <f t="shared" si="9"/>
        <v>2022</v>
      </c>
      <c r="M83" s="17">
        <f t="shared" si="13"/>
        <v>2023</v>
      </c>
      <c r="N83" s="17">
        <v>327882.52</v>
      </c>
      <c r="O83" s="17">
        <f t="shared" si="10"/>
        <v>262306.016</v>
      </c>
      <c r="P83" s="17">
        <f t="shared" si="11"/>
        <v>3122.6906666666669</v>
      </c>
      <c r="Q83" s="17">
        <f t="shared" si="14"/>
        <v>37472.288</v>
      </c>
      <c r="R83" s="17">
        <f t="shared" si="12"/>
        <v>37472.288</v>
      </c>
      <c r="S83" s="17">
        <f t="shared" si="15"/>
        <v>74944.576000000001</v>
      </c>
      <c r="T83" s="17">
        <f t="shared" si="16"/>
        <v>46840.359999999986</v>
      </c>
      <c r="U83" s="17">
        <f t="shared" si="17"/>
        <v>266990.05200000003</v>
      </c>
    </row>
    <row r="84" spans="2:21">
      <c r="B84" s="17"/>
      <c r="C84" s="17">
        <v>3649</v>
      </c>
      <c r="D84" s="17" t="s">
        <v>107</v>
      </c>
      <c r="E84" s="17">
        <v>128671</v>
      </c>
      <c r="F84" s="17"/>
      <c r="G84" s="17">
        <v>2015</v>
      </c>
      <c r="H84" s="17">
        <v>12</v>
      </c>
      <c r="I84" s="8">
        <v>0.2</v>
      </c>
      <c r="J84" s="17" t="s">
        <v>78</v>
      </c>
      <c r="K84" s="17">
        <v>7</v>
      </c>
      <c r="L84" s="17">
        <f t="shared" si="9"/>
        <v>2022</v>
      </c>
      <c r="M84" s="17">
        <f t="shared" si="13"/>
        <v>2023</v>
      </c>
      <c r="N84" s="17">
        <v>335414.45</v>
      </c>
      <c r="O84" s="17">
        <f t="shared" si="10"/>
        <v>268331.56</v>
      </c>
      <c r="P84" s="17">
        <f t="shared" si="11"/>
        <v>3194.4233333333336</v>
      </c>
      <c r="Q84" s="17">
        <f t="shared" si="14"/>
        <v>38333.08</v>
      </c>
      <c r="R84" s="17">
        <f t="shared" si="12"/>
        <v>38333.08</v>
      </c>
      <c r="S84" s="17">
        <f t="shared" si="15"/>
        <v>76666.16</v>
      </c>
      <c r="T84" s="17">
        <f t="shared" si="16"/>
        <v>47916.349999999991</v>
      </c>
      <c r="U84" s="17">
        <f t="shared" si="17"/>
        <v>273123.19500000001</v>
      </c>
    </row>
    <row r="85" spans="2:21">
      <c r="B85" s="17"/>
      <c r="C85" s="17">
        <v>3649</v>
      </c>
      <c r="D85" s="17" t="s">
        <v>108</v>
      </c>
      <c r="E85" s="17">
        <v>128928</v>
      </c>
      <c r="F85" s="17">
        <v>128671</v>
      </c>
      <c r="G85" s="17">
        <v>2015</v>
      </c>
      <c r="H85" s="17">
        <v>12</v>
      </c>
      <c r="I85" s="8">
        <v>0.2</v>
      </c>
      <c r="J85" s="17" t="s">
        <v>78</v>
      </c>
      <c r="K85" s="17">
        <v>7</v>
      </c>
      <c r="L85" s="17">
        <f t="shared" si="9"/>
        <v>2022</v>
      </c>
      <c r="M85" s="17">
        <f t="shared" si="13"/>
        <v>2023</v>
      </c>
      <c r="N85" s="17">
        <v>969.39</v>
      </c>
      <c r="O85" s="17">
        <f t="shared" si="10"/>
        <v>775.51199999999994</v>
      </c>
      <c r="P85" s="17">
        <f t="shared" si="11"/>
        <v>9.2322857142857142</v>
      </c>
      <c r="Q85" s="17">
        <f t="shared" si="14"/>
        <v>110.78742857142856</v>
      </c>
      <c r="R85" s="17">
        <f t="shared" si="12"/>
        <v>110.78742857142856</v>
      </c>
      <c r="S85" s="17">
        <f t="shared" si="15"/>
        <v>221.57485714285713</v>
      </c>
      <c r="T85" s="17">
        <f t="shared" si="16"/>
        <v>138.48428571428565</v>
      </c>
      <c r="U85" s="17">
        <f t="shared" si="17"/>
        <v>789.36042857142866</v>
      </c>
    </row>
    <row r="86" spans="2:21">
      <c r="B86" s="17"/>
      <c r="C86" s="17">
        <v>3649</v>
      </c>
      <c r="D86" s="17" t="s">
        <v>109</v>
      </c>
      <c r="E86" s="17">
        <v>128671</v>
      </c>
      <c r="F86" s="17">
        <v>128671</v>
      </c>
      <c r="G86" s="17">
        <v>2015</v>
      </c>
      <c r="H86" s="17">
        <v>12</v>
      </c>
      <c r="I86" s="8">
        <v>0.2</v>
      </c>
      <c r="J86" s="17" t="s">
        <v>78</v>
      </c>
      <c r="K86" s="17">
        <v>7</v>
      </c>
      <c r="L86" s="17">
        <f t="shared" si="9"/>
        <v>2022</v>
      </c>
      <c r="M86" s="17">
        <f t="shared" si="13"/>
        <v>2023</v>
      </c>
      <c r="N86" s="17">
        <v>637.96</v>
      </c>
      <c r="O86" s="17">
        <f t="shared" si="10"/>
        <v>510.36800000000005</v>
      </c>
      <c r="P86" s="17">
        <f t="shared" si="11"/>
        <v>6.0758095238095242</v>
      </c>
      <c r="Q86" s="17">
        <f t="shared" si="14"/>
        <v>72.909714285714287</v>
      </c>
      <c r="R86" s="17">
        <f t="shared" si="12"/>
        <v>72.909714285714287</v>
      </c>
      <c r="S86" s="17">
        <f t="shared" si="15"/>
        <v>145.81942857142857</v>
      </c>
      <c r="T86" s="17">
        <f t="shared" si="16"/>
        <v>91.137142857142862</v>
      </c>
      <c r="U86" s="17">
        <f t="shared" si="17"/>
        <v>519.48171428571436</v>
      </c>
    </row>
    <row r="87" spans="2:21">
      <c r="B87" s="17"/>
      <c r="C87" s="17">
        <v>3649</v>
      </c>
      <c r="D87" s="17" t="s">
        <v>110</v>
      </c>
      <c r="E87" s="17">
        <v>130455</v>
      </c>
      <c r="F87" s="17">
        <v>128671</v>
      </c>
      <c r="G87" s="17">
        <v>2016</v>
      </c>
      <c r="H87" s="17">
        <v>1</v>
      </c>
      <c r="I87" s="8">
        <v>0</v>
      </c>
      <c r="J87" s="17" t="s">
        <v>78</v>
      </c>
      <c r="K87" s="17">
        <v>10</v>
      </c>
      <c r="L87" s="17">
        <f t="shared" si="9"/>
        <v>2026</v>
      </c>
      <c r="M87" s="17">
        <f t="shared" si="13"/>
        <v>2026.0833333333333</v>
      </c>
      <c r="N87" s="17">
        <v>951.46</v>
      </c>
      <c r="O87" s="17">
        <f t="shared" si="10"/>
        <v>951.46</v>
      </c>
      <c r="P87" s="17">
        <f t="shared" si="11"/>
        <v>7.9288333333333334</v>
      </c>
      <c r="Q87" s="17">
        <f t="shared" si="14"/>
        <v>95.146000000000001</v>
      </c>
      <c r="R87" s="17">
        <f t="shared" si="12"/>
        <v>95.146000000000001</v>
      </c>
      <c r="S87" s="17">
        <f t="shared" si="15"/>
        <v>95.146000000000001</v>
      </c>
      <c r="T87" s="17">
        <f t="shared" si="16"/>
        <v>190.292</v>
      </c>
      <c r="U87" s="17">
        <f t="shared" si="17"/>
        <v>808.74099999999999</v>
      </c>
    </row>
    <row r="88" spans="2:21">
      <c r="B88" s="17" t="s">
        <v>111</v>
      </c>
      <c r="C88" s="17">
        <v>3650</v>
      </c>
      <c r="D88" s="17" t="s">
        <v>107</v>
      </c>
      <c r="E88" s="17">
        <v>132077</v>
      </c>
      <c r="F88" s="17"/>
      <c r="G88" s="17">
        <v>2016</v>
      </c>
      <c r="H88" s="17">
        <v>4</v>
      </c>
      <c r="I88" s="8">
        <v>0</v>
      </c>
      <c r="J88" s="17" t="s">
        <v>78</v>
      </c>
      <c r="K88" s="17">
        <v>10</v>
      </c>
      <c r="L88" s="17">
        <f t="shared" si="9"/>
        <v>2026</v>
      </c>
      <c r="M88" s="17">
        <f t="shared" si="13"/>
        <v>2026.3333333333333</v>
      </c>
      <c r="N88" s="17">
        <v>339573.74</v>
      </c>
      <c r="O88" s="17">
        <f t="shared" si="10"/>
        <v>339573.74</v>
      </c>
      <c r="P88" s="17">
        <f t="shared" si="11"/>
        <v>2829.7811666666662</v>
      </c>
      <c r="Q88" s="17">
        <f t="shared" si="14"/>
        <v>33957.373999999996</v>
      </c>
      <c r="R88" s="17">
        <f t="shared" si="12"/>
        <v>33957.373999999996</v>
      </c>
      <c r="S88" s="17">
        <f t="shared" si="15"/>
        <v>33957.373999999996</v>
      </c>
      <c r="T88" s="17">
        <f t="shared" si="16"/>
        <v>67914.747999999992</v>
      </c>
      <c r="U88" s="17">
        <f t="shared" si="17"/>
        <v>288637.679</v>
      </c>
    </row>
    <row r="89" spans="2:21">
      <c r="B89" s="17" t="s">
        <v>111</v>
      </c>
      <c r="C89" s="17">
        <v>3652</v>
      </c>
      <c r="D89" s="17" t="s">
        <v>107</v>
      </c>
      <c r="E89" s="17">
        <v>132078</v>
      </c>
      <c r="F89" s="17"/>
      <c r="G89" s="17">
        <v>2016</v>
      </c>
      <c r="H89" s="17">
        <v>4</v>
      </c>
      <c r="I89" s="8">
        <v>0</v>
      </c>
      <c r="J89" s="17" t="s">
        <v>78</v>
      </c>
      <c r="K89" s="17">
        <v>10</v>
      </c>
      <c r="L89" s="17">
        <f t="shared" si="9"/>
        <v>2026</v>
      </c>
      <c r="M89" s="17">
        <f t="shared" si="13"/>
        <v>2026.3333333333333</v>
      </c>
      <c r="N89" s="17">
        <v>336680.5</v>
      </c>
      <c r="O89" s="17">
        <f t="shared" si="10"/>
        <v>336680.5</v>
      </c>
      <c r="P89" s="17">
        <f t="shared" si="11"/>
        <v>2805.6708333333336</v>
      </c>
      <c r="Q89" s="17">
        <f t="shared" si="14"/>
        <v>33668.050000000003</v>
      </c>
      <c r="R89" s="17">
        <f t="shared" si="12"/>
        <v>33668.050000000003</v>
      </c>
      <c r="S89" s="17">
        <f t="shared" si="15"/>
        <v>33668.050000000003</v>
      </c>
      <c r="T89" s="17">
        <f t="shared" si="16"/>
        <v>67336.100000000006</v>
      </c>
      <c r="U89" s="17">
        <f t="shared" si="17"/>
        <v>286178.42500000005</v>
      </c>
    </row>
    <row r="90" spans="2:21">
      <c r="B90" s="17" t="s">
        <v>111</v>
      </c>
      <c r="C90" s="17">
        <v>3651</v>
      </c>
      <c r="D90" s="17" t="s">
        <v>107</v>
      </c>
      <c r="E90" s="17">
        <v>132079</v>
      </c>
      <c r="F90" s="17"/>
      <c r="G90" s="17">
        <v>2016</v>
      </c>
      <c r="H90" s="17">
        <v>4</v>
      </c>
      <c r="I90" s="8">
        <v>0</v>
      </c>
      <c r="J90" s="17" t="s">
        <v>78</v>
      </c>
      <c r="K90" s="17">
        <v>10</v>
      </c>
      <c r="L90" s="17">
        <f t="shared" si="9"/>
        <v>2026</v>
      </c>
      <c r="M90" s="17">
        <f t="shared" si="13"/>
        <v>2026.3333333333333</v>
      </c>
      <c r="N90" s="17">
        <v>337626.52</v>
      </c>
      <c r="O90" s="17">
        <f t="shared" si="10"/>
        <v>337626.52</v>
      </c>
      <c r="P90" s="17">
        <f t="shared" si="11"/>
        <v>2813.5543333333335</v>
      </c>
      <c r="Q90" s="17">
        <f t="shared" si="14"/>
        <v>33762.652000000002</v>
      </c>
      <c r="R90" s="17">
        <f t="shared" si="12"/>
        <v>33762.652000000002</v>
      </c>
      <c r="S90" s="17">
        <f t="shared" si="15"/>
        <v>33762.652000000002</v>
      </c>
      <c r="T90" s="17">
        <f t="shared" si="16"/>
        <v>67525.304000000004</v>
      </c>
      <c r="U90" s="17">
        <f t="shared" si="17"/>
        <v>286982.54200000002</v>
      </c>
    </row>
    <row r="91" spans="2:21">
      <c r="B91" s="17" t="s">
        <v>207</v>
      </c>
      <c r="C91" s="17">
        <v>2045</v>
      </c>
      <c r="D91" s="17" t="s">
        <v>208</v>
      </c>
      <c r="E91" s="17">
        <v>133441</v>
      </c>
      <c r="F91" s="17"/>
      <c r="G91" s="17">
        <v>2016</v>
      </c>
      <c r="H91" s="17">
        <v>6</v>
      </c>
      <c r="I91" s="8">
        <v>0</v>
      </c>
      <c r="J91" s="17" t="s">
        <v>78</v>
      </c>
      <c r="K91" s="17">
        <v>10</v>
      </c>
      <c r="L91" s="17">
        <f t="shared" si="9"/>
        <v>2026</v>
      </c>
      <c r="M91" s="17">
        <f t="shared" si="13"/>
        <v>2026.5</v>
      </c>
      <c r="N91" s="17">
        <v>315919.88</v>
      </c>
      <c r="O91" s="17">
        <f t="shared" si="10"/>
        <v>315919.88</v>
      </c>
      <c r="P91" s="17">
        <f t="shared" si="11"/>
        <v>2632.6656666666668</v>
      </c>
      <c r="Q91" s="17">
        <f t="shared" si="14"/>
        <v>31591.988000000001</v>
      </c>
      <c r="R91" s="17">
        <f t="shared" si="12"/>
        <v>31591.988000000001</v>
      </c>
      <c r="S91" s="17">
        <f t="shared" si="15"/>
        <v>31591.988000000001</v>
      </c>
      <c r="T91" s="17">
        <f t="shared" si="16"/>
        <v>63183.976000000002</v>
      </c>
      <c r="U91" s="17">
        <f t="shared" si="17"/>
        <v>268531.89799999999</v>
      </c>
    </row>
    <row r="92" spans="2:21">
      <c r="B92" s="17" t="s">
        <v>207</v>
      </c>
      <c r="C92" s="17">
        <v>2045</v>
      </c>
      <c r="D92" s="17" t="s">
        <v>209</v>
      </c>
      <c r="E92" s="17">
        <v>166253</v>
      </c>
      <c r="F92" s="17">
        <v>133441</v>
      </c>
      <c r="G92" s="17">
        <v>2016</v>
      </c>
      <c r="H92" s="17">
        <v>6</v>
      </c>
      <c r="I92" s="8">
        <v>0</v>
      </c>
      <c r="J92" s="17" t="s">
        <v>78</v>
      </c>
      <c r="K92" s="17">
        <v>10</v>
      </c>
      <c r="L92" s="17">
        <f t="shared" si="9"/>
        <v>2026</v>
      </c>
      <c r="M92" s="17">
        <f t="shared" si="13"/>
        <v>2026.5</v>
      </c>
      <c r="N92" s="17">
        <v>6375.7</v>
      </c>
      <c r="O92" s="17">
        <f t="shared" si="10"/>
        <v>6375.7</v>
      </c>
      <c r="P92" s="17">
        <f t="shared" si="11"/>
        <v>53.130833333333328</v>
      </c>
      <c r="Q92" s="17">
        <f t="shared" si="14"/>
        <v>637.56999999999994</v>
      </c>
      <c r="R92" s="17">
        <f t="shared" si="12"/>
        <v>637.56999999999994</v>
      </c>
      <c r="S92" s="17">
        <f t="shared" si="15"/>
        <v>637.56999999999994</v>
      </c>
      <c r="T92" s="17">
        <f t="shared" si="16"/>
        <v>1275.1399999999999</v>
      </c>
      <c r="U92" s="17">
        <f t="shared" si="17"/>
        <v>5419.3449999999993</v>
      </c>
    </row>
    <row r="93" spans="2:21">
      <c r="B93" s="17" t="s">
        <v>76</v>
      </c>
      <c r="C93" s="17">
        <v>1065</v>
      </c>
      <c r="D93" s="17" t="s">
        <v>228</v>
      </c>
      <c r="E93" s="17">
        <v>166606</v>
      </c>
      <c r="F93" s="17">
        <v>60779</v>
      </c>
      <c r="G93" s="17">
        <v>2016</v>
      </c>
      <c r="H93" s="17">
        <v>7</v>
      </c>
      <c r="I93" s="8">
        <v>0</v>
      </c>
      <c r="J93" s="17" t="s">
        <v>78</v>
      </c>
      <c r="K93" s="17">
        <v>3</v>
      </c>
      <c r="L93" s="17">
        <f t="shared" si="9"/>
        <v>2019</v>
      </c>
      <c r="M93" s="17">
        <f t="shared" si="13"/>
        <v>2019.5833333333333</v>
      </c>
      <c r="N93" s="17">
        <v>16305.92</v>
      </c>
      <c r="O93" s="17">
        <f t="shared" si="10"/>
        <v>16305.92</v>
      </c>
      <c r="P93" s="17">
        <f t="shared" si="11"/>
        <v>452.9422222222222</v>
      </c>
      <c r="Q93" s="17">
        <f t="shared" si="14"/>
        <v>5435.3066666666664</v>
      </c>
      <c r="R93" s="17">
        <f t="shared" si="12"/>
        <v>5435.3066666666664</v>
      </c>
      <c r="S93" s="17">
        <f t="shared" si="15"/>
        <v>5435.3066666666664</v>
      </c>
      <c r="T93" s="17">
        <f t="shared" si="16"/>
        <v>10870.613333333333</v>
      </c>
      <c r="U93" s="17">
        <f t="shared" si="17"/>
        <v>8152.9600000000009</v>
      </c>
    </row>
    <row r="94" spans="2:21">
      <c r="B94" s="17" t="s">
        <v>207</v>
      </c>
      <c r="C94" s="17">
        <v>2025</v>
      </c>
      <c r="D94" s="17" t="s">
        <v>391</v>
      </c>
      <c r="E94" s="17">
        <v>167817</v>
      </c>
      <c r="F94" s="17">
        <v>90545</v>
      </c>
      <c r="G94" s="17">
        <v>2016</v>
      </c>
      <c r="H94" s="17">
        <v>8</v>
      </c>
      <c r="I94" s="8">
        <v>0</v>
      </c>
      <c r="J94" s="17" t="s">
        <v>78</v>
      </c>
      <c r="K94" s="17">
        <v>3</v>
      </c>
      <c r="L94" s="17">
        <f t="shared" si="9"/>
        <v>2019</v>
      </c>
      <c r="M94" s="17">
        <f t="shared" si="13"/>
        <v>2019.6666666666667</v>
      </c>
      <c r="N94" s="17">
        <v>10785.31</v>
      </c>
      <c r="O94" s="17">
        <f t="shared" si="10"/>
        <v>10785.31</v>
      </c>
      <c r="P94" s="17">
        <f t="shared" si="11"/>
        <v>299.59194444444444</v>
      </c>
      <c r="Q94" s="17">
        <f t="shared" si="14"/>
        <v>3595.1033333333335</v>
      </c>
      <c r="R94" s="17">
        <f t="shared" si="12"/>
        <v>3595.1033333333335</v>
      </c>
      <c r="S94" s="17">
        <f t="shared" si="15"/>
        <v>3595.1033333333335</v>
      </c>
      <c r="T94" s="17">
        <f t="shared" si="16"/>
        <v>7190.2066666666669</v>
      </c>
      <c r="U94" s="17">
        <f t="shared" si="17"/>
        <v>5392.6549999999988</v>
      </c>
    </row>
    <row r="95" spans="2:21">
      <c r="B95" s="17" t="s">
        <v>93</v>
      </c>
      <c r="C95" s="17">
        <v>4521</v>
      </c>
      <c r="D95" s="17" t="s">
        <v>327</v>
      </c>
      <c r="E95" s="17">
        <v>169028</v>
      </c>
      <c r="F95" s="17"/>
      <c r="G95" s="17">
        <v>2016</v>
      </c>
      <c r="H95" s="17">
        <v>9</v>
      </c>
      <c r="I95" s="8">
        <v>0</v>
      </c>
      <c r="J95" s="17" t="s">
        <v>78</v>
      </c>
      <c r="K95" s="17">
        <v>10</v>
      </c>
      <c r="L95" s="17">
        <f t="shared" si="9"/>
        <v>2026</v>
      </c>
      <c r="M95" s="17">
        <f t="shared" si="13"/>
        <v>2026.75</v>
      </c>
      <c r="N95" s="17">
        <v>198848.06</v>
      </c>
      <c r="O95" s="17">
        <f t="shared" si="10"/>
        <v>198848.06</v>
      </c>
      <c r="P95" s="17">
        <f t="shared" si="11"/>
        <v>1657.0671666666667</v>
      </c>
      <c r="Q95" s="17">
        <f t="shared" si="14"/>
        <v>19884.806</v>
      </c>
      <c r="R95" s="17">
        <f t="shared" si="12"/>
        <v>19884.806</v>
      </c>
      <c r="S95" s="17">
        <f t="shared" si="15"/>
        <v>19884.806</v>
      </c>
      <c r="T95" s="17">
        <f t="shared" si="16"/>
        <v>39769.612000000001</v>
      </c>
      <c r="U95" s="17">
        <f t="shared" si="17"/>
        <v>169020.851</v>
      </c>
    </row>
    <row r="96" spans="2:21">
      <c r="B96" s="17" t="s">
        <v>111</v>
      </c>
      <c r="C96" s="17"/>
      <c r="D96" s="17" t="s">
        <v>217</v>
      </c>
      <c r="E96" s="17">
        <v>185586</v>
      </c>
      <c r="F96" s="17">
        <v>185372</v>
      </c>
      <c r="G96" s="17">
        <v>2017</v>
      </c>
      <c r="H96" s="17">
        <v>7</v>
      </c>
      <c r="I96" s="8">
        <v>0</v>
      </c>
      <c r="J96" s="17" t="s">
        <v>78</v>
      </c>
      <c r="K96" s="17">
        <v>10</v>
      </c>
      <c r="L96" s="17">
        <f t="shared" si="9"/>
        <v>2027</v>
      </c>
      <c r="M96" s="17">
        <f t="shared" si="13"/>
        <v>2027.5833333333333</v>
      </c>
      <c r="N96" s="17">
        <v>1069.3900000000001</v>
      </c>
      <c r="O96" s="17">
        <f t="shared" si="10"/>
        <v>1069.3900000000001</v>
      </c>
      <c r="P96" s="17">
        <f t="shared" si="11"/>
        <v>8.9115833333333345</v>
      </c>
      <c r="Q96" s="17">
        <f t="shared" si="14"/>
        <v>106.93900000000002</v>
      </c>
      <c r="R96" s="17">
        <f t="shared" si="12"/>
        <v>106.93900000000002</v>
      </c>
      <c r="S96" s="17">
        <f t="shared" si="15"/>
        <v>0</v>
      </c>
      <c r="T96" s="17">
        <f t="shared" si="16"/>
        <v>106.93900000000002</v>
      </c>
      <c r="U96" s="17">
        <f t="shared" si="17"/>
        <v>1015.9205000000001</v>
      </c>
    </row>
    <row r="97" spans="1:21">
      <c r="A97" s="17"/>
      <c r="B97" s="17" t="s">
        <v>111</v>
      </c>
      <c r="C97" s="17">
        <v>3659</v>
      </c>
      <c r="D97" s="17" t="s">
        <v>115</v>
      </c>
      <c r="E97" s="17" t="s">
        <v>216</v>
      </c>
      <c r="F97" s="17" t="s">
        <v>97</v>
      </c>
      <c r="G97" s="17">
        <v>2017</v>
      </c>
      <c r="H97" s="17">
        <v>7</v>
      </c>
      <c r="I97" s="8">
        <v>0</v>
      </c>
      <c r="J97" s="17" t="s">
        <v>78</v>
      </c>
      <c r="K97" s="17">
        <v>10</v>
      </c>
      <c r="L97" s="17">
        <f t="shared" si="9"/>
        <v>2027</v>
      </c>
      <c r="M97" s="17">
        <f t="shared" si="13"/>
        <v>2027.5833333333333</v>
      </c>
      <c r="N97" s="17">
        <f>333655.94+703.67</f>
        <v>334359.61</v>
      </c>
      <c r="O97" s="17">
        <f t="shared" si="10"/>
        <v>334359.61</v>
      </c>
      <c r="P97" s="17">
        <f t="shared" si="11"/>
        <v>2786.3300833333328</v>
      </c>
      <c r="Q97" s="17">
        <f t="shared" si="14"/>
        <v>33435.960999999996</v>
      </c>
      <c r="R97" s="17">
        <f t="shared" si="12"/>
        <v>33435.960999999996</v>
      </c>
      <c r="S97" s="17">
        <f t="shared" si="15"/>
        <v>0</v>
      </c>
      <c r="T97" s="17">
        <f t="shared" si="16"/>
        <v>33435.960999999996</v>
      </c>
      <c r="U97" s="17">
        <f t="shared" si="17"/>
        <v>317641.62949999998</v>
      </c>
    </row>
    <row r="98" spans="1:21">
      <c r="A98" s="17"/>
      <c r="B98" s="17" t="s">
        <v>111</v>
      </c>
      <c r="C98" s="17">
        <v>3658</v>
      </c>
      <c r="D98" s="17" t="s">
        <v>115</v>
      </c>
      <c r="E98" s="17">
        <v>185371</v>
      </c>
      <c r="F98" s="17" t="s">
        <v>97</v>
      </c>
      <c r="G98" s="17">
        <v>2017</v>
      </c>
      <c r="H98" s="17">
        <v>7</v>
      </c>
      <c r="I98" s="8">
        <v>0</v>
      </c>
      <c r="J98" s="17" t="s">
        <v>78</v>
      </c>
      <c r="K98" s="17">
        <v>10</v>
      </c>
      <c r="L98" s="17">
        <f t="shared" si="9"/>
        <v>2027</v>
      </c>
      <c r="M98" s="17">
        <f t="shared" si="13"/>
        <v>2027.5833333333333</v>
      </c>
      <c r="N98" s="17">
        <v>334566.83</v>
      </c>
      <c r="O98" s="17">
        <f t="shared" si="10"/>
        <v>334566.83</v>
      </c>
      <c r="P98" s="17">
        <f t="shared" si="11"/>
        <v>2788.0569166666669</v>
      </c>
      <c r="Q98" s="17">
        <f t="shared" si="14"/>
        <v>33456.683000000005</v>
      </c>
      <c r="R98" s="17">
        <f t="shared" si="12"/>
        <v>33456.683000000005</v>
      </c>
      <c r="S98" s="17">
        <f t="shared" si="15"/>
        <v>0</v>
      </c>
      <c r="T98" s="17">
        <f t="shared" si="16"/>
        <v>33456.683000000005</v>
      </c>
      <c r="U98" s="17">
        <f t="shared" si="17"/>
        <v>317838.48849999998</v>
      </c>
    </row>
    <row r="99" spans="1:21">
      <c r="A99" s="17"/>
      <c r="B99" s="17" t="s">
        <v>111</v>
      </c>
      <c r="C99" s="17">
        <v>3657</v>
      </c>
      <c r="D99" s="17" t="s">
        <v>212</v>
      </c>
      <c r="E99" s="17">
        <v>185370</v>
      </c>
      <c r="F99" s="17" t="s">
        <v>97</v>
      </c>
      <c r="G99" s="17">
        <v>2017</v>
      </c>
      <c r="H99" s="17">
        <v>7</v>
      </c>
      <c r="I99" s="8">
        <v>0</v>
      </c>
      <c r="J99" s="17" t="s">
        <v>78</v>
      </c>
      <c r="K99" s="17">
        <v>10</v>
      </c>
      <c r="L99" s="17">
        <f t="shared" si="9"/>
        <v>2027</v>
      </c>
      <c r="M99" s="17">
        <f t="shared" si="13"/>
        <v>2027.5833333333333</v>
      </c>
      <c r="N99" s="17">
        <v>335381.96999999997</v>
      </c>
      <c r="O99" s="17">
        <f t="shared" si="10"/>
        <v>335381.96999999997</v>
      </c>
      <c r="P99" s="17">
        <f t="shared" si="11"/>
        <v>2794.8497499999999</v>
      </c>
      <c r="Q99" s="17">
        <f t="shared" si="14"/>
        <v>33538.197</v>
      </c>
      <c r="R99" s="17">
        <f t="shared" si="12"/>
        <v>33538.197</v>
      </c>
      <c r="S99" s="17">
        <f t="shared" si="15"/>
        <v>0</v>
      </c>
      <c r="T99" s="17">
        <f t="shared" si="16"/>
        <v>33538.197</v>
      </c>
      <c r="U99" s="17">
        <f t="shared" si="17"/>
        <v>318612.87150000001</v>
      </c>
    </row>
    <row r="100" spans="1:21">
      <c r="A100" s="17"/>
      <c r="B100" s="17" t="s">
        <v>117</v>
      </c>
      <c r="C100" s="17"/>
      <c r="D100" s="17" t="s">
        <v>118</v>
      </c>
      <c r="E100" s="17" t="s">
        <v>240</v>
      </c>
      <c r="F100" s="17" t="s">
        <v>97</v>
      </c>
      <c r="G100" s="17">
        <v>2017</v>
      </c>
      <c r="H100" s="17">
        <v>7</v>
      </c>
      <c r="I100" s="8">
        <v>0</v>
      </c>
      <c r="J100" s="17" t="s">
        <v>78</v>
      </c>
      <c r="K100" s="17">
        <v>10</v>
      </c>
      <c r="L100" s="17">
        <f>G100+K100</f>
        <v>2027</v>
      </c>
      <c r="M100" s="17">
        <f t="shared" si="13"/>
        <v>2027.5833333333333</v>
      </c>
      <c r="N100" s="17">
        <f>308316.27+1720.1</f>
        <v>310036.37</v>
      </c>
      <c r="O100" s="17">
        <f t="shared" si="10"/>
        <v>310036.37</v>
      </c>
      <c r="P100" s="17">
        <f t="shared" si="11"/>
        <v>2583.6364166666667</v>
      </c>
      <c r="Q100" s="17">
        <f t="shared" si="14"/>
        <v>31003.637000000002</v>
      </c>
      <c r="R100" s="17">
        <f t="shared" si="12"/>
        <v>31003.637000000002</v>
      </c>
      <c r="S100" s="17">
        <f t="shared" si="15"/>
        <v>0</v>
      </c>
      <c r="T100" s="17">
        <f t="shared" si="16"/>
        <v>31003.637000000002</v>
      </c>
      <c r="U100" s="17">
        <f t="shared" si="17"/>
        <v>294534.5515</v>
      </c>
    </row>
    <row r="101" spans="1:21">
      <c r="A101" s="17"/>
      <c r="B101" s="17"/>
      <c r="C101" s="17"/>
      <c r="D101" s="17" t="s">
        <v>241</v>
      </c>
      <c r="E101" s="17">
        <v>185175</v>
      </c>
      <c r="F101" s="17">
        <v>184365</v>
      </c>
      <c r="G101" s="17">
        <v>2017</v>
      </c>
      <c r="H101" s="17">
        <v>7</v>
      </c>
      <c r="I101" s="8">
        <v>0</v>
      </c>
      <c r="J101" s="17" t="s">
        <v>78</v>
      </c>
      <c r="K101" s="17">
        <v>5</v>
      </c>
      <c r="L101" s="17">
        <f>G101+K101</f>
        <v>2022</v>
      </c>
      <c r="M101" s="17">
        <f t="shared" si="13"/>
        <v>2022.5833333333333</v>
      </c>
      <c r="N101" s="17">
        <v>995.61</v>
      </c>
      <c r="O101" s="17">
        <f t="shared" si="10"/>
        <v>995.61</v>
      </c>
      <c r="P101" s="17">
        <f t="shared" si="11"/>
        <v>16.593500000000002</v>
      </c>
      <c r="Q101" s="17">
        <f t="shared" si="14"/>
        <v>199.12200000000001</v>
      </c>
      <c r="R101" s="17">
        <f t="shared" si="12"/>
        <v>199.12200000000001</v>
      </c>
      <c r="S101" s="17">
        <f t="shared" si="15"/>
        <v>0</v>
      </c>
      <c r="T101" s="17">
        <f t="shared" si="16"/>
        <v>199.12200000000001</v>
      </c>
      <c r="U101" s="17">
        <f t="shared" si="17"/>
        <v>896.04899999999998</v>
      </c>
    </row>
    <row r="102" spans="1:21">
      <c r="A102" s="17"/>
      <c r="B102" s="17"/>
      <c r="C102" s="17"/>
      <c r="D102" s="17" t="s">
        <v>242</v>
      </c>
      <c r="E102" s="17">
        <v>185086</v>
      </c>
      <c r="F102" s="17">
        <v>184365</v>
      </c>
      <c r="G102" s="17">
        <v>2017</v>
      </c>
      <c r="H102" s="17">
        <v>7</v>
      </c>
      <c r="I102" s="8">
        <v>0</v>
      </c>
      <c r="J102" s="17" t="s">
        <v>78</v>
      </c>
      <c r="K102" s="17">
        <v>10</v>
      </c>
      <c r="L102" s="17">
        <f t="shared" si="9"/>
        <v>2027</v>
      </c>
      <c r="M102" s="17">
        <f t="shared" si="13"/>
        <v>2027.5833333333333</v>
      </c>
      <c r="N102" s="17">
        <v>7085.38</v>
      </c>
      <c r="O102" s="17">
        <f t="shared" si="10"/>
        <v>7085.38</v>
      </c>
      <c r="P102" s="17">
        <f t="shared" si="11"/>
        <v>59.044833333333337</v>
      </c>
      <c r="Q102" s="17">
        <f t="shared" si="14"/>
        <v>708.53800000000001</v>
      </c>
      <c r="R102" s="17">
        <f t="shared" si="12"/>
        <v>708.53800000000001</v>
      </c>
      <c r="S102" s="17">
        <f t="shared" si="15"/>
        <v>0</v>
      </c>
      <c r="T102" s="17">
        <f t="shared" si="16"/>
        <v>708.53800000000001</v>
      </c>
      <c r="U102" s="17">
        <f t="shared" si="17"/>
        <v>6731.1110000000008</v>
      </c>
    </row>
    <row r="103" spans="1:21">
      <c r="A103" s="17"/>
      <c r="B103" s="17"/>
      <c r="C103" s="17"/>
      <c r="D103" s="17" t="s">
        <v>243</v>
      </c>
      <c r="E103" s="17">
        <v>184563</v>
      </c>
      <c r="F103" s="17">
        <v>184365</v>
      </c>
      <c r="G103" s="17">
        <v>2017</v>
      </c>
      <c r="H103" s="17">
        <v>7</v>
      </c>
      <c r="I103" s="8">
        <v>0</v>
      </c>
      <c r="J103" s="17" t="s">
        <v>78</v>
      </c>
      <c r="K103" s="17">
        <v>5</v>
      </c>
      <c r="L103" s="17">
        <f t="shared" si="9"/>
        <v>2022</v>
      </c>
      <c r="M103" s="17">
        <f t="shared" si="13"/>
        <v>2022.5833333333333</v>
      </c>
      <c r="N103" s="17">
        <v>1913.81</v>
      </c>
      <c r="O103" s="17">
        <f t="shared" si="10"/>
        <v>1913.81</v>
      </c>
      <c r="P103" s="17">
        <f t="shared" si="11"/>
        <v>31.896833333333333</v>
      </c>
      <c r="Q103" s="17">
        <f t="shared" si="14"/>
        <v>382.762</v>
      </c>
      <c r="R103" s="17">
        <f t="shared" si="12"/>
        <v>382.762</v>
      </c>
      <c r="S103" s="17">
        <f t="shared" si="15"/>
        <v>0</v>
      </c>
      <c r="T103" s="17">
        <f t="shared" si="16"/>
        <v>382.762</v>
      </c>
      <c r="U103" s="17">
        <f t="shared" si="17"/>
        <v>1722.4290000000001</v>
      </c>
    </row>
    <row r="104" spans="1:21">
      <c r="A104" s="17"/>
      <c r="B104" s="17"/>
      <c r="C104" s="17"/>
      <c r="D104" s="17" t="s">
        <v>112</v>
      </c>
      <c r="E104" s="17">
        <v>185087</v>
      </c>
      <c r="F104" s="17"/>
      <c r="G104" s="17">
        <v>2017</v>
      </c>
      <c r="H104" s="17">
        <v>8</v>
      </c>
      <c r="I104" s="8">
        <v>0</v>
      </c>
      <c r="J104" s="17" t="s">
        <v>78</v>
      </c>
      <c r="K104" s="17">
        <v>10</v>
      </c>
      <c r="L104" s="17">
        <f t="shared" si="9"/>
        <v>2027</v>
      </c>
      <c r="M104" s="17">
        <f t="shared" si="13"/>
        <v>2027.6666666666667</v>
      </c>
      <c r="N104" s="17">
        <v>256.86</v>
      </c>
      <c r="O104" s="17">
        <f t="shared" si="10"/>
        <v>256.86</v>
      </c>
      <c r="P104" s="17">
        <f t="shared" si="11"/>
        <v>2.1404999999999998</v>
      </c>
      <c r="Q104" s="17">
        <f t="shared" si="14"/>
        <v>25.686</v>
      </c>
      <c r="R104" s="17">
        <f t="shared" si="12"/>
        <v>25.686</v>
      </c>
      <c r="S104" s="17">
        <f t="shared" si="15"/>
        <v>0</v>
      </c>
      <c r="T104" s="17">
        <f t="shared" si="16"/>
        <v>25.686</v>
      </c>
      <c r="U104" s="17">
        <f t="shared" si="17"/>
        <v>244.017</v>
      </c>
    </row>
    <row r="105" spans="1:21">
      <c r="A105" s="17"/>
      <c r="B105" s="17"/>
      <c r="C105" s="17">
        <v>3304</v>
      </c>
      <c r="D105" s="17" t="s">
        <v>113</v>
      </c>
      <c r="E105" s="17">
        <v>184364</v>
      </c>
      <c r="F105" s="17" t="s">
        <v>97</v>
      </c>
      <c r="G105" s="17">
        <v>2017</v>
      </c>
      <c r="H105" s="17">
        <v>7</v>
      </c>
      <c r="I105" s="8">
        <v>0</v>
      </c>
      <c r="J105" s="17" t="s">
        <v>78</v>
      </c>
      <c r="K105" s="17">
        <v>10</v>
      </c>
      <c r="L105" s="17">
        <f t="shared" si="9"/>
        <v>2027</v>
      </c>
      <c r="M105" s="17">
        <f t="shared" si="13"/>
        <v>2027.5833333333333</v>
      </c>
      <c r="N105" s="17">
        <v>143024.03</v>
      </c>
      <c r="O105" s="17">
        <f t="shared" si="10"/>
        <v>143024.03</v>
      </c>
      <c r="P105" s="17">
        <f t="shared" si="11"/>
        <v>1191.8669166666666</v>
      </c>
      <c r="Q105" s="17">
        <f t="shared" si="14"/>
        <v>14302.402999999998</v>
      </c>
      <c r="R105" s="17">
        <f t="shared" si="12"/>
        <v>14302.402999999998</v>
      </c>
      <c r="S105" s="17">
        <f t="shared" si="15"/>
        <v>0</v>
      </c>
      <c r="T105" s="17">
        <f t="shared" si="16"/>
        <v>14302.402999999998</v>
      </c>
      <c r="U105" s="17">
        <f t="shared" si="17"/>
        <v>135872.8285</v>
      </c>
    </row>
    <row r="106" spans="1:21">
      <c r="A106" s="17"/>
      <c r="B106" s="17"/>
      <c r="C106" s="17"/>
      <c r="D106" s="17" t="s">
        <v>114</v>
      </c>
      <c r="E106" s="17">
        <v>184562</v>
      </c>
      <c r="F106" s="17">
        <v>184364</v>
      </c>
      <c r="G106" s="17">
        <v>2017</v>
      </c>
      <c r="H106" s="17">
        <v>7</v>
      </c>
      <c r="I106" s="8">
        <v>0</v>
      </c>
      <c r="J106" s="17" t="s">
        <v>78</v>
      </c>
      <c r="K106" s="17">
        <v>5</v>
      </c>
      <c r="L106" s="17">
        <f t="shared" si="9"/>
        <v>2022</v>
      </c>
      <c r="M106" s="17">
        <f t="shared" si="13"/>
        <v>2022.5833333333333</v>
      </c>
      <c r="N106" s="17">
        <v>346.44</v>
      </c>
      <c r="O106" s="17">
        <f t="shared" si="10"/>
        <v>346.44</v>
      </c>
      <c r="P106" s="17">
        <f t="shared" si="11"/>
        <v>5.774</v>
      </c>
      <c r="Q106" s="17">
        <f t="shared" si="14"/>
        <v>69.287999999999997</v>
      </c>
      <c r="R106" s="17">
        <f t="shared" si="12"/>
        <v>69.287999999999997</v>
      </c>
      <c r="S106" s="17">
        <f t="shared" si="15"/>
        <v>0</v>
      </c>
      <c r="T106" s="17">
        <f t="shared" si="16"/>
        <v>69.287999999999997</v>
      </c>
      <c r="U106" s="17">
        <f t="shared" si="17"/>
        <v>311.79599999999999</v>
      </c>
    </row>
    <row r="107" spans="1:21">
      <c r="A107" s="17"/>
      <c r="B107" s="17" t="s">
        <v>93</v>
      </c>
      <c r="C107" s="17">
        <v>9561</v>
      </c>
      <c r="D107" s="17" t="s">
        <v>328</v>
      </c>
      <c r="E107" s="17">
        <v>181935</v>
      </c>
      <c r="F107" s="17" t="s">
        <v>97</v>
      </c>
      <c r="G107" s="17">
        <v>2017</v>
      </c>
      <c r="H107" s="17">
        <v>5</v>
      </c>
      <c r="I107" s="8">
        <v>0</v>
      </c>
      <c r="J107" s="17" t="s">
        <v>78</v>
      </c>
      <c r="K107" s="17">
        <v>10</v>
      </c>
      <c r="L107" s="17">
        <f t="shared" si="9"/>
        <v>2027</v>
      </c>
      <c r="M107" s="17">
        <f t="shared" si="13"/>
        <v>2027.4166666666667</v>
      </c>
      <c r="N107" s="17">
        <v>60070.239999999998</v>
      </c>
      <c r="O107" s="17">
        <f t="shared" si="10"/>
        <v>60070.239999999998</v>
      </c>
      <c r="P107" s="17">
        <f t="shared" si="11"/>
        <v>500.58533333333327</v>
      </c>
      <c r="Q107" s="17">
        <f t="shared" si="14"/>
        <v>6007.0239999999994</v>
      </c>
      <c r="R107" s="17">
        <f t="shared" si="12"/>
        <v>6007.0239999999994</v>
      </c>
      <c r="S107" s="17">
        <f t="shared" si="15"/>
        <v>0</v>
      </c>
      <c r="T107" s="17">
        <f t="shared" si="16"/>
        <v>6007.0239999999994</v>
      </c>
      <c r="U107" s="17">
        <f t="shared" si="17"/>
        <v>57066.728000000003</v>
      </c>
    </row>
    <row r="108" spans="1:21">
      <c r="A108" s="17"/>
      <c r="B108" s="17" t="s">
        <v>111</v>
      </c>
      <c r="C108" s="17">
        <v>3668</v>
      </c>
      <c r="D108" s="17" t="s">
        <v>115</v>
      </c>
      <c r="E108" s="17">
        <v>189848</v>
      </c>
      <c r="F108" s="17"/>
      <c r="G108" s="17">
        <v>2017</v>
      </c>
      <c r="H108" s="17">
        <v>12</v>
      </c>
      <c r="I108" s="8">
        <v>0</v>
      </c>
      <c r="J108" s="17" t="s">
        <v>78</v>
      </c>
      <c r="K108" s="17">
        <v>10</v>
      </c>
      <c r="L108" s="17">
        <f t="shared" si="9"/>
        <v>2027</v>
      </c>
      <c r="M108" s="17">
        <f t="shared" si="13"/>
        <v>2028</v>
      </c>
      <c r="N108" s="17">
        <v>344877.62</v>
      </c>
      <c r="O108" s="17">
        <f t="shared" si="10"/>
        <v>344877.62</v>
      </c>
      <c r="P108" s="17">
        <f t="shared" si="11"/>
        <v>2873.9801666666667</v>
      </c>
      <c r="Q108" s="17">
        <f t="shared" si="14"/>
        <v>34487.762000000002</v>
      </c>
      <c r="R108" s="17">
        <f t="shared" si="12"/>
        <v>34487.762000000002</v>
      </c>
      <c r="S108" s="17">
        <f t="shared" si="15"/>
        <v>0</v>
      </c>
      <c r="T108" s="17">
        <f t="shared" si="16"/>
        <v>34487.762000000002</v>
      </c>
      <c r="U108" s="17">
        <f t="shared" si="17"/>
        <v>327633.739</v>
      </c>
    </row>
    <row r="109" spans="1:21">
      <c r="A109" s="17"/>
      <c r="B109" s="17" t="s">
        <v>111</v>
      </c>
      <c r="C109" s="17">
        <v>3667</v>
      </c>
      <c r="D109" s="17" t="s">
        <v>115</v>
      </c>
      <c r="E109" s="17">
        <v>189847</v>
      </c>
      <c r="F109" s="17"/>
      <c r="G109" s="17">
        <v>2017</v>
      </c>
      <c r="H109" s="17">
        <v>12</v>
      </c>
      <c r="I109" s="8">
        <v>0</v>
      </c>
      <c r="J109" s="17" t="s">
        <v>78</v>
      </c>
      <c r="K109" s="17">
        <v>10</v>
      </c>
      <c r="L109" s="17">
        <f t="shared" si="9"/>
        <v>2027</v>
      </c>
      <c r="M109" s="17">
        <f t="shared" si="13"/>
        <v>2028</v>
      </c>
      <c r="N109" s="17">
        <v>345348.48</v>
      </c>
      <c r="O109" s="17">
        <f t="shared" si="10"/>
        <v>345348.48</v>
      </c>
      <c r="P109" s="17">
        <f t="shared" si="11"/>
        <v>2877.904</v>
      </c>
      <c r="Q109" s="17">
        <f t="shared" si="14"/>
        <v>34534.847999999998</v>
      </c>
      <c r="R109" s="17">
        <f t="shared" si="12"/>
        <v>34534.847999999998</v>
      </c>
      <c r="S109" s="17">
        <f t="shared" si="15"/>
        <v>0</v>
      </c>
      <c r="T109" s="17">
        <f t="shared" si="16"/>
        <v>34534.847999999998</v>
      </c>
      <c r="U109" s="17">
        <f t="shared" si="17"/>
        <v>328081.05599999998</v>
      </c>
    </row>
    <row r="110" spans="1:21">
      <c r="A110" s="17"/>
      <c r="B110" s="17" t="s">
        <v>101</v>
      </c>
      <c r="C110" s="17">
        <v>1080</v>
      </c>
      <c r="D110" s="17" t="s">
        <v>116</v>
      </c>
      <c r="E110" s="17">
        <v>189845</v>
      </c>
      <c r="F110" s="17"/>
      <c r="G110" s="17">
        <v>2017</v>
      </c>
      <c r="H110" s="17">
        <v>11</v>
      </c>
      <c r="I110" s="8">
        <v>0</v>
      </c>
      <c r="J110" s="17" t="s">
        <v>78</v>
      </c>
      <c r="K110" s="17">
        <v>10</v>
      </c>
      <c r="L110" s="17">
        <f t="shared" si="9"/>
        <v>2027</v>
      </c>
      <c r="M110" s="17">
        <f t="shared" si="13"/>
        <v>2027.9166666666667</v>
      </c>
      <c r="N110" s="17">
        <v>230038.72</v>
      </c>
      <c r="O110" s="17">
        <f t="shared" si="10"/>
        <v>230038.72</v>
      </c>
      <c r="P110" s="17">
        <f t="shared" si="11"/>
        <v>1916.9893333333332</v>
      </c>
      <c r="Q110" s="17">
        <f t="shared" si="14"/>
        <v>23003.871999999999</v>
      </c>
      <c r="R110" s="17">
        <f t="shared" si="12"/>
        <v>23003.871999999999</v>
      </c>
      <c r="S110" s="17">
        <f t="shared" si="15"/>
        <v>0</v>
      </c>
      <c r="T110" s="17">
        <f t="shared" si="16"/>
        <v>23003.871999999999</v>
      </c>
      <c r="U110" s="17">
        <f t="shared" si="17"/>
        <v>218536.78399999999</v>
      </c>
    </row>
    <row r="111" spans="1:21">
      <c r="A111" s="17"/>
      <c r="B111" s="17" t="s">
        <v>111</v>
      </c>
      <c r="C111" s="17">
        <v>3661</v>
      </c>
      <c r="D111" s="17" t="s">
        <v>115</v>
      </c>
      <c r="E111" s="17">
        <v>189843</v>
      </c>
      <c r="F111" s="17"/>
      <c r="G111" s="17">
        <v>2017</v>
      </c>
      <c r="H111" s="17">
        <v>11</v>
      </c>
      <c r="I111" s="8">
        <v>0</v>
      </c>
      <c r="J111" s="17" t="s">
        <v>78</v>
      </c>
      <c r="K111" s="17">
        <v>10</v>
      </c>
      <c r="L111" s="17">
        <f t="shared" si="9"/>
        <v>2027</v>
      </c>
      <c r="M111" s="17">
        <f t="shared" si="13"/>
        <v>2027.9166666666667</v>
      </c>
      <c r="N111" s="17">
        <v>336216.89</v>
      </c>
      <c r="O111" s="17">
        <f t="shared" si="10"/>
        <v>336216.89</v>
      </c>
      <c r="P111" s="17">
        <f t="shared" si="11"/>
        <v>2801.8074166666665</v>
      </c>
      <c r="Q111" s="17">
        <f t="shared" si="14"/>
        <v>33621.688999999998</v>
      </c>
      <c r="R111" s="17">
        <f t="shared" si="12"/>
        <v>33621.688999999998</v>
      </c>
      <c r="S111" s="17">
        <f t="shared" si="15"/>
        <v>0</v>
      </c>
      <c r="T111" s="17">
        <f t="shared" si="16"/>
        <v>33621.688999999998</v>
      </c>
      <c r="U111" s="17">
        <f t="shared" si="17"/>
        <v>319406.04550000001</v>
      </c>
    </row>
    <row r="112" spans="1:21">
      <c r="A112" s="17"/>
      <c r="B112" s="17" t="s">
        <v>117</v>
      </c>
      <c r="C112" s="17">
        <v>2049</v>
      </c>
      <c r="D112" s="17" t="s">
        <v>118</v>
      </c>
      <c r="E112" s="17">
        <v>189842</v>
      </c>
      <c r="F112" s="17"/>
      <c r="G112" s="17">
        <v>2017</v>
      </c>
      <c r="H112" s="17">
        <v>11</v>
      </c>
      <c r="I112" s="8">
        <v>0</v>
      </c>
      <c r="J112" s="17" t="s">
        <v>78</v>
      </c>
      <c r="K112" s="17">
        <v>10</v>
      </c>
      <c r="L112" s="17">
        <f t="shared" si="9"/>
        <v>2027</v>
      </c>
      <c r="M112" s="17">
        <f t="shared" si="13"/>
        <v>2027.9166666666667</v>
      </c>
      <c r="N112" s="17">
        <v>318612.62</v>
      </c>
      <c r="O112" s="17">
        <f t="shared" si="10"/>
        <v>318612.62</v>
      </c>
      <c r="P112" s="17">
        <f t="shared" si="11"/>
        <v>2655.1051666666667</v>
      </c>
      <c r="Q112" s="17">
        <f t="shared" si="14"/>
        <v>31861.262000000002</v>
      </c>
      <c r="R112" s="17">
        <f t="shared" si="12"/>
        <v>31861.262000000002</v>
      </c>
      <c r="S112" s="17">
        <f t="shared" si="15"/>
        <v>0</v>
      </c>
      <c r="T112" s="17">
        <f t="shared" si="16"/>
        <v>31861.262000000002</v>
      </c>
      <c r="U112" s="17">
        <f t="shared" si="17"/>
        <v>302681.989</v>
      </c>
    </row>
    <row r="113" spans="1:21">
      <c r="A113" s="17"/>
      <c r="B113" s="17" t="s">
        <v>111</v>
      </c>
      <c r="C113" s="17">
        <v>3660</v>
      </c>
      <c r="D113" s="17" t="s">
        <v>115</v>
      </c>
      <c r="E113" s="17" t="s">
        <v>213</v>
      </c>
      <c r="F113" s="17"/>
      <c r="G113" s="17">
        <v>2017</v>
      </c>
      <c r="H113" s="17">
        <v>11</v>
      </c>
      <c r="I113" s="8">
        <v>0</v>
      </c>
      <c r="J113" s="17" t="s">
        <v>78</v>
      </c>
      <c r="K113" s="17">
        <v>10</v>
      </c>
      <c r="L113" s="17">
        <f t="shared" si="9"/>
        <v>2027</v>
      </c>
      <c r="M113" s="17">
        <f t="shared" si="13"/>
        <v>2027.9166666666667</v>
      </c>
      <c r="N113" s="17">
        <v>336142.23</v>
      </c>
      <c r="O113" s="17">
        <f t="shared" si="10"/>
        <v>336142.23</v>
      </c>
      <c r="P113" s="17">
        <f t="shared" si="11"/>
        <v>2801.18525</v>
      </c>
      <c r="Q113" s="17">
        <f t="shared" si="14"/>
        <v>33614.222999999998</v>
      </c>
      <c r="R113" s="17">
        <f t="shared" si="12"/>
        <v>33614.222999999998</v>
      </c>
      <c r="S113" s="17">
        <f t="shared" si="15"/>
        <v>0</v>
      </c>
      <c r="T113" s="17">
        <f t="shared" si="16"/>
        <v>33614.222999999998</v>
      </c>
      <c r="U113" s="17">
        <f t="shared" si="17"/>
        <v>319335.11849999998</v>
      </c>
    </row>
    <row r="114" spans="1:21">
      <c r="A114" s="17"/>
      <c r="B114" s="17" t="s">
        <v>101</v>
      </c>
      <c r="C114" s="17">
        <v>1081</v>
      </c>
      <c r="D114" s="17" t="s">
        <v>116</v>
      </c>
      <c r="E114" s="17" t="s">
        <v>119</v>
      </c>
      <c r="F114" s="17"/>
      <c r="G114" s="17">
        <v>2017</v>
      </c>
      <c r="H114" s="17">
        <v>10</v>
      </c>
      <c r="I114" s="8">
        <v>0</v>
      </c>
      <c r="J114" s="17" t="s">
        <v>78</v>
      </c>
      <c r="K114" s="17">
        <v>10</v>
      </c>
      <c r="L114" s="17">
        <f t="shared" si="9"/>
        <v>2027</v>
      </c>
      <c r="M114" s="17">
        <f t="shared" si="13"/>
        <v>2027.8333333333333</v>
      </c>
      <c r="N114" s="17">
        <v>227561.93</v>
      </c>
      <c r="O114" s="17">
        <f t="shared" si="10"/>
        <v>227561.93</v>
      </c>
      <c r="P114" s="17">
        <f t="shared" si="11"/>
        <v>1896.3494166666667</v>
      </c>
      <c r="Q114" s="17">
        <f t="shared" si="14"/>
        <v>22756.192999999999</v>
      </c>
      <c r="R114" s="17">
        <f t="shared" si="12"/>
        <v>22756.192999999999</v>
      </c>
      <c r="S114" s="17">
        <f t="shared" si="15"/>
        <v>0</v>
      </c>
      <c r="T114" s="17">
        <f t="shared" si="16"/>
        <v>22756.192999999999</v>
      </c>
      <c r="U114" s="17">
        <f t="shared" si="17"/>
        <v>216183.83350000001</v>
      </c>
    </row>
    <row r="115" spans="1:21">
      <c r="A115" s="17"/>
      <c r="B115" s="17" t="s">
        <v>101</v>
      </c>
      <c r="C115" s="17">
        <v>1081</v>
      </c>
      <c r="D115" s="17" t="s">
        <v>120</v>
      </c>
      <c r="E115" s="17">
        <v>189409</v>
      </c>
      <c r="F115" s="17">
        <v>187603</v>
      </c>
      <c r="G115" s="17">
        <v>2017</v>
      </c>
      <c r="H115" s="17">
        <v>10</v>
      </c>
      <c r="I115" s="8">
        <v>0</v>
      </c>
      <c r="J115" s="17" t="s">
        <v>78</v>
      </c>
      <c r="K115" s="17">
        <v>5</v>
      </c>
      <c r="L115" s="17">
        <f t="shared" si="9"/>
        <v>2022</v>
      </c>
      <c r="M115" s="17">
        <f t="shared" si="13"/>
        <v>2022.8333333333333</v>
      </c>
      <c r="N115" s="17">
        <v>470.89</v>
      </c>
      <c r="O115" s="17">
        <f t="shared" si="10"/>
        <v>470.89</v>
      </c>
      <c r="P115" s="17">
        <f t="shared" si="11"/>
        <v>7.8481666666666667</v>
      </c>
      <c r="Q115" s="17">
        <f t="shared" si="14"/>
        <v>94.177999999999997</v>
      </c>
      <c r="R115" s="17">
        <f t="shared" si="12"/>
        <v>94.177999999999997</v>
      </c>
      <c r="S115" s="17">
        <f t="shared" si="15"/>
        <v>0</v>
      </c>
      <c r="T115" s="17">
        <f t="shared" si="16"/>
        <v>94.177999999999997</v>
      </c>
      <c r="U115" s="17">
        <f t="shared" si="17"/>
        <v>423.80099999999999</v>
      </c>
    </row>
    <row r="116" spans="1:21">
      <c r="A116" s="17"/>
      <c r="B116" s="17" t="s">
        <v>101</v>
      </c>
      <c r="C116" s="17">
        <v>1081</v>
      </c>
      <c r="D116" s="17" t="s">
        <v>121</v>
      </c>
      <c r="E116" s="17">
        <v>188505</v>
      </c>
      <c r="F116" s="17">
        <v>187603</v>
      </c>
      <c r="G116" s="17">
        <v>2017</v>
      </c>
      <c r="H116" s="17">
        <v>10</v>
      </c>
      <c r="I116" s="8">
        <v>0</v>
      </c>
      <c r="J116" s="17" t="s">
        <v>78</v>
      </c>
      <c r="K116" s="17">
        <v>5</v>
      </c>
      <c r="L116" s="17">
        <f t="shared" si="9"/>
        <v>2022</v>
      </c>
      <c r="M116" s="17">
        <f t="shared" si="13"/>
        <v>2022.8333333333333</v>
      </c>
      <c r="N116" s="17">
        <v>995.61</v>
      </c>
      <c r="O116" s="17">
        <f t="shared" si="10"/>
        <v>995.61</v>
      </c>
      <c r="P116" s="17">
        <f t="shared" si="11"/>
        <v>16.593500000000002</v>
      </c>
      <c r="Q116" s="17">
        <f t="shared" si="14"/>
        <v>199.12200000000001</v>
      </c>
      <c r="R116" s="17">
        <f t="shared" si="12"/>
        <v>199.12200000000001</v>
      </c>
      <c r="S116" s="17">
        <f t="shared" si="15"/>
        <v>0</v>
      </c>
      <c r="T116" s="17">
        <f t="shared" si="16"/>
        <v>199.12200000000001</v>
      </c>
      <c r="U116" s="17">
        <f t="shared" si="17"/>
        <v>896.04899999999998</v>
      </c>
    </row>
    <row r="117" spans="1:21">
      <c r="A117" s="17"/>
      <c r="B117" s="17" t="s">
        <v>111</v>
      </c>
      <c r="C117" s="17"/>
      <c r="D117" s="17" t="s">
        <v>122</v>
      </c>
      <c r="E117" s="17">
        <v>191849</v>
      </c>
      <c r="F117" s="17">
        <v>189847</v>
      </c>
      <c r="G117" s="17">
        <v>2018</v>
      </c>
      <c r="H117" s="17">
        <v>1</v>
      </c>
      <c r="I117" s="8">
        <v>0</v>
      </c>
      <c r="J117" s="17" t="s">
        <v>78</v>
      </c>
      <c r="K117" s="17">
        <v>10</v>
      </c>
      <c r="L117" s="17">
        <f t="shared" si="9"/>
        <v>2028</v>
      </c>
      <c r="M117" s="17">
        <f t="shared" si="13"/>
        <v>2028.0833333333333</v>
      </c>
      <c r="N117" s="17">
        <v>1069.3900000000001</v>
      </c>
      <c r="O117" s="17">
        <f t="shared" si="10"/>
        <v>1069.3900000000001</v>
      </c>
      <c r="P117" s="17">
        <f t="shared" si="11"/>
        <v>8.9115833333333345</v>
      </c>
      <c r="Q117" s="17">
        <f t="shared" si="14"/>
        <v>106.93900000000002</v>
      </c>
      <c r="R117" s="17">
        <f t="shared" si="12"/>
        <v>106.93900000000002</v>
      </c>
      <c r="S117" s="17">
        <f t="shared" si="15"/>
        <v>0</v>
      </c>
      <c r="T117" s="17">
        <f t="shared" si="16"/>
        <v>106.93900000000002</v>
      </c>
      <c r="U117" s="17">
        <f t="shared" si="17"/>
        <v>1015.9205000000001</v>
      </c>
    </row>
    <row r="118" spans="1:21">
      <c r="A118" s="17"/>
      <c r="B118" s="17" t="s">
        <v>111</v>
      </c>
      <c r="C118" s="17"/>
      <c r="D118" s="17" t="s">
        <v>123</v>
      </c>
      <c r="E118" s="17">
        <v>191850</v>
      </c>
      <c r="F118" s="17">
        <v>189848</v>
      </c>
      <c r="G118" s="17">
        <v>2018</v>
      </c>
      <c r="H118" s="17">
        <v>1</v>
      </c>
      <c r="I118" s="8">
        <v>0</v>
      </c>
      <c r="J118" s="17" t="s">
        <v>78</v>
      </c>
      <c r="K118" s="17">
        <v>10</v>
      </c>
      <c r="L118" s="17">
        <f t="shared" si="9"/>
        <v>2028</v>
      </c>
      <c r="M118" s="17">
        <f t="shared" si="13"/>
        <v>2028.0833333333333</v>
      </c>
      <c r="N118" s="17">
        <v>1069.3900000000001</v>
      </c>
      <c r="O118" s="17">
        <f t="shared" si="10"/>
        <v>1069.3900000000001</v>
      </c>
      <c r="P118" s="17">
        <f t="shared" si="11"/>
        <v>8.9115833333333345</v>
      </c>
      <c r="Q118" s="17">
        <f>P118*12</f>
        <v>106.93900000000002</v>
      </c>
      <c r="R118" s="17">
        <f t="shared" si="12"/>
        <v>106.93900000000002</v>
      </c>
      <c r="S118" s="17">
        <f t="shared" si="15"/>
        <v>0</v>
      </c>
      <c r="T118" s="17">
        <f t="shared" si="16"/>
        <v>106.93900000000002</v>
      </c>
      <c r="U118" s="17">
        <f t="shared" si="17"/>
        <v>1015.9205000000001</v>
      </c>
    </row>
    <row r="120" spans="1:21">
      <c r="A120" s="17"/>
      <c r="B120" s="17"/>
      <c r="C120" s="17"/>
      <c r="D120" s="17"/>
      <c r="E120" s="17"/>
      <c r="F120" s="17"/>
      <c r="G120" s="17"/>
      <c r="H120" s="17"/>
      <c r="J120" s="17"/>
      <c r="K120" s="17"/>
      <c r="L120" s="17" t="s">
        <v>143</v>
      </c>
      <c r="M120" s="17"/>
      <c r="N120" s="17">
        <f t="shared" ref="N120:U120" si="18">SUM(N15:N119)</f>
        <v>15171862.360737707</v>
      </c>
      <c r="O120" s="17">
        <f t="shared" si="18"/>
        <v>13211959.728737706</v>
      </c>
      <c r="P120" s="17">
        <f t="shared" si="18"/>
        <v>142112.13835435853</v>
      </c>
      <c r="Q120" s="17">
        <f t="shared" si="18"/>
        <v>1705345.6602523029</v>
      </c>
      <c r="R120" s="17">
        <f t="shared" si="18"/>
        <v>1117533.2243942854</v>
      </c>
      <c r="S120" s="17">
        <f t="shared" si="18"/>
        <v>7060573.9412062783</v>
      </c>
      <c r="T120" s="17">
        <f t="shared" si="18"/>
        <v>6218204.5336005623</v>
      </c>
      <c r="U120" s="17">
        <f t="shared" si="18"/>
        <v>8063240.7911342829</v>
      </c>
    </row>
    <row r="122" spans="1:21">
      <c r="A122" s="17"/>
      <c r="B122" s="17" t="s">
        <v>1040</v>
      </c>
      <c r="C122" s="17"/>
      <c r="D122" s="17"/>
      <c r="E122" s="17"/>
      <c r="F122" s="17"/>
      <c r="G122" s="17"/>
      <c r="H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>
      <c r="A123" s="17" t="s">
        <v>265</v>
      </c>
      <c r="B123" s="17" t="s">
        <v>111</v>
      </c>
      <c r="C123" s="17">
        <v>3633</v>
      </c>
      <c r="D123" s="17" t="s">
        <v>224</v>
      </c>
      <c r="E123" s="17" t="s">
        <v>225</v>
      </c>
      <c r="F123" s="17"/>
      <c r="G123" s="17">
        <v>2012</v>
      </c>
      <c r="H123" s="17">
        <v>9</v>
      </c>
      <c r="I123" s="8">
        <v>0.2</v>
      </c>
      <c r="J123" s="17" t="s">
        <v>78</v>
      </c>
      <c r="K123" s="17">
        <v>7</v>
      </c>
      <c r="L123" s="17">
        <f>G123+K123</f>
        <v>2019</v>
      </c>
      <c r="M123" s="17">
        <f>+L123+(H123/12)</f>
        <v>2019.75</v>
      </c>
      <c r="N123" s="17">
        <f>314012-63</f>
        <v>313949</v>
      </c>
      <c r="O123" s="17">
        <f>N123-N123*I123</f>
        <v>251159.2</v>
      </c>
      <c r="P123" s="17">
        <f>O123/K123/12</f>
        <v>2989.9904761904763</v>
      </c>
      <c r="Q123" s="17">
        <f>P123*12</f>
        <v>35879.885714285716</v>
      </c>
      <c r="R123" s="17">
        <f>+IF(M123&lt;=$O$6,0,IF(L123&gt;$O$5,Q123,(P123*G123)))</f>
        <v>35879.885714285716</v>
      </c>
      <c r="S123" s="17">
        <f>+IF(R123=0,N123,IF($O$5-G123&lt;1,0,(($O$5-G123)*Q123)))</f>
        <v>179399.42857142858</v>
      </c>
      <c r="T123" s="17">
        <f>+IF(R123=0,S123,S123+R123)-(N123-O123)</f>
        <v>152489.51428571431</v>
      </c>
      <c r="U123" s="17">
        <f>+IF(R123=0,0,((N123-S123)+(N123-T123))/2)</f>
        <v>148004.52857142856</v>
      </c>
    </row>
    <row r="124" spans="1:21">
      <c r="A124" s="17"/>
      <c r="B124" s="17" t="s">
        <v>111</v>
      </c>
      <c r="C124" s="17">
        <v>3643</v>
      </c>
      <c r="D124" s="17" t="s">
        <v>205</v>
      </c>
      <c r="E124" s="17" t="s">
        <v>206</v>
      </c>
      <c r="F124" s="17"/>
      <c r="G124" s="17">
        <v>2015</v>
      </c>
      <c r="H124" s="17">
        <v>5</v>
      </c>
      <c r="I124" s="8">
        <v>0.2</v>
      </c>
      <c r="J124" s="17" t="s">
        <v>78</v>
      </c>
      <c r="K124" s="17">
        <v>7</v>
      </c>
      <c r="L124" s="17">
        <f>G124+K124</f>
        <v>2022</v>
      </c>
      <c r="M124" s="17">
        <f>+L124+(H124/12)</f>
        <v>2022.4166666666667</v>
      </c>
      <c r="N124" s="17">
        <f>339958.46+5973.14</f>
        <v>345931.60000000003</v>
      </c>
      <c r="O124" s="17">
        <f>N124-N124*I124</f>
        <v>276745.28000000003</v>
      </c>
      <c r="P124" s="17">
        <f>O124/K124/12</f>
        <v>3294.5866666666666</v>
      </c>
      <c r="Q124" s="17">
        <f>P124*12</f>
        <v>39535.040000000001</v>
      </c>
      <c r="R124" s="17">
        <f>+IF(M124&lt;=$O$6,0,IF(L124&gt;$O$5,Q124,(P124*G124)))</f>
        <v>39535.040000000001</v>
      </c>
      <c r="S124" s="17">
        <f>+IF(R124=0,N124,IF($O$5-G124&lt;1,0,(($O$5-G124)*Q124)))</f>
        <v>79070.080000000002</v>
      </c>
      <c r="T124" s="17">
        <f>+IF(R124=0,S124,S124+R124)-(N124-O124)</f>
        <v>49418.799999999988</v>
      </c>
      <c r="U124" s="17">
        <f>+IF(R124=0,0,((N124-S124)+(N124-T124))/2)</f>
        <v>281687.16000000003</v>
      </c>
    </row>
    <row r="125" spans="1:21">
      <c r="A125" s="17" t="s">
        <v>265</v>
      </c>
      <c r="B125" s="17" t="s">
        <v>117</v>
      </c>
      <c r="C125" s="17">
        <v>2048</v>
      </c>
      <c r="D125" s="17" t="s">
        <v>118</v>
      </c>
      <c r="E125" s="17" t="s">
        <v>266</v>
      </c>
      <c r="F125" s="17"/>
      <c r="G125" s="17">
        <v>2017</v>
      </c>
      <c r="H125" s="17">
        <v>9</v>
      </c>
      <c r="I125" s="8">
        <v>0</v>
      </c>
      <c r="J125" s="17" t="s">
        <v>78</v>
      </c>
      <c r="K125" s="17">
        <v>10</v>
      </c>
      <c r="L125" s="17">
        <f>G125+K125</f>
        <v>2027</v>
      </c>
      <c r="M125" s="17">
        <f>+L125+(H125/12)</f>
        <v>2027.75</v>
      </c>
      <c r="N125" s="17">
        <v>317746.40000000002</v>
      </c>
      <c r="O125" s="17">
        <f>N125-N125*I125</f>
        <v>317746.40000000002</v>
      </c>
      <c r="P125" s="17">
        <f>O125/K125/12</f>
        <v>2647.8866666666668</v>
      </c>
      <c r="Q125" s="17">
        <f>P125*12</f>
        <v>31774.639999999999</v>
      </c>
      <c r="R125" s="17">
        <f>+IF(M125&lt;=$O$6,0,IF(L125&gt;$O$5,Q125,(P125*G125)))</f>
        <v>31774.639999999999</v>
      </c>
      <c r="S125" s="17">
        <f>+IF(R125=0,N125,IF($O$5-G125&lt;1,0,(($O$5-G125)*Q125)))</f>
        <v>0</v>
      </c>
      <c r="T125" s="17">
        <f>+IF(R125=0,S125,S125+R125)-(N125-O125)</f>
        <v>31774.639999999999</v>
      </c>
      <c r="U125" s="17">
        <f>+IF(R125=0,0,((N125-S125)+(N125-T125))/2)</f>
        <v>301859.08</v>
      </c>
    </row>
    <row r="127" spans="1:21">
      <c r="A127" s="17"/>
      <c r="B127" s="17"/>
      <c r="C127" s="17"/>
      <c r="D127" s="17"/>
      <c r="E127" s="17"/>
      <c r="F127" s="17"/>
      <c r="G127" s="17"/>
      <c r="H127" s="17"/>
      <c r="J127" s="17"/>
      <c r="K127" s="17"/>
      <c r="L127" s="17" t="s">
        <v>147</v>
      </c>
      <c r="M127" s="17"/>
      <c r="N127" s="17">
        <f t="shared" ref="N127:U127" si="19">SUM(N123:N126)</f>
        <v>977627.00000000012</v>
      </c>
      <c r="O127" s="17">
        <f t="shared" si="19"/>
        <v>845650.88</v>
      </c>
      <c r="P127" s="17">
        <f t="shared" si="19"/>
        <v>8932.4638095238097</v>
      </c>
      <c r="Q127" s="17">
        <f t="shared" si="19"/>
        <v>107189.56571428572</v>
      </c>
      <c r="R127" s="17">
        <f t="shared" si="19"/>
        <v>107189.56571428572</v>
      </c>
      <c r="S127" s="17">
        <f t="shared" si="19"/>
        <v>258469.5085714286</v>
      </c>
      <c r="T127" s="17">
        <f t="shared" si="19"/>
        <v>233682.95428571431</v>
      </c>
      <c r="U127" s="17">
        <f t="shared" si="19"/>
        <v>731550.76857142861</v>
      </c>
    </row>
    <row r="129" spans="1:24">
      <c r="A129" s="17"/>
      <c r="B129" s="17" t="s">
        <v>1041</v>
      </c>
      <c r="C129" s="17"/>
      <c r="D129" s="17"/>
      <c r="E129" s="17"/>
      <c r="F129" s="17"/>
      <c r="G129" s="17"/>
      <c r="H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</row>
    <row r="131" spans="1:24">
      <c r="A131" s="17"/>
      <c r="B131" s="17"/>
      <c r="C131" s="17">
        <v>11085</v>
      </c>
      <c r="D131" s="17" t="s">
        <v>81</v>
      </c>
      <c r="E131" s="17"/>
      <c r="F131" s="17"/>
      <c r="G131" s="17">
        <v>2004</v>
      </c>
      <c r="H131" s="17">
        <v>12</v>
      </c>
      <c r="I131" s="8">
        <v>0.2</v>
      </c>
      <c r="J131" s="17" t="s">
        <v>78</v>
      </c>
      <c r="K131" s="17">
        <v>5</v>
      </c>
      <c r="L131" s="17">
        <f t="shared" ref="L131:L174" si="20">G131+K131</f>
        <v>2009</v>
      </c>
      <c r="M131" s="17">
        <f>+L131+(H131/12)</f>
        <v>2010</v>
      </c>
      <c r="N131" s="17">
        <f>154600.26*6/36</f>
        <v>25766.710000000003</v>
      </c>
      <c r="O131" s="17">
        <f t="shared" ref="O131:O174" si="21">N131-N131*I131</f>
        <v>20613.368000000002</v>
      </c>
      <c r="P131" s="17">
        <f t="shared" ref="P131:P174" si="22">O131/K131/12</f>
        <v>343.55613333333332</v>
      </c>
      <c r="Q131" s="17">
        <f t="shared" ref="Q131:Q174" si="23">P131*12</f>
        <v>4122.6736000000001</v>
      </c>
      <c r="R131" s="17">
        <f t="shared" ref="R131:R174" si="24">+IF(M131&lt;=$O$6,0,IF(L131&gt;$O$5,Q131,(P131*G131)))</f>
        <v>0</v>
      </c>
      <c r="S131" s="17">
        <f t="shared" ref="S131:S174" si="25">+IF(R131=0,N131,IF($O$5-G131&lt;1,0,(($O$5-G131)*Q131)))</f>
        <v>25766.710000000003</v>
      </c>
      <c r="T131" s="17">
        <f t="shared" ref="T131:T174" si="26">+IF(R131=0,S131,S131+R131)-(N131-O131)</f>
        <v>20613.368000000002</v>
      </c>
      <c r="U131" s="17">
        <f t="shared" ref="U131:U174" si="27">+IF(R131=0,0,((N131-S131)+(N131-T131))/2)</f>
        <v>0</v>
      </c>
      <c r="V131" s="17"/>
      <c r="W131" s="17"/>
      <c r="X131" s="17" t="s">
        <v>300</v>
      </c>
    </row>
    <row r="132" spans="1:24">
      <c r="A132" s="17" t="s">
        <v>151</v>
      </c>
      <c r="B132" s="17" t="s">
        <v>152</v>
      </c>
      <c r="C132" s="17">
        <v>4042</v>
      </c>
      <c r="D132" s="17" t="s">
        <v>344</v>
      </c>
      <c r="E132" s="17"/>
      <c r="F132" s="17"/>
      <c r="G132" s="17">
        <v>2005</v>
      </c>
      <c r="H132" s="17">
        <v>9</v>
      </c>
      <c r="I132" s="8">
        <v>0.2</v>
      </c>
      <c r="J132" s="17" t="s">
        <v>78</v>
      </c>
      <c r="K132" s="17">
        <v>7</v>
      </c>
      <c r="L132" s="17">
        <f t="shared" si="20"/>
        <v>2012</v>
      </c>
      <c r="M132" s="17">
        <f t="shared" ref="M132:M174" si="28">+L132+(H132/12)</f>
        <v>2012.75</v>
      </c>
      <c r="N132" s="17">
        <v>146156.70000000001</v>
      </c>
      <c r="O132" s="17">
        <f t="shared" si="21"/>
        <v>116925.36000000002</v>
      </c>
      <c r="P132" s="17">
        <f t="shared" si="22"/>
        <v>1391.9685714285715</v>
      </c>
      <c r="Q132" s="17">
        <f t="shared" si="23"/>
        <v>16703.622857142858</v>
      </c>
      <c r="R132" s="17">
        <f t="shared" si="24"/>
        <v>0</v>
      </c>
      <c r="S132" s="17">
        <f t="shared" si="25"/>
        <v>146156.70000000001</v>
      </c>
      <c r="T132" s="17">
        <f t="shared" si="26"/>
        <v>116925.36000000002</v>
      </c>
      <c r="U132" s="17">
        <f t="shared" si="27"/>
        <v>0</v>
      </c>
      <c r="V132" s="17"/>
      <c r="W132" s="17"/>
      <c r="X132" s="17" t="s">
        <v>300</v>
      </c>
    </row>
    <row r="133" spans="1:24">
      <c r="A133" s="17" t="s">
        <v>151</v>
      </c>
      <c r="B133" s="17" t="s">
        <v>152</v>
      </c>
      <c r="C133" s="17">
        <v>4051</v>
      </c>
      <c r="D133" s="17" t="s">
        <v>342</v>
      </c>
      <c r="E133" s="17"/>
      <c r="F133" s="17"/>
      <c r="G133" s="17">
        <v>2006</v>
      </c>
      <c r="H133" s="17">
        <v>5</v>
      </c>
      <c r="I133" s="8">
        <v>0.2</v>
      </c>
      <c r="J133" s="17" t="s">
        <v>78</v>
      </c>
      <c r="K133" s="17">
        <v>7</v>
      </c>
      <c r="L133" s="17">
        <f t="shared" si="20"/>
        <v>2013</v>
      </c>
      <c r="M133" s="17">
        <f t="shared" si="28"/>
        <v>2013.4166666666667</v>
      </c>
      <c r="N133" s="17">
        <f>145020.18+3916.8</f>
        <v>148936.97999999998</v>
      </c>
      <c r="O133" s="17">
        <f t="shared" si="21"/>
        <v>119149.58399999999</v>
      </c>
      <c r="P133" s="17">
        <f t="shared" si="22"/>
        <v>1418.4474285714284</v>
      </c>
      <c r="Q133" s="17">
        <f t="shared" si="23"/>
        <v>17021.36914285714</v>
      </c>
      <c r="R133" s="17">
        <f t="shared" si="24"/>
        <v>0</v>
      </c>
      <c r="S133" s="17">
        <f t="shared" si="25"/>
        <v>148936.97999999998</v>
      </c>
      <c r="T133" s="17">
        <f t="shared" si="26"/>
        <v>119149.58399999999</v>
      </c>
      <c r="U133" s="17">
        <f t="shared" si="27"/>
        <v>0</v>
      </c>
      <c r="V133" s="17"/>
      <c r="W133" s="17"/>
      <c r="X133" s="17" t="s">
        <v>300</v>
      </c>
    </row>
    <row r="134" spans="1:24">
      <c r="A134" s="17" t="s">
        <v>151</v>
      </c>
      <c r="B134" s="17" t="s">
        <v>152</v>
      </c>
      <c r="C134" s="17">
        <v>4052</v>
      </c>
      <c r="D134" s="17" t="s">
        <v>433</v>
      </c>
      <c r="E134" s="17"/>
      <c r="F134" s="17"/>
      <c r="G134" s="17">
        <v>2006</v>
      </c>
      <c r="H134" s="17">
        <v>12</v>
      </c>
      <c r="I134" s="8">
        <v>0.2</v>
      </c>
      <c r="J134" s="17" t="s">
        <v>78</v>
      </c>
      <c r="K134" s="17">
        <v>7</v>
      </c>
      <c r="L134" s="17">
        <f t="shared" si="20"/>
        <v>2013</v>
      </c>
      <c r="M134" s="17">
        <f t="shared" si="28"/>
        <v>2014</v>
      </c>
      <c r="N134" s="17">
        <v>155452.04</v>
      </c>
      <c r="O134" s="17">
        <f t="shared" si="21"/>
        <v>124361.63200000001</v>
      </c>
      <c r="P134" s="17">
        <f t="shared" si="22"/>
        <v>1480.4956190476194</v>
      </c>
      <c r="Q134" s="17">
        <f t="shared" si="23"/>
        <v>17765.947428571431</v>
      </c>
      <c r="R134" s="17">
        <f t="shared" si="24"/>
        <v>0</v>
      </c>
      <c r="S134" s="17">
        <f t="shared" si="25"/>
        <v>155452.04</v>
      </c>
      <c r="T134" s="17">
        <f t="shared" si="26"/>
        <v>124361.63200000001</v>
      </c>
      <c r="U134" s="17">
        <f t="shared" si="27"/>
        <v>0</v>
      </c>
      <c r="V134" s="17"/>
      <c r="W134" s="17"/>
      <c r="X134" s="17" t="s">
        <v>300</v>
      </c>
    </row>
    <row r="135" spans="1:24">
      <c r="A135" s="17"/>
      <c r="B135" s="17"/>
      <c r="C135" s="17"/>
      <c r="D135" s="17" t="s">
        <v>87</v>
      </c>
      <c r="E135" s="17" t="s">
        <v>88</v>
      </c>
      <c r="F135" s="17"/>
      <c r="G135" s="17">
        <v>2006</v>
      </c>
      <c r="H135" s="17">
        <v>12</v>
      </c>
      <c r="I135" s="8">
        <v>0</v>
      </c>
      <c r="J135" s="17" t="s">
        <v>78</v>
      </c>
      <c r="K135" s="17">
        <v>5</v>
      </c>
      <c r="L135" s="17">
        <f t="shared" si="20"/>
        <v>2011</v>
      </c>
      <c r="M135" s="17">
        <f t="shared" si="28"/>
        <v>2012</v>
      </c>
      <c r="N135" s="17">
        <f>(9918.49+20060.36+141742.3)*6/36</f>
        <v>28620.191666666666</v>
      </c>
      <c r="O135" s="17">
        <f t="shared" si="21"/>
        <v>28620.191666666666</v>
      </c>
      <c r="P135" s="17">
        <f t="shared" si="22"/>
        <v>477.00319444444443</v>
      </c>
      <c r="Q135" s="17">
        <f t="shared" si="23"/>
        <v>5724.038333333333</v>
      </c>
      <c r="R135" s="17">
        <f t="shared" si="24"/>
        <v>0</v>
      </c>
      <c r="S135" s="17">
        <f t="shared" si="25"/>
        <v>28620.191666666666</v>
      </c>
      <c r="T135" s="17">
        <f t="shared" si="26"/>
        <v>28620.191666666666</v>
      </c>
      <c r="U135" s="17">
        <f t="shared" si="27"/>
        <v>0</v>
      </c>
      <c r="V135" s="17"/>
      <c r="W135" s="17"/>
      <c r="X135" s="17" t="s">
        <v>300</v>
      </c>
    </row>
    <row r="136" spans="1:24">
      <c r="A136" s="17" t="s">
        <v>151</v>
      </c>
      <c r="B136" s="17" t="s">
        <v>152</v>
      </c>
      <c r="C136" s="17">
        <v>4056</v>
      </c>
      <c r="D136" s="17" t="s">
        <v>435</v>
      </c>
      <c r="E136" s="17"/>
      <c r="F136" s="17"/>
      <c r="G136" s="17">
        <v>2007</v>
      </c>
      <c r="H136" s="17">
        <v>4</v>
      </c>
      <c r="I136" s="8">
        <v>0.2</v>
      </c>
      <c r="J136" s="17" t="s">
        <v>78</v>
      </c>
      <c r="K136" s="17">
        <v>7</v>
      </c>
      <c r="L136" s="17">
        <f t="shared" si="20"/>
        <v>2014</v>
      </c>
      <c r="M136" s="17">
        <f t="shared" si="28"/>
        <v>2014.3333333333333</v>
      </c>
      <c r="N136" s="17">
        <v>157082.84</v>
      </c>
      <c r="O136" s="17">
        <f t="shared" si="21"/>
        <v>125666.272</v>
      </c>
      <c r="P136" s="17">
        <f t="shared" si="22"/>
        <v>1496.0270476190474</v>
      </c>
      <c r="Q136" s="17">
        <f t="shared" si="23"/>
        <v>17952.324571428569</v>
      </c>
      <c r="R136" s="17">
        <f t="shared" si="24"/>
        <v>0</v>
      </c>
      <c r="S136" s="17">
        <f t="shared" si="25"/>
        <v>157082.84</v>
      </c>
      <c r="T136" s="17">
        <f t="shared" si="26"/>
        <v>125666.272</v>
      </c>
      <c r="U136" s="17">
        <f t="shared" si="27"/>
        <v>0</v>
      </c>
      <c r="V136" s="17"/>
      <c r="W136" s="17"/>
      <c r="X136" s="17" t="s">
        <v>1042</v>
      </c>
    </row>
    <row r="137" spans="1:24">
      <c r="A137" s="17" t="s">
        <v>151</v>
      </c>
      <c r="B137" s="17" t="s">
        <v>152</v>
      </c>
      <c r="C137" s="17">
        <v>4060</v>
      </c>
      <c r="D137" s="17" t="s">
        <v>153</v>
      </c>
      <c r="E137" s="17"/>
      <c r="F137" s="17"/>
      <c r="G137" s="17">
        <v>2007</v>
      </c>
      <c r="H137" s="17">
        <v>9</v>
      </c>
      <c r="I137" s="8">
        <v>0.2</v>
      </c>
      <c r="J137" s="17" t="s">
        <v>78</v>
      </c>
      <c r="K137" s="17">
        <v>7</v>
      </c>
      <c r="L137" s="17">
        <f t="shared" si="20"/>
        <v>2014</v>
      </c>
      <c r="M137" s="17">
        <f t="shared" si="28"/>
        <v>2014.75</v>
      </c>
      <c r="N137" s="17">
        <v>157161.14000000001</v>
      </c>
      <c r="O137" s="17">
        <f t="shared" si="21"/>
        <v>125728.91200000001</v>
      </c>
      <c r="P137" s="17">
        <f t="shared" si="22"/>
        <v>1496.7727619047621</v>
      </c>
      <c r="Q137" s="17">
        <f t="shared" si="23"/>
        <v>17961.273142857146</v>
      </c>
      <c r="R137" s="17">
        <f t="shared" si="24"/>
        <v>0</v>
      </c>
      <c r="S137" s="17">
        <f t="shared" si="25"/>
        <v>157161.14000000001</v>
      </c>
      <c r="T137" s="17">
        <f t="shared" si="26"/>
        <v>125728.91200000001</v>
      </c>
      <c r="U137" s="17">
        <f t="shared" si="27"/>
        <v>0</v>
      </c>
      <c r="V137" s="17"/>
      <c r="W137" s="17"/>
      <c r="X137" s="17" t="s">
        <v>1042</v>
      </c>
    </row>
    <row r="138" spans="1:24">
      <c r="A138" s="17" t="s">
        <v>151</v>
      </c>
      <c r="B138" s="17" t="s">
        <v>152</v>
      </c>
      <c r="C138" s="17">
        <v>4063</v>
      </c>
      <c r="D138" s="17" t="s">
        <v>438</v>
      </c>
      <c r="E138" s="17"/>
      <c r="F138" s="17"/>
      <c r="G138" s="17">
        <v>2007</v>
      </c>
      <c r="H138" s="17">
        <v>11</v>
      </c>
      <c r="I138" s="8">
        <v>0.2</v>
      </c>
      <c r="J138" s="17" t="s">
        <v>78</v>
      </c>
      <c r="K138" s="17">
        <v>7</v>
      </c>
      <c r="L138" s="17">
        <f t="shared" si="20"/>
        <v>2014</v>
      </c>
      <c r="M138" s="17">
        <f t="shared" si="28"/>
        <v>2014.9166666666667</v>
      </c>
      <c r="N138" s="17">
        <v>163233.62</v>
      </c>
      <c r="O138" s="17">
        <f t="shared" si="21"/>
        <v>130586.89599999999</v>
      </c>
      <c r="P138" s="17">
        <f t="shared" si="22"/>
        <v>1554.6059047619046</v>
      </c>
      <c r="Q138" s="17">
        <f t="shared" si="23"/>
        <v>18655.270857142856</v>
      </c>
      <c r="R138" s="17">
        <f t="shared" si="24"/>
        <v>0</v>
      </c>
      <c r="S138" s="17">
        <f t="shared" si="25"/>
        <v>163233.62</v>
      </c>
      <c r="T138" s="17">
        <f t="shared" si="26"/>
        <v>130586.89599999999</v>
      </c>
      <c r="U138" s="17">
        <f t="shared" si="27"/>
        <v>0</v>
      </c>
      <c r="V138" s="17"/>
      <c r="W138" s="17"/>
      <c r="X138" s="17"/>
    </row>
    <row r="139" spans="1:24">
      <c r="A139" s="17" t="s">
        <v>151</v>
      </c>
      <c r="B139" s="17" t="s">
        <v>152</v>
      </c>
      <c r="C139" s="17">
        <v>4070</v>
      </c>
      <c r="D139" s="17" t="s">
        <v>155</v>
      </c>
      <c r="E139" s="17">
        <v>60796</v>
      </c>
      <c r="F139" s="17" t="s">
        <v>97</v>
      </c>
      <c r="G139" s="17">
        <v>2008</v>
      </c>
      <c r="H139" s="17">
        <v>11</v>
      </c>
      <c r="I139" s="8">
        <v>0.2</v>
      </c>
      <c r="J139" s="17" t="s">
        <v>78</v>
      </c>
      <c r="K139" s="17">
        <v>7</v>
      </c>
      <c r="L139" s="17">
        <f t="shared" si="20"/>
        <v>2015</v>
      </c>
      <c r="M139" s="17">
        <f t="shared" si="28"/>
        <v>2015.9166666666667</v>
      </c>
      <c r="N139" s="17">
        <v>34476.36</v>
      </c>
      <c r="O139" s="17">
        <f t="shared" si="21"/>
        <v>27581.088</v>
      </c>
      <c r="P139" s="17">
        <f t="shared" si="22"/>
        <v>328.34628571428573</v>
      </c>
      <c r="Q139" s="17">
        <f t="shared" si="23"/>
        <v>3940.1554285714287</v>
      </c>
      <c r="R139" s="17">
        <f t="shared" si="24"/>
        <v>0</v>
      </c>
      <c r="S139" s="17">
        <f t="shared" si="25"/>
        <v>34476.36</v>
      </c>
      <c r="T139" s="17">
        <f t="shared" si="26"/>
        <v>27581.088</v>
      </c>
      <c r="U139" s="17">
        <f t="shared" si="27"/>
        <v>0</v>
      </c>
      <c r="V139" s="17"/>
      <c r="W139" s="17"/>
      <c r="X139" s="17"/>
    </row>
    <row r="140" spans="1:24">
      <c r="A140" s="17" t="s">
        <v>151</v>
      </c>
      <c r="B140" s="17" t="s">
        <v>152</v>
      </c>
      <c r="C140" s="17">
        <v>4070</v>
      </c>
      <c r="D140" s="17" t="s">
        <v>157</v>
      </c>
      <c r="E140" s="17"/>
      <c r="F140" s="17"/>
      <c r="G140" s="17">
        <v>2009</v>
      </c>
      <c r="H140" s="17">
        <v>1</v>
      </c>
      <c r="I140" s="8">
        <v>0</v>
      </c>
      <c r="J140" s="17" t="s">
        <v>78</v>
      </c>
      <c r="K140" s="17">
        <v>3</v>
      </c>
      <c r="L140" s="17">
        <f t="shared" si="20"/>
        <v>2012</v>
      </c>
      <c r="M140" s="17">
        <f t="shared" si="28"/>
        <v>2012.0833333333333</v>
      </c>
      <c r="N140" s="17">
        <v>3895.03</v>
      </c>
      <c r="O140" s="17">
        <f t="shared" si="21"/>
        <v>3895.03</v>
      </c>
      <c r="P140" s="17">
        <f t="shared" si="22"/>
        <v>108.19527777777779</v>
      </c>
      <c r="Q140" s="17">
        <f t="shared" si="23"/>
        <v>1298.3433333333335</v>
      </c>
      <c r="R140" s="17">
        <f t="shared" si="24"/>
        <v>0</v>
      </c>
      <c r="S140" s="17">
        <f t="shared" si="25"/>
        <v>3895.03</v>
      </c>
      <c r="T140" s="17">
        <f t="shared" si="26"/>
        <v>3895.03</v>
      </c>
      <c r="U140" s="17">
        <f t="shared" si="27"/>
        <v>0</v>
      </c>
      <c r="V140" s="17"/>
      <c r="W140" s="17"/>
      <c r="X140" s="17"/>
    </row>
    <row r="141" spans="1:24">
      <c r="A141" s="17" t="s">
        <v>151</v>
      </c>
      <c r="B141" s="17" t="s">
        <v>152</v>
      </c>
      <c r="C141" s="17">
        <v>4067</v>
      </c>
      <c r="D141" s="17" t="s">
        <v>440</v>
      </c>
      <c r="E141" s="17">
        <v>60862</v>
      </c>
      <c r="F141" s="17"/>
      <c r="G141" s="17">
        <v>2009</v>
      </c>
      <c r="H141" s="17">
        <v>1</v>
      </c>
      <c r="I141" s="8">
        <v>0.2</v>
      </c>
      <c r="J141" s="17" t="s">
        <v>78</v>
      </c>
      <c r="K141" s="17">
        <v>7</v>
      </c>
      <c r="L141" s="17">
        <f t="shared" si="20"/>
        <v>2016</v>
      </c>
      <c r="M141" s="17">
        <f t="shared" si="28"/>
        <v>2016.0833333333333</v>
      </c>
      <c r="N141" s="17">
        <v>3895.03</v>
      </c>
      <c r="O141" s="17">
        <f t="shared" si="21"/>
        <v>3116.0240000000003</v>
      </c>
      <c r="P141" s="17">
        <f t="shared" si="22"/>
        <v>37.095523809523812</v>
      </c>
      <c r="Q141" s="17">
        <f t="shared" si="23"/>
        <v>445.14628571428574</v>
      </c>
      <c r="R141" s="17">
        <f t="shared" si="24"/>
        <v>0</v>
      </c>
      <c r="S141" s="17">
        <f t="shared" si="25"/>
        <v>3895.03</v>
      </c>
      <c r="T141" s="17">
        <f t="shared" si="26"/>
        <v>3116.0240000000003</v>
      </c>
      <c r="U141" s="17">
        <f t="shared" si="27"/>
        <v>0</v>
      </c>
      <c r="V141" s="17"/>
      <c r="W141" s="17"/>
      <c r="X141" s="17"/>
    </row>
    <row r="142" spans="1:24">
      <c r="A142" s="17" t="s">
        <v>151</v>
      </c>
      <c r="B142" s="17" t="s">
        <v>152</v>
      </c>
      <c r="C142" s="17">
        <v>4067</v>
      </c>
      <c r="D142" s="17" t="s">
        <v>155</v>
      </c>
      <c r="E142" s="17"/>
      <c r="F142" s="17"/>
      <c r="G142" s="17">
        <v>2009</v>
      </c>
      <c r="H142" s="17">
        <v>1</v>
      </c>
      <c r="I142" s="8">
        <v>0.2</v>
      </c>
      <c r="J142" s="17" t="s">
        <v>78</v>
      </c>
      <c r="K142" s="17">
        <v>7</v>
      </c>
      <c r="L142" s="17">
        <f t="shared" si="20"/>
        <v>2016</v>
      </c>
      <c r="M142" s="17">
        <f t="shared" si="28"/>
        <v>2016.0833333333333</v>
      </c>
      <c r="N142" s="17">
        <v>165486.5</v>
      </c>
      <c r="O142" s="17">
        <f t="shared" si="21"/>
        <v>132389.20000000001</v>
      </c>
      <c r="P142" s="17">
        <f t="shared" si="22"/>
        <v>1576.0619047619048</v>
      </c>
      <c r="Q142" s="17">
        <f t="shared" si="23"/>
        <v>18912.742857142857</v>
      </c>
      <c r="R142" s="17">
        <f t="shared" si="24"/>
        <v>0</v>
      </c>
      <c r="S142" s="17">
        <f t="shared" si="25"/>
        <v>165486.5</v>
      </c>
      <c r="T142" s="17">
        <f t="shared" si="26"/>
        <v>132389.20000000001</v>
      </c>
      <c r="U142" s="17">
        <f t="shared" si="27"/>
        <v>0</v>
      </c>
      <c r="V142" s="17"/>
      <c r="W142" s="17"/>
      <c r="X142" s="17"/>
    </row>
    <row r="143" spans="1:24">
      <c r="A143" s="17"/>
      <c r="B143" s="17"/>
      <c r="C143" s="17"/>
      <c r="D143" s="17" t="s">
        <v>95</v>
      </c>
      <c r="E143" s="17" t="s">
        <v>96</v>
      </c>
      <c r="F143" s="17" t="s">
        <v>97</v>
      </c>
      <c r="G143" s="17">
        <v>2009</v>
      </c>
      <c r="H143" s="17">
        <v>7</v>
      </c>
      <c r="I143" s="8">
        <v>0</v>
      </c>
      <c r="J143" s="17" t="s">
        <v>78</v>
      </c>
      <c r="K143" s="17">
        <v>5</v>
      </c>
      <c r="L143" s="17">
        <f t="shared" si="20"/>
        <v>2014</v>
      </c>
      <c r="M143" s="17">
        <f t="shared" si="28"/>
        <v>2014.5833333333333</v>
      </c>
      <c r="N143" s="17">
        <f>(6722.48+38653.29+641.31+1194.22+14225.95)*7/61</f>
        <v>7050.1762295081971</v>
      </c>
      <c r="O143" s="17">
        <f t="shared" si="21"/>
        <v>7050.1762295081971</v>
      </c>
      <c r="P143" s="17">
        <f t="shared" si="22"/>
        <v>117.50293715846995</v>
      </c>
      <c r="Q143" s="17">
        <f t="shared" si="23"/>
        <v>1410.0352459016394</v>
      </c>
      <c r="R143" s="17">
        <f t="shared" si="24"/>
        <v>0</v>
      </c>
      <c r="S143" s="17">
        <f t="shared" si="25"/>
        <v>7050.1762295081971</v>
      </c>
      <c r="T143" s="17">
        <f t="shared" si="26"/>
        <v>7050.1762295081971</v>
      </c>
      <c r="U143" s="17">
        <f t="shared" si="27"/>
        <v>0</v>
      </c>
      <c r="V143" s="17"/>
      <c r="W143" s="17"/>
      <c r="X143" s="17"/>
    </row>
    <row r="144" spans="1:24">
      <c r="A144" s="17"/>
      <c r="B144" s="17"/>
      <c r="C144" s="17"/>
      <c r="D144" s="17" t="s">
        <v>98</v>
      </c>
      <c r="E144" s="17" t="s">
        <v>99</v>
      </c>
      <c r="F144" s="17"/>
      <c r="G144" s="17">
        <v>2009</v>
      </c>
      <c r="H144" s="17">
        <v>7</v>
      </c>
      <c r="I144" s="8">
        <v>0</v>
      </c>
      <c r="J144" s="17" t="s">
        <v>78</v>
      </c>
      <c r="K144" s="17">
        <v>5</v>
      </c>
      <c r="L144" s="17">
        <f t="shared" si="20"/>
        <v>2014</v>
      </c>
      <c r="M144" s="17">
        <f t="shared" si="28"/>
        <v>2014.5833333333333</v>
      </c>
      <c r="N144" s="17">
        <f>(34912.65+1078.65+10913.06)*6/46</f>
        <v>6117.9600000000009</v>
      </c>
      <c r="O144" s="17">
        <f t="shared" si="21"/>
        <v>6117.9600000000009</v>
      </c>
      <c r="P144" s="17">
        <f t="shared" si="22"/>
        <v>101.96600000000001</v>
      </c>
      <c r="Q144" s="17">
        <f t="shared" si="23"/>
        <v>1223.5920000000001</v>
      </c>
      <c r="R144" s="17">
        <f t="shared" si="24"/>
        <v>0</v>
      </c>
      <c r="S144" s="17">
        <f t="shared" si="25"/>
        <v>6117.9600000000009</v>
      </c>
      <c r="T144" s="17">
        <f t="shared" si="26"/>
        <v>6117.9600000000009</v>
      </c>
      <c r="U144" s="17">
        <f t="shared" si="27"/>
        <v>0</v>
      </c>
      <c r="V144" s="17"/>
      <c r="W144" s="17"/>
      <c r="X144" s="17"/>
    </row>
    <row r="145" spans="2:21">
      <c r="B145" s="17"/>
      <c r="C145" s="17"/>
      <c r="D145" s="17" t="s">
        <v>100</v>
      </c>
      <c r="E145" s="17">
        <v>75160</v>
      </c>
      <c r="F145" s="17" t="s">
        <v>97</v>
      </c>
      <c r="G145" s="17">
        <v>2010</v>
      </c>
      <c r="H145" s="17">
        <v>6</v>
      </c>
      <c r="I145" s="8">
        <v>0</v>
      </c>
      <c r="J145" s="17" t="s">
        <v>78</v>
      </c>
      <c r="K145" s="17">
        <v>5</v>
      </c>
      <c r="L145" s="17">
        <f t="shared" si="20"/>
        <v>2015</v>
      </c>
      <c r="M145" s="17">
        <f t="shared" si="28"/>
        <v>2015.5</v>
      </c>
      <c r="N145" s="17">
        <f>16772.32*7/61</f>
        <v>1924.6924590163933</v>
      </c>
      <c r="O145" s="17">
        <f t="shared" si="21"/>
        <v>1924.6924590163933</v>
      </c>
      <c r="P145" s="17">
        <f t="shared" si="22"/>
        <v>32.078207650273221</v>
      </c>
      <c r="Q145" s="17">
        <f t="shared" si="23"/>
        <v>384.93849180327868</v>
      </c>
      <c r="R145" s="17">
        <f t="shared" si="24"/>
        <v>0</v>
      </c>
      <c r="S145" s="17">
        <f t="shared" si="25"/>
        <v>1924.6924590163933</v>
      </c>
      <c r="T145" s="17">
        <f t="shared" si="26"/>
        <v>1924.6924590163933</v>
      </c>
      <c r="U145" s="17">
        <f t="shared" si="27"/>
        <v>0</v>
      </c>
    </row>
    <row r="146" spans="2:21">
      <c r="B146" s="17" t="s">
        <v>152</v>
      </c>
      <c r="C146" s="17">
        <v>4042</v>
      </c>
      <c r="D146" s="17" t="s">
        <v>158</v>
      </c>
      <c r="E146" s="17">
        <v>113248</v>
      </c>
      <c r="F146" s="17"/>
      <c r="G146" s="17">
        <v>2014</v>
      </c>
      <c r="H146" s="17">
        <v>4</v>
      </c>
      <c r="I146" s="8">
        <v>0</v>
      </c>
      <c r="J146" s="17" t="s">
        <v>78</v>
      </c>
      <c r="K146" s="17">
        <v>5</v>
      </c>
      <c r="L146" s="17">
        <f t="shared" si="20"/>
        <v>2019</v>
      </c>
      <c r="M146" s="17">
        <f t="shared" si="28"/>
        <v>2019.3333333333333</v>
      </c>
      <c r="N146" s="17">
        <f>6778.26/7</f>
        <v>968.32285714285717</v>
      </c>
      <c r="O146" s="17">
        <f t="shared" si="21"/>
        <v>968.32285714285717</v>
      </c>
      <c r="P146" s="17">
        <f t="shared" si="22"/>
        <v>16.138714285714286</v>
      </c>
      <c r="Q146" s="17">
        <f t="shared" si="23"/>
        <v>193.66457142857143</v>
      </c>
      <c r="R146" s="17">
        <f t="shared" si="24"/>
        <v>193.66457142857143</v>
      </c>
      <c r="S146" s="17">
        <f t="shared" si="25"/>
        <v>580.9937142857143</v>
      </c>
      <c r="T146" s="17">
        <f t="shared" si="26"/>
        <v>774.65828571428574</v>
      </c>
      <c r="U146" s="17">
        <f t="shared" si="27"/>
        <v>290.49685714285715</v>
      </c>
    </row>
    <row r="147" spans="2:21">
      <c r="B147" s="17"/>
      <c r="C147" s="17">
        <v>4051</v>
      </c>
      <c r="D147" s="17" t="s">
        <v>158</v>
      </c>
      <c r="E147" s="17">
        <v>113248</v>
      </c>
      <c r="F147" s="17"/>
      <c r="G147" s="17">
        <v>2014</v>
      </c>
      <c r="H147" s="17">
        <v>4</v>
      </c>
      <c r="I147" s="8">
        <v>0</v>
      </c>
      <c r="J147" s="17" t="s">
        <v>78</v>
      </c>
      <c r="K147" s="17">
        <v>5</v>
      </c>
      <c r="L147" s="17">
        <f t="shared" si="20"/>
        <v>2019</v>
      </c>
      <c r="M147" s="17">
        <f t="shared" si="28"/>
        <v>2019.3333333333333</v>
      </c>
      <c r="N147" s="17">
        <f t="shared" ref="N147:N152" si="29">6778.26/7</f>
        <v>968.32285714285717</v>
      </c>
      <c r="O147" s="17">
        <f t="shared" si="21"/>
        <v>968.32285714285717</v>
      </c>
      <c r="P147" s="17">
        <f t="shared" si="22"/>
        <v>16.138714285714286</v>
      </c>
      <c r="Q147" s="17">
        <f t="shared" si="23"/>
        <v>193.66457142857143</v>
      </c>
      <c r="R147" s="17">
        <f t="shared" si="24"/>
        <v>193.66457142857143</v>
      </c>
      <c r="S147" s="17">
        <f t="shared" si="25"/>
        <v>580.9937142857143</v>
      </c>
      <c r="T147" s="17">
        <f t="shared" si="26"/>
        <v>774.65828571428574</v>
      </c>
      <c r="U147" s="17">
        <f t="shared" si="27"/>
        <v>290.49685714285715</v>
      </c>
    </row>
    <row r="148" spans="2:21">
      <c r="B148" s="17"/>
      <c r="C148" s="17">
        <v>4052</v>
      </c>
      <c r="D148" s="17" t="s">
        <v>158</v>
      </c>
      <c r="E148" s="17">
        <v>113248</v>
      </c>
      <c r="F148" s="17"/>
      <c r="G148" s="17">
        <v>2014</v>
      </c>
      <c r="H148" s="17">
        <v>4</v>
      </c>
      <c r="I148" s="8">
        <v>0</v>
      </c>
      <c r="J148" s="17" t="s">
        <v>78</v>
      </c>
      <c r="K148" s="17">
        <v>5</v>
      </c>
      <c r="L148" s="17">
        <f t="shared" si="20"/>
        <v>2019</v>
      </c>
      <c r="M148" s="17">
        <f t="shared" si="28"/>
        <v>2019.3333333333333</v>
      </c>
      <c r="N148" s="17">
        <f t="shared" si="29"/>
        <v>968.32285714285717</v>
      </c>
      <c r="O148" s="17">
        <f t="shared" si="21"/>
        <v>968.32285714285717</v>
      </c>
      <c r="P148" s="17">
        <f t="shared" si="22"/>
        <v>16.138714285714286</v>
      </c>
      <c r="Q148" s="17">
        <f t="shared" si="23"/>
        <v>193.66457142857143</v>
      </c>
      <c r="R148" s="17">
        <f t="shared" si="24"/>
        <v>193.66457142857143</v>
      </c>
      <c r="S148" s="17">
        <f t="shared" si="25"/>
        <v>580.9937142857143</v>
      </c>
      <c r="T148" s="17">
        <f t="shared" si="26"/>
        <v>774.65828571428574</v>
      </c>
      <c r="U148" s="17">
        <f t="shared" si="27"/>
        <v>290.49685714285715</v>
      </c>
    </row>
    <row r="149" spans="2:21">
      <c r="B149" s="17"/>
      <c r="C149" s="17">
        <v>4053</v>
      </c>
      <c r="D149" s="17" t="s">
        <v>158</v>
      </c>
      <c r="E149" s="17">
        <v>113248</v>
      </c>
      <c r="F149" s="17"/>
      <c r="G149" s="17">
        <v>2014</v>
      </c>
      <c r="H149" s="17">
        <v>4</v>
      </c>
      <c r="I149" s="8">
        <v>0</v>
      </c>
      <c r="J149" s="17" t="s">
        <v>78</v>
      </c>
      <c r="K149" s="17">
        <v>5</v>
      </c>
      <c r="L149" s="17">
        <f t="shared" si="20"/>
        <v>2019</v>
      </c>
      <c r="M149" s="17">
        <f t="shared" si="28"/>
        <v>2019.3333333333333</v>
      </c>
      <c r="N149" s="17">
        <f t="shared" si="29"/>
        <v>968.32285714285717</v>
      </c>
      <c r="O149" s="17">
        <f t="shared" si="21"/>
        <v>968.32285714285717</v>
      </c>
      <c r="P149" s="17">
        <f t="shared" si="22"/>
        <v>16.138714285714286</v>
      </c>
      <c r="Q149" s="17">
        <f t="shared" si="23"/>
        <v>193.66457142857143</v>
      </c>
      <c r="R149" s="17">
        <f t="shared" si="24"/>
        <v>193.66457142857143</v>
      </c>
      <c r="S149" s="17">
        <f t="shared" si="25"/>
        <v>580.9937142857143</v>
      </c>
      <c r="T149" s="17">
        <f t="shared" si="26"/>
        <v>774.65828571428574</v>
      </c>
      <c r="U149" s="17">
        <f t="shared" si="27"/>
        <v>290.49685714285715</v>
      </c>
    </row>
    <row r="150" spans="2:21">
      <c r="B150" s="17"/>
      <c r="C150" s="17">
        <v>4060</v>
      </c>
      <c r="D150" s="17" t="s">
        <v>158</v>
      </c>
      <c r="E150" s="17">
        <v>113248</v>
      </c>
      <c r="F150" s="17"/>
      <c r="G150" s="17">
        <v>2014</v>
      </c>
      <c r="H150" s="17">
        <v>4</v>
      </c>
      <c r="I150" s="8">
        <v>0</v>
      </c>
      <c r="J150" s="17" t="s">
        <v>78</v>
      </c>
      <c r="K150" s="17">
        <v>5</v>
      </c>
      <c r="L150" s="17">
        <f t="shared" si="20"/>
        <v>2019</v>
      </c>
      <c r="M150" s="17">
        <f t="shared" si="28"/>
        <v>2019.3333333333333</v>
      </c>
      <c r="N150" s="17">
        <f t="shared" si="29"/>
        <v>968.32285714285717</v>
      </c>
      <c r="O150" s="17">
        <f t="shared" si="21"/>
        <v>968.32285714285717</v>
      </c>
      <c r="P150" s="17">
        <f t="shared" si="22"/>
        <v>16.138714285714286</v>
      </c>
      <c r="Q150" s="17">
        <f t="shared" si="23"/>
        <v>193.66457142857143</v>
      </c>
      <c r="R150" s="17">
        <f t="shared" si="24"/>
        <v>193.66457142857143</v>
      </c>
      <c r="S150" s="17">
        <f t="shared" si="25"/>
        <v>580.9937142857143</v>
      </c>
      <c r="T150" s="17">
        <f t="shared" si="26"/>
        <v>774.65828571428574</v>
      </c>
      <c r="U150" s="17">
        <f t="shared" si="27"/>
        <v>290.49685714285715</v>
      </c>
    </row>
    <row r="151" spans="2:21">
      <c r="B151" s="17"/>
      <c r="C151" s="17">
        <v>4063</v>
      </c>
      <c r="D151" s="17" t="s">
        <v>158</v>
      </c>
      <c r="E151" s="17">
        <v>113248</v>
      </c>
      <c r="F151" s="17"/>
      <c r="G151" s="17">
        <v>2014</v>
      </c>
      <c r="H151" s="17">
        <v>4</v>
      </c>
      <c r="I151" s="8">
        <v>0</v>
      </c>
      <c r="J151" s="17" t="s">
        <v>78</v>
      </c>
      <c r="K151" s="17">
        <v>5</v>
      </c>
      <c r="L151" s="17">
        <f t="shared" si="20"/>
        <v>2019</v>
      </c>
      <c r="M151" s="17">
        <f t="shared" si="28"/>
        <v>2019.3333333333333</v>
      </c>
      <c r="N151" s="17">
        <f t="shared" si="29"/>
        <v>968.32285714285717</v>
      </c>
      <c r="O151" s="17">
        <f t="shared" si="21"/>
        <v>968.32285714285717</v>
      </c>
      <c r="P151" s="17">
        <f t="shared" si="22"/>
        <v>16.138714285714286</v>
      </c>
      <c r="Q151" s="17">
        <f t="shared" si="23"/>
        <v>193.66457142857143</v>
      </c>
      <c r="R151" s="17">
        <f t="shared" si="24"/>
        <v>193.66457142857143</v>
      </c>
      <c r="S151" s="17">
        <f t="shared" si="25"/>
        <v>580.9937142857143</v>
      </c>
      <c r="T151" s="17">
        <f t="shared" si="26"/>
        <v>774.65828571428574</v>
      </c>
      <c r="U151" s="17">
        <f t="shared" si="27"/>
        <v>290.49685714285715</v>
      </c>
    </row>
    <row r="152" spans="2:21">
      <c r="B152" s="17"/>
      <c r="C152" s="17">
        <v>4067</v>
      </c>
      <c r="D152" s="17" t="s">
        <v>158</v>
      </c>
      <c r="E152" s="17">
        <v>113248</v>
      </c>
      <c r="F152" s="17"/>
      <c r="G152" s="17">
        <v>2014</v>
      </c>
      <c r="H152" s="17">
        <v>4</v>
      </c>
      <c r="I152" s="8">
        <v>0</v>
      </c>
      <c r="J152" s="17" t="s">
        <v>78</v>
      </c>
      <c r="K152" s="17">
        <v>5</v>
      </c>
      <c r="L152" s="17">
        <f t="shared" si="20"/>
        <v>2019</v>
      </c>
      <c r="M152" s="17">
        <f t="shared" si="28"/>
        <v>2019.3333333333333</v>
      </c>
      <c r="N152" s="17">
        <f t="shared" si="29"/>
        <v>968.32285714285717</v>
      </c>
      <c r="O152" s="17">
        <f t="shared" si="21"/>
        <v>968.32285714285717</v>
      </c>
      <c r="P152" s="17">
        <f t="shared" si="22"/>
        <v>16.138714285714286</v>
      </c>
      <c r="Q152" s="17">
        <f t="shared" si="23"/>
        <v>193.66457142857143</v>
      </c>
      <c r="R152" s="17">
        <f t="shared" si="24"/>
        <v>193.66457142857143</v>
      </c>
      <c r="S152" s="17">
        <f t="shared" si="25"/>
        <v>580.9937142857143</v>
      </c>
      <c r="T152" s="17">
        <f t="shared" si="26"/>
        <v>774.65828571428574</v>
      </c>
      <c r="U152" s="17">
        <f t="shared" si="27"/>
        <v>290.49685714285715</v>
      </c>
    </row>
    <row r="153" spans="2:21">
      <c r="B153" s="17" t="s">
        <v>152</v>
      </c>
      <c r="C153" s="17">
        <v>4070</v>
      </c>
      <c r="D153" s="17" t="s">
        <v>159</v>
      </c>
      <c r="E153" s="17">
        <v>113896</v>
      </c>
      <c r="F153" s="17">
        <v>60796</v>
      </c>
      <c r="G153" s="17">
        <v>2014</v>
      </c>
      <c r="H153" s="17">
        <v>4</v>
      </c>
      <c r="I153" s="8">
        <v>0</v>
      </c>
      <c r="J153" s="17" t="s">
        <v>78</v>
      </c>
      <c r="K153" s="17">
        <v>5</v>
      </c>
      <c r="L153" s="17">
        <f t="shared" si="20"/>
        <v>2019</v>
      </c>
      <c r="M153" s="17">
        <f t="shared" si="28"/>
        <v>2019.3333333333333</v>
      </c>
      <c r="N153" s="17">
        <f>1936.34/2</f>
        <v>968.17</v>
      </c>
      <c r="O153" s="17">
        <f t="shared" si="21"/>
        <v>968.17</v>
      </c>
      <c r="P153" s="17">
        <f t="shared" si="22"/>
        <v>16.136166666666664</v>
      </c>
      <c r="Q153" s="17">
        <f t="shared" si="23"/>
        <v>193.63399999999996</v>
      </c>
      <c r="R153" s="17">
        <f t="shared" si="24"/>
        <v>193.63399999999996</v>
      </c>
      <c r="S153" s="17">
        <f t="shared" si="25"/>
        <v>580.90199999999982</v>
      </c>
      <c r="T153" s="17">
        <f t="shared" si="26"/>
        <v>774.53599999999983</v>
      </c>
      <c r="U153" s="17">
        <f t="shared" si="27"/>
        <v>290.45100000000014</v>
      </c>
    </row>
    <row r="154" spans="2:21">
      <c r="B154" s="17"/>
      <c r="C154" s="17">
        <v>4072</v>
      </c>
      <c r="D154" s="17" t="s">
        <v>160</v>
      </c>
      <c r="E154" s="17">
        <v>113896</v>
      </c>
      <c r="F154" s="17">
        <v>60797</v>
      </c>
      <c r="G154" s="17">
        <v>2014</v>
      </c>
      <c r="H154" s="17">
        <v>4</v>
      </c>
      <c r="I154" s="8">
        <v>0</v>
      </c>
      <c r="J154" s="17" t="s">
        <v>78</v>
      </c>
      <c r="K154" s="17">
        <v>5</v>
      </c>
      <c r="L154" s="17">
        <f>G154+K154</f>
        <v>2019</v>
      </c>
      <c r="M154" s="17">
        <f t="shared" si="28"/>
        <v>2019.3333333333333</v>
      </c>
      <c r="N154" s="17">
        <f>1936.34/2</f>
        <v>968.17</v>
      </c>
      <c r="O154" s="17">
        <f t="shared" si="21"/>
        <v>968.17</v>
      </c>
      <c r="P154" s="17">
        <f t="shared" si="22"/>
        <v>16.136166666666664</v>
      </c>
      <c r="Q154" s="17">
        <f t="shared" si="23"/>
        <v>193.63399999999996</v>
      </c>
      <c r="R154" s="17">
        <f t="shared" si="24"/>
        <v>193.63399999999996</v>
      </c>
      <c r="S154" s="17">
        <f t="shared" si="25"/>
        <v>580.90199999999982</v>
      </c>
      <c r="T154" s="17">
        <f t="shared" si="26"/>
        <v>774.53599999999983</v>
      </c>
      <c r="U154" s="17">
        <f t="shared" si="27"/>
        <v>290.45100000000014</v>
      </c>
    </row>
    <row r="155" spans="2:21">
      <c r="B155" s="17" t="s">
        <v>152</v>
      </c>
      <c r="C155" s="17">
        <v>4056</v>
      </c>
      <c r="D155" s="17" t="s">
        <v>161</v>
      </c>
      <c r="E155" s="17">
        <v>118514</v>
      </c>
      <c r="F155" s="17"/>
      <c r="G155" s="17">
        <v>2014</v>
      </c>
      <c r="H155" s="17">
        <v>11</v>
      </c>
      <c r="I155" s="8">
        <v>0</v>
      </c>
      <c r="J155" s="17" t="s">
        <v>78</v>
      </c>
      <c r="K155" s="17">
        <v>3</v>
      </c>
      <c r="L155" s="17">
        <f t="shared" si="20"/>
        <v>2017</v>
      </c>
      <c r="M155" s="17">
        <f t="shared" si="28"/>
        <v>2017.9166666666667</v>
      </c>
      <c r="N155" s="17">
        <v>8921.6</v>
      </c>
      <c r="O155" s="17">
        <f t="shared" si="21"/>
        <v>8921.6</v>
      </c>
      <c r="P155" s="17">
        <f t="shared" si="22"/>
        <v>247.82222222222222</v>
      </c>
      <c r="Q155" s="17">
        <f t="shared" si="23"/>
        <v>2973.8666666666668</v>
      </c>
      <c r="R155" s="17">
        <f t="shared" si="24"/>
        <v>0</v>
      </c>
      <c r="S155" s="17">
        <f t="shared" si="25"/>
        <v>8921.6</v>
      </c>
      <c r="T155" s="17">
        <f t="shared" si="26"/>
        <v>8921.6</v>
      </c>
      <c r="U155" s="17">
        <f t="shared" si="27"/>
        <v>0</v>
      </c>
    </row>
    <row r="156" spans="2:21">
      <c r="B156" s="17" t="s">
        <v>152</v>
      </c>
      <c r="C156" s="17">
        <v>4051</v>
      </c>
      <c r="D156" s="17" t="s">
        <v>161</v>
      </c>
      <c r="E156" s="17">
        <v>118510</v>
      </c>
      <c r="F156" s="17"/>
      <c r="G156" s="17">
        <v>2014</v>
      </c>
      <c r="H156" s="17">
        <v>11</v>
      </c>
      <c r="I156" s="8">
        <v>0</v>
      </c>
      <c r="J156" s="17" t="s">
        <v>78</v>
      </c>
      <c r="K156" s="17">
        <v>3</v>
      </c>
      <c r="L156" s="17">
        <f t="shared" si="20"/>
        <v>2017</v>
      </c>
      <c r="M156" s="17">
        <f t="shared" si="28"/>
        <v>2017.9166666666667</v>
      </c>
      <c r="N156" s="17">
        <v>8921.6</v>
      </c>
      <c r="O156" s="17">
        <f t="shared" si="21"/>
        <v>8921.6</v>
      </c>
      <c r="P156" s="17">
        <f t="shared" si="22"/>
        <v>247.82222222222222</v>
      </c>
      <c r="Q156" s="17">
        <f t="shared" si="23"/>
        <v>2973.8666666666668</v>
      </c>
      <c r="R156" s="17">
        <f t="shared" si="24"/>
        <v>0</v>
      </c>
      <c r="S156" s="17">
        <f t="shared" si="25"/>
        <v>8921.6</v>
      </c>
      <c r="T156" s="17">
        <f t="shared" si="26"/>
        <v>8921.6</v>
      </c>
      <c r="U156" s="17">
        <f t="shared" si="27"/>
        <v>0</v>
      </c>
    </row>
    <row r="157" spans="2:21">
      <c r="B157" s="17" t="s">
        <v>152</v>
      </c>
      <c r="C157" s="17">
        <v>4052</v>
      </c>
      <c r="D157" s="17" t="s">
        <v>161</v>
      </c>
      <c r="E157" s="17">
        <v>118511</v>
      </c>
      <c r="F157" s="17"/>
      <c r="G157" s="17">
        <v>2014</v>
      </c>
      <c r="H157" s="17">
        <v>11</v>
      </c>
      <c r="I157" s="8">
        <v>0</v>
      </c>
      <c r="J157" s="17" t="s">
        <v>78</v>
      </c>
      <c r="K157" s="17">
        <v>3</v>
      </c>
      <c r="L157" s="17">
        <f t="shared" si="20"/>
        <v>2017</v>
      </c>
      <c r="M157" s="17">
        <f t="shared" si="28"/>
        <v>2017.9166666666667</v>
      </c>
      <c r="N157" s="17">
        <v>8921.6</v>
      </c>
      <c r="O157" s="17">
        <f t="shared" si="21"/>
        <v>8921.6</v>
      </c>
      <c r="P157" s="17">
        <f t="shared" si="22"/>
        <v>247.82222222222222</v>
      </c>
      <c r="Q157" s="17">
        <f t="shared" si="23"/>
        <v>2973.8666666666668</v>
      </c>
      <c r="R157" s="17">
        <f t="shared" si="24"/>
        <v>0</v>
      </c>
      <c r="S157" s="17">
        <f t="shared" si="25"/>
        <v>8921.6</v>
      </c>
      <c r="T157" s="17">
        <f t="shared" si="26"/>
        <v>8921.6</v>
      </c>
      <c r="U157" s="17">
        <f t="shared" si="27"/>
        <v>0</v>
      </c>
    </row>
    <row r="158" spans="2:21">
      <c r="B158" s="17" t="s">
        <v>152</v>
      </c>
      <c r="C158" s="17">
        <v>4042</v>
      </c>
      <c r="D158" s="17" t="s">
        <v>161</v>
      </c>
      <c r="E158" s="17">
        <v>118509</v>
      </c>
      <c r="F158" s="17"/>
      <c r="G158" s="17">
        <v>2014</v>
      </c>
      <c r="H158" s="17">
        <v>11</v>
      </c>
      <c r="I158" s="8">
        <v>0</v>
      </c>
      <c r="J158" s="17" t="s">
        <v>78</v>
      </c>
      <c r="K158" s="17">
        <v>3</v>
      </c>
      <c r="L158" s="17">
        <f t="shared" si="20"/>
        <v>2017</v>
      </c>
      <c r="M158" s="17">
        <f t="shared" si="28"/>
        <v>2017.9166666666667</v>
      </c>
      <c r="N158" s="17">
        <v>8921.6</v>
      </c>
      <c r="O158" s="17">
        <f t="shared" si="21"/>
        <v>8921.6</v>
      </c>
      <c r="P158" s="17">
        <f t="shared" si="22"/>
        <v>247.82222222222222</v>
      </c>
      <c r="Q158" s="17">
        <f t="shared" si="23"/>
        <v>2973.8666666666668</v>
      </c>
      <c r="R158" s="17">
        <f t="shared" si="24"/>
        <v>0</v>
      </c>
      <c r="S158" s="17">
        <f t="shared" si="25"/>
        <v>8921.6</v>
      </c>
      <c r="T158" s="17">
        <f t="shared" si="26"/>
        <v>8921.6</v>
      </c>
      <c r="U158" s="17">
        <f t="shared" si="27"/>
        <v>0</v>
      </c>
    </row>
    <row r="159" spans="2:21">
      <c r="B159" s="17" t="s">
        <v>152</v>
      </c>
      <c r="C159" s="17">
        <v>4060</v>
      </c>
      <c r="D159" s="17" t="s">
        <v>161</v>
      </c>
      <c r="E159" s="17">
        <v>118512</v>
      </c>
      <c r="F159" s="17"/>
      <c r="G159" s="17">
        <v>2014</v>
      </c>
      <c r="H159" s="17">
        <v>11</v>
      </c>
      <c r="I159" s="8">
        <v>0</v>
      </c>
      <c r="J159" s="17" t="s">
        <v>78</v>
      </c>
      <c r="K159" s="17">
        <v>3</v>
      </c>
      <c r="L159" s="17">
        <f t="shared" si="20"/>
        <v>2017</v>
      </c>
      <c r="M159" s="17">
        <f t="shared" si="28"/>
        <v>2017.9166666666667</v>
      </c>
      <c r="N159" s="17">
        <v>8921.6</v>
      </c>
      <c r="O159" s="17">
        <f t="shared" si="21"/>
        <v>8921.6</v>
      </c>
      <c r="P159" s="17">
        <f t="shared" si="22"/>
        <v>247.82222222222222</v>
      </c>
      <c r="Q159" s="17">
        <f t="shared" si="23"/>
        <v>2973.8666666666668</v>
      </c>
      <c r="R159" s="17">
        <f t="shared" si="24"/>
        <v>0</v>
      </c>
      <c r="S159" s="17">
        <f t="shared" si="25"/>
        <v>8921.6</v>
      </c>
      <c r="T159" s="17">
        <f t="shared" si="26"/>
        <v>8921.6</v>
      </c>
      <c r="U159" s="17">
        <f t="shared" si="27"/>
        <v>0</v>
      </c>
    </row>
    <row r="160" spans="2:21">
      <c r="B160" s="17" t="s">
        <v>152</v>
      </c>
      <c r="C160" s="17">
        <v>4063</v>
      </c>
      <c r="D160" s="17" t="s">
        <v>161</v>
      </c>
      <c r="E160" s="17">
        <v>118517</v>
      </c>
      <c r="F160" s="17"/>
      <c r="G160" s="17">
        <v>2014</v>
      </c>
      <c r="H160" s="17">
        <v>12</v>
      </c>
      <c r="I160" s="8">
        <v>0</v>
      </c>
      <c r="J160" s="17" t="s">
        <v>78</v>
      </c>
      <c r="K160" s="17">
        <v>3</v>
      </c>
      <c r="L160" s="17">
        <f t="shared" si="20"/>
        <v>2017</v>
      </c>
      <c r="M160" s="17">
        <f t="shared" si="28"/>
        <v>2018</v>
      </c>
      <c r="N160" s="17">
        <v>8921.6</v>
      </c>
      <c r="O160" s="17">
        <f t="shared" si="21"/>
        <v>8921.6</v>
      </c>
      <c r="P160" s="17">
        <f t="shared" si="22"/>
        <v>247.82222222222222</v>
      </c>
      <c r="Q160" s="17">
        <f t="shared" si="23"/>
        <v>2973.8666666666668</v>
      </c>
      <c r="R160" s="17">
        <f t="shared" si="24"/>
        <v>0</v>
      </c>
      <c r="S160" s="17">
        <f t="shared" si="25"/>
        <v>8921.6</v>
      </c>
      <c r="T160" s="17">
        <f t="shared" si="26"/>
        <v>8921.6</v>
      </c>
      <c r="U160" s="17">
        <f t="shared" si="27"/>
        <v>0</v>
      </c>
    </row>
    <row r="161" spans="1:21">
      <c r="A161" s="17"/>
      <c r="B161" s="17" t="s">
        <v>152</v>
      </c>
      <c r="C161" s="17">
        <v>4070</v>
      </c>
      <c r="D161" s="17" t="s">
        <v>161</v>
      </c>
      <c r="E161" s="17">
        <v>118516</v>
      </c>
      <c r="F161" s="17"/>
      <c r="G161" s="17">
        <v>2014</v>
      </c>
      <c r="H161" s="17">
        <v>12</v>
      </c>
      <c r="I161" s="8">
        <v>0</v>
      </c>
      <c r="J161" s="17" t="s">
        <v>78</v>
      </c>
      <c r="K161" s="17">
        <v>3</v>
      </c>
      <c r="L161" s="17">
        <f t="shared" si="20"/>
        <v>2017</v>
      </c>
      <c r="M161" s="17">
        <f t="shared" si="28"/>
        <v>2018</v>
      </c>
      <c r="N161" s="17">
        <v>8921.6</v>
      </c>
      <c r="O161" s="17">
        <f t="shared" si="21"/>
        <v>8921.6</v>
      </c>
      <c r="P161" s="17">
        <f t="shared" si="22"/>
        <v>247.82222222222222</v>
      </c>
      <c r="Q161" s="17">
        <f t="shared" si="23"/>
        <v>2973.8666666666668</v>
      </c>
      <c r="R161" s="17">
        <f t="shared" si="24"/>
        <v>0</v>
      </c>
      <c r="S161" s="17">
        <f t="shared" si="25"/>
        <v>8921.6</v>
      </c>
      <c r="T161" s="17">
        <f t="shared" si="26"/>
        <v>8921.6</v>
      </c>
      <c r="U161" s="17">
        <f t="shared" si="27"/>
        <v>0</v>
      </c>
    </row>
    <row r="162" spans="1:21">
      <c r="A162" s="17"/>
      <c r="B162" s="17" t="s">
        <v>152</v>
      </c>
      <c r="C162" s="17">
        <v>4067</v>
      </c>
      <c r="D162" s="17" t="s">
        <v>161</v>
      </c>
      <c r="E162" s="17">
        <v>118515</v>
      </c>
      <c r="F162" s="17"/>
      <c r="G162" s="17">
        <v>2014</v>
      </c>
      <c r="H162" s="17">
        <v>12</v>
      </c>
      <c r="I162" s="8">
        <v>0</v>
      </c>
      <c r="J162" s="17" t="s">
        <v>78</v>
      </c>
      <c r="K162" s="17">
        <v>3</v>
      </c>
      <c r="L162" s="17">
        <f t="shared" si="20"/>
        <v>2017</v>
      </c>
      <c r="M162" s="17">
        <f t="shared" si="28"/>
        <v>2018</v>
      </c>
      <c r="N162" s="17">
        <v>8921.6</v>
      </c>
      <c r="O162" s="17">
        <f t="shared" si="21"/>
        <v>8921.6</v>
      </c>
      <c r="P162" s="17">
        <f t="shared" si="22"/>
        <v>247.82222222222222</v>
      </c>
      <c r="Q162" s="17">
        <f t="shared" si="23"/>
        <v>2973.8666666666668</v>
      </c>
      <c r="R162" s="17">
        <f t="shared" si="24"/>
        <v>0</v>
      </c>
      <c r="S162" s="17">
        <f t="shared" si="25"/>
        <v>8921.6</v>
      </c>
      <c r="T162" s="17">
        <f t="shared" si="26"/>
        <v>8921.6</v>
      </c>
      <c r="U162" s="17">
        <f t="shared" si="27"/>
        <v>0</v>
      </c>
    </row>
    <row r="163" spans="1:21">
      <c r="A163" s="17"/>
      <c r="B163" s="17" t="s">
        <v>152</v>
      </c>
      <c r="C163" s="17">
        <v>4072</v>
      </c>
      <c r="D163" s="17" t="s">
        <v>161</v>
      </c>
      <c r="E163" s="17">
        <v>118518</v>
      </c>
      <c r="F163" s="17">
        <v>60797</v>
      </c>
      <c r="G163" s="17">
        <v>2014</v>
      </c>
      <c r="H163" s="17">
        <v>12</v>
      </c>
      <c r="I163" s="8">
        <v>0</v>
      </c>
      <c r="J163" s="17" t="s">
        <v>78</v>
      </c>
      <c r="K163" s="17">
        <v>3</v>
      </c>
      <c r="L163" s="17">
        <f t="shared" si="20"/>
        <v>2017</v>
      </c>
      <c r="M163" s="17">
        <f t="shared" si="28"/>
        <v>2018</v>
      </c>
      <c r="N163" s="17">
        <v>8921.6</v>
      </c>
      <c r="O163" s="17">
        <f t="shared" si="21"/>
        <v>8921.6</v>
      </c>
      <c r="P163" s="17">
        <f t="shared" si="22"/>
        <v>247.82222222222222</v>
      </c>
      <c r="Q163" s="17">
        <f t="shared" si="23"/>
        <v>2973.8666666666668</v>
      </c>
      <c r="R163" s="17">
        <f t="shared" si="24"/>
        <v>0</v>
      </c>
      <c r="S163" s="17">
        <f t="shared" si="25"/>
        <v>8921.6</v>
      </c>
      <c r="T163" s="17">
        <f t="shared" si="26"/>
        <v>8921.6</v>
      </c>
      <c r="U163" s="17">
        <f t="shared" si="27"/>
        <v>0</v>
      </c>
    </row>
    <row r="164" spans="1:21">
      <c r="A164" s="17"/>
      <c r="B164" s="17" t="s">
        <v>152</v>
      </c>
      <c r="C164" s="17">
        <v>4075</v>
      </c>
      <c r="D164" s="17" t="s">
        <v>162</v>
      </c>
      <c r="E164" s="17">
        <v>123629</v>
      </c>
      <c r="F164" s="17"/>
      <c r="G164" s="17">
        <v>2015</v>
      </c>
      <c r="H164" s="17">
        <v>6</v>
      </c>
      <c r="I164" s="8">
        <v>0.2</v>
      </c>
      <c r="J164" s="17" t="s">
        <v>78</v>
      </c>
      <c r="K164" s="17">
        <v>7</v>
      </c>
      <c r="L164" s="17">
        <f t="shared" si="20"/>
        <v>2022</v>
      </c>
      <c r="M164" s="17">
        <f t="shared" si="28"/>
        <v>2022.5</v>
      </c>
      <c r="N164" s="17">
        <v>202299.47</v>
      </c>
      <c r="O164" s="17">
        <f t="shared" si="21"/>
        <v>161839.576</v>
      </c>
      <c r="P164" s="17">
        <f t="shared" si="22"/>
        <v>1926.6616190476191</v>
      </c>
      <c r="Q164" s="17">
        <f t="shared" si="23"/>
        <v>23119.93942857143</v>
      </c>
      <c r="R164" s="17">
        <f t="shared" si="24"/>
        <v>23119.93942857143</v>
      </c>
      <c r="S164" s="17">
        <f t="shared" si="25"/>
        <v>46239.878857142859</v>
      </c>
      <c r="T164" s="17">
        <f t="shared" si="26"/>
        <v>28899.924285714282</v>
      </c>
      <c r="U164" s="17">
        <f t="shared" si="27"/>
        <v>164729.56842857145</v>
      </c>
    </row>
    <row r="165" spans="1:21">
      <c r="A165" s="17" t="s">
        <v>151</v>
      </c>
      <c r="B165" s="17" t="s">
        <v>152</v>
      </c>
      <c r="C165" s="17">
        <v>4077</v>
      </c>
      <c r="D165" s="17" t="s">
        <v>163</v>
      </c>
      <c r="E165" s="17">
        <v>189849</v>
      </c>
      <c r="F165" s="17"/>
      <c r="G165" s="17">
        <v>2017</v>
      </c>
      <c r="H165" s="17">
        <v>12</v>
      </c>
      <c r="I165" s="8">
        <v>0</v>
      </c>
      <c r="J165" s="17" t="s">
        <v>78</v>
      </c>
      <c r="K165" s="17">
        <v>10</v>
      </c>
      <c r="L165" s="17">
        <f t="shared" si="20"/>
        <v>2027</v>
      </c>
      <c r="M165" s="17">
        <f t="shared" si="28"/>
        <v>2028</v>
      </c>
      <c r="N165" s="17">
        <v>257169.54</v>
      </c>
      <c r="O165" s="17">
        <f t="shared" si="21"/>
        <v>257169.54</v>
      </c>
      <c r="P165" s="17">
        <f t="shared" si="22"/>
        <v>2143.0795000000003</v>
      </c>
      <c r="Q165" s="17">
        <f t="shared" si="23"/>
        <v>25716.954000000005</v>
      </c>
      <c r="R165" s="17">
        <f t="shared" si="24"/>
        <v>25716.954000000005</v>
      </c>
      <c r="S165" s="17">
        <f t="shared" si="25"/>
        <v>0</v>
      </c>
      <c r="T165" s="17">
        <f t="shared" si="26"/>
        <v>25716.954000000005</v>
      </c>
      <c r="U165" s="17">
        <f t="shared" si="27"/>
        <v>244311.06300000002</v>
      </c>
    </row>
    <row r="166" spans="1:21">
      <c r="A166" s="17"/>
      <c r="B166" s="17"/>
      <c r="C166" s="17"/>
      <c r="D166" s="17" t="s">
        <v>164</v>
      </c>
      <c r="E166" s="17">
        <v>189886</v>
      </c>
      <c r="F166" s="17"/>
      <c r="G166" s="17">
        <v>2017</v>
      </c>
      <c r="H166" s="17">
        <v>12</v>
      </c>
      <c r="I166" s="8">
        <v>0</v>
      </c>
      <c r="J166" s="17" t="s">
        <v>78</v>
      </c>
      <c r="K166" s="17">
        <v>5</v>
      </c>
      <c r="L166" s="17">
        <f t="shared" si="20"/>
        <v>2022</v>
      </c>
      <c r="M166" s="17">
        <f t="shared" si="28"/>
        <v>2023</v>
      </c>
      <c r="N166" s="17">
        <v>2050.4699999999998</v>
      </c>
      <c r="O166" s="17">
        <f t="shared" si="21"/>
        <v>2050.4699999999998</v>
      </c>
      <c r="P166" s="17">
        <f t="shared" si="22"/>
        <v>34.174499999999995</v>
      </c>
      <c r="Q166" s="17">
        <f t="shared" si="23"/>
        <v>410.09399999999994</v>
      </c>
      <c r="R166" s="17">
        <f t="shared" si="24"/>
        <v>410.09399999999994</v>
      </c>
      <c r="S166" s="17">
        <f t="shared" si="25"/>
        <v>0</v>
      </c>
      <c r="T166" s="17">
        <f t="shared" si="26"/>
        <v>410.09399999999994</v>
      </c>
      <c r="U166" s="17">
        <f t="shared" si="27"/>
        <v>1845.4229999999998</v>
      </c>
    </row>
    <row r="167" spans="1:21">
      <c r="A167" s="17"/>
      <c r="B167" s="17" t="s">
        <v>152</v>
      </c>
      <c r="C167" s="17"/>
      <c r="D167" s="17" t="s">
        <v>165</v>
      </c>
      <c r="E167" s="17">
        <v>191851</v>
      </c>
      <c r="F167" s="17">
        <v>189849</v>
      </c>
      <c r="G167" s="17">
        <v>2018</v>
      </c>
      <c r="H167" s="17">
        <v>1</v>
      </c>
      <c r="I167" s="8">
        <v>0</v>
      </c>
      <c r="J167" s="17" t="s">
        <v>78</v>
      </c>
      <c r="K167" s="17">
        <v>10</v>
      </c>
      <c r="L167" s="17">
        <f t="shared" si="20"/>
        <v>2028</v>
      </c>
      <c r="M167" s="17">
        <f t="shared" si="28"/>
        <v>2028.0833333333333</v>
      </c>
      <c r="N167" s="17">
        <v>70.39</v>
      </c>
      <c r="O167" s="17">
        <f t="shared" si="21"/>
        <v>70.39</v>
      </c>
      <c r="P167" s="17">
        <f t="shared" si="22"/>
        <v>0.58658333333333335</v>
      </c>
      <c r="Q167" s="17">
        <f t="shared" si="23"/>
        <v>7.0389999999999997</v>
      </c>
      <c r="R167" s="17">
        <f t="shared" si="24"/>
        <v>7.0389999999999997</v>
      </c>
      <c r="S167" s="17">
        <f t="shared" si="25"/>
        <v>0</v>
      </c>
      <c r="T167" s="17">
        <f t="shared" si="26"/>
        <v>7.0389999999999997</v>
      </c>
      <c r="U167" s="17">
        <f t="shared" si="27"/>
        <v>66.870499999999993</v>
      </c>
    </row>
    <row r="168" spans="1:21">
      <c r="A168" s="17"/>
      <c r="B168" s="17" t="s">
        <v>152</v>
      </c>
      <c r="C168" s="17"/>
      <c r="D168" s="17" t="s">
        <v>166</v>
      </c>
      <c r="E168" s="17">
        <v>199114</v>
      </c>
      <c r="F168" s="17"/>
      <c r="G168" s="17">
        <v>2018</v>
      </c>
      <c r="H168" s="17">
        <v>6</v>
      </c>
      <c r="I168" s="8">
        <v>0</v>
      </c>
      <c r="J168" s="17" t="s">
        <v>78</v>
      </c>
      <c r="K168" s="17">
        <v>10</v>
      </c>
      <c r="L168" s="17">
        <f t="shared" si="20"/>
        <v>2028</v>
      </c>
      <c r="M168" s="17">
        <f t="shared" si="28"/>
        <v>2028.5</v>
      </c>
      <c r="N168" s="17">
        <v>228215.43</v>
      </c>
      <c r="O168" s="17">
        <f t="shared" si="21"/>
        <v>228215.43</v>
      </c>
      <c r="P168" s="17">
        <f t="shared" si="22"/>
        <v>1901.7952499999999</v>
      </c>
      <c r="Q168" s="17">
        <f t="shared" si="23"/>
        <v>22821.542999999998</v>
      </c>
      <c r="R168" s="17">
        <f t="shared" si="24"/>
        <v>22821.542999999998</v>
      </c>
      <c r="S168" s="17">
        <f t="shared" si="25"/>
        <v>0</v>
      </c>
      <c r="T168" s="17">
        <f t="shared" si="26"/>
        <v>22821.542999999998</v>
      </c>
      <c r="U168" s="17">
        <f t="shared" si="27"/>
        <v>216804.65849999999</v>
      </c>
    </row>
    <row r="169" spans="1:21">
      <c r="A169" s="17"/>
      <c r="B169" s="17" t="s">
        <v>152</v>
      </c>
      <c r="C169" s="17"/>
      <c r="D169" s="17" t="s">
        <v>167</v>
      </c>
      <c r="E169" s="17">
        <v>199416</v>
      </c>
      <c r="F169" s="17">
        <v>199114</v>
      </c>
      <c r="G169" s="17">
        <v>2018</v>
      </c>
      <c r="H169" s="17">
        <v>6</v>
      </c>
      <c r="I169" s="8">
        <v>0</v>
      </c>
      <c r="J169" s="17" t="s">
        <v>78</v>
      </c>
      <c r="K169" s="17">
        <v>10</v>
      </c>
      <c r="L169" s="17">
        <f t="shared" si="20"/>
        <v>2028</v>
      </c>
      <c r="M169" s="17">
        <f t="shared" si="28"/>
        <v>2028.5</v>
      </c>
      <c r="N169" s="17">
        <v>70.39</v>
      </c>
      <c r="O169" s="17">
        <f t="shared" si="21"/>
        <v>70.39</v>
      </c>
      <c r="P169" s="17">
        <f t="shared" si="22"/>
        <v>0.58658333333333335</v>
      </c>
      <c r="Q169" s="17">
        <f t="shared" si="23"/>
        <v>7.0389999999999997</v>
      </c>
      <c r="R169" s="17">
        <f t="shared" si="24"/>
        <v>7.0389999999999997</v>
      </c>
      <c r="S169" s="17">
        <f t="shared" si="25"/>
        <v>0</v>
      </c>
      <c r="T169" s="17">
        <f t="shared" si="26"/>
        <v>7.0389999999999997</v>
      </c>
      <c r="U169" s="17">
        <f t="shared" si="27"/>
        <v>66.870499999999993</v>
      </c>
    </row>
    <row r="170" spans="1:21">
      <c r="A170" s="17"/>
      <c r="B170" s="17" t="s">
        <v>152</v>
      </c>
      <c r="C170" s="17"/>
      <c r="D170" s="17" t="s">
        <v>168</v>
      </c>
      <c r="E170" s="17">
        <v>199418</v>
      </c>
      <c r="F170" s="17"/>
      <c r="G170" s="17">
        <v>2018</v>
      </c>
      <c r="H170" s="17">
        <v>6</v>
      </c>
      <c r="I170" s="8">
        <v>0</v>
      </c>
      <c r="J170" s="17" t="s">
        <v>78</v>
      </c>
      <c r="K170" s="17">
        <v>10</v>
      </c>
      <c r="L170" s="17">
        <f t="shared" si="20"/>
        <v>2028</v>
      </c>
      <c r="M170" s="17">
        <f t="shared" si="28"/>
        <v>2028.5</v>
      </c>
      <c r="N170" s="17">
        <v>70.39</v>
      </c>
      <c r="O170" s="17">
        <f t="shared" si="21"/>
        <v>70.39</v>
      </c>
      <c r="P170" s="17">
        <f t="shared" si="22"/>
        <v>0.58658333333333335</v>
      </c>
      <c r="Q170" s="17">
        <f t="shared" si="23"/>
        <v>7.0389999999999997</v>
      </c>
      <c r="R170" s="17">
        <f t="shared" si="24"/>
        <v>7.0389999999999997</v>
      </c>
      <c r="S170" s="17">
        <f t="shared" si="25"/>
        <v>0</v>
      </c>
      <c r="T170" s="17">
        <f t="shared" si="26"/>
        <v>7.0389999999999997</v>
      </c>
      <c r="U170" s="17">
        <f t="shared" si="27"/>
        <v>66.870499999999993</v>
      </c>
    </row>
    <row r="171" spans="1:21">
      <c r="A171" s="17"/>
      <c r="B171" s="17" t="s">
        <v>152</v>
      </c>
      <c r="C171" s="17"/>
      <c r="D171" s="17" t="s">
        <v>166</v>
      </c>
      <c r="E171" s="17">
        <v>199115</v>
      </c>
      <c r="F171" s="17"/>
      <c r="G171" s="17">
        <v>2018</v>
      </c>
      <c r="H171" s="17">
        <v>6</v>
      </c>
      <c r="I171" s="8">
        <v>0</v>
      </c>
      <c r="J171" s="17" t="s">
        <v>78</v>
      </c>
      <c r="K171" s="17">
        <v>10</v>
      </c>
      <c r="L171" s="17">
        <f t="shared" si="20"/>
        <v>2028</v>
      </c>
      <c r="M171" s="17">
        <f t="shared" si="28"/>
        <v>2028.5</v>
      </c>
      <c r="N171" s="17">
        <v>228215.43</v>
      </c>
      <c r="O171" s="17">
        <f t="shared" si="21"/>
        <v>228215.43</v>
      </c>
      <c r="P171" s="17">
        <f t="shared" si="22"/>
        <v>1901.7952499999999</v>
      </c>
      <c r="Q171" s="17">
        <f t="shared" si="23"/>
        <v>22821.542999999998</v>
      </c>
      <c r="R171" s="17">
        <f t="shared" si="24"/>
        <v>22821.542999999998</v>
      </c>
      <c r="S171" s="17">
        <f t="shared" si="25"/>
        <v>0</v>
      </c>
      <c r="T171" s="17">
        <f t="shared" si="26"/>
        <v>22821.542999999998</v>
      </c>
      <c r="U171" s="17">
        <f t="shared" si="27"/>
        <v>216804.65849999999</v>
      </c>
    </row>
    <row r="172" spans="1:21">
      <c r="A172" s="17"/>
      <c r="B172" s="17" t="s">
        <v>152</v>
      </c>
      <c r="C172" s="17"/>
      <c r="D172" s="17" t="s">
        <v>169</v>
      </c>
      <c r="E172" s="17">
        <v>199417</v>
      </c>
      <c r="F172" s="17">
        <v>199115</v>
      </c>
      <c r="G172" s="17">
        <v>2018</v>
      </c>
      <c r="H172" s="17">
        <v>6</v>
      </c>
      <c r="I172" s="8">
        <v>0</v>
      </c>
      <c r="J172" s="17" t="s">
        <v>78</v>
      </c>
      <c r="K172" s="17">
        <v>10</v>
      </c>
      <c r="L172" s="17">
        <f t="shared" si="20"/>
        <v>2028</v>
      </c>
      <c r="M172" s="17">
        <f t="shared" si="28"/>
        <v>2028.5</v>
      </c>
      <c r="N172" s="17">
        <v>70.39</v>
      </c>
      <c r="O172" s="17">
        <f t="shared" si="21"/>
        <v>70.39</v>
      </c>
      <c r="P172" s="17">
        <f t="shared" si="22"/>
        <v>0.58658333333333335</v>
      </c>
      <c r="Q172" s="17">
        <f t="shared" si="23"/>
        <v>7.0389999999999997</v>
      </c>
      <c r="R172" s="17">
        <f t="shared" si="24"/>
        <v>7.0389999999999997</v>
      </c>
      <c r="S172" s="17">
        <f t="shared" si="25"/>
        <v>0</v>
      </c>
      <c r="T172" s="17">
        <f t="shared" si="26"/>
        <v>7.0389999999999997</v>
      </c>
      <c r="U172" s="17">
        <f t="shared" si="27"/>
        <v>66.870499999999993</v>
      </c>
    </row>
    <row r="173" spans="1:21">
      <c r="A173" s="17"/>
      <c r="B173" s="17" t="s">
        <v>152</v>
      </c>
      <c r="C173" s="17"/>
      <c r="D173" s="17" t="s">
        <v>166</v>
      </c>
      <c r="E173" s="17">
        <v>200786</v>
      </c>
      <c r="F173" s="17"/>
      <c r="G173" s="17">
        <v>2018</v>
      </c>
      <c r="H173" s="17">
        <v>6</v>
      </c>
      <c r="I173" s="8">
        <v>0</v>
      </c>
      <c r="J173" s="17" t="s">
        <v>78</v>
      </c>
      <c r="K173" s="17">
        <v>10</v>
      </c>
      <c r="L173" s="17">
        <f t="shared" si="20"/>
        <v>2028</v>
      </c>
      <c r="M173" s="17">
        <f t="shared" si="28"/>
        <v>2028.5</v>
      </c>
      <c r="N173" s="17">
        <v>228285.83</v>
      </c>
      <c r="O173" s="17">
        <f t="shared" si="21"/>
        <v>228285.83</v>
      </c>
      <c r="P173" s="17">
        <f t="shared" si="22"/>
        <v>1902.3819166666665</v>
      </c>
      <c r="Q173" s="17">
        <f t="shared" si="23"/>
        <v>22828.582999999999</v>
      </c>
      <c r="R173" s="17">
        <f t="shared" si="24"/>
        <v>22828.582999999999</v>
      </c>
      <c r="S173" s="17">
        <f t="shared" si="25"/>
        <v>0</v>
      </c>
      <c r="T173" s="17">
        <f t="shared" si="26"/>
        <v>22828.582999999999</v>
      </c>
      <c r="U173" s="17">
        <f t="shared" si="27"/>
        <v>216871.53849999997</v>
      </c>
    </row>
    <row r="174" spans="1:21">
      <c r="A174" s="17"/>
      <c r="B174" s="17" t="s">
        <v>152</v>
      </c>
      <c r="C174" s="17"/>
      <c r="D174" s="17" t="s">
        <v>166</v>
      </c>
      <c r="E174" s="17">
        <v>200784</v>
      </c>
      <c r="F174" s="17"/>
      <c r="G174" s="17">
        <v>2018</v>
      </c>
      <c r="H174" s="17">
        <v>7</v>
      </c>
      <c r="I174" s="8">
        <v>0</v>
      </c>
      <c r="J174" s="17" t="s">
        <v>78</v>
      </c>
      <c r="K174" s="17">
        <v>10</v>
      </c>
      <c r="L174" s="17">
        <f t="shared" si="20"/>
        <v>2028</v>
      </c>
      <c r="M174" s="17">
        <f t="shared" si="28"/>
        <v>2028.5833333333333</v>
      </c>
      <c r="N174" s="17">
        <v>228215.43</v>
      </c>
      <c r="O174" s="17">
        <f t="shared" si="21"/>
        <v>228215.43</v>
      </c>
      <c r="P174" s="17">
        <f t="shared" si="22"/>
        <v>1901.7952499999999</v>
      </c>
      <c r="Q174" s="17">
        <f t="shared" si="23"/>
        <v>22821.542999999998</v>
      </c>
      <c r="R174" s="17">
        <f t="shared" si="24"/>
        <v>22821.542999999998</v>
      </c>
      <c r="S174" s="17">
        <f t="shared" si="25"/>
        <v>0</v>
      </c>
      <c r="T174" s="17">
        <f t="shared" si="26"/>
        <v>22821.542999999998</v>
      </c>
      <c r="U174" s="17">
        <f t="shared" si="27"/>
        <v>216804.65849999999</v>
      </c>
    </row>
    <row r="176" spans="1:21">
      <c r="A176" s="17"/>
      <c r="B176" s="17"/>
      <c r="C176" s="17"/>
      <c r="D176" s="17"/>
      <c r="E176" s="17"/>
      <c r="F176" s="17"/>
      <c r="G176" s="17"/>
      <c r="H176" s="17"/>
      <c r="J176" s="17"/>
      <c r="K176" s="17"/>
      <c r="L176" s="17" t="s">
        <v>172</v>
      </c>
      <c r="M176" s="17"/>
      <c r="N176" s="17">
        <f t="shared" ref="N176:U176" si="30">SUM(N131:N175)</f>
        <v>2668998.1303551919</v>
      </c>
      <c r="O176" s="17">
        <f t="shared" si="30"/>
        <v>2397008.6523551908</v>
      </c>
      <c r="P176" s="17">
        <f t="shared" si="30"/>
        <v>26049.795750364308</v>
      </c>
      <c r="Q176" s="17">
        <f t="shared" si="30"/>
        <v>312597.54900437163</v>
      </c>
      <c r="R176" s="17">
        <f t="shared" si="30"/>
        <v>142311.27542857145</v>
      </c>
      <c r="S176" s="17">
        <f t="shared" si="30"/>
        <v>1337019.0092123351</v>
      </c>
      <c r="T176" s="17">
        <f t="shared" si="30"/>
        <v>1207340.8066409063</v>
      </c>
      <c r="U176" s="17">
        <f t="shared" si="30"/>
        <v>1281053.4304285713</v>
      </c>
    </row>
    <row r="178" spans="1:24">
      <c r="A178" s="17"/>
      <c r="B178" s="17" t="s">
        <v>1043</v>
      </c>
      <c r="C178" s="17"/>
      <c r="D178" s="17"/>
      <c r="E178" s="17"/>
      <c r="F178" s="17"/>
      <c r="G178" s="17"/>
      <c r="H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</row>
    <row r="179" spans="1:24">
      <c r="A179" s="17" t="s">
        <v>174</v>
      </c>
      <c r="B179" s="17" t="s">
        <v>111</v>
      </c>
      <c r="C179" s="17">
        <v>3574</v>
      </c>
      <c r="D179" s="17" t="s">
        <v>358</v>
      </c>
      <c r="E179" s="17"/>
      <c r="F179" s="17"/>
      <c r="G179" s="17">
        <v>2003</v>
      </c>
      <c r="H179" s="17">
        <v>7</v>
      </c>
      <c r="I179" s="8">
        <v>0.2</v>
      </c>
      <c r="J179" s="17" t="s">
        <v>78</v>
      </c>
      <c r="K179" s="17">
        <v>7</v>
      </c>
      <c r="L179" s="17">
        <f t="shared" ref="L179:L192" si="31">G179+K179</f>
        <v>2010</v>
      </c>
      <c r="M179" s="17">
        <f t="shared" ref="M179:M194" si="32">+L179+(H179/12)</f>
        <v>2010.5833333333333</v>
      </c>
      <c r="N179" s="17">
        <v>160627.26999999999</v>
      </c>
      <c r="O179" s="17">
        <f t="shared" ref="O179:O194" si="33">N179-N179*I179</f>
        <v>128501.81599999999</v>
      </c>
      <c r="P179" s="17">
        <f t="shared" ref="P179:P194" si="34">O179/K179/12</f>
        <v>1529.7835238095238</v>
      </c>
      <c r="Q179" s="17">
        <f t="shared" ref="Q179:Q194" si="35">P179*12</f>
        <v>18357.402285714285</v>
      </c>
      <c r="R179" s="17">
        <f t="shared" ref="R179:R194" si="36">+IF(M179&lt;=$O$6,0,IF(L179&gt;$O$5,Q179,(P179*G179)))</f>
        <v>0</v>
      </c>
      <c r="S179" s="17">
        <f t="shared" ref="S179:S194" si="37">+IF(R179=0,N179,IF($O$5-G179&lt;1,0,(($O$5-G179)*Q179)))</f>
        <v>160627.26999999999</v>
      </c>
      <c r="T179" s="17">
        <f t="shared" ref="T179:T194" si="38">+IF(R179=0,S179,S179+R179)-(N179-O179)</f>
        <v>128501.81599999999</v>
      </c>
      <c r="U179" s="17">
        <f t="shared" ref="U179:U194" si="39">+IF(R179=0,0,((N179-S179)+(N179-T179))/2)</f>
        <v>0</v>
      </c>
      <c r="V179" s="17"/>
      <c r="W179" s="17"/>
      <c r="X179" s="17" t="s">
        <v>300</v>
      </c>
    </row>
    <row r="180" spans="1:24">
      <c r="A180" s="17"/>
      <c r="B180" s="17"/>
      <c r="C180" s="17">
        <v>11085</v>
      </c>
      <c r="D180" s="17" t="s">
        <v>81</v>
      </c>
      <c r="E180" s="17"/>
      <c r="F180" s="17"/>
      <c r="G180" s="17">
        <v>2004</v>
      </c>
      <c r="H180" s="17">
        <v>12</v>
      </c>
      <c r="I180" s="8">
        <v>0.2</v>
      </c>
      <c r="J180" s="17" t="s">
        <v>78</v>
      </c>
      <c r="K180" s="17">
        <v>5</v>
      </c>
      <c r="L180" s="17">
        <f t="shared" si="31"/>
        <v>2009</v>
      </c>
      <c r="M180" s="17">
        <f t="shared" si="32"/>
        <v>2010</v>
      </c>
      <c r="N180" s="17">
        <f>154600.26*11/36</f>
        <v>47238.968333333338</v>
      </c>
      <c r="O180" s="17">
        <f t="shared" si="33"/>
        <v>37791.174666666673</v>
      </c>
      <c r="P180" s="17">
        <f t="shared" si="34"/>
        <v>629.85291111111121</v>
      </c>
      <c r="Q180" s="17">
        <f t="shared" si="35"/>
        <v>7558.234933333335</v>
      </c>
      <c r="R180" s="17">
        <f t="shared" si="36"/>
        <v>0</v>
      </c>
      <c r="S180" s="17">
        <f t="shared" si="37"/>
        <v>47238.968333333338</v>
      </c>
      <c r="T180" s="17">
        <f t="shared" si="38"/>
        <v>37791.174666666673</v>
      </c>
      <c r="U180" s="17">
        <f t="shared" si="39"/>
        <v>0</v>
      </c>
      <c r="V180" s="17"/>
      <c r="W180" s="17"/>
      <c r="X180" s="17" t="s">
        <v>300</v>
      </c>
    </row>
    <row r="181" spans="1:24">
      <c r="A181" s="17" t="s">
        <v>385</v>
      </c>
      <c r="B181" s="17" t="s">
        <v>111</v>
      </c>
      <c r="C181" s="17">
        <v>3578</v>
      </c>
      <c r="D181" s="17" t="s">
        <v>386</v>
      </c>
      <c r="E181" s="17"/>
      <c r="F181" s="17"/>
      <c r="G181" s="17">
        <v>2005</v>
      </c>
      <c r="H181" s="17">
        <v>3</v>
      </c>
      <c r="I181" s="8">
        <v>0.2</v>
      </c>
      <c r="J181" s="17" t="s">
        <v>78</v>
      </c>
      <c r="K181" s="17">
        <v>7</v>
      </c>
      <c r="L181" s="17">
        <f t="shared" si="31"/>
        <v>2012</v>
      </c>
      <c r="M181" s="17">
        <f t="shared" si="32"/>
        <v>2012.25</v>
      </c>
      <c r="N181" s="17">
        <v>172559.21</v>
      </c>
      <c r="O181" s="17">
        <f t="shared" si="33"/>
        <v>138047.36799999999</v>
      </c>
      <c r="P181" s="17">
        <f t="shared" si="34"/>
        <v>1643.4210476190474</v>
      </c>
      <c r="Q181" s="17">
        <f t="shared" si="35"/>
        <v>19721.052571428569</v>
      </c>
      <c r="R181" s="17">
        <f t="shared" si="36"/>
        <v>0</v>
      </c>
      <c r="S181" s="17">
        <f t="shared" si="37"/>
        <v>172559.21</v>
      </c>
      <c r="T181" s="17">
        <f t="shared" si="38"/>
        <v>138047.36799999999</v>
      </c>
      <c r="U181" s="17">
        <f t="shared" si="39"/>
        <v>0</v>
      </c>
      <c r="V181" s="17"/>
      <c r="W181" s="17"/>
      <c r="X181" s="17" t="s">
        <v>300</v>
      </c>
    </row>
    <row r="182" spans="1:24">
      <c r="A182" s="17" t="s">
        <v>174</v>
      </c>
      <c r="B182" s="17" t="s">
        <v>111</v>
      </c>
      <c r="C182" s="17">
        <v>3582</v>
      </c>
      <c r="D182" s="17" t="s">
        <v>350</v>
      </c>
      <c r="E182" s="17"/>
      <c r="F182" s="17"/>
      <c r="G182" s="17">
        <v>2005</v>
      </c>
      <c r="H182" s="17">
        <v>5</v>
      </c>
      <c r="I182" s="8">
        <v>0.2</v>
      </c>
      <c r="J182" s="17" t="s">
        <v>78</v>
      </c>
      <c r="K182" s="17">
        <v>7</v>
      </c>
      <c r="L182" s="17">
        <f t="shared" si="31"/>
        <v>2012</v>
      </c>
      <c r="M182" s="17">
        <f t="shared" si="32"/>
        <v>2012.4166666666667</v>
      </c>
      <c r="N182" s="17">
        <v>172559.21</v>
      </c>
      <c r="O182" s="17">
        <f t="shared" si="33"/>
        <v>138047.36799999999</v>
      </c>
      <c r="P182" s="17">
        <f t="shared" si="34"/>
        <v>1643.4210476190474</v>
      </c>
      <c r="Q182" s="17">
        <f t="shared" si="35"/>
        <v>19721.052571428569</v>
      </c>
      <c r="R182" s="17">
        <f t="shared" si="36"/>
        <v>0</v>
      </c>
      <c r="S182" s="17">
        <f t="shared" si="37"/>
        <v>172559.21</v>
      </c>
      <c r="T182" s="17">
        <f t="shared" si="38"/>
        <v>138047.36799999999</v>
      </c>
      <c r="U182" s="17">
        <f t="shared" si="39"/>
        <v>0</v>
      </c>
      <c r="V182" s="17"/>
      <c r="W182" s="17"/>
      <c r="X182" s="17" t="s">
        <v>300</v>
      </c>
    </row>
    <row r="183" spans="1:24">
      <c r="A183" s="17" t="s">
        <v>174</v>
      </c>
      <c r="B183" s="17" t="s">
        <v>111</v>
      </c>
      <c r="C183" s="17">
        <v>3583</v>
      </c>
      <c r="D183" s="17" t="s">
        <v>333</v>
      </c>
      <c r="E183" s="17"/>
      <c r="F183" s="17"/>
      <c r="G183" s="17">
        <v>2005</v>
      </c>
      <c r="H183" s="17">
        <v>6</v>
      </c>
      <c r="I183" s="8">
        <v>0.2</v>
      </c>
      <c r="J183" s="17" t="s">
        <v>78</v>
      </c>
      <c r="K183" s="17">
        <v>7</v>
      </c>
      <c r="L183" s="17">
        <f t="shared" si="31"/>
        <v>2012</v>
      </c>
      <c r="M183" s="17">
        <f t="shared" si="32"/>
        <v>2012.5</v>
      </c>
      <c r="N183" s="17">
        <v>168969.21</v>
      </c>
      <c r="O183" s="17">
        <f t="shared" si="33"/>
        <v>135175.36799999999</v>
      </c>
      <c r="P183" s="17">
        <f t="shared" si="34"/>
        <v>1609.2305714285712</v>
      </c>
      <c r="Q183" s="17">
        <f t="shared" si="35"/>
        <v>19310.766857142855</v>
      </c>
      <c r="R183" s="17">
        <f t="shared" si="36"/>
        <v>0</v>
      </c>
      <c r="S183" s="17">
        <f t="shared" si="37"/>
        <v>168969.21</v>
      </c>
      <c r="T183" s="17">
        <f t="shared" si="38"/>
        <v>135175.36799999999</v>
      </c>
      <c r="U183" s="17">
        <f t="shared" si="39"/>
        <v>0</v>
      </c>
      <c r="V183" s="17"/>
      <c r="W183" s="17"/>
      <c r="X183" s="17" t="s">
        <v>300</v>
      </c>
    </row>
    <row r="184" spans="1:24">
      <c r="A184" s="17" t="s">
        <v>174</v>
      </c>
      <c r="B184" s="17" t="s">
        <v>93</v>
      </c>
      <c r="C184" s="17">
        <v>9575</v>
      </c>
      <c r="D184" s="17" t="s">
        <v>319</v>
      </c>
      <c r="E184" s="17"/>
      <c r="F184" s="17"/>
      <c r="G184" s="17">
        <v>2005</v>
      </c>
      <c r="H184" s="17">
        <v>11</v>
      </c>
      <c r="I184" s="8">
        <v>0.2</v>
      </c>
      <c r="J184" s="17" t="s">
        <v>78</v>
      </c>
      <c r="K184" s="17">
        <v>7</v>
      </c>
      <c r="L184" s="17">
        <f t="shared" si="31"/>
        <v>2012</v>
      </c>
      <c r="M184" s="17">
        <f t="shared" si="32"/>
        <v>2012.9166666666667</v>
      </c>
      <c r="N184" s="17">
        <v>37779.26</v>
      </c>
      <c r="O184" s="17">
        <f t="shared" si="33"/>
        <v>30223.408000000003</v>
      </c>
      <c r="P184" s="17">
        <f t="shared" si="34"/>
        <v>359.80247619047623</v>
      </c>
      <c r="Q184" s="17">
        <f t="shared" si="35"/>
        <v>4317.6297142857147</v>
      </c>
      <c r="R184" s="17">
        <f t="shared" si="36"/>
        <v>0</v>
      </c>
      <c r="S184" s="17">
        <f t="shared" si="37"/>
        <v>37779.26</v>
      </c>
      <c r="T184" s="17">
        <f t="shared" si="38"/>
        <v>30223.408000000003</v>
      </c>
      <c r="U184" s="17">
        <f t="shared" si="39"/>
        <v>0</v>
      </c>
      <c r="V184" s="17"/>
      <c r="W184" s="17"/>
      <c r="X184" s="17" t="s">
        <v>300</v>
      </c>
    </row>
    <row r="185" spans="1:24">
      <c r="A185" s="17" t="s">
        <v>246</v>
      </c>
      <c r="B185" s="17" t="s">
        <v>111</v>
      </c>
      <c r="C185" s="17">
        <v>3588</v>
      </c>
      <c r="D185" s="17" t="s">
        <v>346</v>
      </c>
      <c r="E185" s="17"/>
      <c r="F185" s="17"/>
      <c r="G185" s="17">
        <v>2006</v>
      </c>
      <c r="H185" s="17">
        <v>6</v>
      </c>
      <c r="I185" s="8">
        <v>0.2</v>
      </c>
      <c r="J185" s="17" t="s">
        <v>78</v>
      </c>
      <c r="K185" s="17">
        <v>7</v>
      </c>
      <c r="L185" s="17">
        <f t="shared" si="31"/>
        <v>2013</v>
      </c>
      <c r="M185" s="17">
        <f t="shared" si="32"/>
        <v>2013.5</v>
      </c>
      <c r="N185" s="17">
        <v>183553.22</v>
      </c>
      <c r="O185" s="17">
        <f t="shared" si="33"/>
        <v>146842.576</v>
      </c>
      <c r="P185" s="17">
        <f t="shared" si="34"/>
        <v>1748.1259047619048</v>
      </c>
      <c r="Q185" s="17">
        <f t="shared" si="35"/>
        <v>20977.510857142857</v>
      </c>
      <c r="R185" s="17">
        <f t="shared" si="36"/>
        <v>0</v>
      </c>
      <c r="S185" s="17">
        <f t="shared" si="37"/>
        <v>183553.22</v>
      </c>
      <c r="T185" s="17">
        <f t="shared" si="38"/>
        <v>146842.576</v>
      </c>
      <c r="U185" s="17">
        <f t="shared" si="39"/>
        <v>0</v>
      </c>
      <c r="V185" s="17"/>
      <c r="W185" s="17"/>
      <c r="X185" s="17" t="s">
        <v>300</v>
      </c>
    </row>
    <row r="186" spans="1:24">
      <c r="A186" s="17" t="s">
        <v>174</v>
      </c>
      <c r="B186" s="17"/>
      <c r="C186" s="17">
        <v>3583</v>
      </c>
      <c r="D186" s="17" t="s">
        <v>348</v>
      </c>
      <c r="E186" s="17"/>
      <c r="F186" s="17"/>
      <c r="G186" s="17">
        <v>2006</v>
      </c>
      <c r="H186" s="17">
        <v>9</v>
      </c>
      <c r="I186" s="8">
        <v>0.2</v>
      </c>
      <c r="J186" s="17" t="s">
        <v>78</v>
      </c>
      <c r="K186" s="17">
        <v>7</v>
      </c>
      <c r="L186" s="17">
        <f t="shared" si="31"/>
        <v>2013</v>
      </c>
      <c r="M186" s="17">
        <f t="shared" si="32"/>
        <v>2013.75</v>
      </c>
      <c r="N186" s="17">
        <v>3949.44</v>
      </c>
      <c r="O186" s="17">
        <f t="shared" si="33"/>
        <v>3159.5520000000001</v>
      </c>
      <c r="P186" s="17">
        <f t="shared" si="34"/>
        <v>37.613714285714288</v>
      </c>
      <c r="Q186" s="17">
        <f t="shared" si="35"/>
        <v>451.36457142857148</v>
      </c>
      <c r="R186" s="17">
        <f t="shared" si="36"/>
        <v>0</v>
      </c>
      <c r="S186" s="17">
        <f t="shared" si="37"/>
        <v>3949.44</v>
      </c>
      <c r="T186" s="17">
        <f t="shared" si="38"/>
        <v>3159.5520000000001</v>
      </c>
      <c r="U186" s="17">
        <f t="shared" si="39"/>
        <v>0</v>
      </c>
      <c r="V186" s="17"/>
      <c r="W186" s="17"/>
      <c r="X186" s="17" t="s">
        <v>300</v>
      </c>
    </row>
    <row r="187" spans="1:24">
      <c r="A187" s="17"/>
      <c r="B187" s="17"/>
      <c r="C187" s="17"/>
      <c r="D187" s="17" t="s">
        <v>87</v>
      </c>
      <c r="E187" s="17" t="s">
        <v>88</v>
      </c>
      <c r="F187" s="17"/>
      <c r="G187" s="17">
        <v>2006</v>
      </c>
      <c r="H187" s="17">
        <v>12</v>
      </c>
      <c r="I187" s="8">
        <v>0</v>
      </c>
      <c r="J187" s="17" t="s">
        <v>78</v>
      </c>
      <c r="K187" s="17">
        <v>5</v>
      </c>
      <c r="L187" s="17">
        <f t="shared" si="31"/>
        <v>2011</v>
      </c>
      <c r="M187" s="17">
        <f t="shared" si="32"/>
        <v>2012</v>
      </c>
      <c r="N187" s="17">
        <f>(9918.49+20060.36+141742.3)*11/36</f>
        <v>52470.351388888885</v>
      </c>
      <c r="O187" s="17">
        <f t="shared" si="33"/>
        <v>52470.351388888885</v>
      </c>
      <c r="P187" s="17">
        <f t="shared" si="34"/>
        <v>874.50585648148137</v>
      </c>
      <c r="Q187" s="17">
        <f t="shared" si="35"/>
        <v>10494.070277777777</v>
      </c>
      <c r="R187" s="17">
        <f t="shared" si="36"/>
        <v>0</v>
      </c>
      <c r="S187" s="17">
        <f t="shared" si="37"/>
        <v>52470.351388888885</v>
      </c>
      <c r="T187" s="17">
        <f t="shared" si="38"/>
        <v>52470.351388888885</v>
      </c>
      <c r="U187" s="17">
        <f t="shared" si="39"/>
        <v>0</v>
      </c>
      <c r="V187" s="17"/>
      <c r="W187" s="17"/>
      <c r="X187" s="17" t="s">
        <v>300</v>
      </c>
    </row>
    <row r="188" spans="1:24">
      <c r="A188" s="17" t="s">
        <v>174</v>
      </c>
      <c r="B188" s="17"/>
      <c r="C188" s="17"/>
      <c r="D188" s="17" t="s">
        <v>95</v>
      </c>
      <c r="E188" s="17" t="s">
        <v>96</v>
      </c>
      <c r="F188" s="17" t="s">
        <v>97</v>
      </c>
      <c r="G188" s="17">
        <v>2009</v>
      </c>
      <c r="H188" s="17">
        <v>7</v>
      </c>
      <c r="I188" s="8">
        <v>0</v>
      </c>
      <c r="J188" s="17" t="s">
        <v>78</v>
      </c>
      <c r="K188" s="17">
        <v>5</v>
      </c>
      <c r="L188" s="17">
        <f t="shared" si="31"/>
        <v>2014</v>
      </c>
      <c r="M188" s="17">
        <f t="shared" si="32"/>
        <v>2014.5833333333333</v>
      </c>
      <c r="N188" s="17">
        <f>(6722.48+38653.29+641.31+1194.22+14225.95)*12/61</f>
        <v>12086.016393442624</v>
      </c>
      <c r="O188" s="17">
        <f t="shared" si="33"/>
        <v>12086.016393442624</v>
      </c>
      <c r="P188" s="17">
        <f t="shared" si="34"/>
        <v>201.43360655737706</v>
      </c>
      <c r="Q188" s="17">
        <f t="shared" si="35"/>
        <v>2417.2032786885247</v>
      </c>
      <c r="R188" s="17">
        <f t="shared" si="36"/>
        <v>0</v>
      </c>
      <c r="S188" s="17">
        <f t="shared" si="37"/>
        <v>12086.016393442624</v>
      </c>
      <c r="T188" s="17">
        <f t="shared" si="38"/>
        <v>12086.016393442624</v>
      </c>
      <c r="U188" s="17">
        <f t="shared" si="39"/>
        <v>0</v>
      </c>
      <c r="V188" s="17"/>
      <c r="W188" s="17"/>
      <c r="X188" s="17"/>
    </row>
    <row r="189" spans="1:24">
      <c r="A189" s="17"/>
      <c r="B189" s="17"/>
      <c r="C189" s="17"/>
      <c r="D189" s="17" t="s">
        <v>98</v>
      </c>
      <c r="E189" s="17" t="s">
        <v>99</v>
      </c>
      <c r="F189" s="17"/>
      <c r="G189" s="17">
        <v>2009</v>
      </c>
      <c r="H189" s="17">
        <v>7</v>
      </c>
      <c r="I189" s="8">
        <v>0</v>
      </c>
      <c r="J189" s="17" t="s">
        <v>78</v>
      </c>
      <c r="K189" s="17">
        <v>5</v>
      </c>
      <c r="L189" s="17">
        <f t="shared" si="31"/>
        <v>2014</v>
      </c>
      <c r="M189" s="17">
        <f t="shared" si="32"/>
        <v>2014.5833333333333</v>
      </c>
      <c r="N189" s="17">
        <f>(34912.65+1078.65+10913.06)*11/46</f>
        <v>11216.26</v>
      </c>
      <c r="O189" s="17">
        <f t="shared" si="33"/>
        <v>11216.26</v>
      </c>
      <c r="P189" s="17">
        <f t="shared" si="34"/>
        <v>186.93766666666667</v>
      </c>
      <c r="Q189" s="17">
        <f t="shared" si="35"/>
        <v>2243.252</v>
      </c>
      <c r="R189" s="17">
        <f t="shared" si="36"/>
        <v>0</v>
      </c>
      <c r="S189" s="17">
        <f t="shared" si="37"/>
        <v>11216.26</v>
      </c>
      <c r="T189" s="17">
        <f t="shared" si="38"/>
        <v>11216.26</v>
      </c>
      <c r="U189" s="17">
        <f t="shared" si="39"/>
        <v>0</v>
      </c>
      <c r="V189" s="17"/>
      <c r="W189" s="17"/>
      <c r="X189" s="17"/>
    </row>
    <row r="190" spans="1:24">
      <c r="A190" s="17" t="s">
        <v>174</v>
      </c>
      <c r="B190" s="17"/>
      <c r="C190" s="17"/>
      <c r="D190" s="17" t="s">
        <v>100</v>
      </c>
      <c r="E190" s="17">
        <v>75160</v>
      </c>
      <c r="F190" s="17" t="s">
        <v>97</v>
      </c>
      <c r="G190" s="17">
        <v>2010</v>
      </c>
      <c r="H190" s="17">
        <v>6</v>
      </c>
      <c r="I190" s="8">
        <v>0</v>
      </c>
      <c r="J190" s="17" t="s">
        <v>78</v>
      </c>
      <c r="K190" s="17">
        <v>5</v>
      </c>
      <c r="L190" s="17">
        <f t="shared" si="31"/>
        <v>2015</v>
      </c>
      <c r="M190" s="17">
        <f t="shared" si="32"/>
        <v>2015.5</v>
      </c>
      <c r="N190" s="17">
        <f>16772.32*12/61</f>
        <v>3299.472786885246</v>
      </c>
      <c r="O190" s="17">
        <f t="shared" si="33"/>
        <v>3299.472786885246</v>
      </c>
      <c r="P190" s="17">
        <f t="shared" si="34"/>
        <v>54.991213114754096</v>
      </c>
      <c r="Q190" s="17">
        <f t="shared" si="35"/>
        <v>659.89455737704918</v>
      </c>
      <c r="R190" s="17">
        <f t="shared" si="36"/>
        <v>0</v>
      </c>
      <c r="S190" s="17">
        <f t="shared" si="37"/>
        <v>3299.472786885246</v>
      </c>
      <c r="T190" s="17">
        <f>+IF(R190=0,S190,S190+R190)-(N190-O190)</f>
        <v>3299.472786885246</v>
      </c>
      <c r="U190" s="17">
        <f t="shared" si="39"/>
        <v>0</v>
      </c>
      <c r="V190" s="17"/>
      <c r="W190" s="17"/>
      <c r="X190" s="17"/>
    </row>
    <row r="191" spans="1:24">
      <c r="A191" s="17"/>
      <c r="B191" s="17"/>
      <c r="C191" s="17">
        <v>3637</v>
      </c>
      <c r="D191" s="17" t="s">
        <v>204</v>
      </c>
      <c r="E191" s="17">
        <v>117555</v>
      </c>
      <c r="F191" s="17"/>
      <c r="G191" s="17">
        <v>2014</v>
      </c>
      <c r="H191" s="17">
        <v>10</v>
      </c>
      <c r="I191" s="8">
        <v>0</v>
      </c>
      <c r="J191" s="17" t="s">
        <v>78</v>
      </c>
      <c r="K191" s="17">
        <v>5</v>
      </c>
      <c r="L191" s="17">
        <f t="shared" si="31"/>
        <v>2019</v>
      </c>
      <c r="M191" s="17">
        <f t="shared" si="32"/>
        <v>2019.8333333333333</v>
      </c>
      <c r="N191" s="17">
        <v>16407.5</v>
      </c>
      <c r="O191" s="17">
        <f t="shared" si="33"/>
        <v>16407.5</v>
      </c>
      <c r="P191" s="17">
        <f t="shared" si="34"/>
        <v>273.45833333333331</v>
      </c>
      <c r="Q191" s="17">
        <f t="shared" si="35"/>
        <v>3281.5</v>
      </c>
      <c r="R191" s="17">
        <f t="shared" si="36"/>
        <v>3281.5</v>
      </c>
      <c r="S191" s="17">
        <f t="shared" si="37"/>
        <v>9844.5</v>
      </c>
      <c r="T191" s="17">
        <f t="shared" si="38"/>
        <v>13126</v>
      </c>
      <c r="U191" s="17">
        <f t="shared" si="39"/>
        <v>4922.25</v>
      </c>
      <c r="V191" s="17"/>
      <c r="W191" s="17"/>
      <c r="X191" s="17"/>
    </row>
    <row r="192" spans="1:24">
      <c r="A192" s="17"/>
      <c r="B192" s="17"/>
      <c r="C192" s="17">
        <v>3578</v>
      </c>
      <c r="D192" s="17" t="s">
        <v>388</v>
      </c>
      <c r="E192" s="17">
        <v>120991</v>
      </c>
      <c r="F192" s="17"/>
      <c r="G192" s="17">
        <v>2015</v>
      </c>
      <c r="H192" s="17">
        <v>2</v>
      </c>
      <c r="I192" s="8">
        <v>0</v>
      </c>
      <c r="J192" s="17" t="s">
        <v>78</v>
      </c>
      <c r="K192" s="17">
        <v>3</v>
      </c>
      <c r="L192" s="17">
        <f t="shared" si="31"/>
        <v>2018</v>
      </c>
      <c r="M192" s="17">
        <f t="shared" si="32"/>
        <v>2018.1666666666667</v>
      </c>
      <c r="N192" s="17">
        <v>7629.49</v>
      </c>
      <c r="O192" s="17">
        <f t="shared" si="33"/>
        <v>7629.49</v>
      </c>
      <c r="P192" s="17">
        <f t="shared" si="34"/>
        <v>211.93027777777777</v>
      </c>
      <c r="Q192" s="17">
        <f t="shared" si="35"/>
        <v>2543.1633333333334</v>
      </c>
      <c r="R192" s="17">
        <f t="shared" si="36"/>
        <v>2543.1633333333334</v>
      </c>
      <c r="S192" s="17">
        <f t="shared" si="37"/>
        <v>5086.3266666666668</v>
      </c>
      <c r="T192" s="17">
        <f t="shared" si="38"/>
        <v>7629.49</v>
      </c>
      <c r="U192" s="17">
        <f t="shared" si="39"/>
        <v>1271.5816666666665</v>
      </c>
      <c r="V192" s="17"/>
      <c r="W192" s="17"/>
      <c r="X192" s="17"/>
    </row>
    <row r="193" spans="1:24">
      <c r="A193" s="17"/>
      <c r="B193" s="17"/>
      <c r="C193" s="17">
        <v>3538</v>
      </c>
      <c r="D193" s="17" t="s">
        <v>210</v>
      </c>
      <c r="E193" s="17">
        <v>129635</v>
      </c>
      <c r="F193" s="17">
        <v>66897</v>
      </c>
      <c r="G193" s="17">
        <v>2016</v>
      </c>
      <c r="H193" s="17">
        <v>1</v>
      </c>
      <c r="I193" s="8">
        <v>0</v>
      </c>
      <c r="J193" s="17" t="s">
        <v>78</v>
      </c>
      <c r="K193" s="17">
        <v>3</v>
      </c>
      <c r="L193" s="17">
        <f>G193+K193</f>
        <v>2019</v>
      </c>
      <c r="M193" s="17">
        <f t="shared" si="32"/>
        <v>2019.0833333333333</v>
      </c>
      <c r="N193" s="17">
        <v>15048.63</v>
      </c>
      <c r="O193" s="17">
        <f t="shared" si="33"/>
        <v>15048.63</v>
      </c>
      <c r="P193" s="17">
        <f t="shared" si="34"/>
        <v>418.01749999999998</v>
      </c>
      <c r="Q193" s="17">
        <f t="shared" si="35"/>
        <v>5016.21</v>
      </c>
      <c r="R193" s="17">
        <f t="shared" si="36"/>
        <v>5016.21</v>
      </c>
      <c r="S193" s="17">
        <f t="shared" si="37"/>
        <v>5016.21</v>
      </c>
      <c r="T193" s="17">
        <f t="shared" si="38"/>
        <v>10032.42</v>
      </c>
      <c r="U193" s="17">
        <f t="shared" si="39"/>
        <v>7524.3149999999987</v>
      </c>
      <c r="V193" s="17"/>
      <c r="W193" s="17"/>
      <c r="X193" s="17"/>
    </row>
    <row r="194" spans="1:24">
      <c r="A194" s="17"/>
      <c r="B194" s="17"/>
      <c r="C194" s="17"/>
      <c r="D194" s="17" t="s">
        <v>211</v>
      </c>
      <c r="E194" s="17">
        <v>183284</v>
      </c>
      <c r="F194" s="17">
        <v>181935</v>
      </c>
      <c r="G194" s="17">
        <v>2017</v>
      </c>
      <c r="H194" s="17">
        <v>6</v>
      </c>
      <c r="I194" s="8">
        <v>0</v>
      </c>
      <c r="J194" s="17" t="s">
        <v>78</v>
      </c>
      <c r="K194" s="17">
        <v>10</v>
      </c>
      <c r="L194" s="17">
        <f>G194+K194</f>
        <v>2027</v>
      </c>
      <c r="M194" s="17">
        <f t="shared" si="32"/>
        <v>2027.5</v>
      </c>
      <c r="N194" s="17">
        <v>8346.19</v>
      </c>
      <c r="O194" s="17">
        <f t="shared" si="33"/>
        <v>8346.19</v>
      </c>
      <c r="P194" s="17">
        <f t="shared" si="34"/>
        <v>69.55158333333334</v>
      </c>
      <c r="Q194" s="17">
        <f t="shared" si="35"/>
        <v>834.61900000000014</v>
      </c>
      <c r="R194" s="17">
        <f t="shared" si="36"/>
        <v>834.61900000000014</v>
      </c>
      <c r="S194" s="17">
        <f t="shared" si="37"/>
        <v>0</v>
      </c>
      <c r="T194" s="17">
        <f t="shared" si="38"/>
        <v>834.61900000000014</v>
      </c>
      <c r="U194" s="17">
        <f t="shared" si="39"/>
        <v>7928.8805000000002</v>
      </c>
      <c r="V194" s="17"/>
      <c r="W194" s="17"/>
      <c r="X194" s="17"/>
    </row>
    <row r="196" spans="1:24">
      <c r="A196" s="17"/>
      <c r="B196" s="17"/>
      <c r="C196" s="17"/>
      <c r="D196" s="17"/>
      <c r="E196" s="17"/>
      <c r="F196" s="17"/>
      <c r="G196" s="17"/>
      <c r="H196" s="17"/>
      <c r="J196" s="17"/>
      <c r="K196" s="17"/>
      <c r="L196" s="17" t="s">
        <v>214</v>
      </c>
      <c r="M196" s="17"/>
      <c r="N196" s="17">
        <f t="shared" ref="N196:U196" si="40">SUM(N179:N195)</f>
        <v>1073739.6989025499</v>
      </c>
      <c r="O196" s="17">
        <f t="shared" si="40"/>
        <v>884292.54123588349</v>
      </c>
      <c r="P196" s="17">
        <f t="shared" si="40"/>
        <v>11492.07723409012</v>
      </c>
      <c r="Q196" s="17">
        <f t="shared" si="40"/>
        <v>137904.92680908143</v>
      </c>
      <c r="R196" s="17">
        <f t="shared" si="40"/>
        <v>11675.492333333334</v>
      </c>
      <c r="S196" s="17">
        <f t="shared" si="40"/>
        <v>1046254.9255692166</v>
      </c>
      <c r="T196" s="17">
        <f t="shared" si="40"/>
        <v>868483.26023588353</v>
      </c>
      <c r="U196" s="17">
        <f t="shared" si="40"/>
        <v>21647.027166666667</v>
      </c>
      <c r="V196" s="17"/>
      <c r="W196" s="17"/>
      <c r="X196" s="17"/>
    </row>
    <row r="198" spans="1:24">
      <c r="A198" s="17"/>
      <c r="B198" s="17" t="s">
        <v>1044</v>
      </c>
      <c r="C198" s="17"/>
      <c r="D198" s="17"/>
      <c r="E198" s="17"/>
      <c r="F198" s="17"/>
      <c r="G198" s="17"/>
      <c r="H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</row>
    <row r="199" spans="1:24">
      <c r="A199" s="17" t="s">
        <v>1045</v>
      </c>
      <c r="B199" s="17" t="s">
        <v>111</v>
      </c>
      <c r="C199" s="17">
        <v>3585</v>
      </c>
      <c r="D199" s="17" t="s">
        <v>428</v>
      </c>
      <c r="E199" s="17"/>
      <c r="F199" s="17"/>
      <c r="G199" s="17">
        <v>2006</v>
      </c>
      <c r="H199" s="17">
        <v>1</v>
      </c>
      <c r="I199" s="8">
        <v>0.2</v>
      </c>
      <c r="J199" s="17" t="s">
        <v>78</v>
      </c>
      <c r="K199" s="17">
        <v>7</v>
      </c>
      <c r="L199" s="17">
        <f>G199+K199</f>
        <v>2013</v>
      </c>
      <c r="M199" s="17">
        <f>+L199+(H199/12)</f>
        <v>2013.0833333333333</v>
      </c>
      <c r="N199" s="17">
        <f>174585.06+8338.44</f>
        <v>182923.5</v>
      </c>
      <c r="O199" s="17">
        <f>N199-N199*I199</f>
        <v>146338.79999999999</v>
      </c>
      <c r="P199" s="17">
        <f>O199/K199/12</f>
        <v>1742.1285714285714</v>
      </c>
      <c r="Q199" s="17">
        <f>P199*12</f>
        <v>20905.542857142857</v>
      </c>
      <c r="R199" s="17">
        <f>+IF(M199&lt;=$O$6,0,IF(L199&gt;$O$5,Q199,(P199*G199)))</f>
        <v>0</v>
      </c>
      <c r="S199" s="17">
        <f>+IF(R199=0,N199,IF($O$5-G199&lt;1,0,(($O$5-G199)*Q199)))</f>
        <v>182923.5</v>
      </c>
      <c r="T199" s="17">
        <f>+IF(R199=0,S199,S199+R199)</f>
        <v>182923.5</v>
      </c>
      <c r="U199" s="17">
        <f>+IF(R199=0,0,((N199-S199)+(N199-T199))/2)</f>
        <v>0</v>
      </c>
      <c r="V199" s="17"/>
      <c r="W199" s="17"/>
      <c r="X199" s="17"/>
    </row>
    <row r="201" spans="1:24">
      <c r="A201" s="17"/>
      <c r="B201" s="17"/>
      <c r="C201" s="17"/>
      <c r="D201" s="17"/>
      <c r="E201" s="17"/>
      <c r="F201" s="17"/>
      <c r="G201" s="17"/>
      <c r="H201" s="17"/>
      <c r="J201" s="17"/>
      <c r="K201" s="17"/>
      <c r="L201" s="17" t="s">
        <v>214</v>
      </c>
      <c r="M201" s="17"/>
      <c r="N201" s="17">
        <f t="shared" ref="N201:U201" si="41">SUM(N199:N200)</f>
        <v>182923.5</v>
      </c>
      <c r="O201" s="17">
        <f t="shared" si="41"/>
        <v>146338.79999999999</v>
      </c>
      <c r="P201" s="17">
        <f t="shared" si="41"/>
        <v>1742.1285714285714</v>
      </c>
      <c r="Q201" s="17">
        <f t="shared" si="41"/>
        <v>20905.542857142857</v>
      </c>
      <c r="R201" s="17">
        <f t="shared" si="41"/>
        <v>0</v>
      </c>
      <c r="S201" s="17">
        <f t="shared" si="41"/>
        <v>182923.5</v>
      </c>
      <c r="T201" s="17">
        <f t="shared" si="41"/>
        <v>182923.5</v>
      </c>
      <c r="U201" s="17">
        <f t="shared" si="41"/>
        <v>0</v>
      </c>
      <c r="V201" s="17"/>
      <c r="W201" s="17"/>
      <c r="X201" s="17"/>
    </row>
    <row r="203" spans="1:24">
      <c r="A203" s="17"/>
      <c r="B203" s="17" t="s">
        <v>1046</v>
      </c>
      <c r="C203" s="17"/>
      <c r="D203" s="17"/>
      <c r="E203" s="17"/>
      <c r="F203" s="17"/>
      <c r="G203" s="17"/>
      <c r="H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</row>
    <row r="204" spans="1:24">
      <c r="A204" s="17" t="s">
        <v>221</v>
      </c>
      <c r="B204" s="17" t="s">
        <v>111</v>
      </c>
      <c r="C204" s="17">
        <v>3573</v>
      </c>
      <c r="D204" s="17" t="s">
        <v>360</v>
      </c>
      <c r="E204" s="17"/>
      <c r="F204" s="17"/>
      <c r="G204" s="17">
        <v>2003</v>
      </c>
      <c r="H204" s="17">
        <v>5</v>
      </c>
      <c r="I204" s="8">
        <v>0.2</v>
      </c>
      <c r="J204" s="17" t="s">
        <v>78</v>
      </c>
      <c r="K204" s="17">
        <v>7</v>
      </c>
      <c r="L204" s="17">
        <f t="shared" ref="L204:L214" si="42">G204+K204</f>
        <v>2010</v>
      </c>
      <c r="M204" s="17">
        <f t="shared" ref="M204:M215" si="43">+L204+(H204/12)</f>
        <v>2010.4166666666667</v>
      </c>
      <c r="N204" s="17">
        <v>160627.26999999999</v>
      </c>
      <c r="O204" s="17">
        <f t="shared" ref="O204:O215" si="44">N204-N204*I204</f>
        <v>128501.81599999999</v>
      </c>
      <c r="P204" s="17">
        <f t="shared" ref="P204:P215" si="45">O204/K204/12</f>
        <v>1529.7835238095238</v>
      </c>
      <c r="Q204" s="17">
        <f t="shared" ref="Q204:Q215" si="46">P204*12</f>
        <v>18357.402285714285</v>
      </c>
      <c r="R204" s="17">
        <f t="shared" ref="R204:R215" si="47">+IF(M204&lt;=$O$6,0,IF(L204&gt;$O$5,Q204,(P204*G204)))</f>
        <v>0</v>
      </c>
      <c r="S204" s="17">
        <f t="shared" ref="S204:S215" si="48">+IF(R204=0,N204,IF($O$5-G204&lt;1,0,(($O$5-G204)*Q204)))</f>
        <v>160627.26999999999</v>
      </c>
      <c r="T204" s="17">
        <f t="shared" ref="T204:T215" si="49">+IF(R204=0,S204,S204+R204)-(N204-O204)</f>
        <v>128501.81599999999</v>
      </c>
      <c r="U204" s="17">
        <f t="shared" ref="U204:U215" si="50">+IF(R204=0,0,((N204-S204)+(N204-T204))/2)</f>
        <v>0</v>
      </c>
      <c r="V204" s="17"/>
      <c r="W204" s="17"/>
      <c r="X204" s="17" t="s">
        <v>300</v>
      </c>
    </row>
    <row r="205" spans="1:24">
      <c r="A205" s="17"/>
      <c r="B205" s="17"/>
      <c r="C205" s="17">
        <v>11085</v>
      </c>
      <c r="D205" s="17" t="s">
        <v>81</v>
      </c>
      <c r="E205" s="17"/>
      <c r="F205" s="17"/>
      <c r="G205" s="17">
        <v>2004</v>
      </c>
      <c r="H205" s="17">
        <v>12</v>
      </c>
      <c r="I205" s="8">
        <v>0.2</v>
      </c>
      <c r="J205" s="17" t="s">
        <v>78</v>
      </c>
      <c r="K205" s="17">
        <v>7</v>
      </c>
      <c r="L205" s="17">
        <f t="shared" si="42"/>
        <v>2011</v>
      </c>
      <c r="M205" s="17">
        <f t="shared" si="43"/>
        <v>2012</v>
      </c>
      <c r="N205" s="17">
        <f>154600.26*1/36</f>
        <v>4294.4516666666668</v>
      </c>
      <c r="O205" s="17">
        <f t="shared" si="44"/>
        <v>3435.5613333333336</v>
      </c>
      <c r="P205" s="17">
        <f t="shared" si="45"/>
        <v>40.89953968253969</v>
      </c>
      <c r="Q205" s="17">
        <f t="shared" si="46"/>
        <v>490.7944761904763</v>
      </c>
      <c r="R205" s="17">
        <f t="shared" si="47"/>
        <v>0</v>
      </c>
      <c r="S205" s="17">
        <f t="shared" si="48"/>
        <v>4294.4516666666668</v>
      </c>
      <c r="T205" s="17">
        <f t="shared" si="49"/>
        <v>3435.5613333333336</v>
      </c>
      <c r="U205" s="17">
        <f t="shared" si="50"/>
        <v>0</v>
      </c>
      <c r="V205" s="17"/>
      <c r="W205" s="17"/>
      <c r="X205" s="17" t="s">
        <v>300</v>
      </c>
    </row>
    <row r="206" spans="1:24">
      <c r="A206" s="17" t="s">
        <v>221</v>
      </c>
      <c r="B206" s="17" t="s">
        <v>111</v>
      </c>
      <c r="C206" s="17">
        <v>3576</v>
      </c>
      <c r="D206" s="17" t="s">
        <v>355</v>
      </c>
      <c r="E206" s="17">
        <v>66891</v>
      </c>
      <c r="F206" s="17"/>
      <c r="G206" s="17">
        <v>2005</v>
      </c>
      <c r="H206" s="17">
        <v>3</v>
      </c>
      <c r="I206" s="8">
        <v>0.2</v>
      </c>
      <c r="J206" s="17" t="s">
        <v>78</v>
      </c>
      <c r="K206" s="17">
        <v>7</v>
      </c>
      <c r="L206" s="17">
        <f>G206+K206</f>
        <v>2012</v>
      </c>
      <c r="M206" s="17">
        <f t="shared" si="43"/>
        <v>2012.25</v>
      </c>
      <c r="N206" s="17">
        <v>167573.04999999999</v>
      </c>
      <c r="O206" s="17">
        <f t="shared" si="44"/>
        <v>134058.44</v>
      </c>
      <c r="P206" s="17">
        <f t="shared" si="45"/>
        <v>1595.9338095238097</v>
      </c>
      <c r="Q206" s="17">
        <f t="shared" si="46"/>
        <v>19151.205714285716</v>
      </c>
      <c r="R206" s="17">
        <f t="shared" si="47"/>
        <v>0</v>
      </c>
      <c r="S206" s="17">
        <f t="shared" si="48"/>
        <v>167573.04999999999</v>
      </c>
      <c r="T206" s="17">
        <f t="shared" si="49"/>
        <v>134058.44</v>
      </c>
      <c r="U206" s="17">
        <f t="shared" si="50"/>
        <v>0</v>
      </c>
      <c r="V206" s="17"/>
      <c r="W206" s="17"/>
      <c r="X206" s="17" t="s">
        <v>300</v>
      </c>
    </row>
    <row r="207" spans="1:24">
      <c r="A207" s="17" t="s">
        <v>221</v>
      </c>
      <c r="B207" s="17" t="s">
        <v>111</v>
      </c>
      <c r="C207" s="17">
        <v>3579</v>
      </c>
      <c r="D207" s="17" t="s">
        <v>352</v>
      </c>
      <c r="E207" s="17"/>
      <c r="F207" s="17"/>
      <c r="G207" s="17">
        <v>2005</v>
      </c>
      <c r="H207" s="17">
        <v>3</v>
      </c>
      <c r="I207" s="8">
        <v>0.2</v>
      </c>
      <c r="J207" s="17" t="s">
        <v>78</v>
      </c>
      <c r="K207" s="17">
        <v>7</v>
      </c>
      <c r="L207" s="17">
        <f t="shared" si="42"/>
        <v>2012</v>
      </c>
      <c r="M207" s="17">
        <f t="shared" si="43"/>
        <v>2012.25</v>
      </c>
      <c r="N207" s="17">
        <v>169989.05</v>
      </c>
      <c r="O207" s="17">
        <f t="shared" si="44"/>
        <v>135991.24</v>
      </c>
      <c r="P207" s="17">
        <f t="shared" si="45"/>
        <v>1618.9433333333334</v>
      </c>
      <c r="Q207" s="17">
        <f t="shared" si="46"/>
        <v>19427.32</v>
      </c>
      <c r="R207" s="17">
        <f t="shared" si="47"/>
        <v>0</v>
      </c>
      <c r="S207" s="17">
        <f t="shared" si="48"/>
        <v>169989.05</v>
      </c>
      <c r="T207" s="17">
        <f t="shared" si="49"/>
        <v>135991.24</v>
      </c>
      <c r="U207" s="17">
        <f t="shared" si="50"/>
        <v>0</v>
      </c>
      <c r="V207" s="17"/>
      <c r="W207" s="17"/>
      <c r="X207" s="17" t="s">
        <v>300</v>
      </c>
    </row>
    <row r="208" spans="1:24">
      <c r="A208" s="17" t="s">
        <v>221</v>
      </c>
      <c r="B208" s="17" t="s">
        <v>111</v>
      </c>
      <c r="C208" s="17">
        <v>3580</v>
      </c>
      <c r="D208" s="17" t="s">
        <v>422</v>
      </c>
      <c r="E208" s="17"/>
      <c r="F208" s="17"/>
      <c r="G208" s="17">
        <v>2005</v>
      </c>
      <c r="H208" s="17">
        <v>4</v>
      </c>
      <c r="I208" s="8">
        <v>0.2</v>
      </c>
      <c r="J208" s="17" t="s">
        <v>78</v>
      </c>
      <c r="K208" s="17">
        <v>7</v>
      </c>
      <c r="L208" s="17">
        <f>G208+K208</f>
        <v>2012</v>
      </c>
      <c r="M208" s="17">
        <f t="shared" si="43"/>
        <v>2012.3333333333333</v>
      </c>
      <c r="N208" s="17">
        <v>169989.05</v>
      </c>
      <c r="O208" s="17">
        <f t="shared" si="44"/>
        <v>135991.24</v>
      </c>
      <c r="P208" s="17">
        <f t="shared" si="45"/>
        <v>1618.9433333333334</v>
      </c>
      <c r="Q208" s="17">
        <f t="shared" si="46"/>
        <v>19427.32</v>
      </c>
      <c r="R208" s="17">
        <f t="shared" si="47"/>
        <v>0</v>
      </c>
      <c r="S208" s="17">
        <f t="shared" si="48"/>
        <v>169989.05</v>
      </c>
      <c r="T208" s="17">
        <f t="shared" si="49"/>
        <v>135991.24</v>
      </c>
      <c r="U208" s="17">
        <f t="shared" si="50"/>
        <v>0</v>
      </c>
      <c r="V208" s="17"/>
      <c r="W208" s="17"/>
      <c r="X208" s="17" t="s">
        <v>300</v>
      </c>
    </row>
    <row r="209" spans="1:24">
      <c r="A209" s="17" t="s">
        <v>221</v>
      </c>
      <c r="B209" s="17" t="s">
        <v>111</v>
      </c>
      <c r="C209" s="17">
        <v>3581</v>
      </c>
      <c r="D209" s="17" t="s">
        <v>352</v>
      </c>
      <c r="E209" s="17"/>
      <c r="F209" s="17"/>
      <c r="G209" s="17">
        <v>2005</v>
      </c>
      <c r="H209" s="17">
        <v>5</v>
      </c>
      <c r="I209" s="8">
        <v>0.2</v>
      </c>
      <c r="J209" s="17" t="s">
        <v>78</v>
      </c>
      <c r="K209" s="17">
        <v>7</v>
      </c>
      <c r="L209" s="17">
        <f>G209+K209</f>
        <v>2012</v>
      </c>
      <c r="M209" s="17">
        <f t="shared" si="43"/>
        <v>2012.4166666666667</v>
      </c>
      <c r="N209" s="17">
        <v>169986.46</v>
      </c>
      <c r="O209" s="17">
        <f t="shared" si="44"/>
        <v>135989.16800000001</v>
      </c>
      <c r="P209" s="17">
        <f t="shared" si="45"/>
        <v>1618.9186666666667</v>
      </c>
      <c r="Q209" s="17">
        <f t="shared" si="46"/>
        <v>19427.024000000001</v>
      </c>
      <c r="R209" s="17">
        <f t="shared" si="47"/>
        <v>0</v>
      </c>
      <c r="S209" s="17">
        <f t="shared" si="48"/>
        <v>169986.46</v>
      </c>
      <c r="T209" s="17">
        <f t="shared" si="49"/>
        <v>135989.16800000001</v>
      </c>
      <c r="U209" s="17">
        <f t="shared" si="50"/>
        <v>0</v>
      </c>
      <c r="V209" s="17"/>
      <c r="W209" s="17"/>
      <c r="X209" s="17" t="s">
        <v>300</v>
      </c>
    </row>
    <row r="210" spans="1:24">
      <c r="A210" s="17"/>
      <c r="B210" s="17"/>
      <c r="C210" s="17"/>
      <c r="D210" s="17" t="s">
        <v>87</v>
      </c>
      <c r="E210" s="17" t="s">
        <v>88</v>
      </c>
      <c r="F210" s="17"/>
      <c r="G210" s="17">
        <v>2006</v>
      </c>
      <c r="H210" s="17">
        <v>12</v>
      </c>
      <c r="I210" s="8">
        <v>0</v>
      </c>
      <c r="J210" s="17" t="s">
        <v>78</v>
      </c>
      <c r="K210" s="17">
        <v>5</v>
      </c>
      <c r="L210" s="17">
        <f t="shared" si="42"/>
        <v>2011</v>
      </c>
      <c r="M210" s="17">
        <f t="shared" si="43"/>
        <v>2012</v>
      </c>
      <c r="N210" s="17">
        <f>(9918.49+20060.36+141742.3)*1/36</f>
        <v>4770.031944444444</v>
      </c>
      <c r="O210" s="17">
        <f t="shared" si="44"/>
        <v>4770.031944444444</v>
      </c>
      <c r="P210" s="17">
        <f t="shared" si="45"/>
        <v>79.500532407407391</v>
      </c>
      <c r="Q210" s="17">
        <f t="shared" si="46"/>
        <v>954.00638888888875</v>
      </c>
      <c r="R210" s="17">
        <f t="shared" si="47"/>
        <v>0</v>
      </c>
      <c r="S210" s="17">
        <f t="shared" si="48"/>
        <v>4770.031944444444</v>
      </c>
      <c r="T210" s="17">
        <f t="shared" si="49"/>
        <v>4770.031944444444</v>
      </c>
      <c r="U210" s="17">
        <f t="shared" si="50"/>
        <v>0</v>
      </c>
      <c r="V210" s="17"/>
      <c r="W210" s="17"/>
      <c r="X210" s="17"/>
    </row>
    <row r="211" spans="1:24">
      <c r="A211" s="17" t="s">
        <v>221</v>
      </c>
      <c r="B211" s="17"/>
      <c r="C211" s="17">
        <v>3581</v>
      </c>
      <c r="D211" s="17" t="s">
        <v>354</v>
      </c>
      <c r="E211" s="17"/>
      <c r="F211" s="17"/>
      <c r="G211" s="17">
        <v>2009</v>
      </c>
      <c r="H211" s="17">
        <v>6</v>
      </c>
      <c r="I211" s="8">
        <v>0</v>
      </c>
      <c r="J211" s="17" t="s">
        <v>78</v>
      </c>
      <c r="K211" s="17">
        <v>3</v>
      </c>
      <c r="L211" s="17">
        <f>G211+K211</f>
        <v>2012</v>
      </c>
      <c r="M211" s="17">
        <f t="shared" si="43"/>
        <v>2012.5</v>
      </c>
      <c r="N211" s="17">
        <v>5983.2</v>
      </c>
      <c r="O211" s="17">
        <f t="shared" si="44"/>
        <v>5983.2</v>
      </c>
      <c r="P211" s="17">
        <f t="shared" si="45"/>
        <v>166.2</v>
      </c>
      <c r="Q211" s="17">
        <f t="shared" si="46"/>
        <v>1994.3999999999999</v>
      </c>
      <c r="R211" s="17">
        <f t="shared" si="47"/>
        <v>0</v>
      </c>
      <c r="S211" s="17">
        <f t="shared" si="48"/>
        <v>5983.2</v>
      </c>
      <c r="T211" s="17">
        <f t="shared" si="49"/>
        <v>5983.2</v>
      </c>
      <c r="U211" s="17">
        <f t="shared" si="50"/>
        <v>0</v>
      </c>
      <c r="V211" s="17"/>
      <c r="W211" s="17"/>
      <c r="X211" s="17"/>
    </row>
    <row r="212" spans="1:24">
      <c r="A212" s="17"/>
      <c r="B212" s="17"/>
      <c r="C212" s="17"/>
      <c r="D212" s="17" t="s">
        <v>95</v>
      </c>
      <c r="E212" s="17" t="s">
        <v>96</v>
      </c>
      <c r="F212" s="17" t="s">
        <v>97</v>
      </c>
      <c r="G212" s="17">
        <v>2009</v>
      </c>
      <c r="H212" s="17">
        <v>7</v>
      </c>
      <c r="I212" s="8">
        <v>0</v>
      </c>
      <c r="J212" s="17" t="s">
        <v>78</v>
      </c>
      <c r="K212" s="17">
        <v>5</v>
      </c>
      <c r="L212" s="17">
        <f t="shared" si="42"/>
        <v>2014</v>
      </c>
      <c r="M212" s="17">
        <f t="shared" si="43"/>
        <v>2014.5833333333333</v>
      </c>
      <c r="N212" s="17">
        <f>(6722.48+38653.29+641.31+1194.22+14225.95)*4/61</f>
        <v>4028.6721311475408</v>
      </c>
      <c r="O212" s="17">
        <f t="shared" si="44"/>
        <v>4028.6721311475408</v>
      </c>
      <c r="P212" s="17">
        <f t="shared" si="45"/>
        <v>67.144535519125682</v>
      </c>
      <c r="Q212" s="17">
        <f t="shared" si="46"/>
        <v>805.73442622950824</v>
      </c>
      <c r="R212" s="17">
        <f t="shared" si="47"/>
        <v>0</v>
      </c>
      <c r="S212" s="17">
        <f t="shared" si="48"/>
        <v>4028.6721311475408</v>
      </c>
      <c r="T212" s="17">
        <f t="shared" si="49"/>
        <v>4028.6721311475408</v>
      </c>
      <c r="U212" s="17">
        <f t="shared" si="50"/>
        <v>0</v>
      </c>
      <c r="V212" s="17"/>
      <c r="W212" s="17"/>
      <c r="X212" s="17"/>
    </row>
    <row r="213" spans="1:24">
      <c r="A213" s="17"/>
      <c r="B213" s="17"/>
      <c r="C213" s="17"/>
      <c r="D213" s="17" t="s">
        <v>98</v>
      </c>
      <c r="E213" s="17" t="s">
        <v>99</v>
      </c>
      <c r="F213" s="17"/>
      <c r="G213" s="17">
        <v>2009</v>
      </c>
      <c r="H213" s="17">
        <v>7</v>
      </c>
      <c r="I213" s="8">
        <v>0</v>
      </c>
      <c r="J213" s="17" t="s">
        <v>78</v>
      </c>
      <c r="K213" s="17">
        <v>5</v>
      </c>
      <c r="L213" s="17">
        <f t="shared" si="42"/>
        <v>2014</v>
      </c>
      <c r="M213" s="17">
        <f t="shared" si="43"/>
        <v>2014.5833333333333</v>
      </c>
      <c r="N213" s="17">
        <f>(34912.65+1078.65+10913.06)*1/46</f>
        <v>1019.66</v>
      </c>
      <c r="O213" s="17">
        <f t="shared" si="44"/>
        <v>1019.66</v>
      </c>
      <c r="P213" s="17">
        <f t="shared" si="45"/>
        <v>16.994333333333334</v>
      </c>
      <c r="Q213" s="17">
        <f t="shared" si="46"/>
        <v>203.93200000000002</v>
      </c>
      <c r="R213" s="17">
        <f t="shared" si="47"/>
        <v>0</v>
      </c>
      <c r="S213" s="17">
        <f t="shared" si="48"/>
        <v>1019.66</v>
      </c>
      <c r="T213" s="17">
        <f t="shared" si="49"/>
        <v>1019.66</v>
      </c>
      <c r="U213" s="17">
        <f t="shared" si="50"/>
        <v>0</v>
      </c>
      <c r="V213" s="17"/>
      <c r="W213" s="17"/>
      <c r="X213" s="17"/>
    </row>
    <row r="214" spans="1:24">
      <c r="A214" s="17"/>
      <c r="B214" s="17"/>
      <c r="C214" s="17"/>
      <c r="D214" s="17" t="s">
        <v>100</v>
      </c>
      <c r="E214" s="17">
        <v>75160</v>
      </c>
      <c r="F214" s="17" t="s">
        <v>97</v>
      </c>
      <c r="G214" s="17">
        <v>2010</v>
      </c>
      <c r="H214" s="17">
        <v>6</v>
      </c>
      <c r="I214" s="8">
        <v>0</v>
      </c>
      <c r="J214" s="17" t="s">
        <v>78</v>
      </c>
      <c r="K214" s="17">
        <v>5</v>
      </c>
      <c r="L214" s="17">
        <f t="shared" si="42"/>
        <v>2015</v>
      </c>
      <c r="M214" s="17">
        <f t="shared" si="43"/>
        <v>2015.5</v>
      </c>
      <c r="N214" s="17">
        <f>16772.32*4/61</f>
        <v>1099.824262295082</v>
      </c>
      <c r="O214" s="17">
        <f t="shared" si="44"/>
        <v>1099.824262295082</v>
      </c>
      <c r="P214" s="17">
        <f t="shared" si="45"/>
        <v>18.330404371584702</v>
      </c>
      <c r="Q214" s="17">
        <f t="shared" si="46"/>
        <v>219.96485245901641</v>
      </c>
      <c r="R214" s="17">
        <f t="shared" si="47"/>
        <v>0</v>
      </c>
      <c r="S214" s="17">
        <f t="shared" si="48"/>
        <v>1099.824262295082</v>
      </c>
      <c r="T214" s="17">
        <f t="shared" si="49"/>
        <v>1099.824262295082</v>
      </c>
      <c r="U214" s="17">
        <f t="shared" si="50"/>
        <v>0</v>
      </c>
      <c r="V214" s="17"/>
      <c r="W214" s="17"/>
      <c r="X214" s="17"/>
    </row>
    <row r="215" spans="1:24">
      <c r="A215" s="17" t="s">
        <v>174</v>
      </c>
      <c r="B215" s="17"/>
      <c r="C215" s="17">
        <v>3576</v>
      </c>
      <c r="D215" s="17" t="s">
        <v>357</v>
      </c>
      <c r="E215" s="17">
        <v>111599</v>
      </c>
      <c r="F215" s="17">
        <v>66891</v>
      </c>
      <c r="G215" s="17">
        <v>2014</v>
      </c>
      <c r="H215" s="17">
        <v>3</v>
      </c>
      <c r="I215" s="8">
        <v>0</v>
      </c>
      <c r="J215" s="17" t="s">
        <v>78</v>
      </c>
      <c r="K215" s="17">
        <v>3</v>
      </c>
      <c r="L215" s="17">
        <f>G215+K215</f>
        <v>2017</v>
      </c>
      <c r="M215" s="17">
        <f t="shared" si="43"/>
        <v>2017.25</v>
      </c>
      <c r="N215" s="17">
        <v>6019.77</v>
      </c>
      <c r="O215" s="17">
        <f t="shared" si="44"/>
        <v>6019.77</v>
      </c>
      <c r="P215" s="17">
        <f t="shared" si="45"/>
        <v>167.21583333333334</v>
      </c>
      <c r="Q215" s="17">
        <f t="shared" si="46"/>
        <v>2006.5900000000001</v>
      </c>
      <c r="R215" s="17">
        <f t="shared" si="47"/>
        <v>0</v>
      </c>
      <c r="S215" s="17">
        <f t="shared" si="48"/>
        <v>6019.77</v>
      </c>
      <c r="T215" s="17">
        <f t="shared" si="49"/>
        <v>6019.77</v>
      </c>
      <c r="U215" s="17">
        <f t="shared" si="50"/>
        <v>0</v>
      </c>
      <c r="V215" s="17"/>
      <c r="W215" s="17"/>
      <c r="X215" s="17"/>
    </row>
    <row r="217" spans="1:24">
      <c r="A217" s="17"/>
      <c r="B217" s="17"/>
      <c r="C217" s="17"/>
      <c r="D217" s="17"/>
      <c r="E217" s="17"/>
      <c r="F217" s="17"/>
      <c r="G217" s="17"/>
      <c r="H217" s="17"/>
      <c r="J217" s="17"/>
      <c r="K217" s="17"/>
      <c r="L217" s="17" t="s">
        <v>226</v>
      </c>
      <c r="M217" s="17"/>
      <c r="N217" s="17">
        <f t="shared" ref="N217:U217" si="51">SUM(N204:N216)</f>
        <v>865380.49000455358</v>
      </c>
      <c r="O217" s="17">
        <f t="shared" si="51"/>
        <v>696888.62367122027</v>
      </c>
      <c r="P217" s="17">
        <f t="shared" si="51"/>
        <v>8538.8078453139933</v>
      </c>
      <c r="Q217" s="17">
        <f t="shared" si="51"/>
        <v>102465.69414376788</v>
      </c>
      <c r="R217" s="17">
        <f t="shared" si="51"/>
        <v>0</v>
      </c>
      <c r="S217" s="17">
        <f t="shared" si="51"/>
        <v>865380.49000455358</v>
      </c>
      <c r="T217" s="17">
        <f t="shared" si="51"/>
        <v>696888.62367122027</v>
      </c>
      <c r="U217" s="17">
        <f t="shared" si="51"/>
        <v>0</v>
      </c>
      <c r="V217" s="17"/>
      <c r="W217" s="17"/>
      <c r="X217" s="17"/>
    </row>
    <row r="219" spans="1:24">
      <c r="A219" s="17"/>
      <c r="B219" s="17" t="s">
        <v>1047</v>
      </c>
      <c r="C219" s="17"/>
      <c r="D219" s="17"/>
      <c r="E219" s="17"/>
      <c r="F219" s="17"/>
      <c r="G219" s="17"/>
      <c r="H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</row>
    <row r="220" spans="1:24">
      <c r="A220" s="17" t="s">
        <v>334</v>
      </c>
      <c r="B220" s="17" t="s">
        <v>76</v>
      </c>
      <c r="C220" s="17">
        <v>1033</v>
      </c>
      <c r="D220" s="17" t="s">
        <v>367</v>
      </c>
      <c r="E220" s="17"/>
      <c r="F220" s="17"/>
      <c r="G220" s="17">
        <v>2002</v>
      </c>
      <c r="H220" s="17">
        <v>6</v>
      </c>
      <c r="I220" s="8">
        <v>0.2</v>
      </c>
      <c r="J220" s="17" t="s">
        <v>78</v>
      </c>
      <c r="K220" s="17">
        <v>7</v>
      </c>
      <c r="L220" s="17">
        <f>G220+K220</f>
        <v>2009</v>
      </c>
      <c r="M220" s="17">
        <f>+L220+(H220/12)</f>
        <v>2009.5</v>
      </c>
      <c r="N220" s="17">
        <v>101881.5</v>
      </c>
      <c r="O220" s="17">
        <f>N220-N220*I220</f>
        <v>81505.2</v>
      </c>
      <c r="P220" s="17">
        <f>O220/K220/12</f>
        <v>970.30000000000007</v>
      </c>
      <c r="Q220" s="17">
        <f>P220*12</f>
        <v>11643.6</v>
      </c>
      <c r="R220" s="17">
        <f>+IF(M220&lt;=$O$6,0,IF(L220&gt;$O$5,Q220,(P220*G220)))</f>
        <v>0</v>
      </c>
      <c r="S220" s="17">
        <f>+IF(R220=0,N220,IF($O$5-G220&lt;1,0,(($O$5-G220)*Q220)))</f>
        <v>101881.5</v>
      </c>
      <c r="T220" s="17">
        <f>+IF(R220=0,S220,S220+R220)-(N220-O220)</f>
        <v>81505.2</v>
      </c>
      <c r="U220" s="17">
        <f>+IF(R220=0,0,((N220-S220)+(N220-T220))/2)</f>
        <v>0</v>
      </c>
      <c r="V220" s="17"/>
      <c r="W220" s="17"/>
      <c r="X220" s="17" t="s">
        <v>300</v>
      </c>
    </row>
    <row r="221" spans="1:24">
      <c r="A221" s="17" t="s">
        <v>334</v>
      </c>
      <c r="B221" s="17" t="s">
        <v>207</v>
      </c>
      <c r="C221" s="17">
        <v>2024</v>
      </c>
      <c r="D221" s="17" t="s">
        <v>362</v>
      </c>
      <c r="E221" s="17"/>
      <c r="F221" s="17"/>
      <c r="G221" s="17">
        <v>2006</v>
      </c>
      <c r="H221" s="17">
        <v>6</v>
      </c>
      <c r="I221" s="8">
        <v>0.33</v>
      </c>
      <c r="J221" s="17" t="s">
        <v>78</v>
      </c>
      <c r="K221" s="17">
        <v>5</v>
      </c>
      <c r="L221" s="17">
        <f>G221+K221</f>
        <v>2011</v>
      </c>
      <c r="M221" s="17">
        <f>+L221+(H221/12)</f>
        <v>2011.5</v>
      </c>
      <c r="N221" s="17">
        <f>198107.07+4672.96</f>
        <v>202780.03</v>
      </c>
      <c r="O221" s="17">
        <f>N221-N221*I221</f>
        <v>135862.6201</v>
      </c>
      <c r="P221" s="17">
        <f>O221/K221/12</f>
        <v>2264.3770016666667</v>
      </c>
      <c r="Q221" s="17">
        <f>P221*12</f>
        <v>27172.524020000001</v>
      </c>
      <c r="R221" s="17">
        <f>+IF(M221&lt;=$O$6,0,IF(L221&gt;$O$5,Q221,(P221*G221)))</f>
        <v>0</v>
      </c>
      <c r="S221" s="17">
        <f>+IF(R221=0,N221,IF($O$5-G221&lt;1,0,(($O$5-G221)*Q221)))</f>
        <v>202780.03</v>
      </c>
      <c r="T221" s="17">
        <f>+IF(R221=0,S221,S221+R221)-(N221-O221)</f>
        <v>135862.6201</v>
      </c>
      <c r="U221" s="17">
        <f>+IF(R221=0,0,((N221-S221)+(N221-T221))/2)</f>
        <v>0</v>
      </c>
      <c r="V221" s="17"/>
      <c r="W221" s="17"/>
      <c r="X221" s="17"/>
    </row>
    <row r="222" spans="1:24">
      <c r="A222" s="17"/>
      <c r="B222" s="17"/>
      <c r="C222" s="17">
        <v>2021</v>
      </c>
      <c r="D222" s="17" t="s">
        <v>337</v>
      </c>
      <c r="E222" s="17" t="s">
        <v>338</v>
      </c>
      <c r="F222" s="17">
        <v>60747</v>
      </c>
      <c r="G222" s="17">
        <v>2010</v>
      </c>
      <c r="H222" s="17">
        <v>1</v>
      </c>
      <c r="I222" s="8">
        <v>0</v>
      </c>
      <c r="J222" s="17" t="s">
        <v>78</v>
      </c>
      <c r="K222" s="17">
        <v>3</v>
      </c>
      <c r="L222" s="17">
        <f>G222+K222</f>
        <v>2013</v>
      </c>
      <c r="M222" s="17">
        <f>+L222+(H222/12)</f>
        <v>2013.0833333333333</v>
      </c>
      <c r="N222" s="17">
        <v>10491.67</v>
      </c>
      <c r="O222" s="17">
        <f>N222-N222*I222</f>
        <v>10491.67</v>
      </c>
      <c r="P222" s="17">
        <f>O222/K222/12</f>
        <v>291.4352777777778</v>
      </c>
      <c r="Q222" s="17">
        <f>P222*12</f>
        <v>3497.2233333333334</v>
      </c>
      <c r="R222" s="17">
        <f>+IF(M222&lt;=$O$6,0,IF(L222&gt;$O$5,Q222,(P222*G222)))</f>
        <v>0</v>
      </c>
      <c r="S222" s="17">
        <f>+IF(R222=0,N222,IF($O$5-G222&lt;1,0,(($O$5-G222)*Q222)))</f>
        <v>10491.67</v>
      </c>
      <c r="T222" s="17">
        <f>+IF(R222=0,S222,S222+R222)-(N222-O222)</f>
        <v>10491.67</v>
      </c>
      <c r="U222" s="17">
        <f>+IF(R222=0,0,((N222-S222)+(N222-T222))/2)</f>
        <v>0</v>
      </c>
      <c r="V222" s="17"/>
      <c r="W222" s="17"/>
      <c r="X222" s="17"/>
    </row>
    <row r="223" spans="1:24">
      <c r="A223" s="17"/>
      <c r="B223" s="17" t="s">
        <v>76</v>
      </c>
      <c r="C223" s="17">
        <v>1033</v>
      </c>
      <c r="D223" s="17" t="s">
        <v>369</v>
      </c>
      <c r="E223" s="17">
        <v>73806</v>
      </c>
      <c r="F223" s="17" t="s">
        <v>370</v>
      </c>
      <c r="G223" s="17">
        <v>2010</v>
      </c>
      <c r="H223" s="17">
        <v>5</v>
      </c>
      <c r="I223" s="8">
        <v>0</v>
      </c>
      <c r="J223" s="17" t="s">
        <v>78</v>
      </c>
      <c r="K223" s="17">
        <v>3</v>
      </c>
      <c r="L223" s="17">
        <f>G223+K223</f>
        <v>2013</v>
      </c>
      <c r="M223" s="17">
        <f>+L223+(H223/12)</f>
        <v>2013.4166666666667</v>
      </c>
      <c r="N223" s="17">
        <v>12083.88</v>
      </c>
      <c r="O223" s="17">
        <f>N223-N223*I223</f>
        <v>12083.88</v>
      </c>
      <c r="P223" s="17">
        <f>O223/K223/12</f>
        <v>335.6633333333333</v>
      </c>
      <c r="Q223" s="17">
        <f>P223*12</f>
        <v>4027.9599999999996</v>
      </c>
      <c r="R223" s="17">
        <f>+IF(M223&lt;=$O$6,0,IF(L223&gt;$O$5,Q223,(P223*G223)))</f>
        <v>0</v>
      </c>
      <c r="S223" s="17">
        <f>+IF(R223=0,N223,IF($O$5-G223&lt;1,0,(($O$5-G223)*Q223)))</f>
        <v>12083.88</v>
      </c>
      <c r="T223" s="17">
        <f>+IF(R223=0,S223,S223+R223)-(N223-O223)</f>
        <v>12083.88</v>
      </c>
      <c r="U223" s="17">
        <f>+IF(R223=0,0,((N223-S223)+(N223-T223))/2)</f>
        <v>0</v>
      </c>
      <c r="V223" s="17"/>
      <c r="W223" s="17"/>
      <c r="X223" s="17"/>
    </row>
    <row r="225" spans="1:24">
      <c r="A225" s="17"/>
      <c r="B225" s="17"/>
      <c r="C225" s="17"/>
      <c r="D225" s="17"/>
      <c r="E225" s="17"/>
      <c r="F225" s="17"/>
      <c r="G225" s="17"/>
      <c r="H225" s="17"/>
      <c r="J225" s="17"/>
      <c r="K225" s="17"/>
      <c r="L225" s="17" t="s">
        <v>244</v>
      </c>
      <c r="M225" s="17"/>
      <c r="N225" s="17">
        <f t="shared" ref="N225:U225" si="52">SUM(N220:N224)</f>
        <v>327237.08</v>
      </c>
      <c r="O225" s="17">
        <f t="shared" si="52"/>
        <v>239943.37010000003</v>
      </c>
      <c r="P225" s="17">
        <f t="shared" si="52"/>
        <v>3861.775612777778</v>
      </c>
      <c r="Q225" s="17">
        <f t="shared" si="52"/>
        <v>46341.307353333337</v>
      </c>
      <c r="R225" s="17">
        <f>SUM(R220:R224)</f>
        <v>0</v>
      </c>
      <c r="S225" s="17">
        <f t="shared" si="52"/>
        <v>327237.08</v>
      </c>
      <c r="T225" s="17">
        <f t="shared" si="52"/>
        <v>239943.37010000003</v>
      </c>
      <c r="U225" s="17">
        <f t="shared" si="52"/>
        <v>0</v>
      </c>
      <c r="V225" s="17"/>
      <c r="W225" s="17"/>
      <c r="X225" s="17"/>
    </row>
    <row r="227" spans="1:24">
      <c r="A227" s="17"/>
      <c r="B227" s="17" t="s">
        <v>1048</v>
      </c>
      <c r="C227" s="17"/>
      <c r="D227" s="17"/>
      <c r="E227" s="17"/>
      <c r="F227" s="17"/>
      <c r="G227" s="17"/>
      <c r="H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</row>
    <row r="228" spans="1:24">
      <c r="A228" s="17" t="s">
        <v>280</v>
      </c>
      <c r="B228" s="17" t="s">
        <v>415</v>
      </c>
      <c r="C228" s="17">
        <v>8169</v>
      </c>
      <c r="D228" s="17" t="s">
        <v>416</v>
      </c>
      <c r="E228" s="17"/>
      <c r="F228" s="17"/>
      <c r="G228" s="17">
        <v>1999</v>
      </c>
      <c r="H228" s="17">
        <v>4</v>
      </c>
      <c r="I228" s="8">
        <v>0.2</v>
      </c>
      <c r="J228" s="17" t="s">
        <v>78</v>
      </c>
      <c r="K228" s="17">
        <v>7</v>
      </c>
      <c r="L228" s="17">
        <f t="shared" ref="L228:L234" si="53">G228+K228</f>
        <v>2006</v>
      </c>
      <c r="M228" s="17">
        <f t="shared" ref="M228:M235" si="54">+L228+(H228/12)</f>
        <v>2006.3333333333333</v>
      </c>
      <c r="N228" s="17">
        <f>14151.82+313</f>
        <v>14464.82</v>
      </c>
      <c r="O228" s="17">
        <f t="shared" ref="O228:O235" si="55">N228-N228*I228</f>
        <v>11571.856</v>
      </c>
      <c r="P228" s="17">
        <f t="shared" ref="P228:P235" si="56">O228/K228/12</f>
        <v>137.76019047619047</v>
      </c>
      <c r="Q228" s="17">
        <f t="shared" ref="Q228:Q235" si="57">P228*12</f>
        <v>1653.1222857142857</v>
      </c>
      <c r="R228" s="17">
        <f t="shared" ref="R228:R235" si="58">+IF(M228&lt;=$O$6,0,IF(L228&gt;$O$5,Q228,(P228*G228)))</f>
        <v>0</v>
      </c>
      <c r="S228" s="17">
        <f t="shared" ref="S228:S235" si="59">+IF(R228=0,N228,IF($O$5-G228&lt;1,0,(($O$5-G228)*Q228)))</f>
        <v>14464.82</v>
      </c>
      <c r="T228" s="17">
        <f t="shared" ref="T228:T235" si="60">+IF(R228=0,S228,S228+R228)-(N228-O228)</f>
        <v>11571.856</v>
      </c>
      <c r="U228" s="17">
        <f t="shared" ref="U228:U235" si="61">+IF(R228=0,0,((N228-S228)+(N228-T228))/2)</f>
        <v>0</v>
      </c>
      <c r="V228" s="17"/>
      <c r="W228" s="17"/>
      <c r="X228" s="17" t="s">
        <v>300</v>
      </c>
    </row>
    <row r="229" spans="1:24">
      <c r="A229" s="17" t="s">
        <v>75</v>
      </c>
      <c r="B229" s="17" t="s">
        <v>255</v>
      </c>
      <c r="C229" s="17">
        <v>7030</v>
      </c>
      <c r="D229" s="17" t="s">
        <v>257</v>
      </c>
      <c r="E229" s="17"/>
      <c r="F229" s="17"/>
      <c r="G229" s="17">
        <v>2006</v>
      </c>
      <c r="H229" s="17">
        <v>12</v>
      </c>
      <c r="I229" s="8">
        <v>0.2</v>
      </c>
      <c r="J229" s="17" t="s">
        <v>78</v>
      </c>
      <c r="K229" s="17">
        <v>7</v>
      </c>
      <c r="L229" s="17">
        <f t="shared" si="53"/>
        <v>2013</v>
      </c>
      <c r="M229" s="17">
        <f t="shared" si="54"/>
        <v>2014</v>
      </c>
      <c r="N229" s="17">
        <v>17408</v>
      </c>
      <c r="O229" s="17">
        <f t="shared" si="55"/>
        <v>13926.4</v>
      </c>
      <c r="P229" s="17">
        <f t="shared" si="56"/>
        <v>165.7904761904762</v>
      </c>
      <c r="Q229" s="17">
        <f t="shared" si="57"/>
        <v>1989.4857142857145</v>
      </c>
      <c r="R229" s="17">
        <f t="shared" si="58"/>
        <v>0</v>
      </c>
      <c r="S229" s="17">
        <f t="shared" si="59"/>
        <v>17408</v>
      </c>
      <c r="T229" s="17">
        <f t="shared" si="60"/>
        <v>13926.4</v>
      </c>
      <c r="U229" s="17">
        <f t="shared" si="61"/>
        <v>0</v>
      </c>
      <c r="V229" s="17"/>
      <c r="W229" s="17"/>
      <c r="X229" s="17"/>
    </row>
    <row r="230" spans="1:24">
      <c r="A230" s="17" t="s">
        <v>75</v>
      </c>
      <c r="B230" s="17" t="s">
        <v>93</v>
      </c>
      <c r="C230" s="17">
        <v>9981</v>
      </c>
      <c r="D230" s="17" t="s">
        <v>250</v>
      </c>
      <c r="E230" s="17"/>
      <c r="F230" s="17"/>
      <c r="G230" s="17">
        <v>2007</v>
      </c>
      <c r="H230" s="17">
        <v>7</v>
      </c>
      <c r="I230" s="8">
        <v>0.33</v>
      </c>
      <c r="J230" s="17" t="s">
        <v>78</v>
      </c>
      <c r="K230" s="17">
        <v>5</v>
      </c>
      <c r="L230" s="17">
        <f t="shared" si="53"/>
        <v>2012</v>
      </c>
      <c r="M230" s="17">
        <f t="shared" si="54"/>
        <v>2012.5833333333333</v>
      </c>
      <c r="N230" s="17">
        <v>29920</v>
      </c>
      <c r="O230" s="17">
        <f t="shared" si="55"/>
        <v>20046.400000000001</v>
      </c>
      <c r="P230" s="17">
        <f t="shared" si="56"/>
        <v>334.10666666666668</v>
      </c>
      <c r="Q230" s="17">
        <f t="shared" si="57"/>
        <v>4009.28</v>
      </c>
      <c r="R230" s="17">
        <f t="shared" si="58"/>
        <v>0</v>
      </c>
      <c r="S230" s="17">
        <f t="shared" si="59"/>
        <v>29920</v>
      </c>
      <c r="T230" s="17">
        <f t="shared" si="60"/>
        <v>20046.400000000001</v>
      </c>
      <c r="U230" s="17">
        <f t="shared" si="61"/>
        <v>0</v>
      </c>
      <c r="V230" s="17"/>
      <c r="W230" s="17"/>
      <c r="X230" s="17"/>
    </row>
    <row r="231" spans="1:24">
      <c r="A231" s="17" t="s">
        <v>75</v>
      </c>
      <c r="B231" s="17" t="s">
        <v>207</v>
      </c>
      <c r="C231" s="17">
        <v>2030</v>
      </c>
      <c r="D231" s="17" t="s">
        <v>230</v>
      </c>
      <c r="E231" s="17"/>
      <c r="F231" s="17"/>
      <c r="G231" s="17">
        <v>2007</v>
      </c>
      <c r="H231" s="17">
        <v>7</v>
      </c>
      <c r="I231" s="8">
        <v>0.2</v>
      </c>
      <c r="J231" s="17" t="s">
        <v>78</v>
      </c>
      <c r="K231" s="17">
        <v>7</v>
      </c>
      <c r="L231" s="17">
        <f>G231+K231</f>
        <v>2014</v>
      </c>
      <c r="M231" s="17">
        <f t="shared" si="54"/>
        <v>2014.5833333333333</v>
      </c>
      <c r="N231" s="17">
        <v>215572.44</v>
      </c>
      <c r="O231" s="17">
        <f t="shared" si="55"/>
        <v>172457.95199999999</v>
      </c>
      <c r="P231" s="17">
        <f t="shared" si="56"/>
        <v>2053.0708571428572</v>
      </c>
      <c r="Q231" s="17">
        <f t="shared" si="57"/>
        <v>24636.850285714288</v>
      </c>
      <c r="R231" s="17">
        <f t="shared" si="58"/>
        <v>0</v>
      </c>
      <c r="S231" s="17">
        <f t="shared" si="59"/>
        <v>215572.44</v>
      </c>
      <c r="T231" s="17">
        <f t="shared" si="60"/>
        <v>172457.95199999999</v>
      </c>
      <c r="U231" s="17">
        <f t="shared" si="61"/>
        <v>0</v>
      </c>
      <c r="V231" s="17"/>
      <c r="W231" s="17"/>
      <c r="X231" s="17" t="s">
        <v>300</v>
      </c>
    </row>
    <row r="232" spans="1:24">
      <c r="A232" s="17" t="s">
        <v>246</v>
      </c>
      <c r="B232" s="17" t="s">
        <v>93</v>
      </c>
      <c r="C232" s="17">
        <v>9984</v>
      </c>
      <c r="D232" s="17" t="s">
        <v>248</v>
      </c>
      <c r="E232" s="17">
        <v>72658</v>
      </c>
      <c r="F232" s="17" t="s">
        <v>97</v>
      </c>
      <c r="G232" s="17">
        <v>2010</v>
      </c>
      <c r="H232" s="17">
        <v>1</v>
      </c>
      <c r="I232" s="8">
        <v>0.33</v>
      </c>
      <c r="J232" s="17" t="s">
        <v>78</v>
      </c>
      <c r="K232" s="17">
        <v>5</v>
      </c>
      <c r="L232" s="17">
        <f t="shared" si="53"/>
        <v>2015</v>
      </c>
      <c r="M232" s="17">
        <f t="shared" si="54"/>
        <v>2015.0833333333333</v>
      </c>
      <c r="N232" s="17">
        <v>46051.39</v>
      </c>
      <c r="O232" s="17">
        <f t="shared" si="55"/>
        <v>30854.431299999997</v>
      </c>
      <c r="P232" s="17">
        <f t="shared" si="56"/>
        <v>514.24052166666661</v>
      </c>
      <c r="Q232" s="17">
        <f t="shared" si="57"/>
        <v>6170.8862599999993</v>
      </c>
      <c r="R232" s="17">
        <f t="shared" si="58"/>
        <v>0</v>
      </c>
      <c r="S232" s="17">
        <f t="shared" si="59"/>
        <v>46051.39</v>
      </c>
      <c r="T232" s="17">
        <f t="shared" si="60"/>
        <v>30854.431299999997</v>
      </c>
      <c r="U232" s="17">
        <f t="shared" si="61"/>
        <v>0</v>
      </c>
      <c r="V232" s="17"/>
      <c r="W232" s="17"/>
      <c r="X232" s="17"/>
    </row>
    <row r="233" spans="1:24">
      <c r="A233" s="17" t="s">
        <v>75</v>
      </c>
      <c r="B233" s="17" t="s">
        <v>117</v>
      </c>
      <c r="C233" s="17">
        <v>2038</v>
      </c>
      <c r="D233" s="17" t="s">
        <v>232</v>
      </c>
      <c r="E233" s="17" t="s">
        <v>233</v>
      </c>
      <c r="F233" s="17"/>
      <c r="G233" s="17">
        <v>2012</v>
      </c>
      <c r="H233" s="17">
        <v>3</v>
      </c>
      <c r="I233" s="8">
        <v>0.33</v>
      </c>
      <c r="J233" s="17" t="s">
        <v>78</v>
      </c>
      <c r="K233" s="17">
        <v>5</v>
      </c>
      <c r="L233" s="17">
        <f>G233+K233</f>
        <v>2017</v>
      </c>
      <c r="M233" s="17">
        <f t="shared" si="54"/>
        <v>2017.25</v>
      </c>
      <c r="N233" s="17">
        <f>244600+23417</f>
        <v>268017</v>
      </c>
      <c r="O233" s="17">
        <f t="shared" si="55"/>
        <v>179571.39</v>
      </c>
      <c r="P233" s="17">
        <f t="shared" si="56"/>
        <v>2992.8565000000003</v>
      </c>
      <c r="Q233" s="17">
        <f t="shared" si="57"/>
        <v>35914.278000000006</v>
      </c>
      <c r="R233" s="17">
        <f t="shared" si="58"/>
        <v>0</v>
      </c>
      <c r="S233" s="17">
        <f t="shared" si="59"/>
        <v>268017</v>
      </c>
      <c r="T233" s="17">
        <f t="shared" si="60"/>
        <v>179571.39</v>
      </c>
      <c r="U233" s="17">
        <f t="shared" si="61"/>
        <v>0</v>
      </c>
      <c r="V233" s="17"/>
      <c r="W233" s="17"/>
      <c r="X233" s="17"/>
    </row>
    <row r="234" spans="1:24">
      <c r="A234" s="17" t="s">
        <v>75</v>
      </c>
      <c r="B234" s="17" t="s">
        <v>207</v>
      </c>
      <c r="C234" s="17">
        <v>2014</v>
      </c>
      <c r="D234" s="17" t="s">
        <v>418</v>
      </c>
      <c r="E234" s="17" t="s">
        <v>419</v>
      </c>
      <c r="F234" s="17">
        <v>90561</v>
      </c>
      <c r="G234" s="17">
        <v>2014</v>
      </c>
      <c r="H234" s="17">
        <v>8</v>
      </c>
      <c r="I234" s="8">
        <v>0</v>
      </c>
      <c r="J234" s="17" t="s">
        <v>78</v>
      </c>
      <c r="K234" s="17">
        <v>3</v>
      </c>
      <c r="L234" s="17">
        <f t="shared" si="53"/>
        <v>2017</v>
      </c>
      <c r="M234" s="17">
        <f t="shared" si="54"/>
        <v>2017.6666666666667</v>
      </c>
      <c r="N234" s="17">
        <f>27837.41+4073.63</f>
        <v>31911.040000000001</v>
      </c>
      <c r="O234" s="17">
        <f t="shared" si="55"/>
        <v>31911.040000000001</v>
      </c>
      <c r="P234" s="17">
        <f t="shared" si="56"/>
        <v>886.41777777777781</v>
      </c>
      <c r="Q234" s="17">
        <f t="shared" si="57"/>
        <v>10637.013333333334</v>
      </c>
      <c r="R234" s="17">
        <f t="shared" si="58"/>
        <v>0</v>
      </c>
      <c r="S234" s="17">
        <f t="shared" si="59"/>
        <v>31911.040000000001</v>
      </c>
      <c r="T234" s="17">
        <f t="shared" si="60"/>
        <v>31911.040000000001</v>
      </c>
      <c r="U234" s="17">
        <f t="shared" si="61"/>
        <v>0</v>
      </c>
      <c r="V234" s="17"/>
      <c r="W234" s="17"/>
      <c r="X234" s="17"/>
    </row>
    <row r="235" spans="1:24">
      <c r="A235" s="17"/>
      <c r="B235" s="17" t="s">
        <v>76</v>
      </c>
      <c r="C235" s="17">
        <v>1075</v>
      </c>
      <c r="D235" s="17" t="s">
        <v>259</v>
      </c>
      <c r="E235" s="17">
        <v>180930</v>
      </c>
      <c r="F235" s="17"/>
      <c r="G235" s="17">
        <v>2011</v>
      </c>
      <c r="H235" s="17">
        <v>8</v>
      </c>
      <c r="I235" s="8">
        <v>0.2</v>
      </c>
      <c r="J235" s="17" t="s">
        <v>78</v>
      </c>
      <c r="K235" s="17">
        <v>10</v>
      </c>
      <c r="L235" s="17">
        <f>G235+K235</f>
        <v>2021</v>
      </c>
      <c r="M235" s="17">
        <f t="shared" si="54"/>
        <v>2021.6666666666667</v>
      </c>
      <c r="N235" s="17">
        <v>247726.06</v>
      </c>
      <c r="O235" s="17">
        <f t="shared" si="55"/>
        <v>198180.848</v>
      </c>
      <c r="P235" s="17">
        <f t="shared" si="56"/>
        <v>1651.5070666666668</v>
      </c>
      <c r="Q235" s="17">
        <f t="shared" si="57"/>
        <v>19818.084800000001</v>
      </c>
      <c r="R235" s="17">
        <f t="shared" si="58"/>
        <v>19818.084800000001</v>
      </c>
      <c r="S235" s="17">
        <f t="shared" si="59"/>
        <v>118908.50880000001</v>
      </c>
      <c r="T235" s="17">
        <f t="shared" si="60"/>
        <v>89181.381600000022</v>
      </c>
      <c r="U235" s="17">
        <f t="shared" si="61"/>
        <v>143681.11479999998</v>
      </c>
      <c r="V235" s="17"/>
      <c r="W235" s="17"/>
      <c r="X235" s="17"/>
    </row>
    <row r="237" spans="1:24">
      <c r="A237" s="17"/>
      <c r="B237" s="17"/>
      <c r="C237" s="17"/>
      <c r="D237" s="17"/>
      <c r="E237" s="17"/>
      <c r="F237" s="17"/>
      <c r="G237" s="17"/>
      <c r="H237" s="17"/>
      <c r="J237" s="17"/>
      <c r="K237" s="17"/>
      <c r="L237" s="17" t="s">
        <v>252</v>
      </c>
      <c r="M237" s="17"/>
      <c r="N237" s="17">
        <f t="shared" ref="N237:U237" si="62">SUM(N228:N236)</f>
        <v>871070.75</v>
      </c>
      <c r="O237" s="17">
        <f t="shared" si="62"/>
        <v>658520.3173</v>
      </c>
      <c r="P237" s="17">
        <f t="shared" si="62"/>
        <v>8735.7500565873015</v>
      </c>
      <c r="Q237" s="17">
        <f t="shared" si="62"/>
        <v>104829.00067904762</v>
      </c>
      <c r="R237" s="17">
        <f t="shared" si="62"/>
        <v>19818.084800000001</v>
      </c>
      <c r="S237" s="17">
        <f t="shared" si="62"/>
        <v>742253.19880000013</v>
      </c>
      <c r="T237" s="17">
        <f t="shared" si="62"/>
        <v>549520.85089999996</v>
      </c>
      <c r="U237" s="17">
        <f t="shared" si="62"/>
        <v>143681.11479999998</v>
      </c>
      <c r="V237" s="17"/>
      <c r="W237" s="17"/>
      <c r="X237" s="17"/>
    </row>
    <row r="240" spans="1:24">
      <c r="A240" s="17"/>
      <c r="B240" s="17" t="s">
        <v>1049</v>
      </c>
      <c r="C240" s="17"/>
      <c r="D240" s="17"/>
      <c r="E240" s="17"/>
      <c r="F240" s="17"/>
      <c r="G240" s="17"/>
      <c r="H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</row>
    <row r="241" spans="1:24">
      <c r="A241" s="17" t="s">
        <v>174</v>
      </c>
      <c r="B241" s="17" t="s">
        <v>76</v>
      </c>
      <c r="C241" s="17">
        <v>1026</v>
      </c>
      <c r="D241" s="17" t="s">
        <v>254</v>
      </c>
      <c r="E241" s="17"/>
      <c r="F241" s="17"/>
      <c r="G241" s="17">
        <v>2000</v>
      </c>
      <c r="H241" s="17">
        <v>3</v>
      </c>
      <c r="I241" s="8">
        <v>0.2</v>
      </c>
      <c r="J241" s="17" t="s">
        <v>78</v>
      </c>
      <c r="K241" s="17">
        <v>7</v>
      </c>
      <c r="L241" s="17">
        <f t="shared" ref="L241:L250" si="63">G241+K241</f>
        <v>2007</v>
      </c>
      <c r="M241" s="17">
        <f t="shared" ref="M241:M250" si="64">+L241+(H241/12)</f>
        <v>2007.25</v>
      </c>
      <c r="N241" s="17">
        <f>60270.4+34695.24+3252</f>
        <v>98217.64</v>
      </c>
      <c r="O241" s="17">
        <f t="shared" ref="O241:O250" si="65">N241-N241*I241</f>
        <v>78574.111999999994</v>
      </c>
      <c r="P241" s="17">
        <f t="shared" ref="P241:P250" si="66">O241/K241/12</f>
        <v>935.40609523809519</v>
      </c>
      <c r="Q241" s="17">
        <f t="shared" ref="Q241:Q250" si="67">P241*12</f>
        <v>11224.873142857143</v>
      </c>
      <c r="R241" s="17">
        <f t="shared" ref="R241:R250" si="68">+IF(M241&lt;=$O$6,0,IF(L241&gt;$O$5,Q241,(P241*G241)))</f>
        <v>0</v>
      </c>
      <c r="S241" s="17">
        <f t="shared" ref="S241:S250" si="69">+IF(R241=0,N241,IF($O$5-G241&lt;1,0,(($O$5-G241)*Q241)))</f>
        <v>98217.64</v>
      </c>
      <c r="T241" s="17">
        <f t="shared" ref="T241:T250" si="70">+IF(R241=0,S241,S241+R241)-(N241-O241)</f>
        <v>78574.111999999994</v>
      </c>
      <c r="U241" s="17">
        <f t="shared" ref="U241:U250" si="71">+IF(R241=0,0,((N241-S241)+(N241-T241))/2)</f>
        <v>0</v>
      </c>
      <c r="V241" s="17"/>
      <c r="W241" s="17"/>
      <c r="X241" s="17" t="s">
        <v>300</v>
      </c>
    </row>
    <row r="242" spans="1:24">
      <c r="A242" s="17" t="s">
        <v>174</v>
      </c>
      <c r="B242" s="17" t="s">
        <v>255</v>
      </c>
      <c r="C242" s="17">
        <v>7030</v>
      </c>
      <c r="D242" s="17" t="s">
        <v>256</v>
      </c>
      <c r="E242" s="17"/>
      <c r="F242" s="17"/>
      <c r="G242" s="17">
        <v>2005</v>
      </c>
      <c r="H242" s="17">
        <v>9</v>
      </c>
      <c r="I242" s="8">
        <v>0.33</v>
      </c>
      <c r="J242" s="17" t="s">
        <v>78</v>
      </c>
      <c r="K242" s="17">
        <v>5</v>
      </c>
      <c r="L242" s="17">
        <f t="shared" si="63"/>
        <v>2010</v>
      </c>
      <c r="M242" s="17">
        <f t="shared" si="64"/>
        <v>2010.75</v>
      </c>
      <c r="N242" s="17">
        <v>7616</v>
      </c>
      <c r="O242" s="17">
        <f t="shared" si="65"/>
        <v>5102.7199999999993</v>
      </c>
      <c r="P242" s="17">
        <f t="shared" si="66"/>
        <v>85.045333333333318</v>
      </c>
      <c r="Q242" s="17">
        <f t="shared" si="67"/>
        <v>1020.5439999999999</v>
      </c>
      <c r="R242" s="17">
        <f t="shared" si="68"/>
        <v>0</v>
      </c>
      <c r="S242" s="17">
        <f t="shared" si="69"/>
        <v>7616</v>
      </c>
      <c r="T242" s="17">
        <f t="shared" si="70"/>
        <v>5102.7199999999993</v>
      </c>
      <c r="U242" s="17">
        <f t="shared" si="71"/>
        <v>0</v>
      </c>
      <c r="V242" s="17"/>
      <c r="W242" s="17"/>
      <c r="X242" s="17"/>
    </row>
    <row r="243" spans="1:24">
      <c r="A243" s="17" t="s">
        <v>174</v>
      </c>
      <c r="B243" s="17" t="s">
        <v>76</v>
      </c>
      <c r="C243" s="17">
        <v>1053</v>
      </c>
      <c r="D243" s="17" t="s">
        <v>175</v>
      </c>
      <c r="E243" s="17"/>
      <c r="F243" s="17"/>
      <c r="G243" s="17">
        <v>2007</v>
      </c>
      <c r="H243" s="17">
        <v>5</v>
      </c>
      <c r="I243" s="8">
        <v>0.2</v>
      </c>
      <c r="J243" s="17" t="s">
        <v>78</v>
      </c>
      <c r="K243" s="17">
        <v>7</v>
      </c>
      <c r="L243" s="17">
        <f t="shared" si="63"/>
        <v>2014</v>
      </c>
      <c r="M243" s="17">
        <f t="shared" si="64"/>
        <v>2014.4166666666667</v>
      </c>
      <c r="N243" s="17">
        <v>126959.69</v>
      </c>
      <c r="O243" s="17">
        <f t="shared" si="65"/>
        <v>101567.75200000001</v>
      </c>
      <c r="P243" s="17">
        <f t="shared" si="66"/>
        <v>1209.139904761905</v>
      </c>
      <c r="Q243" s="17">
        <f t="shared" si="67"/>
        <v>14509.678857142859</v>
      </c>
      <c r="R243" s="17">
        <f t="shared" si="68"/>
        <v>0</v>
      </c>
      <c r="S243" s="17">
        <f t="shared" si="69"/>
        <v>126959.69</v>
      </c>
      <c r="T243" s="17">
        <f t="shared" si="70"/>
        <v>101567.75200000001</v>
      </c>
      <c r="U243" s="17">
        <f t="shared" si="71"/>
        <v>0</v>
      </c>
      <c r="V243" s="17"/>
      <c r="W243" s="17"/>
      <c r="X243" s="17" t="s">
        <v>300</v>
      </c>
    </row>
    <row r="244" spans="1:24">
      <c r="A244" s="17" t="s">
        <v>174</v>
      </c>
      <c r="B244" s="17" t="s">
        <v>76</v>
      </c>
      <c r="C244" s="17">
        <v>1055</v>
      </c>
      <c r="D244" s="17" t="s">
        <v>91</v>
      </c>
      <c r="E244" s="17"/>
      <c r="F244" s="17"/>
      <c r="G244" s="17">
        <v>2007</v>
      </c>
      <c r="H244" s="17">
        <v>7</v>
      </c>
      <c r="I244" s="8">
        <v>0.2</v>
      </c>
      <c r="J244" s="17" t="s">
        <v>78</v>
      </c>
      <c r="K244" s="17">
        <v>7</v>
      </c>
      <c r="L244" s="17">
        <f t="shared" si="63"/>
        <v>2014</v>
      </c>
      <c r="M244" s="17">
        <f t="shared" si="64"/>
        <v>2014.5833333333333</v>
      </c>
      <c r="N244" s="17">
        <v>127343.72</v>
      </c>
      <c r="O244" s="17">
        <f t="shared" si="65"/>
        <v>101874.976</v>
      </c>
      <c r="P244" s="17">
        <f t="shared" si="66"/>
        <v>1212.7973333333332</v>
      </c>
      <c r="Q244" s="17">
        <f t="shared" si="67"/>
        <v>14553.567999999999</v>
      </c>
      <c r="R244" s="17">
        <f t="shared" si="68"/>
        <v>0</v>
      </c>
      <c r="S244" s="17">
        <f t="shared" si="69"/>
        <v>127343.72</v>
      </c>
      <c r="T244" s="17">
        <f t="shared" si="70"/>
        <v>101874.976</v>
      </c>
      <c r="U244" s="17">
        <f t="shared" si="71"/>
        <v>0</v>
      </c>
      <c r="V244" s="17"/>
      <c r="W244" s="17"/>
      <c r="X244" s="17" t="s">
        <v>300</v>
      </c>
    </row>
    <row r="245" spans="1:24">
      <c r="A245" s="17" t="s">
        <v>234</v>
      </c>
      <c r="B245" s="17" t="s">
        <v>261</v>
      </c>
      <c r="C245" s="17">
        <v>7035</v>
      </c>
      <c r="D245" s="17" t="s">
        <v>262</v>
      </c>
      <c r="E245" s="17">
        <v>87092</v>
      </c>
      <c r="F245" s="17"/>
      <c r="G245" s="17">
        <v>2011</v>
      </c>
      <c r="H245" s="17">
        <v>9</v>
      </c>
      <c r="I245" s="8">
        <v>0.33</v>
      </c>
      <c r="J245" s="17" t="s">
        <v>78</v>
      </c>
      <c r="K245" s="17">
        <v>7</v>
      </c>
      <c r="L245" s="17">
        <f t="shared" si="63"/>
        <v>2018</v>
      </c>
      <c r="M245" s="17">
        <f t="shared" si="64"/>
        <v>2018.75</v>
      </c>
      <c r="N245" s="17">
        <v>6230.1</v>
      </c>
      <c r="O245" s="17">
        <f t="shared" si="65"/>
        <v>4174.1670000000004</v>
      </c>
      <c r="P245" s="17">
        <f t="shared" si="66"/>
        <v>49.692464285714294</v>
      </c>
      <c r="Q245" s="17">
        <f t="shared" si="67"/>
        <v>596.30957142857153</v>
      </c>
      <c r="R245" s="17">
        <f t="shared" si="68"/>
        <v>596.30957142857153</v>
      </c>
      <c r="S245" s="17">
        <f t="shared" si="69"/>
        <v>3577.8574285714294</v>
      </c>
      <c r="T245" s="17">
        <f t="shared" si="70"/>
        <v>2118.2340000000013</v>
      </c>
      <c r="U245" s="17">
        <f t="shared" si="71"/>
        <v>3382.054285714285</v>
      </c>
      <c r="V245" s="17"/>
      <c r="W245" s="17"/>
      <c r="X245" s="17"/>
    </row>
    <row r="246" spans="1:24">
      <c r="A246" s="17" t="s">
        <v>234</v>
      </c>
      <c r="B246" s="17" t="s">
        <v>117</v>
      </c>
      <c r="C246" s="17">
        <v>2039</v>
      </c>
      <c r="D246" s="17" t="s">
        <v>235</v>
      </c>
      <c r="E246" s="17" t="s">
        <v>236</v>
      </c>
      <c r="F246" s="17"/>
      <c r="G246" s="17">
        <v>2012</v>
      </c>
      <c r="H246" s="17">
        <v>4</v>
      </c>
      <c r="I246" s="8">
        <v>0.33</v>
      </c>
      <c r="J246" s="17" t="s">
        <v>78</v>
      </c>
      <c r="K246" s="17">
        <v>5</v>
      </c>
      <c r="L246" s="17">
        <f t="shared" si="63"/>
        <v>2017</v>
      </c>
      <c r="M246" s="17">
        <f t="shared" si="64"/>
        <v>2017.3333333333333</v>
      </c>
      <c r="N246" s="17">
        <f>244600+24206-47</f>
        <v>268759</v>
      </c>
      <c r="O246" s="17">
        <f t="shared" si="65"/>
        <v>180068.53</v>
      </c>
      <c r="P246" s="17">
        <f t="shared" si="66"/>
        <v>3001.1421666666665</v>
      </c>
      <c r="Q246" s="17">
        <f t="shared" si="67"/>
        <v>36013.705999999998</v>
      </c>
      <c r="R246" s="17">
        <f t="shared" si="68"/>
        <v>0</v>
      </c>
      <c r="S246" s="17">
        <f t="shared" si="69"/>
        <v>268759</v>
      </c>
      <c r="T246" s="17">
        <f t="shared" si="70"/>
        <v>180068.53</v>
      </c>
      <c r="U246" s="17">
        <f t="shared" si="71"/>
        <v>0</v>
      </c>
      <c r="V246" s="17"/>
      <c r="W246" s="17"/>
      <c r="X246" s="17"/>
    </row>
    <row r="247" spans="1:24">
      <c r="A247" s="17"/>
      <c r="B247" s="17"/>
      <c r="C247" s="17"/>
      <c r="D247" s="17" t="s">
        <v>263</v>
      </c>
      <c r="E247" s="17">
        <v>100113</v>
      </c>
      <c r="F247" s="17"/>
      <c r="G247" s="17">
        <v>2012</v>
      </c>
      <c r="H247" s="17">
        <v>12</v>
      </c>
      <c r="I247" s="8">
        <v>0</v>
      </c>
      <c r="J247" s="17" t="s">
        <v>78</v>
      </c>
      <c r="K247" s="17">
        <v>5</v>
      </c>
      <c r="L247" s="17">
        <f t="shared" si="63"/>
        <v>2017</v>
      </c>
      <c r="M247" s="17">
        <f t="shared" si="64"/>
        <v>2018</v>
      </c>
      <c r="N247" s="17">
        <v>16556</v>
      </c>
      <c r="O247" s="17">
        <f t="shared" si="65"/>
        <v>16556</v>
      </c>
      <c r="P247" s="17">
        <f t="shared" si="66"/>
        <v>275.93333333333334</v>
      </c>
      <c r="Q247" s="17">
        <f t="shared" si="67"/>
        <v>3311.2</v>
      </c>
      <c r="R247" s="17">
        <f t="shared" si="68"/>
        <v>0</v>
      </c>
      <c r="S247" s="17">
        <f t="shared" si="69"/>
        <v>16556</v>
      </c>
      <c r="T247" s="17">
        <f t="shared" si="70"/>
        <v>16556</v>
      </c>
      <c r="U247" s="17">
        <f t="shared" si="71"/>
        <v>0</v>
      </c>
      <c r="V247" s="17"/>
      <c r="W247" s="17"/>
      <c r="X247" s="17"/>
    </row>
    <row r="248" spans="1:24">
      <c r="A248" s="17" t="s">
        <v>174</v>
      </c>
      <c r="B248" s="17"/>
      <c r="C248" s="17">
        <v>1053</v>
      </c>
      <c r="D248" s="17" t="s">
        <v>176</v>
      </c>
      <c r="E248" s="17">
        <v>116164</v>
      </c>
      <c r="F248" s="17">
        <v>90521</v>
      </c>
      <c r="G248" s="17">
        <v>2014</v>
      </c>
      <c r="H248" s="17">
        <v>9</v>
      </c>
      <c r="I248" s="8">
        <v>0</v>
      </c>
      <c r="J248" s="17" t="s">
        <v>78</v>
      </c>
      <c r="K248" s="17">
        <v>3</v>
      </c>
      <c r="L248" s="17">
        <f t="shared" si="63"/>
        <v>2017</v>
      </c>
      <c r="M248" s="17">
        <f t="shared" si="64"/>
        <v>2017.75</v>
      </c>
      <c r="N248" s="17">
        <v>28134.68</v>
      </c>
      <c r="O248" s="17">
        <f t="shared" si="65"/>
        <v>28134.68</v>
      </c>
      <c r="P248" s="17">
        <f t="shared" si="66"/>
        <v>781.51888888888891</v>
      </c>
      <c r="Q248" s="17">
        <f t="shared" si="67"/>
        <v>9378.2266666666674</v>
      </c>
      <c r="R248" s="17">
        <f t="shared" si="68"/>
        <v>0</v>
      </c>
      <c r="S248" s="17">
        <f t="shared" si="69"/>
        <v>28134.68</v>
      </c>
      <c r="T248" s="17">
        <f t="shared" si="70"/>
        <v>28134.68</v>
      </c>
      <c r="U248" s="17">
        <f t="shared" si="71"/>
        <v>0</v>
      </c>
      <c r="V248" s="17"/>
      <c r="W248" s="17"/>
      <c r="X248" s="17"/>
    </row>
    <row r="249" spans="1:24">
      <c r="A249" s="17"/>
      <c r="B249" s="17"/>
      <c r="C249" s="17"/>
      <c r="D249" s="17" t="s">
        <v>264</v>
      </c>
      <c r="E249" s="17">
        <v>118545</v>
      </c>
      <c r="F249" s="17"/>
      <c r="G249" s="17">
        <v>2014</v>
      </c>
      <c r="H249" s="17">
        <v>11</v>
      </c>
      <c r="I249" s="8">
        <v>0</v>
      </c>
      <c r="J249" s="17" t="s">
        <v>78</v>
      </c>
      <c r="K249" s="17">
        <v>3</v>
      </c>
      <c r="L249" s="17">
        <f t="shared" si="63"/>
        <v>2017</v>
      </c>
      <c r="M249" s="17">
        <f t="shared" si="64"/>
        <v>2017.9166666666667</v>
      </c>
      <c r="N249" s="17">
        <v>3066</v>
      </c>
      <c r="O249" s="17">
        <f t="shared" si="65"/>
        <v>3066</v>
      </c>
      <c r="P249" s="17">
        <f t="shared" si="66"/>
        <v>85.166666666666671</v>
      </c>
      <c r="Q249" s="17">
        <f t="shared" si="67"/>
        <v>1022</v>
      </c>
      <c r="R249" s="17">
        <f t="shared" si="68"/>
        <v>0</v>
      </c>
      <c r="S249" s="17">
        <f t="shared" si="69"/>
        <v>3066</v>
      </c>
      <c r="T249" s="17">
        <f t="shared" si="70"/>
        <v>3066</v>
      </c>
      <c r="U249" s="17">
        <f t="shared" si="71"/>
        <v>0</v>
      </c>
      <c r="V249" s="17"/>
      <c r="W249" s="17"/>
      <c r="X249" s="17"/>
    </row>
    <row r="250" spans="1:24">
      <c r="A250" s="17" t="s">
        <v>174</v>
      </c>
      <c r="B250" s="17"/>
      <c r="C250" s="17">
        <v>1055</v>
      </c>
      <c r="D250" s="17" t="s">
        <v>176</v>
      </c>
      <c r="E250" s="17">
        <v>115960</v>
      </c>
      <c r="F250" s="17">
        <v>60775</v>
      </c>
      <c r="G250" s="17">
        <v>2014</v>
      </c>
      <c r="H250" s="17">
        <v>6</v>
      </c>
      <c r="I250" s="8">
        <v>0</v>
      </c>
      <c r="J250" s="17" t="s">
        <v>78</v>
      </c>
      <c r="K250" s="17">
        <v>3</v>
      </c>
      <c r="L250" s="17">
        <f t="shared" si="63"/>
        <v>2017</v>
      </c>
      <c r="M250" s="17">
        <f t="shared" si="64"/>
        <v>2017.5</v>
      </c>
      <c r="N250" s="17">
        <v>26931.15</v>
      </c>
      <c r="O250" s="17">
        <f t="shared" si="65"/>
        <v>26931.15</v>
      </c>
      <c r="P250" s="17">
        <f t="shared" si="66"/>
        <v>748.08750000000009</v>
      </c>
      <c r="Q250" s="17">
        <f t="shared" si="67"/>
        <v>8977.0500000000011</v>
      </c>
      <c r="R250" s="17">
        <f t="shared" si="68"/>
        <v>0</v>
      </c>
      <c r="S250" s="17">
        <f t="shared" si="69"/>
        <v>26931.15</v>
      </c>
      <c r="T250" s="17">
        <f t="shared" si="70"/>
        <v>26931.15</v>
      </c>
      <c r="U250" s="17">
        <f t="shared" si="71"/>
        <v>0</v>
      </c>
      <c r="V250" s="17"/>
      <c r="W250" s="17"/>
      <c r="X250" s="17"/>
    </row>
    <row r="252" spans="1:24">
      <c r="A252" s="17"/>
      <c r="B252" s="17"/>
      <c r="C252" s="17"/>
      <c r="D252" s="17"/>
      <c r="E252" s="17"/>
      <c r="F252" s="17"/>
      <c r="G252" s="17"/>
      <c r="H252" s="17"/>
      <c r="J252" s="17"/>
      <c r="K252" s="17"/>
      <c r="L252" s="17" t="s">
        <v>267</v>
      </c>
      <c r="M252" s="17"/>
      <c r="N252" s="17">
        <f t="shared" ref="N252:U252" si="72">SUM(N241:N251)</f>
        <v>709813.9800000001</v>
      </c>
      <c r="O252" s="17">
        <f t="shared" si="72"/>
        <v>546050.08699999994</v>
      </c>
      <c r="P252" s="17">
        <f t="shared" si="72"/>
        <v>8383.9296865079377</v>
      </c>
      <c r="Q252" s="17">
        <f t="shared" si="72"/>
        <v>100607.15623809524</v>
      </c>
      <c r="R252" s="17">
        <f t="shared" si="72"/>
        <v>596.30957142857153</v>
      </c>
      <c r="S252" s="17">
        <f t="shared" si="72"/>
        <v>707161.73742857156</v>
      </c>
      <c r="T252" s="17">
        <f t="shared" si="72"/>
        <v>543994.15399999998</v>
      </c>
      <c r="U252" s="17">
        <f t="shared" si="72"/>
        <v>3382.054285714285</v>
      </c>
      <c r="V252" s="17"/>
      <c r="W252" s="17"/>
      <c r="X252" s="17"/>
    </row>
    <row r="254" spans="1:24">
      <c r="A254" s="17"/>
      <c r="B254" s="17" t="s">
        <v>1050</v>
      </c>
      <c r="C254" s="17"/>
      <c r="D254" s="17"/>
      <c r="E254" s="17"/>
      <c r="F254" s="17"/>
      <c r="G254" s="17"/>
      <c r="H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</row>
    <row r="255" spans="1:24">
      <c r="A255" s="17"/>
      <c r="B255" s="17" t="s">
        <v>269</v>
      </c>
      <c r="C255" s="17">
        <v>5559</v>
      </c>
      <c r="D255" s="17" t="s">
        <v>270</v>
      </c>
      <c r="E255" s="17">
        <v>86830</v>
      </c>
      <c r="F255" s="17"/>
      <c r="G255" s="17">
        <v>1998</v>
      </c>
      <c r="H255" s="17">
        <v>8</v>
      </c>
      <c r="I255" s="8">
        <v>0.2</v>
      </c>
      <c r="J255" s="17" t="s">
        <v>78</v>
      </c>
      <c r="K255" s="17">
        <v>7</v>
      </c>
      <c r="L255" s="17">
        <f t="shared" ref="L255:L260" si="73">G255+K255</f>
        <v>2005</v>
      </c>
      <c r="M255" s="17">
        <f t="shared" ref="M255:M260" si="74">+L255+(H255/12)</f>
        <v>2005.6666666666667</v>
      </c>
      <c r="N255" s="17">
        <f>21713.04+7916.49+1571.09</f>
        <v>31200.62</v>
      </c>
      <c r="O255" s="17">
        <f t="shared" ref="O255:O260" si="75">N255-N255*I255</f>
        <v>24960.495999999999</v>
      </c>
      <c r="P255" s="17">
        <f t="shared" ref="P255:P260" si="76">O255/K255/12</f>
        <v>297.1487619047619</v>
      </c>
      <c r="Q255" s="17">
        <f t="shared" ref="Q255:Q260" si="77">P255*12</f>
        <v>3565.785142857143</v>
      </c>
      <c r="R255" s="17">
        <f t="shared" ref="R255:R260" si="78">+IF(M255&lt;=$O$6,0,IF(L255&gt;$O$5,Q255,(P255*G255)))</f>
        <v>0</v>
      </c>
      <c r="S255" s="17">
        <f t="shared" ref="S255:S260" si="79">+IF(R255=0,N255,IF($O$5-G255&lt;1,0,(($O$5-G255)*Q255)))</f>
        <v>31200.62</v>
      </c>
      <c r="T255" s="17">
        <f t="shared" ref="T255:T260" si="80">+IF(R255=0,S255,S255+R255)-(N255-O255)</f>
        <v>24960.495999999999</v>
      </c>
      <c r="U255" s="17">
        <f t="shared" ref="U255:U260" si="81">+IF(R255=0,0,((N255-S255)+(N255-T255))/2)</f>
        <v>0</v>
      </c>
      <c r="V255" s="17"/>
      <c r="W255" s="17"/>
      <c r="X255" s="17"/>
    </row>
    <row r="256" spans="1:24">
      <c r="A256" s="17"/>
      <c r="B256" s="17" t="s">
        <v>255</v>
      </c>
      <c r="C256" s="17">
        <v>7407</v>
      </c>
      <c r="D256" s="17" t="s">
        <v>271</v>
      </c>
      <c r="E256" s="17"/>
      <c r="F256" s="17"/>
      <c r="G256" s="17">
        <v>2002</v>
      </c>
      <c r="H256" s="17">
        <v>3</v>
      </c>
      <c r="I256" s="8">
        <v>0.33</v>
      </c>
      <c r="J256" s="17" t="s">
        <v>78</v>
      </c>
      <c r="K256" s="17">
        <v>5</v>
      </c>
      <c r="L256" s="17">
        <f t="shared" si="73"/>
        <v>2007</v>
      </c>
      <c r="M256" s="17">
        <f t="shared" si="74"/>
        <v>2007.25</v>
      </c>
      <c r="N256" s="17">
        <v>10645.52</v>
      </c>
      <c r="O256" s="17">
        <f t="shared" si="75"/>
        <v>7132.4984000000004</v>
      </c>
      <c r="P256" s="17">
        <f t="shared" si="76"/>
        <v>118.87497333333334</v>
      </c>
      <c r="Q256" s="17">
        <f t="shared" si="77"/>
        <v>1426.4996800000001</v>
      </c>
      <c r="R256" s="17">
        <f t="shared" si="78"/>
        <v>0</v>
      </c>
      <c r="S256" s="17">
        <f t="shared" si="79"/>
        <v>10645.52</v>
      </c>
      <c r="T256" s="17">
        <f t="shared" si="80"/>
        <v>7132.4984000000004</v>
      </c>
      <c r="U256" s="17">
        <f t="shared" si="81"/>
        <v>0</v>
      </c>
      <c r="V256" s="17"/>
      <c r="W256" s="17"/>
      <c r="X256" s="17"/>
    </row>
    <row r="257" spans="1:23">
      <c r="A257" s="17"/>
      <c r="B257" s="17" t="s">
        <v>272</v>
      </c>
      <c r="C257" s="17">
        <v>9960</v>
      </c>
      <c r="D257" s="17" t="s">
        <v>273</v>
      </c>
      <c r="E257" s="17"/>
      <c r="F257" s="17"/>
      <c r="G257" s="17">
        <v>2006</v>
      </c>
      <c r="H257" s="17">
        <v>6</v>
      </c>
      <c r="I257" s="8">
        <v>0.33</v>
      </c>
      <c r="J257" s="17" t="s">
        <v>78</v>
      </c>
      <c r="K257" s="17">
        <v>5</v>
      </c>
      <c r="L257" s="17">
        <f t="shared" si="73"/>
        <v>2011</v>
      </c>
      <c r="M257" s="17">
        <f t="shared" si="74"/>
        <v>2011.5</v>
      </c>
      <c r="N257" s="17">
        <v>12512</v>
      </c>
      <c r="O257" s="17">
        <f t="shared" si="75"/>
        <v>8383.0400000000009</v>
      </c>
      <c r="P257" s="17">
        <f t="shared" si="76"/>
        <v>139.71733333333336</v>
      </c>
      <c r="Q257" s="17">
        <f t="shared" si="77"/>
        <v>1676.6080000000002</v>
      </c>
      <c r="R257" s="17">
        <f t="shared" si="78"/>
        <v>0</v>
      </c>
      <c r="S257" s="17">
        <f t="shared" si="79"/>
        <v>12512</v>
      </c>
      <c r="T257" s="17">
        <f t="shared" si="80"/>
        <v>8383.0400000000009</v>
      </c>
      <c r="U257" s="17">
        <f t="shared" si="81"/>
        <v>0</v>
      </c>
      <c r="V257" s="17"/>
      <c r="W257" s="17"/>
    </row>
    <row r="258" spans="1:23">
      <c r="A258" s="17"/>
      <c r="B258" s="17" t="s">
        <v>255</v>
      </c>
      <c r="C258" s="17">
        <v>7407</v>
      </c>
      <c r="D258" s="17" t="s">
        <v>274</v>
      </c>
      <c r="E258" s="17"/>
      <c r="F258" s="17"/>
      <c r="G258" s="17">
        <v>2009</v>
      </c>
      <c r="H258" s="17">
        <v>5</v>
      </c>
      <c r="I258" s="8">
        <v>0</v>
      </c>
      <c r="J258" s="17" t="s">
        <v>78</v>
      </c>
      <c r="K258" s="17">
        <v>3</v>
      </c>
      <c r="L258" s="17">
        <f t="shared" si="73"/>
        <v>2012</v>
      </c>
      <c r="M258" s="17">
        <f t="shared" si="74"/>
        <v>2012.4166666666667</v>
      </c>
      <c r="N258" s="17">
        <v>10496.91</v>
      </c>
      <c r="O258" s="17">
        <f t="shared" si="75"/>
        <v>10496.91</v>
      </c>
      <c r="P258" s="17">
        <f t="shared" si="76"/>
        <v>291.58083333333332</v>
      </c>
      <c r="Q258" s="17">
        <f t="shared" si="77"/>
        <v>3498.97</v>
      </c>
      <c r="R258" s="17">
        <f t="shared" si="78"/>
        <v>0</v>
      </c>
      <c r="S258" s="17">
        <f t="shared" si="79"/>
        <v>10496.91</v>
      </c>
      <c r="T258" s="17">
        <f t="shared" si="80"/>
        <v>10496.91</v>
      </c>
      <c r="U258" s="17">
        <f t="shared" si="81"/>
        <v>0</v>
      </c>
      <c r="V258" s="17"/>
      <c r="W258" s="17"/>
    </row>
    <row r="259" spans="1:23">
      <c r="A259" s="17"/>
      <c r="B259" s="17" t="s">
        <v>255</v>
      </c>
      <c r="C259" s="17">
        <v>7411</v>
      </c>
      <c r="D259" s="17" t="s">
        <v>275</v>
      </c>
      <c r="E259" s="17" t="s">
        <v>276</v>
      </c>
      <c r="F259" s="17">
        <v>79747</v>
      </c>
      <c r="G259" s="17">
        <v>2010</v>
      </c>
      <c r="H259" s="17">
        <v>12</v>
      </c>
      <c r="I259" s="8">
        <v>0.2</v>
      </c>
      <c r="J259" s="17" t="s">
        <v>78</v>
      </c>
      <c r="K259" s="17">
        <v>7</v>
      </c>
      <c r="L259" s="17">
        <f t="shared" si="73"/>
        <v>2017</v>
      </c>
      <c r="M259" s="17">
        <f t="shared" si="74"/>
        <v>2018</v>
      </c>
      <c r="N259" s="17">
        <v>169415</v>
      </c>
      <c r="O259" s="17">
        <f t="shared" si="75"/>
        <v>135532</v>
      </c>
      <c r="P259" s="17">
        <f t="shared" si="76"/>
        <v>1613.4761904761906</v>
      </c>
      <c r="Q259" s="17">
        <f t="shared" si="77"/>
        <v>19361.714285714286</v>
      </c>
      <c r="R259" s="17">
        <f t="shared" si="78"/>
        <v>0</v>
      </c>
      <c r="S259" s="17">
        <f t="shared" si="79"/>
        <v>169415</v>
      </c>
      <c r="T259" s="17">
        <f t="shared" si="80"/>
        <v>135532</v>
      </c>
      <c r="U259" s="17">
        <f t="shared" si="81"/>
        <v>0</v>
      </c>
      <c r="V259" s="17"/>
      <c r="W259" s="17"/>
    </row>
    <row r="260" spans="1:23">
      <c r="A260" s="17"/>
      <c r="B260" s="17" t="s">
        <v>255</v>
      </c>
      <c r="C260" s="17">
        <v>7366</v>
      </c>
      <c r="D260" s="17" t="s">
        <v>277</v>
      </c>
      <c r="E260" s="17">
        <v>125040</v>
      </c>
      <c r="F260" s="17"/>
      <c r="G260" s="17">
        <v>2015</v>
      </c>
      <c r="H260" s="17">
        <v>7</v>
      </c>
      <c r="I260" s="8">
        <v>0.33</v>
      </c>
      <c r="J260" s="17" t="s">
        <v>78</v>
      </c>
      <c r="K260" s="17">
        <v>5</v>
      </c>
      <c r="L260" s="17">
        <f t="shared" si="73"/>
        <v>2020</v>
      </c>
      <c r="M260" s="17">
        <f t="shared" si="74"/>
        <v>2020.5833333333333</v>
      </c>
      <c r="N260" s="17">
        <v>25833</v>
      </c>
      <c r="O260" s="17">
        <f t="shared" si="75"/>
        <v>17308.11</v>
      </c>
      <c r="P260" s="17">
        <f t="shared" si="76"/>
        <v>288.46850000000001</v>
      </c>
      <c r="Q260" s="17">
        <f t="shared" si="77"/>
        <v>3461.6220000000003</v>
      </c>
      <c r="R260" s="17">
        <f t="shared" si="78"/>
        <v>3461.6220000000003</v>
      </c>
      <c r="S260" s="17">
        <f t="shared" si="79"/>
        <v>6923.2440000000006</v>
      </c>
      <c r="T260" s="17">
        <f t="shared" si="80"/>
        <v>1859.9760000000024</v>
      </c>
      <c r="U260" s="17">
        <f t="shared" si="81"/>
        <v>21441.39</v>
      </c>
      <c r="V260" s="17"/>
      <c r="W260" s="17"/>
    </row>
    <row r="262" spans="1:23">
      <c r="A262" s="17"/>
      <c r="B262" s="17"/>
      <c r="C262" s="17"/>
      <c r="D262" s="17"/>
      <c r="E262" s="17"/>
      <c r="F262" s="17"/>
      <c r="G262" s="17"/>
      <c r="H262" s="17"/>
      <c r="J262" s="17"/>
      <c r="K262" s="17"/>
      <c r="L262" s="17" t="s">
        <v>1051</v>
      </c>
      <c r="M262" s="17"/>
      <c r="N262" s="17">
        <f t="shared" ref="N262:U262" si="82">SUM(N255:N261)</f>
        <v>260103.05</v>
      </c>
      <c r="O262" s="17">
        <f t="shared" si="82"/>
        <v>203813.05440000002</v>
      </c>
      <c r="P262" s="17">
        <f t="shared" si="82"/>
        <v>2749.2665923809527</v>
      </c>
      <c r="Q262" s="17">
        <f t="shared" si="82"/>
        <v>32991.199108571433</v>
      </c>
      <c r="R262" s="17">
        <f t="shared" si="82"/>
        <v>3461.6220000000003</v>
      </c>
      <c r="S262" s="17">
        <f t="shared" si="82"/>
        <v>241193.29399999999</v>
      </c>
      <c r="T262" s="17">
        <f t="shared" si="82"/>
        <v>188364.9204</v>
      </c>
      <c r="U262" s="17">
        <f t="shared" si="82"/>
        <v>21441.39</v>
      </c>
      <c r="V262" s="17"/>
      <c r="W262" s="17"/>
    </row>
    <row r="264" spans="1:23">
      <c r="A264" s="17"/>
      <c r="B264" s="17" t="s">
        <v>279</v>
      </c>
      <c r="C264" s="17"/>
      <c r="D264" s="17"/>
      <c r="E264" s="17"/>
      <c r="F264" s="17"/>
      <c r="G264" s="17"/>
      <c r="H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</row>
    <row r="265" spans="1:23">
      <c r="A265" s="17" t="s">
        <v>280</v>
      </c>
      <c r="B265" s="17" t="s">
        <v>281</v>
      </c>
      <c r="C265" s="17">
        <v>8832</v>
      </c>
      <c r="D265" s="17" t="s">
        <v>282</v>
      </c>
      <c r="E265" s="17"/>
      <c r="F265" s="17"/>
      <c r="G265" s="17">
        <v>1997</v>
      </c>
      <c r="H265" s="17">
        <v>8</v>
      </c>
      <c r="I265" s="8">
        <v>0.2</v>
      </c>
      <c r="J265" s="17" t="s">
        <v>78</v>
      </c>
      <c r="K265" s="17">
        <v>7</v>
      </c>
      <c r="L265" s="17">
        <f t="shared" ref="L265:L293" si="83">G265+K265</f>
        <v>2004</v>
      </c>
      <c r="M265" s="17">
        <f t="shared" ref="M265:M293" si="84">+L265+(H265/12)</f>
        <v>2004.6666666666667</v>
      </c>
      <c r="N265" s="17">
        <v>20475.79</v>
      </c>
      <c r="O265" s="17">
        <f t="shared" ref="O265:O293" si="85">N265-N265*I265</f>
        <v>16380.632000000001</v>
      </c>
      <c r="P265" s="17">
        <f t="shared" ref="P265:P293" si="86">O265/K265/12</f>
        <v>195.00752380952383</v>
      </c>
      <c r="Q265" s="17">
        <f t="shared" ref="Q265:Q293" si="87">P265*12</f>
        <v>2340.090285714286</v>
      </c>
      <c r="R265" s="17">
        <f t="shared" ref="R265:R293" si="88">+IF(M265&lt;=$O$6,0,IF(L265&gt;$O$5,Q265,(P265*G265)))</f>
        <v>0</v>
      </c>
      <c r="S265" s="17">
        <f t="shared" ref="S265:S293" si="89">+IF(R265=0,N265,IF($O$5-G265&lt;1,0,(($O$5-G265)*Q265)))</f>
        <v>20475.79</v>
      </c>
      <c r="T265" s="17">
        <f t="shared" ref="T265:T293" si="90">+IF(R265=0,S265,S265+R265)-(N265-O265)</f>
        <v>16380.632000000001</v>
      </c>
      <c r="U265" s="17">
        <f t="shared" ref="U265:U293" si="91">+IF(R265=0,0,((N265-S265)+(N265-T265))/2)</f>
        <v>0</v>
      </c>
      <c r="V265" s="17"/>
      <c r="W265" s="17" t="s">
        <v>97</v>
      </c>
    </row>
    <row r="266" spans="1:23">
      <c r="A266" s="17" t="s">
        <v>280</v>
      </c>
      <c r="B266" s="17" t="s">
        <v>281</v>
      </c>
      <c r="C266" s="17">
        <v>8833</v>
      </c>
      <c r="D266" s="17" t="s">
        <v>282</v>
      </c>
      <c r="E266" s="17"/>
      <c r="F266" s="17"/>
      <c r="G266" s="17">
        <v>1997</v>
      </c>
      <c r="H266" s="17">
        <v>8</v>
      </c>
      <c r="I266" s="8">
        <v>0.2</v>
      </c>
      <c r="J266" s="17" t="s">
        <v>78</v>
      </c>
      <c r="K266" s="17">
        <v>7</v>
      </c>
      <c r="L266" s="17">
        <f t="shared" si="83"/>
        <v>2004</v>
      </c>
      <c r="M266" s="17">
        <f t="shared" si="84"/>
        <v>2004.6666666666667</v>
      </c>
      <c r="N266" s="17">
        <v>20475.79</v>
      </c>
      <c r="O266" s="17">
        <f t="shared" si="85"/>
        <v>16380.632000000001</v>
      </c>
      <c r="P266" s="17">
        <f t="shared" si="86"/>
        <v>195.00752380952383</v>
      </c>
      <c r="Q266" s="17">
        <f t="shared" si="87"/>
        <v>2340.090285714286</v>
      </c>
      <c r="R266" s="17">
        <f t="shared" si="88"/>
        <v>0</v>
      </c>
      <c r="S266" s="17">
        <f t="shared" si="89"/>
        <v>20475.79</v>
      </c>
      <c r="T266" s="17">
        <f t="shared" si="90"/>
        <v>16380.632000000001</v>
      </c>
      <c r="U266" s="17">
        <f t="shared" si="91"/>
        <v>0</v>
      </c>
      <c r="V266" s="17"/>
      <c r="W266" s="17" t="s">
        <v>97</v>
      </c>
    </row>
    <row r="267" spans="1:23">
      <c r="A267" s="17" t="s">
        <v>280</v>
      </c>
      <c r="B267" s="17" t="s">
        <v>281</v>
      </c>
      <c r="C267" s="17">
        <v>8837</v>
      </c>
      <c r="D267" s="17" t="s">
        <v>284</v>
      </c>
      <c r="E267" s="17"/>
      <c r="F267" s="17"/>
      <c r="G267" s="17">
        <v>1999</v>
      </c>
      <c r="H267" s="17">
        <v>1</v>
      </c>
      <c r="I267" s="8">
        <v>0.2</v>
      </c>
      <c r="J267" s="17" t="s">
        <v>78</v>
      </c>
      <c r="K267" s="17">
        <v>7</v>
      </c>
      <c r="L267" s="17">
        <f t="shared" si="83"/>
        <v>2006</v>
      </c>
      <c r="M267" s="17">
        <f t="shared" si="84"/>
        <v>2006.0833333333333</v>
      </c>
      <c r="N267" s="17">
        <v>23650</v>
      </c>
      <c r="O267" s="17">
        <f t="shared" si="85"/>
        <v>18920</v>
      </c>
      <c r="P267" s="17">
        <f t="shared" si="86"/>
        <v>225.23809523809521</v>
      </c>
      <c r="Q267" s="17">
        <f t="shared" si="87"/>
        <v>2702.8571428571427</v>
      </c>
      <c r="R267" s="17">
        <f t="shared" si="88"/>
        <v>0</v>
      </c>
      <c r="S267" s="17">
        <f t="shared" si="89"/>
        <v>23650</v>
      </c>
      <c r="T267" s="17">
        <f t="shared" si="90"/>
        <v>18920</v>
      </c>
      <c r="U267" s="17">
        <f t="shared" si="91"/>
        <v>0</v>
      </c>
      <c r="V267" s="17"/>
      <c r="W267" s="17" t="s">
        <v>97</v>
      </c>
    </row>
    <row r="268" spans="1:23">
      <c r="A268" s="17" t="s">
        <v>280</v>
      </c>
      <c r="B268" s="17" t="s">
        <v>281</v>
      </c>
      <c r="C268" s="17">
        <v>8855</v>
      </c>
      <c r="D268" s="17" t="s">
        <v>286</v>
      </c>
      <c r="E268" s="17"/>
      <c r="F268" s="17"/>
      <c r="G268" s="17">
        <v>1999</v>
      </c>
      <c r="H268" s="17">
        <v>6</v>
      </c>
      <c r="I268" s="8">
        <v>0.2</v>
      </c>
      <c r="J268" s="17" t="s">
        <v>78</v>
      </c>
      <c r="K268" s="17">
        <v>7</v>
      </c>
      <c r="L268" s="17">
        <f t="shared" si="83"/>
        <v>2006</v>
      </c>
      <c r="M268" s="17">
        <f t="shared" si="84"/>
        <v>2006.5</v>
      </c>
      <c r="N268" s="17">
        <v>26548.2</v>
      </c>
      <c r="O268" s="17">
        <f t="shared" si="85"/>
        <v>21238.560000000001</v>
      </c>
      <c r="P268" s="17">
        <f t="shared" si="86"/>
        <v>252.84000000000003</v>
      </c>
      <c r="Q268" s="17">
        <f t="shared" si="87"/>
        <v>3034.0800000000004</v>
      </c>
      <c r="R268" s="17">
        <f t="shared" si="88"/>
        <v>0</v>
      </c>
      <c r="S268" s="17">
        <f t="shared" si="89"/>
        <v>26548.2</v>
      </c>
      <c r="T268" s="17">
        <f t="shared" si="90"/>
        <v>21238.560000000001</v>
      </c>
      <c r="U268" s="17">
        <f t="shared" si="91"/>
        <v>0</v>
      </c>
      <c r="V268" s="17"/>
      <c r="W268" s="17" t="s">
        <v>97</v>
      </c>
    </row>
    <row r="269" spans="1:23">
      <c r="A269" s="17" t="s">
        <v>298</v>
      </c>
      <c r="B269" s="17" t="s">
        <v>281</v>
      </c>
      <c r="C269" s="17">
        <v>5565</v>
      </c>
      <c r="D269" s="17" t="s">
        <v>394</v>
      </c>
      <c r="E269" s="17"/>
      <c r="F269" s="17"/>
      <c r="G269" s="17">
        <v>2000</v>
      </c>
      <c r="H269" s="17">
        <v>4</v>
      </c>
      <c r="I269" s="8">
        <v>0.2</v>
      </c>
      <c r="J269" s="17" t="s">
        <v>78</v>
      </c>
      <c r="K269" s="17">
        <v>7</v>
      </c>
      <c r="L269" s="17">
        <f t="shared" si="83"/>
        <v>2007</v>
      </c>
      <c r="M269" s="17">
        <f t="shared" si="84"/>
        <v>2007.3333333333333</v>
      </c>
      <c r="N269" s="17">
        <v>88402.69</v>
      </c>
      <c r="O269" s="17">
        <f t="shared" si="85"/>
        <v>70722.152000000002</v>
      </c>
      <c r="P269" s="17">
        <f t="shared" si="86"/>
        <v>841.93038095238092</v>
      </c>
      <c r="Q269" s="17">
        <f t="shared" si="87"/>
        <v>10103.164571428571</v>
      </c>
      <c r="R269" s="17">
        <f t="shared" si="88"/>
        <v>0</v>
      </c>
      <c r="S269" s="17">
        <f t="shared" si="89"/>
        <v>88402.69</v>
      </c>
      <c r="T269" s="17">
        <f t="shared" si="90"/>
        <v>70722.152000000002</v>
      </c>
      <c r="U269" s="17">
        <f t="shared" si="91"/>
        <v>0</v>
      </c>
      <c r="V269" s="17"/>
      <c r="W269" s="17" t="s">
        <v>300</v>
      </c>
    </row>
    <row r="270" spans="1:23">
      <c r="A270" s="17" t="s">
        <v>298</v>
      </c>
      <c r="B270" s="17" t="s">
        <v>281</v>
      </c>
      <c r="C270" s="17">
        <v>5567</v>
      </c>
      <c r="D270" s="17" t="s">
        <v>392</v>
      </c>
      <c r="E270" s="17"/>
      <c r="F270" s="17"/>
      <c r="G270" s="17">
        <v>2000</v>
      </c>
      <c r="H270" s="17">
        <v>4</v>
      </c>
      <c r="I270" s="8">
        <v>0.2</v>
      </c>
      <c r="J270" s="17" t="s">
        <v>78</v>
      </c>
      <c r="K270" s="17">
        <v>7</v>
      </c>
      <c r="L270" s="17">
        <f t="shared" si="83"/>
        <v>2007</v>
      </c>
      <c r="M270" s="17">
        <f t="shared" si="84"/>
        <v>2007.3333333333333</v>
      </c>
      <c r="N270" s="17">
        <v>85003.4</v>
      </c>
      <c r="O270" s="17">
        <f t="shared" si="85"/>
        <v>68002.720000000001</v>
      </c>
      <c r="P270" s="17">
        <f t="shared" si="86"/>
        <v>809.55619047619041</v>
      </c>
      <c r="Q270" s="17">
        <f t="shared" si="87"/>
        <v>9714.6742857142854</v>
      </c>
      <c r="R270" s="17">
        <f t="shared" si="88"/>
        <v>0</v>
      </c>
      <c r="S270" s="17">
        <f t="shared" si="89"/>
        <v>85003.4</v>
      </c>
      <c r="T270" s="17">
        <f t="shared" si="90"/>
        <v>68002.720000000001</v>
      </c>
      <c r="U270" s="17">
        <f t="shared" si="91"/>
        <v>0</v>
      </c>
      <c r="V270" s="17"/>
      <c r="W270" s="17" t="s">
        <v>300</v>
      </c>
    </row>
    <row r="271" spans="1:23">
      <c r="A271" s="17" t="s">
        <v>280</v>
      </c>
      <c r="B271" s="17" t="s">
        <v>281</v>
      </c>
      <c r="C271" s="17">
        <v>8867</v>
      </c>
      <c r="D271" s="17" t="s">
        <v>288</v>
      </c>
      <c r="E271" s="17"/>
      <c r="F271" s="17"/>
      <c r="G271" s="17">
        <v>2000</v>
      </c>
      <c r="H271" s="17">
        <v>5</v>
      </c>
      <c r="I271" s="8">
        <v>0.2</v>
      </c>
      <c r="J271" s="17" t="s">
        <v>78</v>
      </c>
      <c r="K271" s="17">
        <v>7</v>
      </c>
      <c r="L271" s="17">
        <f t="shared" si="83"/>
        <v>2007</v>
      </c>
      <c r="M271" s="17">
        <f t="shared" si="84"/>
        <v>2007.4166666666667</v>
      </c>
      <c r="N271" s="17">
        <v>33350.800000000003</v>
      </c>
      <c r="O271" s="17">
        <f t="shared" si="85"/>
        <v>26680.640000000003</v>
      </c>
      <c r="P271" s="17">
        <f t="shared" si="86"/>
        <v>317.62666666666672</v>
      </c>
      <c r="Q271" s="17">
        <f t="shared" si="87"/>
        <v>3811.5200000000004</v>
      </c>
      <c r="R271" s="17">
        <f t="shared" si="88"/>
        <v>0</v>
      </c>
      <c r="S271" s="17">
        <f t="shared" si="89"/>
        <v>33350.800000000003</v>
      </c>
      <c r="T271" s="17">
        <f t="shared" si="90"/>
        <v>26680.640000000003</v>
      </c>
      <c r="U271" s="17">
        <f t="shared" si="91"/>
        <v>0</v>
      </c>
      <c r="V271" s="17"/>
      <c r="W271" s="17" t="s">
        <v>97</v>
      </c>
    </row>
    <row r="272" spans="1:23">
      <c r="A272" s="17" t="s">
        <v>280</v>
      </c>
      <c r="B272" s="17" t="s">
        <v>281</v>
      </c>
      <c r="C272" s="17">
        <v>8157</v>
      </c>
      <c r="D272" s="17" t="s">
        <v>398</v>
      </c>
      <c r="E272" s="17"/>
      <c r="F272" s="17"/>
      <c r="G272" s="17">
        <v>2000</v>
      </c>
      <c r="H272" s="17">
        <v>6</v>
      </c>
      <c r="I272" s="8">
        <v>0.33</v>
      </c>
      <c r="J272" s="17" t="s">
        <v>78</v>
      </c>
      <c r="K272" s="17">
        <v>5</v>
      </c>
      <c r="L272" s="17">
        <f t="shared" si="83"/>
        <v>2005</v>
      </c>
      <c r="M272" s="17">
        <f t="shared" si="84"/>
        <v>2005.5</v>
      </c>
      <c r="N272" s="17">
        <v>1355</v>
      </c>
      <c r="O272" s="17">
        <f t="shared" si="85"/>
        <v>907.84999999999991</v>
      </c>
      <c r="P272" s="17">
        <f t="shared" si="86"/>
        <v>15.130833333333333</v>
      </c>
      <c r="Q272" s="17">
        <f t="shared" si="87"/>
        <v>181.57</v>
      </c>
      <c r="R272" s="17">
        <f t="shared" si="88"/>
        <v>0</v>
      </c>
      <c r="S272" s="17">
        <f t="shared" si="89"/>
        <v>1355</v>
      </c>
      <c r="T272" s="17">
        <f t="shared" si="90"/>
        <v>907.84999999999991</v>
      </c>
      <c r="U272" s="17">
        <f t="shared" si="91"/>
        <v>0</v>
      </c>
      <c r="V272" s="17"/>
      <c r="W272" s="17" t="s">
        <v>97</v>
      </c>
    </row>
    <row r="273" spans="1:23">
      <c r="A273" s="17" t="s">
        <v>280</v>
      </c>
      <c r="B273" s="17" t="s">
        <v>281</v>
      </c>
      <c r="C273" s="17">
        <v>8158</v>
      </c>
      <c r="D273" s="17" t="s">
        <v>400</v>
      </c>
      <c r="E273" s="17"/>
      <c r="F273" s="17"/>
      <c r="G273" s="17">
        <v>2000</v>
      </c>
      <c r="H273" s="17">
        <v>6</v>
      </c>
      <c r="I273" s="8">
        <v>0.33</v>
      </c>
      <c r="J273" s="17" t="s">
        <v>78</v>
      </c>
      <c r="K273" s="17">
        <v>5</v>
      </c>
      <c r="L273" s="17">
        <f t="shared" si="83"/>
        <v>2005</v>
      </c>
      <c r="M273" s="17">
        <f t="shared" si="84"/>
        <v>2005.5</v>
      </c>
      <c r="N273" s="17">
        <v>1355</v>
      </c>
      <c r="O273" s="17">
        <f t="shared" si="85"/>
        <v>907.84999999999991</v>
      </c>
      <c r="P273" s="17">
        <f t="shared" si="86"/>
        <v>15.130833333333333</v>
      </c>
      <c r="Q273" s="17">
        <f t="shared" si="87"/>
        <v>181.57</v>
      </c>
      <c r="R273" s="17">
        <f t="shared" si="88"/>
        <v>0</v>
      </c>
      <c r="S273" s="17">
        <f t="shared" si="89"/>
        <v>1355</v>
      </c>
      <c r="T273" s="17">
        <f t="shared" si="90"/>
        <v>907.84999999999991</v>
      </c>
      <c r="U273" s="17">
        <f t="shared" si="91"/>
        <v>0</v>
      </c>
      <c r="V273" s="17"/>
      <c r="W273" s="17" t="s">
        <v>97</v>
      </c>
    </row>
    <row r="274" spans="1:23">
      <c r="A274" s="17" t="s">
        <v>280</v>
      </c>
      <c r="B274" s="17" t="s">
        <v>281</v>
      </c>
      <c r="C274" s="17">
        <v>8874</v>
      </c>
      <c r="D274" s="17" t="s">
        <v>290</v>
      </c>
      <c r="E274" s="17"/>
      <c r="F274" s="17"/>
      <c r="G274" s="17">
        <v>2003</v>
      </c>
      <c r="H274" s="17">
        <v>1</v>
      </c>
      <c r="I274" s="8">
        <v>0.2</v>
      </c>
      <c r="J274" s="17" t="s">
        <v>78</v>
      </c>
      <c r="K274" s="17">
        <v>7</v>
      </c>
      <c r="L274" s="17">
        <f t="shared" si="83"/>
        <v>2010</v>
      </c>
      <c r="M274" s="17">
        <f t="shared" si="84"/>
        <v>2010.0833333333333</v>
      </c>
      <c r="N274" s="17">
        <v>40156.480000000003</v>
      </c>
      <c r="O274" s="17">
        <f t="shared" si="85"/>
        <v>32125.184000000001</v>
      </c>
      <c r="P274" s="17">
        <f t="shared" si="86"/>
        <v>382.44266666666664</v>
      </c>
      <c r="Q274" s="17">
        <f t="shared" si="87"/>
        <v>4589.3119999999999</v>
      </c>
      <c r="R274" s="17">
        <f t="shared" si="88"/>
        <v>0</v>
      </c>
      <c r="S274" s="17">
        <f t="shared" si="89"/>
        <v>40156.480000000003</v>
      </c>
      <c r="T274" s="17">
        <f t="shared" si="90"/>
        <v>32125.184000000001</v>
      </c>
      <c r="U274" s="17">
        <f t="shared" si="91"/>
        <v>0</v>
      </c>
      <c r="V274" s="17"/>
      <c r="W274" s="17" t="s">
        <v>97</v>
      </c>
    </row>
    <row r="275" spans="1:23">
      <c r="A275" s="17" t="s">
        <v>280</v>
      </c>
      <c r="B275" s="17" t="s">
        <v>281</v>
      </c>
      <c r="C275" s="17">
        <v>8875</v>
      </c>
      <c r="D275" s="17" t="s">
        <v>292</v>
      </c>
      <c r="E275" s="17"/>
      <c r="F275" s="17"/>
      <c r="G275" s="17">
        <v>2003</v>
      </c>
      <c r="H275" s="17">
        <v>3</v>
      </c>
      <c r="I275" s="8">
        <v>0.2</v>
      </c>
      <c r="J275" s="17" t="s">
        <v>78</v>
      </c>
      <c r="K275" s="17">
        <v>7</v>
      </c>
      <c r="L275" s="17">
        <f t="shared" si="83"/>
        <v>2010</v>
      </c>
      <c r="M275" s="17">
        <f t="shared" si="84"/>
        <v>2010.25</v>
      </c>
      <c r="N275" s="17">
        <v>40156.480000000003</v>
      </c>
      <c r="O275" s="17">
        <f t="shared" si="85"/>
        <v>32125.184000000001</v>
      </c>
      <c r="P275" s="17">
        <f t="shared" si="86"/>
        <v>382.44266666666664</v>
      </c>
      <c r="Q275" s="17">
        <f t="shared" si="87"/>
        <v>4589.3119999999999</v>
      </c>
      <c r="R275" s="17">
        <f t="shared" si="88"/>
        <v>0</v>
      </c>
      <c r="S275" s="17">
        <f t="shared" si="89"/>
        <v>40156.480000000003</v>
      </c>
      <c r="T275" s="17">
        <f t="shared" si="90"/>
        <v>32125.184000000001</v>
      </c>
      <c r="U275" s="17">
        <f t="shared" si="91"/>
        <v>0</v>
      </c>
      <c r="V275" s="17"/>
      <c r="W275" s="17" t="s">
        <v>97</v>
      </c>
    </row>
    <row r="276" spans="1:23">
      <c r="A276" s="17" t="s">
        <v>280</v>
      </c>
      <c r="B276" s="17" t="s">
        <v>281</v>
      </c>
      <c r="C276" s="17">
        <v>8876</v>
      </c>
      <c r="D276" s="17" t="s">
        <v>292</v>
      </c>
      <c r="E276" s="17"/>
      <c r="F276" s="17"/>
      <c r="G276" s="17">
        <v>2003</v>
      </c>
      <c r="H276" s="17">
        <v>3</v>
      </c>
      <c r="I276" s="8">
        <v>0.2</v>
      </c>
      <c r="J276" s="17" t="s">
        <v>78</v>
      </c>
      <c r="K276" s="17">
        <v>7</v>
      </c>
      <c r="L276" s="17">
        <f t="shared" si="83"/>
        <v>2010</v>
      </c>
      <c r="M276" s="17">
        <f t="shared" si="84"/>
        <v>2010.25</v>
      </c>
      <c r="N276" s="17">
        <v>40156.480000000003</v>
      </c>
      <c r="O276" s="17">
        <f t="shared" si="85"/>
        <v>32125.184000000001</v>
      </c>
      <c r="P276" s="17">
        <f t="shared" si="86"/>
        <v>382.44266666666664</v>
      </c>
      <c r="Q276" s="17">
        <f t="shared" si="87"/>
        <v>4589.3119999999999</v>
      </c>
      <c r="R276" s="17">
        <f t="shared" si="88"/>
        <v>0</v>
      </c>
      <c r="S276" s="17">
        <f t="shared" si="89"/>
        <v>40156.480000000003</v>
      </c>
      <c r="T276" s="17">
        <f t="shared" si="90"/>
        <v>32125.184000000001</v>
      </c>
      <c r="U276" s="17">
        <f t="shared" si="91"/>
        <v>0</v>
      </c>
      <c r="V276" s="17"/>
      <c r="W276" s="17" t="s">
        <v>97</v>
      </c>
    </row>
    <row r="277" spans="1:23">
      <c r="A277" s="17" t="s">
        <v>280</v>
      </c>
      <c r="B277" s="17" t="s">
        <v>281</v>
      </c>
      <c r="C277" s="17">
        <v>8879</v>
      </c>
      <c r="D277" s="17" t="s">
        <v>294</v>
      </c>
      <c r="E277" s="17"/>
      <c r="F277" s="17"/>
      <c r="G277" s="17">
        <v>2004</v>
      </c>
      <c r="H277" s="17">
        <v>4</v>
      </c>
      <c r="I277" s="8">
        <v>0.2</v>
      </c>
      <c r="J277" s="17" t="s">
        <v>78</v>
      </c>
      <c r="K277" s="17">
        <v>7</v>
      </c>
      <c r="L277" s="17">
        <f t="shared" si="83"/>
        <v>2011</v>
      </c>
      <c r="M277" s="17">
        <f t="shared" si="84"/>
        <v>2011.3333333333333</v>
      </c>
      <c r="N277" s="17">
        <v>39286.080000000002</v>
      </c>
      <c r="O277" s="17">
        <f t="shared" si="85"/>
        <v>31428.864000000001</v>
      </c>
      <c r="P277" s="17">
        <f t="shared" si="86"/>
        <v>374.15314285714288</v>
      </c>
      <c r="Q277" s="17">
        <f t="shared" si="87"/>
        <v>4489.8377142857144</v>
      </c>
      <c r="R277" s="17">
        <f t="shared" si="88"/>
        <v>0</v>
      </c>
      <c r="S277" s="17">
        <f t="shared" si="89"/>
        <v>39286.080000000002</v>
      </c>
      <c r="T277" s="17">
        <f t="shared" si="90"/>
        <v>31428.864000000001</v>
      </c>
      <c r="U277" s="17">
        <f t="shared" si="91"/>
        <v>0</v>
      </c>
      <c r="V277" s="17"/>
      <c r="W277" s="17" t="s">
        <v>97</v>
      </c>
    </row>
    <row r="278" spans="1:23">
      <c r="A278" s="17" t="s">
        <v>280</v>
      </c>
      <c r="B278" s="17" t="s">
        <v>281</v>
      </c>
      <c r="C278" s="17">
        <v>8880</v>
      </c>
      <c r="D278" s="17" t="s">
        <v>296</v>
      </c>
      <c r="E278" s="17"/>
      <c r="F278" s="17"/>
      <c r="G278" s="17">
        <v>2004</v>
      </c>
      <c r="H278" s="17">
        <v>4</v>
      </c>
      <c r="I278" s="8">
        <v>0.2</v>
      </c>
      <c r="J278" s="17" t="s">
        <v>78</v>
      </c>
      <c r="K278" s="17">
        <v>7</v>
      </c>
      <c r="L278" s="17">
        <f t="shared" si="83"/>
        <v>2011</v>
      </c>
      <c r="M278" s="17">
        <f t="shared" si="84"/>
        <v>2011.3333333333333</v>
      </c>
      <c r="N278" s="17">
        <v>39286.080000000002</v>
      </c>
      <c r="O278" s="17">
        <f t="shared" si="85"/>
        <v>31428.864000000001</v>
      </c>
      <c r="P278" s="17">
        <f t="shared" si="86"/>
        <v>374.15314285714288</v>
      </c>
      <c r="Q278" s="17">
        <f t="shared" si="87"/>
        <v>4489.8377142857144</v>
      </c>
      <c r="R278" s="17">
        <f t="shared" si="88"/>
        <v>0</v>
      </c>
      <c r="S278" s="17">
        <f t="shared" si="89"/>
        <v>39286.080000000002</v>
      </c>
      <c r="T278" s="17">
        <f t="shared" si="90"/>
        <v>31428.864000000001</v>
      </c>
      <c r="U278" s="17">
        <f t="shared" si="91"/>
        <v>0</v>
      </c>
      <c r="V278" s="17"/>
      <c r="W278" s="17" t="s">
        <v>97</v>
      </c>
    </row>
    <row r="279" spans="1:23">
      <c r="A279" s="17" t="s">
        <v>298</v>
      </c>
      <c r="B279" s="17" t="s">
        <v>281</v>
      </c>
      <c r="C279" s="17">
        <v>5594</v>
      </c>
      <c r="D279" s="17" t="s">
        <v>299</v>
      </c>
      <c r="E279" s="17"/>
      <c r="F279" s="17"/>
      <c r="G279" s="17">
        <v>2005</v>
      </c>
      <c r="H279" s="17">
        <v>12</v>
      </c>
      <c r="I279" s="8">
        <v>0.2</v>
      </c>
      <c r="J279" s="17" t="s">
        <v>78</v>
      </c>
      <c r="K279" s="17">
        <v>7</v>
      </c>
      <c r="L279" s="17">
        <f t="shared" si="83"/>
        <v>2012</v>
      </c>
      <c r="M279" s="17">
        <f t="shared" si="84"/>
        <v>2013</v>
      </c>
      <c r="N279" s="17">
        <v>97709.84</v>
      </c>
      <c r="O279" s="17">
        <f t="shared" si="85"/>
        <v>78167.872000000003</v>
      </c>
      <c r="P279" s="17">
        <f t="shared" si="86"/>
        <v>930.5699047619047</v>
      </c>
      <c r="Q279" s="17">
        <f t="shared" si="87"/>
        <v>11166.838857142857</v>
      </c>
      <c r="R279" s="17">
        <f t="shared" si="88"/>
        <v>0</v>
      </c>
      <c r="S279" s="17">
        <f t="shared" si="89"/>
        <v>97709.84</v>
      </c>
      <c r="T279" s="17">
        <f t="shared" si="90"/>
        <v>78167.872000000003</v>
      </c>
      <c r="U279" s="17">
        <f t="shared" si="91"/>
        <v>0</v>
      </c>
      <c r="V279" s="17"/>
      <c r="W279" s="17" t="s">
        <v>300</v>
      </c>
    </row>
    <row r="280" spans="1:23">
      <c r="A280" s="17" t="s">
        <v>298</v>
      </c>
      <c r="B280" s="17" t="s">
        <v>281</v>
      </c>
      <c r="C280" s="17">
        <v>5595</v>
      </c>
      <c r="D280" s="17" t="s">
        <v>299</v>
      </c>
      <c r="E280" s="17"/>
      <c r="F280" s="17"/>
      <c r="G280" s="17">
        <v>2005</v>
      </c>
      <c r="H280" s="17">
        <v>12</v>
      </c>
      <c r="I280" s="8">
        <v>0.2</v>
      </c>
      <c r="J280" s="17" t="s">
        <v>78</v>
      </c>
      <c r="K280" s="17">
        <v>7</v>
      </c>
      <c r="L280" s="17">
        <f t="shared" si="83"/>
        <v>2012</v>
      </c>
      <c r="M280" s="17">
        <f t="shared" si="84"/>
        <v>2013</v>
      </c>
      <c r="N280" s="17">
        <v>97709.84</v>
      </c>
      <c r="O280" s="17">
        <f t="shared" si="85"/>
        <v>78167.872000000003</v>
      </c>
      <c r="P280" s="17">
        <f t="shared" si="86"/>
        <v>930.5699047619047</v>
      </c>
      <c r="Q280" s="17">
        <f t="shared" si="87"/>
        <v>11166.838857142857</v>
      </c>
      <c r="R280" s="17">
        <f t="shared" si="88"/>
        <v>0</v>
      </c>
      <c r="S280" s="17">
        <f t="shared" si="89"/>
        <v>97709.84</v>
      </c>
      <c r="T280" s="17">
        <f t="shared" si="90"/>
        <v>78167.872000000003</v>
      </c>
      <c r="U280" s="17">
        <f t="shared" si="91"/>
        <v>0</v>
      </c>
      <c r="V280" s="17"/>
      <c r="W280" s="17" t="s">
        <v>300</v>
      </c>
    </row>
    <row r="281" spans="1:23">
      <c r="A281" s="17" t="s">
        <v>298</v>
      </c>
      <c r="B281" s="17" t="s">
        <v>281</v>
      </c>
      <c r="C281" s="17">
        <v>5614</v>
      </c>
      <c r="D281" s="17" t="s">
        <v>302</v>
      </c>
      <c r="E281" s="17"/>
      <c r="F281" s="17"/>
      <c r="G281" s="17">
        <v>2006</v>
      </c>
      <c r="H281" s="17">
        <v>12</v>
      </c>
      <c r="I281" s="8">
        <v>0.2</v>
      </c>
      <c r="J281" s="17" t="s">
        <v>78</v>
      </c>
      <c r="K281" s="17">
        <v>7</v>
      </c>
      <c r="L281" s="17">
        <f t="shared" si="83"/>
        <v>2013</v>
      </c>
      <c r="M281" s="17">
        <f t="shared" si="84"/>
        <v>2014</v>
      </c>
      <c r="N281" s="17">
        <v>107692.76</v>
      </c>
      <c r="O281" s="17">
        <f t="shared" si="85"/>
        <v>86154.207999999999</v>
      </c>
      <c r="P281" s="17">
        <f t="shared" si="86"/>
        <v>1025.6453333333334</v>
      </c>
      <c r="Q281" s="17">
        <f t="shared" si="87"/>
        <v>12307.744000000001</v>
      </c>
      <c r="R281" s="17">
        <f t="shared" si="88"/>
        <v>0</v>
      </c>
      <c r="S281" s="17">
        <f t="shared" si="89"/>
        <v>107692.76</v>
      </c>
      <c r="T281" s="17">
        <f t="shared" si="90"/>
        <v>86154.207999999999</v>
      </c>
      <c r="U281" s="17">
        <f t="shared" si="91"/>
        <v>0</v>
      </c>
      <c r="V281" s="17"/>
      <c r="W281" s="17" t="s">
        <v>300</v>
      </c>
    </row>
    <row r="282" spans="1:23">
      <c r="A282" s="17" t="s">
        <v>298</v>
      </c>
      <c r="B282" s="17" t="s">
        <v>281</v>
      </c>
      <c r="C282" s="17">
        <v>8030</v>
      </c>
      <c r="D282" s="17" t="s">
        <v>401</v>
      </c>
      <c r="E282" s="17"/>
      <c r="F282" s="17"/>
      <c r="G282" s="17">
        <v>2006</v>
      </c>
      <c r="H282" s="17">
        <v>5</v>
      </c>
      <c r="I282" s="8">
        <v>0.33</v>
      </c>
      <c r="J282" s="17" t="s">
        <v>78</v>
      </c>
      <c r="K282" s="17">
        <v>5</v>
      </c>
      <c r="L282" s="17">
        <f>G282+K282</f>
        <v>2011</v>
      </c>
      <c r="M282" s="17">
        <f t="shared" si="84"/>
        <v>2011.4166666666667</v>
      </c>
      <c r="N282" s="17">
        <v>14213.95</v>
      </c>
      <c r="O282" s="17">
        <f t="shared" si="85"/>
        <v>9523.3464999999997</v>
      </c>
      <c r="P282" s="17">
        <f t="shared" si="86"/>
        <v>158.72244166666667</v>
      </c>
      <c r="Q282" s="17">
        <f t="shared" si="87"/>
        <v>1904.6693</v>
      </c>
      <c r="R282" s="17">
        <f t="shared" si="88"/>
        <v>0</v>
      </c>
      <c r="S282" s="17">
        <f t="shared" si="89"/>
        <v>14213.95</v>
      </c>
      <c r="T282" s="17">
        <f t="shared" si="90"/>
        <v>9523.3464999999997</v>
      </c>
      <c r="U282" s="17">
        <f t="shared" si="91"/>
        <v>0</v>
      </c>
      <c r="V282" s="17"/>
      <c r="W282" s="17"/>
    </row>
    <row r="283" spans="1:23">
      <c r="A283" s="17" t="s">
        <v>298</v>
      </c>
      <c r="B283" s="17" t="s">
        <v>281</v>
      </c>
      <c r="C283" s="17">
        <v>5594</v>
      </c>
      <c r="D283" s="17" t="s">
        <v>304</v>
      </c>
      <c r="E283" s="17"/>
      <c r="F283" s="17"/>
      <c r="G283" s="17">
        <v>2007</v>
      </c>
      <c r="H283" s="17">
        <v>1</v>
      </c>
      <c r="I283" s="8">
        <v>0</v>
      </c>
      <c r="J283" s="17" t="s">
        <v>78</v>
      </c>
      <c r="K283" s="17">
        <v>5</v>
      </c>
      <c r="L283" s="17">
        <f t="shared" si="83"/>
        <v>2012</v>
      </c>
      <c r="M283" s="17">
        <f t="shared" si="84"/>
        <v>2012.0833333333333</v>
      </c>
      <c r="N283" s="17">
        <v>744</v>
      </c>
      <c r="O283" s="17">
        <f t="shared" si="85"/>
        <v>744</v>
      </c>
      <c r="P283" s="17">
        <f t="shared" si="86"/>
        <v>12.4</v>
      </c>
      <c r="Q283" s="17">
        <f t="shared" si="87"/>
        <v>148.80000000000001</v>
      </c>
      <c r="R283" s="17">
        <f t="shared" si="88"/>
        <v>0</v>
      </c>
      <c r="S283" s="17">
        <f t="shared" si="89"/>
        <v>744</v>
      </c>
      <c r="T283" s="17">
        <f t="shared" si="90"/>
        <v>744</v>
      </c>
      <c r="U283" s="17">
        <f t="shared" si="91"/>
        <v>0</v>
      </c>
      <c r="V283" s="17"/>
      <c r="W283" s="17" t="s">
        <v>300</v>
      </c>
    </row>
    <row r="284" spans="1:23">
      <c r="A284" s="17" t="s">
        <v>298</v>
      </c>
      <c r="B284" s="17" t="s">
        <v>281</v>
      </c>
      <c r="C284" s="17">
        <v>5595</v>
      </c>
      <c r="D284" s="17" t="s">
        <v>304</v>
      </c>
      <c r="E284" s="17"/>
      <c r="F284" s="17"/>
      <c r="G284" s="17">
        <v>2007</v>
      </c>
      <c r="H284" s="17">
        <v>1</v>
      </c>
      <c r="I284" s="8">
        <v>0</v>
      </c>
      <c r="J284" s="17" t="s">
        <v>78</v>
      </c>
      <c r="K284" s="17">
        <v>5</v>
      </c>
      <c r="L284" s="17">
        <f t="shared" si="83"/>
        <v>2012</v>
      </c>
      <c r="M284" s="17">
        <f t="shared" si="84"/>
        <v>2012.0833333333333</v>
      </c>
      <c r="N284" s="17">
        <v>744</v>
      </c>
      <c r="O284" s="17">
        <f t="shared" si="85"/>
        <v>744</v>
      </c>
      <c r="P284" s="17">
        <f t="shared" si="86"/>
        <v>12.4</v>
      </c>
      <c r="Q284" s="17">
        <f t="shared" si="87"/>
        <v>148.80000000000001</v>
      </c>
      <c r="R284" s="17">
        <f t="shared" si="88"/>
        <v>0</v>
      </c>
      <c r="S284" s="17">
        <f t="shared" si="89"/>
        <v>744</v>
      </c>
      <c r="T284" s="17">
        <f t="shared" si="90"/>
        <v>744</v>
      </c>
      <c r="U284" s="17">
        <f t="shared" si="91"/>
        <v>0</v>
      </c>
      <c r="V284" s="17"/>
      <c r="W284" s="17" t="s">
        <v>300</v>
      </c>
    </row>
    <row r="285" spans="1:23">
      <c r="A285" s="17" t="s">
        <v>298</v>
      </c>
      <c r="B285" s="17" t="s">
        <v>281</v>
      </c>
      <c r="C285" s="17">
        <v>5614</v>
      </c>
      <c r="D285" s="17" t="s">
        <v>304</v>
      </c>
      <c r="E285" s="17"/>
      <c r="F285" s="17"/>
      <c r="G285" s="17">
        <v>2007</v>
      </c>
      <c r="H285" s="17">
        <v>1</v>
      </c>
      <c r="I285" s="8">
        <v>0</v>
      </c>
      <c r="J285" s="17" t="s">
        <v>78</v>
      </c>
      <c r="K285" s="17">
        <v>5</v>
      </c>
      <c r="L285" s="17">
        <f t="shared" si="83"/>
        <v>2012</v>
      </c>
      <c r="M285" s="17">
        <f t="shared" si="84"/>
        <v>2012.0833333333333</v>
      </c>
      <c r="N285" s="17">
        <v>1028.8499999999999</v>
      </c>
      <c r="O285" s="17">
        <f t="shared" si="85"/>
        <v>1028.8499999999999</v>
      </c>
      <c r="P285" s="17">
        <f t="shared" si="86"/>
        <v>17.147499999999997</v>
      </c>
      <c r="Q285" s="17">
        <f t="shared" si="87"/>
        <v>205.76999999999998</v>
      </c>
      <c r="R285" s="17">
        <f t="shared" si="88"/>
        <v>0</v>
      </c>
      <c r="S285" s="17">
        <f t="shared" si="89"/>
        <v>1028.8499999999999</v>
      </c>
      <c r="T285" s="17">
        <f t="shared" si="90"/>
        <v>1028.8499999999999</v>
      </c>
      <c r="U285" s="17">
        <f t="shared" si="91"/>
        <v>0</v>
      </c>
      <c r="V285" s="17"/>
      <c r="W285" s="17" t="s">
        <v>300</v>
      </c>
    </row>
    <row r="286" spans="1:23">
      <c r="A286" s="17" t="s">
        <v>298</v>
      </c>
      <c r="B286" s="17" t="s">
        <v>281</v>
      </c>
      <c r="C286" s="17">
        <v>5617</v>
      </c>
      <c r="D286" s="17" t="s">
        <v>305</v>
      </c>
      <c r="E286" s="17"/>
      <c r="F286" s="17"/>
      <c r="G286" s="17">
        <v>2007</v>
      </c>
      <c r="H286" s="17">
        <v>2</v>
      </c>
      <c r="I286" s="8">
        <v>0.2</v>
      </c>
      <c r="J286" s="17" t="s">
        <v>78</v>
      </c>
      <c r="K286" s="17">
        <v>7</v>
      </c>
      <c r="L286" s="17">
        <f t="shared" si="83"/>
        <v>2014</v>
      </c>
      <c r="M286" s="17">
        <f t="shared" si="84"/>
        <v>2014.1666666666667</v>
      </c>
      <c r="N286" s="17">
        <v>8187.64</v>
      </c>
      <c r="O286" s="17">
        <f t="shared" si="85"/>
        <v>6550.1120000000001</v>
      </c>
      <c r="P286" s="17">
        <f t="shared" si="86"/>
        <v>77.977523809523817</v>
      </c>
      <c r="Q286" s="17">
        <f t="shared" si="87"/>
        <v>935.73028571428586</v>
      </c>
      <c r="R286" s="17">
        <f t="shared" si="88"/>
        <v>0</v>
      </c>
      <c r="S286" s="17">
        <f t="shared" si="89"/>
        <v>8187.64</v>
      </c>
      <c r="T286" s="17">
        <f t="shared" si="90"/>
        <v>6550.1120000000001</v>
      </c>
      <c r="U286" s="17">
        <f t="shared" si="91"/>
        <v>0</v>
      </c>
      <c r="V286" s="17"/>
      <c r="W286" s="17" t="s">
        <v>300</v>
      </c>
    </row>
    <row r="287" spans="1:23">
      <c r="A287" s="17" t="s">
        <v>298</v>
      </c>
      <c r="B287" s="17" t="s">
        <v>281</v>
      </c>
      <c r="C287" s="17">
        <v>5617</v>
      </c>
      <c r="D287" s="17" t="s">
        <v>302</v>
      </c>
      <c r="E287" s="17"/>
      <c r="F287" s="17"/>
      <c r="G287" s="17">
        <v>2007</v>
      </c>
      <c r="H287" s="17">
        <v>4</v>
      </c>
      <c r="I287" s="8">
        <v>0.2</v>
      </c>
      <c r="J287" s="17" t="s">
        <v>78</v>
      </c>
      <c r="K287" s="17">
        <v>7</v>
      </c>
      <c r="L287" s="17">
        <f t="shared" si="83"/>
        <v>2014</v>
      </c>
      <c r="M287" s="17">
        <f t="shared" si="84"/>
        <v>2014.3333333333333</v>
      </c>
      <c r="N287" s="17">
        <v>99119.05</v>
      </c>
      <c r="O287" s="17">
        <f t="shared" si="85"/>
        <v>79295.240000000005</v>
      </c>
      <c r="P287" s="17">
        <f t="shared" si="86"/>
        <v>943.99095238095242</v>
      </c>
      <c r="Q287" s="17">
        <f t="shared" si="87"/>
        <v>11327.891428571429</v>
      </c>
      <c r="R287" s="17">
        <f t="shared" si="88"/>
        <v>0</v>
      </c>
      <c r="S287" s="17">
        <f t="shared" si="89"/>
        <v>99119.05</v>
      </c>
      <c r="T287" s="17">
        <f t="shared" si="90"/>
        <v>79295.240000000005</v>
      </c>
      <c r="U287" s="17">
        <f t="shared" si="91"/>
        <v>0</v>
      </c>
      <c r="V287" s="17"/>
      <c r="W287" s="17" t="s">
        <v>300</v>
      </c>
    </row>
    <row r="288" spans="1:23">
      <c r="A288" s="17" t="s">
        <v>298</v>
      </c>
      <c r="B288" s="17" t="s">
        <v>281</v>
      </c>
      <c r="C288" s="17">
        <v>5614</v>
      </c>
      <c r="D288" s="17" t="s">
        <v>307</v>
      </c>
      <c r="E288" s="17"/>
      <c r="F288" s="17"/>
      <c r="G288" s="17">
        <v>2007</v>
      </c>
      <c r="H288" s="17">
        <v>7</v>
      </c>
      <c r="I288" s="8">
        <v>0</v>
      </c>
      <c r="J288" s="17" t="s">
        <v>78</v>
      </c>
      <c r="K288" s="17">
        <v>3</v>
      </c>
      <c r="L288" s="17">
        <f t="shared" si="83"/>
        <v>2010</v>
      </c>
      <c r="M288" s="17">
        <f t="shared" si="84"/>
        <v>2010.5833333333333</v>
      </c>
      <c r="N288" s="17">
        <v>8452.2000000000007</v>
      </c>
      <c r="O288" s="17">
        <f t="shared" si="85"/>
        <v>8452.2000000000007</v>
      </c>
      <c r="P288" s="17">
        <f t="shared" si="86"/>
        <v>234.78333333333333</v>
      </c>
      <c r="Q288" s="17">
        <f t="shared" si="87"/>
        <v>2817.4</v>
      </c>
      <c r="R288" s="17">
        <f t="shared" si="88"/>
        <v>0</v>
      </c>
      <c r="S288" s="17">
        <f t="shared" si="89"/>
        <v>8452.2000000000007</v>
      </c>
      <c r="T288" s="17">
        <f t="shared" si="90"/>
        <v>8452.2000000000007</v>
      </c>
      <c r="U288" s="17">
        <f t="shared" si="91"/>
        <v>0</v>
      </c>
      <c r="V288" s="17"/>
      <c r="W288" s="17" t="s">
        <v>300</v>
      </c>
    </row>
    <row r="289" spans="1:23">
      <c r="A289" s="17" t="s">
        <v>308</v>
      </c>
      <c r="B289" s="17" t="s">
        <v>309</v>
      </c>
      <c r="C289" s="17">
        <v>5621</v>
      </c>
      <c r="D289" s="17" t="s">
        <v>310</v>
      </c>
      <c r="E289" s="17"/>
      <c r="F289" s="17"/>
      <c r="G289" s="17">
        <v>2007</v>
      </c>
      <c r="H289" s="17">
        <v>12</v>
      </c>
      <c r="I289" s="8">
        <v>0.2</v>
      </c>
      <c r="J289" s="17" t="s">
        <v>78</v>
      </c>
      <c r="K289" s="17">
        <v>7</v>
      </c>
      <c r="L289" s="17">
        <f t="shared" si="83"/>
        <v>2014</v>
      </c>
      <c r="M289" s="17">
        <f t="shared" si="84"/>
        <v>2015</v>
      </c>
      <c r="N289" s="17">
        <f>107561.93+7865.91</f>
        <v>115427.84</v>
      </c>
      <c r="O289" s="17">
        <f t="shared" si="85"/>
        <v>92342.271999999997</v>
      </c>
      <c r="P289" s="17">
        <f t="shared" si="86"/>
        <v>1099.3127619047618</v>
      </c>
      <c r="Q289" s="17">
        <f t="shared" si="87"/>
        <v>13191.753142857142</v>
      </c>
      <c r="R289" s="17">
        <f t="shared" si="88"/>
        <v>0</v>
      </c>
      <c r="S289" s="17">
        <f t="shared" si="89"/>
        <v>115427.84</v>
      </c>
      <c r="T289" s="17">
        <f t="shared" si="90"/>
        <v>92342.271999999997</v>
      </c>
      <c r="U289" s="17">
        <f t="shared" si="91"/>
        <v>0</v>
      </c>
      <c r="V289" s="17"/>
      <c r="W289" s="17" t="s">
        <v>300</v>
      </c>
    </row>
    <row r="290" spans="1:23">
      <c r="A290" s="17" t="s">
        <v>280</v>
      </c>
      <c r="B290" s="17"/>
      <c r="C290" s="17">
        <v>8152</v>
      </c>
      <c r="D290" s="17" t="s">
        <v>396</v>
      </c>
      <c r="E290" s="17">
        <v>130862</v>
      </c>
      <c r="F290" s="17"/>
      <c r="G290" s="17">
        <v>2008</v>
      </c>
      <c r="H290" s="17">
        <v>11</v>
      </c>
      <c r="I290" s="8">
        <v>0.33</v>
      </c>
      <c r="J290" s="17" t="s">
        <v>78</v>
      </c>
      <c r="K290" s="17">
        <v>5</v>
      </c>
      <c r="L290" s="17">
        <f>G290+K290</f>
        <v>2013</v>
      </c>
      <c r="M290" s="17">
        <f t="shared" si="84"/>
        <v>2013.9166666666667</v>
      </c>
      <c r="N290" s="17">
        <v>26000</v>
      </c>
      <c r="O290" s="17">
        <f t="shared" si="85"/>
        <v>17420</v>
      </c>
      <c r="P290" s="17">
        <f t="shared" si="86"/>
        <v>290.33333333333331</v>
      </c>
      <c r="Q290" s="17">
        <f t="shared" si="87"/>
        <v>3484</v>
      </c>
      <c r="R290" s="17">
        <f t="shared" si="88"/>
        <v>0</v>
      </c>
      <c r="S290" s="17">
        <f t="shared" si="89"/>
        <v>26000</v>
      </c>
      <c r="T290" s="17">
        <f t="shared" si="90"/>
        <v>17420</v>
      </c>
      <c r="U290" s="17">
        <f t="shared" si="91"/>
        <v>0</v>
      </c>
      <c r="V290" s="17"/>
      <c r="W290" s="17"/>
    </row>
    <row r="291" spans="1:23">
      <c r="A291" s="17"/>
      <c r="B291" s="17"/>
      <c r="C291" s="17"/>
      <c r="D291" s="17" t="s">
        <v>98</v>
      </c>
      <c r="E291" s="17" t="s">
        <v>99</v>
      </c>
      <c r="F291" s="17"/>
      <c r="G291" s="17">
        <v>2009</v>
      </c>
      <c r="H291" s="17">
        <v>7</v>
      </c>
      <c r="I291" s="8">
        <v>0</v>
      </c>
      <c r="J291" s="17" t="s">
        <v>78</v>
      </c>
      <c r="K291" s="17">
        <v>5</v>
      </c>
      <c r="L291" s="17">
        <f t="shared" si="83"/>
        <v>2014</v>
      </c>
      <c r="M291" s="17">
        <f t="shared" si="84"/>
        <v>2014.5833333333333</v>
      </c>
      <c r="N291" s="17">
        <f>(34912.65+1078.65+10913.06)*10/46</f>
        <v>10196.6</v>
      </c>
      <c r="O291" s="17">
        <f t="shared" si="85"/>
        <v>10196.6</v>
      </c>
      <c r="P291" s="17">
        <f t="shared" si="86"/>
        <v>169.94333333333336</v>
      </c>
      <c r="Q291" s="17">
        <f t="shared" si="87"/>
        <v>2039.3200000000002</v>
      </c>
      <c r="R291" s="17">
        <f t="shared" si="88"/>
        <v>0</v>
      </c>
      <c r="S291" s="17">
        <f t="shared" si="89"/>
        <v>10196.6</v>
      </c>
      <c r="T291" s="17">
        <f t="shared" si="90"/>
        <v>10196.6</v>
      </c>
      <c r="U291" s="17">
        <f t="shared" si="91"/>
        <v>0</v>
      </c>
      <c r="V291" s="17"/>
      <c r="W291" s="17"/>
    </row>
    <row r="292" spans="1:23">
      <c r="A292" s="17" t="s">
        <v>298</v>
      </c>
      <c r="B292" s="17"/>
      <c r="C292" s="17">
        <v>5614</v>
      </c>
      <c r="D292" s="17" t="s">
        <v>312</v>
      </c>
      <c r="E292" s="17">
        <v>112504</v>
      </c>
      <c r="F292" s="17">
        <v>90536</v>
      </c>
      <c r="G292" s="17">
        <v>2014</v>
      </c>
      <c r="H292" s="17">
        <v>2</v>
      </c>
      <c r="I292" s="8">
        <v>0</v>
      </c>
      <c r="J292" s="17" t="s">
        <v>78</v>
      </c>
      <c r="K292" s="17">
        <v>3</v>
      </c>
      <c r="L292" s="17">
        <f t="shared" si="83"/>
        <v>2017</v>
      </c>
      <c r="M292" s="17">
        <f t="shared" si="84"/>
        <v>2017.1666666666667</v>
      </c>
      <c r="N292" s="17">
        <v>8067.17</v>
      </c>
      <c r="O292" s="17">
        <f t="shared" si="85"/>
        <v>8067.17</v>
      </c>
      <c r="P292" s="17">
        <f t="shared" si="86"/>
        <v>224.08805555555557</v>
      </c>
      <c r="Q292" s="17">
        <f t="shared" si="87"/>
        <v>2689.0566666666668</v>
      </c>
      <c r="R292" s="17">
        <f t="shared" si="88"/>
        <v>0</v>
      </c>
      <c r="S292" s="17">
        <f t="shared" si="89"/>
        <v>8067.17</v>
      </c>
      <c r="T292" s="17">
        <f t="shared" si="90"/>
        <v>8067.17</v>
      </c>
      <c r="U292" s="17">
        <f t="shared" si="91"/>
        <v>0</v>
      </c>
      <c r="V292" s="17"/>
      <c r="W292" s="17"/>
    </row>
    <row r="293" spans="1:23">
      <c r="A293" s="17"/>
      <c r="B293" s="17"/>
      <c r="C293" s="17">
        <v>5594</v>
      </c>
      <c r="D293" s="17" t="s">
        <v>313</v>
      </c>
      <c r="E293" s="17">
        <v>183497</v>
      </c>
      <c r="F293" s="17"/>
      <c r="G293" s="17">
        <v>2017</v>
      </c>
      <c r="H293" s="17">
        <v>5</v>
      </c>
      <c r="I293" s="8">
        <v>0</v>
      </c>
      <c r="J293" s="17" t="s">
        <v>78</v>
      </c>
      <c r="K293" s="17">
        <v>3</v>
      </c>
      <c r="L293" s="17">
        <f t="shared" si="83"/>
        <v>2020</v>
      </c>
      <c r="M293" s="17">
        <f t="shared" si="84"/>
        <v>2020.4166666666667</v>
      </c>
      <c r="N293" s="17">
        <v>14357</v>
      </c>
      <c r="O293" s="17">
        <f t="shared" si="85"/>
        <v>14357</v>
      </c>
      <c r="P293" s="17">
        <f t="shared" si="86"/>
        <v>398.8055555555556</v>
      </c>
      <c r="Q293" s="17">
        <f t="shared" si="87"/>
        <v>4785.666666666667</v>
      </c>
      <c r="R293" s="17">
        <f t="shared" si="88"/>
        <v>4785.666666666667</v>
      </c>
      <c r="S293" s="17">
        <f t="shared" si="89"/>
        <v>0</v>
      </c>
      <c r="T293" s="17">
        <f t="shared" si="90"/>
        <v>4785.666666666667</v>
      </c>
      <c r="U293" s="17">
        <f t="shared" si="91"/>
        <v>11964.166666666666</v>
      </c>
      <c r="V293" s="17"/>
      <c r="W293" s="17"/>
    </row>
    <row r="295" spans="1:23">
      <c r="A295" s="17"/>
      <c r="B295" s="17"/>
      <c r="C295" s="17"/>
      <c r="D295" s="17"/>
      <c r="E295" s="17"/>
      <c r="F295" s="17"/>
      <c r="G295" s="17"/>
      <c r="H295" s="17"/>
      <c r="J295" s="17"/>
      <c r="K295" s="17"/>
      <c r="L295" s="17" t="s">
        <v>314</v>
      </c>
      <c r="M295" s="17"/>
      <c r="N295" s="17">
        <f>SUM(N265:N294)</f>
        <v>1109309.01</v>
      </c>
      <c r="O295" s="17">
        <f>SUM(O265:O294)</f>
        <v>890585.05849999993</v>
      </c>
      <c r="P295" s="17">
        <f t="shared" ref="P295:U295" si="92">SUM(P265:P294)</f>
        <v>11289.792267063489</v>
      </c>
      <c r="Q295" s="17">
        <f t="shared" si="92"/>
        <v>135477.5072047619</v>
      </c>
      <c r="R295" s="17">
        <f t="shared" si="92"/>
        <v>4785.666666666667</v>
      </c>
      <c r="S295" s="17">
        <f t="shared" si="92"/>
        <v>1094952.01</v>
      </c>
      <c r="T295" s="17">
        <f t="shared" si="92"/>
        <v>881013.72516666655</v>
      </c>
      <c r="U295" s="17">
        <f t="shared" si="92"/>
        <v>11964.166666666666</v>
      </c>
      <c r="V295" s="17"/>
      <c r="W295" s="17"/>
    </row>
    <row r="297" spans="1:23">
      <c r="A297" s="17"/>
      <c r="B297" s="17" t="s">
        <v>1052</v>
      </c>
      <c r="C297" s="17"/>
      <c r="D297" s="17"/>
      <c r="E297" s="17"/>
      <c r="F297" s="17"/>
      <c r="G297" s="17"/>
      <c r="H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</row>
    <row r="298" spans="1:23">
      <c r="A298" s="17"/>
      <c r="B298" s="17"/>
      <c r="C298" s="17" t="s">
        <v>1053</v>
      </c>
      <c r="D298" s="17"/>
      <c r="E298" s="17"/>
      <c r="F298" s="17"/>
      <c r="G298" s="17"/>
      <c r="H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</row>
    <row r="299" spans="1:23">
      <c r="A299" s="17"/>
      <c r="B299" s="17"/>
      <c r="C299" s="17"/>
      <c r="D299" s="17"/>
      <c r="E299" s="17"/>
      <c r="F299" s="17"/>
      <c r="G299" s="17"/>
      <c r="H299" s="17"/>
      <c r="J299" s="17"/>
      <c r="K299" s="17"/>
      <c r="L299" s="17" t="s">
        <v>1054</v>
      </c>
      <c r="M299" s="17"/>
      <c r="N299" s="17">
        <f t="shared" ref="N299:U299" si="93">SUM(N298:N298)</f>
        <v>0</v>
      </c>
      <c r="O299" s="17">
        <f t="shared" si="93"/>
        <v>0</v>
      </c>
      <c r="P299" s="17">
        <f t="shared" si="93"/>
        <v>0</v>
      </c>
      <c r="Q299" s="17">
        <f t="shared" si="93"/>
        <v>0</v>
      </c>
      <c r="R299" s="17">
        <f t="shared" si="93"/>
        <v>0</v>
      </c>
      <c r="S299" s="17">
        <f t="shared" si="93"/>
        <v>0</v>
      </c>
      <c r="T299" s="17">
        <f t="shared" si="93"/>
        <v>0</v>
      </c>
      <c r="U299" s="17">
        <f t="shared" si="93"/>
        <v>0</v>
      </c>
      <c r="V299" s="17"/>
      <c r="W299" s="17"/>
    </row>
    <row r="301" spans="1:23">
      <c r="A301" s="17"/>
      <c r="B301" s="17" t="s">
        <v>13</v>
      </c>
      <c r="C301" s="17"/>
      <c r="D301" s="17"/>
      <c r="E301" s="17"/>
      <c r="F301" s="17"/>
      <c r="G301" s="17"/>
      <c r="H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</row>
    <row r="302" spans="1:23">
      <c r="A302" s="17" t="s">
        <v>246</v>
      </c>
      <c r="B302" s="17"/>
      <c r="C302" s="17">
        <v>9569</v>
      </c>
      <c r="D302" s="17" t="s">
        <v>247</v>
      </c>
      <c r="E302" s="17">
        <v>188923</v>
      </c>
      <c r="F302" s="17"/>
      <c r="G302" s="17">
        <v>2017</v>
      </c>
      <c r="H302" s="17">
        <v>11</v>
      </c>
      <c r="I302" s="8">
        <v>0</v>
      </c>
      <c r="J302" s="17" t="s">
        <v>78</v>
      </c>
      <c r="K302" s="17">
        <v>10</v>
      </c>
      <c r="L302" s="17">
        <f>G302+K302</f>
        <v>2027</v>
      </c>
      <c r="M302" s="17">
        <f>+L302+(H302/12)</f>
        <v>2027.9166666666667</v>
      </c>
      <c r="N302" s="17">
        <v>68242.36</v>
      </c>
      <c r="O302" s="17">
        <f>N302-N302*I302</f>
        <v>68242.36</v>
      </c>
      <c r="P302" s="17">
        <f>O302/K302/12</f>
        <v>568.68633333333332</v>
      </c>
      <c r="Q302" s="17">
        <f>P302*12</f>
        <v>6824.2359999999999</v>
      </c>
      <c r="R302" s="17">
        <f>+IF(M302&lt;=$O$6,0,IF(L302&gt;$O$5,Q302,(P302*G302)))</f>
        <v>6824.2359999999999</v>
      </c>
      <c r="S302" s="17">
        <f>+IF(R302=0,N302,IF($O$5-G302&lt;1,0,(($O$5-G302)*Q302)))</f>
        <v>0</v>
      </c>
      <c r="T302" s="17">
        <f>+IF(R302=0,S302,S302+R302)-(N302-O302)</f>
        <v>6824.2359999999999</v>
      </c>
      <c r="U302" s="17">
        <f>+IF(R302=0,0,((N302-S302)+(N302-T302))/2)</f>
        <v>64830.241999999998</v>
      </c>
      <c r="V302" s="17"/>
      <c r="W302" s="17"/>
    </row>
    <row r="303" spans="1:23">
      <c r="A303" s="17"/>
      <c r="B303" s="17"/>
      <c r="C303" s="17">
        <v>9569</v>
      </c>
      <c r="D303" s="17" t="s">
        <v>109</v>
      </c>
      <c r="E303" s="17">
        <v>189846</v>
      </c>
      <c r="F303" s="17">
        <v>188923</v>
      </c>
      <c r="G303" s="17">
        <v>2017</v>
      </c>
      <c r="H303" s="17">
        <v>11</v>
      </c>
      <c r="I303" s="8">
        <v>0</v>
      </c>
      <c r="J303" s="17" t="s">
        <v>78</v>
      </c>
      <c r="K303" s="17">
        <v>5</v>
      </c>
      <c r="L303" s="17">
        <f>G303+K303</f>
        <v>2022</v>
      </c>
      <c r="M303" s="17">
        <f>+L303+(H303/12)</f>
        <v>2022.9166666666667</v>
      </c>
      <c r="N303" s="17">
        <v>1460.46</v>
      </c>
      <c r="O303" s="17">
        <f>N303-N303*I303</f>
        <v>1460.46</v>
      </c>
      <c r="P303" s="17">
        <f>O303/K303/12</f>
        <v>24.340999999999998</v>
      </c>
      <c r="Q303" s="17">
        <f>P303*12</f>
        <v>292.09199999999998</v>
      </c>
      <c r="R303" s="17">
        <f>+IF(M303&lt;=$O$6,0,IF(L303&gt;$O$5,Q303,(P303*G303)))</f>
        <v>292.09199999999998</v>
      </c>
      <c r="S303" s="17">
        <f>+IF(R303=0,N303,IF($O$5-G303&lt;1,0,(($O$5-G303)*Q303)))</f>
        <v>0</v>
      </c>
      <c r="T303" s="17">
        <f>+IF(R303=0,S303,S303+R303)-(N303-O303)</f>
        <v>292.09199999999998</v>
      </c>
      <c r="U303" s="17">
        <f>+IF(R303=0,0,((N303-S303)+(N303-T303))/2)</f>
        <v>1314.414</v>
      </c>
      <c r="V303" s="17"/>
      <c r="W303" s="17"/>
    </row>
    <row r="305" spans="1:24">
      <c r="A305" s="17"/>
      <c r="B305" s="17"/>
      <c r="C305" s="17"/>
      <c r="D305" s="17"/>
      <c r="E305" s="17"/>
      <c r="F305" s="17"/>
      <c r="G305" s="17"/>
      <c r="H305" s="17"/>
      <c r="J305" s="17"/>
      <c r="K305" s="17"/>
      <c r="L305" s="17" t="s">
        <v>329</v>
      </c>
      <c r="M305" s="17"/>
      <c r="N305" s="17">
        <f t="shared" ref="N305:U305" si="94">+SUM(N302:N304)</f>
        <v>69702.820000000007</v>
      </c>
      <c r="O305" s="17">
        <f t="shared" si="94"/>
        <v>69702.820000000007</v>
      </c>
      <c r="P305" s="17">
        <f t="shared" si="94"/>
        <v>593.02733333333333</v>
      </c>
      <c r="Q305" s="17">
        <f t="shared" si="94"/>
        <v>7116.3279999999995</v>
      </c>
      <c r="R305" s="17">
        <f t="shared" si="94"/>
        <v>7116.3279999999995</v>
      </c>
      <c r="S305" s="17">
        <f t="shared" si="94"/>
        <v>0</v>
      </c>
      <c r="T305" s="17">
        <f t="shared" si="94"/>
        <v>7116.3279999999995</v>
      </c>
      <c r="U305" s="17">
        <f t="shared" si="94"/>
        <v>66144.656000000003</v>
      </c>
      <c r="V305" s="17"/>
      <c r="W305" s="17"/>
      <c r="X305" s="17"/>
    </row>
    <row r="307" spans="1:24">
      <c r="A307" s="17"/>
      <c r="B307" s="17"/>
      <c r="C307" s="17"/>
      <c r="D307" s="17"/>
      <c r="E307" s="17"/>
      <c r="F307" s="17"/>
      <c r="G307" s="17"/>
      <c r="H307" s="17"/>
      <c r="J307" s="17"/>
      <c r="K307" s="17"/>
      <c r="L307" s="17" t="s">
        <v>330</v>
      </c>
      <c r="M307" s="17"/>
      <c r="N307" s="17">
        <f t="shared" ref="N307:U307" si="95">N217+N196+N176+N120+N299+N295+N262+N237+N225+N252+N201+N127+N305</f>
        <v>24287767.870000005</v>
      </c>
      <c r="O307" s="17">
        <f t="shared" si="95"/>
        <v>20790753.9333</v>
      </c>
      <c r="P307" s="17">
        <f t="shared" si="95"/>
        <v>234480.95311373009</v>
      </c>
      <c r="Q307" s="17">
        <f t="shared" si="95"/>
        <v>2813771.4373647622</v>
      </c>
      <c r="R307" s="17">
        <f t="shared" si="95"/>
        <v>1414487.568908571</v>
      </c>
      <c r="S307" s="17">
        <f t="shared" si="95"/>
        <v>13863418.694792384</v>
      </c>
      <c r="T307" s="17">
        <f t="shared" si="95"/>
        <v>11817477.027000953</v>
      </c>
      <c r="U307" s="17">
        <f t="shared" si="95"/>
        <v>10344105.399053331</v>
      </c>
      <c r="V307" s="17"/>
      <c r="W307" s="17"/>
      <c r="X307" s="17"/>
    </row>
    <row r="312" spans="1:24">
      <c r="A312" s="17"/>
      <c r="B312" s="17" t="s">
        <v>1055</v>
      </c>
      <c r="C312" s="17"/>
      <c r="D312" s="17"/>
      <c r="E312" s="17"/>
      <c r="F312" s="17"/>
      <c r="G312" s="17"/>
      <c r="H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</row>
    <row r="313" spans="1:24">
      <c r="A313" s="17" t="s">
        <v>1056</v>
      </c>
      <c r="B313" s="17" t="s">
        <v>152</v>
      </c>
      <c r="C313" s="17">
        <v>4015</v>
      </c>
      <c r="D313" s="17" t="s">
        <v>1057</v>
      </c>
      <c r="E313" s="17"/>
      <c r="F313" s="17"/>
      <c r="G313" s="17">
        <v>1998</v>
      </c>
      <c r="H313" s="17">
        <v>6</v>
      </c>
      <c r="I313" s="8">
        <v>0.2</v>
      </c>
      <c r="J313" s="17" t="s">
        <v>78</v>
      </c>
      <c r="K313" s="17">
        <v>7</v>
      </c>
      <c r="L313" s="17">
        <f>G313+K313</f>
        <v>2005</v>
      </c>
      <c r="M313" s="17">
        <f>+L313+(H313/12)</f>
        <v>2005.5</v>
      </c>
      <c r="N313" s="17">
        <v>133465</v>
      </c>
      <c r="O313" s="17">
        <f>N313-N313*I313</f>
        <v>106772</v>
      </c>
      <c r="P313" s="17">
        <f>O313/K313/12</f>
        <v>1271.0952380952381</v>
      </c>
      <c r="Q313" s="17">
        <f>P313*12</f>
        <v>15253.142857142857</v>
      </c>
      <c r="R313" s="17">
        <f>+IF(M313&lt;=$O$6,0,IF(L313&gt;$O$5,Q313,(P313*G313)))</f>
        <v>0</v>
      </c>
      <c r="S313" s="17">
        <f>+IF(R313=0,N313,IF($O$5-G313&lt;1,0,(($O$5-G313)*Q313)))</f>
        <v>133465</v>
      </c>
      <c r="T313" s="17">
        <f>+IF(R313=0,S313,S313+R313)-(N313-O313)</f>
        <v>106772</v>
      </c>
      <c r="U313" s="17">
        <f>+IF(R313=0,0,((N313-S313)+(N313-T313))/2)</f>
        <v>0</v>
      </c>
      <c r="V313" s="17"/>
      <c r="W313" s="17"/>
      <c r="X313" s="17" t="s">
        <v>1058</v>
      </c>
    </row>
    <row r="315" spans="1:24">
      <c r="A315" s="17"/>
      <c r="B315" s="17" t="s">
        <v>1059</v>
      </c>
      <c r="C315" s="17"/>
      <c r="D315" s="17"/>
      <c r="E315" s="17"/>
      <c r="F315" s="17"/>
      <c r="G315" s="17"/>
      <c r="H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</row>
    <row r="316" spans="1:24">
      <c r="A316" s="17" t="s">
        <v>1056</v>
      </c>
      <c r="B316" s="17" t="s">
        <v>207</v>
      </c>
      <c r="C316" s="17">
        <v>2509</v>
      </c>
      <c r="D316" s="17" t="s">
        <v>1060</v>
      </c>
      <c r="E316" s="17"/>
      <c r="F316" s="17"/>
      <c r="G316" s="17">
        <v>1997</v>
      </c>
      <c r="H316" s="17">
        <v>2</v>
      </c>
      <c r="I316" s="8">
        <v>0.2</v>
      </c>
      <c r="J316" s="17" t="s">
        <v>78</v>
      </c>
      <c r="K316" s="17">
        <v>7</v>
      </c>
      <c r="L316" s="17">
        <f>G316+K316</f>
        <v>2004</v>
      </c>
      <c r="M316" s="17">
        <f>+L316+(H316/12)</f>
        <v>2004.1666666666667</v>
      </c>
      <c r="N316" s="17">
        <f>42120+89610+418+293+15490</f>
        <v>147931</v>
      </c>
      <c r="O316" s="17">
        <f>N316-N316*I316</f>
        <v>118344.8</v>
      </c>
      <c r="P316" s="17">
        <f>O316/K316/12</f>
        <v>1408.8666666666668</v>
      </c>
      <c r="Q316" s="17">
        <f>P316*12</f>
        <v>16906.400000000001</v>
      </c>
      <c r="R316" s="17">
        <f>+IF(M316&lt;=$O$6,0,IF(L316&gt;$O$5,Q316,(P316*G316)))</f>
        <v>0</v>
      </c>
      <c r="S316" s="17">
        <f>+IF(R316=0,N316,IF($O$5-G316&lt;1,0,(($O$5-G316)*Q316)))</f>
        <v>147931</v>
      </c>
      <c r="T316" s="17">
        <f>+IF(R316=0,S316,S316+R316)-(N316-O316)</f>
        <v>118344.8</v>
      </c>
      <c r="U316" s="17">
        <f>+IF(R316=0,0,((N316-S316)+(N316-T316))/2)</f>
        <v>0</v>
      </c>
      <c r="V316" s="17"/>
      <c r="W316" s="17"/>
      <c r="X316" s="17" t="s">
        <v>1058</v>
      </c>
    </row>
    <row r="317" spans="1:24">
      <c r="A317" s="17" t="s">
        <v>371</v>
      </c>
      <c r="B317" s="17" t="s">
        <v>111</v>
      </c>
      <c r="C317" s="17">
        <v>3517</v>
      </c>
      <c r="D317" s="17" t="s">
        <v>1061</v>
      </c>
      <c r="E317" s="17">
        <v>60724</v>
      </c>
      <c r="F317" s="17"/>
      <c r="G317" s="17">
        <v>2000</v>
      </c>
      <c r="H317" s="17">
        <v>9</v>
      </c>
      <c r="I317" s="8">
        <v>0.2</v>
      </c>
      <c r="J317" s="17" t="s">
        <v>78</v>
      </c>
      <c r="K317" s="17">
        <v>7</v>
      </c>
      <c r="L317" s="17">
        <f>G317+K317</f>
        <v>2007</v>
      </c>
      <c r="M317" s="17">
        <f>+L317+(H317/12)</f>
        <v>2007.75</v>
      </c>
      <c r="N317" s="17">
        <v>141947.68</v>
      </c>
      <c r="O317" s="17">
        <f>N317-N317*I317</f>
        <v>113558.144</v>
      </c>
      <c r="P317" s="17">
        <f>O317/K317/12</f>
        <v>1351.8826666666666</v>
      </c>
      <c r="Q317" s="17">
        <f>P317*12</f>
        <v>16222.592000000001</v>
      </c>
      <c r="R317" s="17">
        <f>+IF(M317&lt;=$O$6,0,IF(L317&gt;$O$5,Q317,(P317*G317)))</f>
        <v>0</v>
      </c>
      <c r="S317" s="17">
        <f>+IF(R317=0,N317,IF($O$5-G317&lt;1,0,(($O$5-G317)*Q317)))</f>
        <v>141947.68</v>
      </c>
      <c r="T317" s="17">
        <f>+IF(R317=0,S317,S317+R317)-(N317-O317)</f>
        <v>113558.144</v>
      </c>
      <c r="U317" s="17">
        <f>+IF(R317=0,0,((N317-S317)+(N317-T317))/2)</f>
        <v>0</v>
      </c>
      <c r="V317" s="17"/>
      <c r="W317" s="17"/>
      <c r="X317" s="17" t="s">
        <v>300</v>
      </c>
    </row>
    <row r="318" spans="1:24">
      <c r="A318" s="17" t="s">
        <v>371</v>
      </c>
      <c r="B318" s="17" t="s">
        <v>76</v>
      </c>
      <c r="C318" s="17">
        <v>1013</v>
      </c>
      <c r="D318" s="17" t="s">
        <v>1062</v>
      </c>
      <c r="E318" s="17"/>
      <c r="F318" s="17"/>
      <c r="G318" s="17">
        <v>1997</v>
      </c>
      <c r="H318" s="17">
        <v>8</v>
      </c>
      <c r="I318" s="8">
        <v>0.2</v>
      </c>
      <c r="J318" s="17" t="s">
        <v>78</v>
      </c>
      <c r="K318" s="17">
        <v>7</v>
      </c>
      <c r="L318" s="17">
        <f>G318+K318</f>
        <v>2004</v>
      </c>
      <c r="M318" s="17">
        <f>+L318+(H318/12)</f>
        <v>2004.6666666666667</v>
      </c>
      <c r="N318" s="17">
        <v>49500.42</v>
      </c>
      <c r="O318" s="17">
        <f>N318-N318*I318</f>
        <v>39600.335999999996</v>
      </c>
      <c r="P318" s="17">
        <f>O318/K318/12</f>
        <v>471.43257142857141</v>
      </c>
      <c r="Q318" s="17">
        <f>P318*12</f>
        <v>5657.1908571428567</v>
      </c>
      <c r="R318" s="17">
        <f>+IF(M318&lt;=$O$6,0,IF(L318&gt;$O$5,Q318,(P318*G318)))</f>
        <v>0</v>
      </c>
      <c r="S318" s="17">
        <f>+IF(R318=0,N318,IF($O$5-G318&lt;1,0,(($O$5-G318)*Q318)))</f>
        <v>49500.42</v>
      </c>
      <c r="T318" s="17">
        <f>+IF(R318=0,S318,S318+R318)-(N318-O318)</f>
        <v>39600.335999999996</v>
      </c>
      <c r="U318" s="17">
        <f>+IF(R318=0,0,((N318-S318)+(N318-T318))/2)</f>
        <v>0</v>
      </c>
      <c r="V318" s="17"/>
      <c r="W318" s="17"/>
      <c r="X318" s="17" t="s">
        <v>300</v>
      </c>
    </row>
    <row r="319" spans="1:24">
      <c r="A319" s="17" t="s">
        <v>371</v>
      </c>
      <c r="B319" s="17" t="s">
        <v>76</v>
      </c>
      <c r="C319" s="17">
        <v>1014</v>
      </c>
      <c r="D319" s="17" t="s">
        <v>1063</v>
      </c>
      <c r="E319" s="17"/>
      <c r="F319" s="17"/>
      <c r="G319" s="17">
        <v>1997</v>
      </c>
      <c r="H319" s="17">
        <v>8</v>
      </c>
      <c r="I319" s="8">
        <v>0.2</v>
      </c>
      <c r="J319" s="17" t="s">
        <v>78</v>
      </c>
      <c r="K319" s="17">
        <v>7</v>
      </c>
      <c r="L319" s="17">
        <f>G319+K319</f>
        <v>2004</v>
      </c>
      <c r="M319" s="17">
        <f>+L319+(H319/12)</f>
        <v>2004.6666666666667</v>
      </c>
      <c r="N319" s="17">
        <v>50237.26</v>
      </c>
      <c r="O319" s="17">
        <f>N319-N319*I319</f>
        <v>40189.808000000005</v>
      </c>
      <c r="P319" s="17">
        <f>O319/K319/12</f>
        <v>478.45009523809534</v>
      </c>
      <c r="Q319" s="17">
        <f>P319*12</f>
        <v>5741.4011428571439</v>
      </c>
      <c r="R319" s="17">
        <f>+IF(M319&lt;=$O$6,0,IF(L319&gt;$O$5,Q319,(P319*G319)))</f>
        <v>0</v>
      </c>
      <c r="S319" s="17">
        <f>+IF(R319=0,N319,IF($O$5-G319&lt;1,0,(($O$5-G319)*Q319)))</f>
        <v>50237.26</v>
      </c>
      <c r="T319" s="17">
        <f>+IF(R319=0,S319,S319+R319)-(N319-O319)</f>
        <v>40189.808000000005</v>
      </c>
      <c r="U319" s="17">
        <f>+IF(R319=0,0,((N319-S319)+(N319-T319))/2)</f>
        <v>0</v>
      </c>
      <c r="V319" s="17"/>
      <c r="W319" s="17"/>
      <c r="X319" s="17" t="s">
        <v>300</v>
      </c>
    </row>
    <row r="320" spans="1:24">
      <c r="A320" s="17" t="s">
        <v>371</v>
      </c>
      <c r="B320" s="17" t="s">
        <v>76</v>
      </c>
      <c r="C320" s="17">
        <v>1014</v>
      </c>
      <c r="D320" s="17" t="s">
        <v>1064</v>
      </c>
      <c r="E320" s="17"/>
      <c r="F320" s="17"/>
      <c r="G320" s="17">
        <v>2000</v>
      </c>
      <c r="H320" s="17">
        <v>1</v>
      </c>
      <c r="I320" s="8">
        <v>0.33</v>
      </c>
      <c r="J320" s="17" t="s">
        <v>78</v>
      </c>
      <c r="K320" s="17">
        <v>5</v>
      </c>
      <c r="L320" s="17">
        <f>G320+K320</f>
        <v>2005</v>
      </c>
      <c r="M320" s="17">
        <f>+L320+(H320/12)</f>
        <v>2005.0833333333333</v>
      </c>
      <c r="N320" s="17">
        <v>32379.08</v>
      </c>
      <c r="O320" s="17">
        <f>N320-N320*I320</f>
        <v>21693.9836</v>
      </c>
      <c r="P320" s="17">
        <f>O320/K320/12</f>
        <v>361.56639333333334</v>
      </c>
      <c r="Q320" s="17">
        <f>P320*12</f>
        <v>4338.7967200000003</v>
      </c>
      <c r="R320" s="17">
        <f>+IF(M320&lt;=$O$6,0,IF(L320&gt;$O$5,Q320,(P320*G320)))</f>
        <v>0</v>
      </c>
      <c r="S320" s="17">
        <f>+IF(R320=0,N320,IF($O$5-G320&lt;1,0,(($O$5-G320)*Q320)))</f>
        <v>32379.08</v>
      </c>
      <c r="T320" s="17">
        <f>+IF(R320=0,S320,S320+R320)-(N320-O320)</f>
        <v>21693.9836</v>
      </c>
      <c r="U320" s="17">
        <f>+IF(R320=0,0,((N320-S320)+(N320-T320))/2)</f>
        <v>0</v>
      </c>
      <c r="V320" s="17"/>
      <c r="W320" s="17"/>
      <c r="X320" s="17" t="s">
        <v>300</v>
      </c>
    </row>
    <row r="322" spans="1:24">
      <c r="A322" s="17"/>
      <c r="B322" s="17" t="s">
        <v>1065</v>
      </c>
      <c r="C322" s="17"/>
      <c r="D322" s="17"/>
      <c r="E322" s="17"/>
      <c r="F322" s="17"/>
      <c r="G322" s="17"/>
      <c r="H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</row>
    <row r="323" spans="1:24">
      <c r="A323" s="17" t="s">
        <v>371</v>
      </c>
      <c r="B323" s="17" t="s">
        <v>207</v>
      </c>
      <c r="C323" s="17">
        <v>2033</v>
      </c>
      <c r="D323" s="17" t="s">
        <v>1066</v>
      </c>
      <c r="E323" s="17"/>
      <c r="F323" s="17"/>
      <c r="G323" s="17">
        <v>2008</v>
      </c>
      <c r="H323" s="17">
        <v>11</v>
      </c>
      <c r="I323" s="8">
        <v>0.2</v>
      </c>
      <c r="J323" s="17" t="s">
        <v>78</v>
      </c>
      <c r="K323" s="17">
        <v>7</v>
      </c>
      <c r="L323" s="17">
        <f>G323+K323</f>
        <v>2015</v>
      </c>
      <c r="M323" s="17">
        <f>+L323+(H323/12)</f>
        <v>2015.9166666666667</v>
      </c>
      <c r="N323" s="17">
        <v>298034</v>
      </c>
      <c r="O323" s="17">
        <f>N323-N323*I323</f>
        <v>238427.2</v>
      </c>
      <c r="P323" s="17">
        <f>O323/K323/12</f>
        <v>2838.4190476190474</v>
      </c>
      <c r="Q323" s="17">
        <f>P323*12</f>
        <v>34061.028571428571</v>
      </c>
      <c r="R323" s="17">
        <f>+IF(M323&lt;=$O$6,0,IF(L323&gt;$O$5,Q323,(P323*G323)))</f>
        <v>0</v>
      </c>
      <c r="S323" s="17">
        <f>+IF(R323=0,N323,IF($O$5-G323&lt;1,0,(($O$5-G323)*Q323)))</f>
        <v>298034</v>
      </c>
      <c r="T323" s="17">
        <f>+IF(R323=0,S323,S323+R323)-(N323-O323)</f>
        <v>238427.2</v>
      </c>
      <c r="U323" s="17">
        <f>+IF(R323=0,0,((N323-S323)+(N323-T323))/2)</f>
        <v>0</v>
      </c>
      <c r="V323" s="17"/>
      <c r="W323" s="17"/>
      <c r="X323" s="17" t="s">
        <v>300</v>
      </c>
    </row>
    <row r="324" spans="1:24">
      <c r="A324" s="17" t="s">
        <v>75</v>
      </c>
      <c r="B324" s="17" t="s">
        <v>207</v>
      </c>
      <c r="C324" s="17">
        <v>2501</v>
      </c>
      <c r="D324" s="17" t="s">
        <v>1067</v>
      </c>
      <c r="E324" s="17"/>
      <c r="F324" s="17"/>
      <c r="G324" s="17">
        <v>1996</v>
      </c>
      <c r="H324" s="17">
        <v>6</v>
      </c>
      <c r="I324" s="8">
        <v>0.2</v>
      </c>
      <c r="J324" s="17" t="s">
        <v>78</v>
      </c>
      <c r="K324" s="17">
        <v>7</v>
      </c>
      <c r="L324" s="17">
        <f>G324+K324</f>
        <v>2003</v>
      </c>
      <c r="M324" s="17">
        <f>+L324+(H324/12)</f>
        <v>2003.5</v>
      </c>
      <c r="N324" s="17">
        <f>89610+42120+17056</f>
        <v>148786</v>
      </c>
      <c r="O324" s="17">
        <f>N324-N324*I324</f>
        <v>119028.8</v>
      </c>
      <c r="P324" s="17">
        <f>O324/K324/12</f>
        <v>1417.0095238095239</v>
      </c>
      <c r="Q324" s="17">
        <f>P324*12</f>
        <v>17004.114285714288</v>
      </c>
      <c r="R324" s="17">
        <f>+IF(M324&lt;=$O$6,0,IF(L324&gt;$O$5,Q324,(P324*G324)))</f>
        <v>0</v>
      </c>
      <c r="S324" s="17">
        <f>+IF(R324=0,N324,IF($O$5-G324&lt;1,0,(($O$5-G324)*Q324)))</f>
        <v>148786</v>
      </c>
      <c r="T324" s="17">
        <f>+IF(R324=0,S324,S324+R324)-(N324-O324)</f>
        <v>119028.8</v>
      </c>
      <c r="U324" s="17">
        <f>+IF(R324=0,0,((N324-S324)+(N324-T324))/2)</f>
        <v>0</v>
      </c>
      <c r="V324" s="17"/>
      <c r="W324" s="17"/>
      <c r="X324" s="17" t="s">
        <v>300</v>
      </c>
    </row>
    <row r="325" spans="1:24">
      <c r="A325" s="17" t="s">
        <v>75</v>
      </c>
      <c r="B325" s="17"/>
      <c r="C325" s="17">
        <v>2501</v>
      </c>
      <c r="D325" s="17" t="s">
        <v>1068</v>
      </c>
      <c r="E325" s="17"/>
      <c r="F325" s="17"/>
      <c r="G325" s="17">
        <v>2009</v>
      </c>
      <c r="H325" s="17">
        <v>3</v>
      </c>
      <c r="I325" s="8">
        <v>0</v>
      </c>
      <c r="J325" s="17" t="s">
        <v>78</v>
      </c>
      <c r="K325" s="17">
        <v>3</v>
      </c>
      <c r="L325" s="17">
        <f>G325+K325</f>
        <v>2012</v>
      </c>
      <c r="M325" s="17">
        <f>+L325+(H325/12)</f>
        <v>2012.25</v>
      </c>
      <c r="N325" s="17">
        <v>12245.45</v>
      </c>
      <c r="O325" s="17">
        <f>N325-N325*I325</f>
        <v>12245.45</v>
      </c>
      <c r="P325" s="17">
        <f>O325/K325/12</f>
        <v>340.1513888888889</v>
      </c>
      <c r="Q325" s="17">
        <f>P325*12</f>
        <v>4081.8166666666666</v>
      </c>
      <c r="R325" s="17">
        <f>+IF(M325&lt;=$O$6,0,IF(L325&gt;$O$5,Q325,(P325*G325)))</f>
        <v>0</v>
      </c>
      <c r="S325" s="17">
        <f>+IF(R325=0,N325,IF($O$5-G325&lt;1,0,(($O$5-G325)*Q325)))</f>
        <v>12245.45</v>
      </c>
      <c r="T325" s="17">
        <f>+IF(R325=0,S325,S325+R325)-(N325-O325)</f>
        <v>12245.45</v>
      </c>
      <c r="U325" s="17">
        <f>+IF(R325=0,0,((N325-S325)+(N325-T325))/2)</f>
        <v>0</v>
      </c>
      <c r="V325" s="17"/>
      <c r="W325" s="17"/>
      <c r="X325" s="17" t="s">
        <v>300</v>
      </c>
    </row>
    <row r="327" spans="1:24">
      <c r="A327" s="17"/>
      <c r="B327" s="17" t="s">
        <v>1069</v>
      </c>
      <c r="C327" s="17"/>
      <c r="D327" s="17"/>
      <c r="E327" s="17"/>
      <c r="F327" s="17"/>
      <c r="G327" s="17"/>
      <c r="H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</row>
    <row r="328" spans="1:24">
      <c r="A328" s="17" t="s">
        <v>75</v>
      </c>
      <c r="B328" s="17" t="s">
        <v>207</v>
      </c>
      <c r="C328" s="17">
        <v>2002</v>
      </c>
      <c r="D328" s="17" t="s">
        <v>1070</v>
      </c>
      <c r="E328" s="17"/>
      <c r="F328" s="17"/>
      <c r="G328" s="17">
        <v>1995</v>
      </c>
      <c r="H328" s="17">
        <v>6</v>
      </c>
      <c r="I328" s="8">
        <v>0.2</v>
      </c>
      <c r="J328" s="17" t="s">
        <v>78</v>
      </c>
      <c r="K328" s="17">
        <v>7</v>
      </c>
      <c r="L328" s="17">
        <f>G328+K328</f>
        <v>2002</v>
      </c>
      <c r="M328" s="17">
        <f>+L328+(H328/12)</f>
        <v>2002.5</v>
      </c>
      <c r="N328" s="17">
        <v>85157</v>
      </c>
      <c r="O328" s="17">
        <f>N328-N328*I328</f>
        <v>68125.600000000006</v>
      </c>
      <c r="P328" s="17">
        <f>O328/K328/12</f>
        <v>811.01904761904768</v>
      </c>
      <c r="Q328" s="17">
        <f>P328*12</f>
        <v>9732.2285714285717</v>
      </c>
      <c r="R328" s="17">
        <f>+IF(M328&lt;=$O$6,0,IF(L328&gt;$O$5,Q328,(P328*G328)))</f>
        <v>0</v>
      </c>
      <c r="S328" s="17">
        <f>+IF(R328=0,N328,IF($O$5-G328&lt;1,0,(($O$5-G328)*Q328)))</f>
        <v>85157</v>
      </c>
      <c r="T328" s="17">
        <f>+IF(R328=0,S328,S328+R328)-(N328-O328)</f>
        <v>68125.600000000006</v>
      </c>
      <c r="U328" s="17">
        <f>+IF(R328=0,0,((N328-S328)+(N328-T328))/2)</f>
        <v>0</v>
      </c>
      <c r="V328" s="17"/>
      <c r="W328" s="17"/>
      <c r="X328" s="17" t="s">
        <v>300</v>
      </c>
    </row>
    <row r="329" spans="1:24">
      <c r="A329" s="17" t="s">
        <v>1071</v>
      </c>
      <c r="B329" s="17" t="s">
        <v>207</v>
      </c>
      <c r="C329" s="17">
        <v>2002</v>
      </c>
      <c r="D329" s="17" t="s">
        <v>1072</v>
      </c>
      <c r="E329" s="17"/>
      <c r="F329" s="17"/>
      <c r="G329" s="17">
        <v>1995</v>
      </c>
      <c r="H329" s="17">
        <v>8</v>
      </c>
      <c r="I329" s="8">
        <v>0.2</v>
      </c>
      <c r="J329" s="17" t="s">
        <v>78</v>
      </c>
      <c r="K329" s="17">
        <v>7</v>
      </c>
      <c r="L329" s="17">
        <f>G329+K329</f>
        <v>2002</v>
      </c>
      <c r="M329" s="17">
        <f>+L329+(H329/12)</f>
        <v>2002.6666666666667</v>
      </c>
      <c r="N329" s="17">
        <v>45318</v>
      </c>
      <c r="O329" s="17">
        <f>N329-N329*I329</f>
        <v>36254.400000000001</v>
      </c>
      <c r="P329" s="17">
        <f>O329/K329/12</f>
        <v>431.59999999999997</v>
      </c>
      <c r="Q329" s="17">
        <f>P329*12</f>
        <v>5179.2</v>
      </c>
      <c r="R329" s="17">
        <f>+IF(M329&lt;=$O$6,0,IF(L329&gt;$O$5,Q329,(P329*G329)))</f>
        <v>0</v>
      </c>
      <c r="S329" s="17">
        <f>+IF(R329=0,N329,IF($O$5-G329&lt;1,0,(($O$5-G329)*Q329)))</f>
        <v>45318</v>
      </c>
      <c r="T329" s="17">
        <f>+IF(R329=0,S329,S329+R329)-(N329-O329)</f>
        <v>36254.400000000001</v>
      </c>
      <c r="U329" s="17">
        <f>+IF(R329=0,0,((N329-S329)+(N329-T329))/2)</f>
        <v>0</v>
      </c>
      <c r="V329" s="17"/>
      <c r="W329" s="17"/>
      <c r="X329" s="17" t="s">
        <v>300</v>
      </c>
    </row>
    <row r="330" spans="1:24">
      <c r="A330" s="17" t="s">
        <v>371</v>
      </c>
      <c r="B330" s="17"/>
      <c r="C330" s="17">
        <v>2002</v>
      </c>
      <c r="D330" s="17" t="s">
        <v>1073</v>
      </c>
      <c r="E330" s="17"/>
      <c r="F330" s="17"/>
      <c r="G330" s="17">
        <v>1998</v>
      </c>
      <c r="H330" s="17">
        <v>10</v>
      </c>
      <c r="I330" s="8">
        <v>0</v>
      </c>
      <c r="J330" s="17" t="s">
        <v>78</v>
      </c>
      <c r="K330" s="17">
        <v>5</v>
      </c>
      <c r="L330" s="17">
        <f>G330+K330</f>
        <v>2003</v>
      </c>
      <c r="M330" s="17">
        <f>+L330+(H330/12)</f>
        <v>2003.8333333333333</v>
      </c>
      <c r="N330" s="17">
        <v>1529.14</v>
      </c>
      <c r="O330" s="17">
        <f>N330-N330*I330</f>
        <v>1529.14</v>
      </c>
      <c r="P330" s="17">
        <f>O330/K330/12</f>
        <v>25.48566666666667</v>
      </c>
      <c r="Q330" s="17">
        <f>P330*12</f>
        <v>305.82800000000003</v>
      </c>
      <c r="R330" s="17">
        <f>+IF(M330&lt;=$O$6,0,IF(L330&gt;$O$5,Q330,(P330*G330)))</f>
        <v>0</v>
      </c>
      <c r="S330" s="17">
        <f>+IF(R330=0,N330,IF($O$5-G330&lt;1,0,(($O$5-G330)*Q330)))</f>
        <v>1529.14</v>
      </c>
      <c r="T330" s="17">
        <f>+IF(R330=0,S330,S330+R330)-(N330-O330)</f>
        <v>1529.14</v>
      </c>
      <c r="U330" s="17">
        <f>+IF(R330=0,0,((N330-S330)+(N330-T330))/2)</f>
        <v>0</v>
      </c>
      <c r="V330" s="17"/>
      <c r="W330" s="17"/>
      <c r="X330" s="17" t="s">
        <v>300</v>
      </c>
    </row>
    <row r="332" spans="1:24">
      <c r="A332" s="17"/>
      <c r="B332" s="17" t="s">
        <v>1074</v>
      </c>
      <c r="C332" s="17"/>
      <c r="D332" s="17"/>
      <c r="E332" s="17"/>
      <c r="F332" s="17"/>
      <c r="G332" s="17"/>
      <c r="H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</row>
    <row r="333" spans="1:24">
      <c r="A333" s="17" t="s">
        <v>75</v>
      </c>
      <c r="B333" s="17" t="s">
        <v>76</v>
      </c>
      <c r="C333" s="17">
        <v>1039</v>
      </c>
      <c r="D333" s="17" t="s">
        <v>1075</v>
      </c>
      <c r="E333" s="17"/>
      <c r="F333" s="17"/>
      <c r="G333" s="17">
        <v>2004</v>
      </c>
      <c r="H333" s="17">
        <v>5</v>
      </c>
      <c r="I333" s="8">
        <v>0.2</v>
      </c>
      <c r="J333" s="17" t="s">
        <v>78</v>
      </c>
      <c r="K333" s="17">
        <v>7</v>
      </c>
      <c r="L333" s="17">
        <f t="shared" ref="L333:L341" si="96">G333+K333</f>
        <v>2011</v>
      </c>
      <c r="M333" s="17">
        <f t="shared" ref="M333:M343" si="97">+L333+(H333/12)</f>
        <v>2011.4166666666667</v>
      </c>
      <c r="N333" s="17">
        <v>110183.48</v>
      </c>
      <c r="O333" s="17">
        <f t="shared" ref="O333:O343" si="98">N333-N333*I333</f>
        <v>88146.784</v>
      </c>
      <c r="P333" s="17">
        <f t="shared" ref="P333:P343" si="99">O333/K333/12</f>
        <v>1049.3664761904763</v>
      </c>
      <c r="Q333" s="17">
        <f t="shared" ref="Q333:Q343" si="100">P333*12</f>
        <v>12592.397714285715</v>
      </c>
      <c r="R333" s="17">
        <f t="shared" ref="R333:R343" si="101">+IF(M333&lt;=$O$6,0,IF(L333&gt;$O$5,Q333,(P333*G333)))</f>
        <v>0</v>
      </c>
      <c r="S333" s="17">
        <f t="shared" ref="S333:S343" si="102">+IF(R333=0,N333,IF($O$5-G333&lt;1,0,(($O$5-G333)*Q333)))</f>
        <v>110183.48</v>
      </c>
      <c r="T333" s="17">
        <f t="shared" ref="T333:T343" si="103">+IF(R333=0,S333,S333+R333)-(N333-O333)</f>
        <v>88146.784</v>
      </c>
      <c r="U333" s="17">
        <f t="shared" ref="U333:U343" si="104">+IF(R333=0,0,((N333-S333)+(N333-T333))/2)</f>
        <v>0</v>
      </c>
      <c r="V333" s="17"/>
      <c r="W333" s="17"/>
      <c r="X333" s="17" t="s">
        <v>300</v>
      </c>
    </row>
    <row r="334" spans="1:24">
      <c r="A334" s="17" t="s">
        <v>174</v>
      </c>
      <c r="B334" s="17" t="s">
        <v>1076</v>
      </c>
      <c r="C334" s="17">
        <v>2016</v>
      </c>
      <c r="D334" s="17" t="s">
        <v>1077</v>
      </c>
      <c r="E334" s="17"/>
      <c r="F334" s="17"/>
      <c r="G334" s="17">
        <v>2001</v>
      </c>
      <c r="H334" s="17">
        <v>10</v>
      </c>
      <c r="I334" s="8">
        <v>0.33</v>
      </c>
      <c r="J334" s="17" t="s">
        <v>78</v>
      </c>
      <c r="K334" s="17">
        <v>5</v>
      </c>
      <c r="L334" s="17">
        <f t="shared" si="96"/>
        <v>2006</v>
      </c>
      <c r="M334" s="17">
        <f t="shared" si="97"/>
        <v>2006.8333333333333</v>
      </c>
      <c r="N334" s="17">
        <v>152101.13</v>
      </c>
      <c r="O334" s="17">
        <f t="shared" si="98"/>
        <v>101907.7571</v>
      </c>
      <c r="P334" s="17">
        <f t="shared" si="99"/>
        <v>1698.4626183333332</v>
      </c>
      <c r="Q334" s="17">
        <f t="shared" si="100"/>
        <v>20381.55142</v>
      </c>
      <c r="R334" s="17">
        <f t="shared" si="101"/>
        <v>0</v>
      </c>
      <c r="S334" s="17">
        <f t="shared" si="102"/>
        <v>152101.13</v>
      </c>
      <c r="T334" s="17">
        <f t="shared" si="103"/>
        <v>101907.7571</v>
      </c>
      <c r="U334" s="17">
        <f t="shared" si="104"/>
        <v>0</v>
      </c>
      <c r="V334" s="17"/>
      <c r="W334" s="17"/>
      <c r="X334" s="17" t="s">
        <v>300</v>
      </c>
    </row>
    <row r="335" spans="1:24">
      <c r="A335" s="17" t="s">
        <v>174</v>
      </c>
      <c r="B335" s="17"/>
      <c r="C335" s="17">
        <v>2016</v>
      </c>
      <c r="D335" s="17" t="s">
        <v>1078</v>
      </c>
      <c r="E335" s="17"/>
      <c r="F335" s="17"/>
      <c r="G335" s="17">
        <v>2011</v>
      </c>
      <c r="H335" s="17">
        <v>12</v>
      </c>
      <c r="I335" s="8">
        <v>0</v>
      </c>
      <c r="J335" s="17" t="s">
        <v>78</v>
      </c>
      <c r="K335" s="17">
        <v>3</v>
      </c>
      <c r="L335" s="17">
        <f t="shared" si="96"/>
        <v>2014</v>
      </c>
      <c r="M335" s="17">
        <f t="shared" si="97"/>
        <v>2015</v>
      </c>
      <c r="N335" s="17">
        <v>9205</v>
      </c>
      <c r="O335" s="17">
        <f t="shared" si="98"/>
        <v>9205</v>
      </c>
      <c r="P335" s="17">
        <f t="shared" si="99"/>
        <v>255.69444444444446</v>
      </c>
      <c r="Q335" s="17">
        <f t="shared" si="100"/>
        <v>3068.3333333333335</v>
      </c>
      <c r="R335" s="17">
        <f t="shared" si="101"/>
        <v>0</v>
      </c>
      <c r="S335" s="17">
        <f t="shared" si="102"/>
        <v>9205</v>
      </c>
      <c r="T335" s="17">
        <f t="shared" si="103"/>
        <v>9205</v>
      </c>
      <c r="U335" s="17">
        <f t="shared" si="104"/>
        <v>0</v>
      </c>
      <c r="V335" s="17"/>
      <c r="W335" s="17"/>
      <c r="X335" s="17" t="s">
        <v>1042</v>
      </c>
    </row>
    <row r="336" spans="1:24">
      <c r="A336" s="17" t="s">
        <v>280</v>
      </c>
      <c r="B336" s="17" t="s">
        <v>281</v>
      </c>
      <c r="C336" s="17">
        <v>8810</v>
      </c>
      <c r="D336" s="17" t="s">
        <v>1079</v>
      </c>
      <c r="E336" s="17"/>
      <c r="F336" s="17"/>
      <c r="G336" s="17">
        <v>1994</v>
      </c>
      <c r="H336" s="17">
        <v>4</v>
      </c>
      <c r="I336" s="8">
        <v>0</v>
      </c>
      <c r="J336" s="17" t="s">
        <v>78</v>
      </c>
      <c r="K336" s="17">
        <v>7</v>
      </c>
      <c r="L336" s="17">
        <f t="shared" si="96"/>
        <v>2001</v>
      </c>
      <c r="M336" s="17">
        <f t="shared" si="97"/>
        <v>2001.3333333333333</v>
      </c>
      <c r="N336" s="17">
        <v>18681</v>
      </c>
      <c r="O336" s="17">
        <f t="shared" si="98"/>
        <v>18681</v>
      </c>
      <c r="P336" s="17">
        <f t="shared" si="99"/>
        <v>222.39285714285714</v>
      </c>
      <c r="Q336" s="17">
        <f t="shared" si="100"/>
        <v>2668.7142857142858</v>
      </c>
      <c r="R336" s="17">
        <f t="shared" si="101"/>
        <v>0</v>
      </c>
      <c r="S336" s="17">
        <f t="shared" si="102"/>
        <v>18681</v>
      </c>
      <c r="T336" s="17">
        <f t="shared" si="103"/>
        <v>18681</v>
      </c>
      <c r="U336" s="17">
        <f t="shared" si="104"/>
        <v>0</v>
      </c>
      <c r="V336" s="17"/>
      <c r="W336" s="17" t="s">
        <v>97</v>
      </c>
      <c r="X336" s="17"/>
    </row>
    <row r="337" spans="1:24" ht="12" customHeight="1">
      <c r="A337" s="17" t="s">
        <v>280</v>
      </c>
      <c r="B337" s="17" t="s">
        <v>281</v>
      </c>
      <c r="C337" s="17">
        <v>8828</v>
      </c>
      <c r="D337" s="17" t="s">
        <v>1080</v>
      </c>
      <c r="E337" s="17"/>
      <c r="F337" s="17"/>
      <c r="G337" s="17">
        <v>1994</v>
      </c>
      <c r="H337" s="17">
        <v>10</v>
      </c>
      <c r="I337" s="8">
        <v>0.2</v>
      </c>
      <c r="J337" s="17" t="s">
        <v>78</v>
      </c>
      <c r="K337" s="17">
        <v>7</v>
      </c>
      <c r="L337" s="17">
        <f t="shared" si="96"/>
        <v>2001</v>
      </c>
      <c r="M337" s="17">
        <f t="shared" si="97"/>
        <v>2001.8333333333333</v>
      </c>
      <c r="N337" s="17">
        <v>20142</v>
      </c>
      <c r="O337" s="17">
        <f t="shared" si="98"/>
        <v>16113.6</v>
      </c>
      <c r="P337" s="17">
        <f t="shared" si="99"/>
        <v>191.82857142857142</v>
      </c>
      <c r="Q337" s="17">
        <f t="shared" si="100"/>
        <v>2301.9428571428571</v>
      </c>
      <c r="R337" s="17">
        <f t="shared" si="101"/>
        <v>0</v>
      </c>
      <c r="S337" s="17">
        <f t="shared" si="102"/>
        <v>20142</v>
      </c>
      <c r="T337" s="17">
        <f t="shared" si="103"/>
        <v>16113.6</v>
      </c>
      <c r="U337" s="17">
        <f t="shared" si="104"/>
        <v>0</v>
      </c>
      <c r="V337" s="17"/>
      <c r="W337" s="17" t="s">
        <v>97</v>
      </c>
      <c r="X337" s="17"/>
    </row>
    <row r="338" spans="1:24">
      <c r="A338" s="17" t="s">
        <v>280</v>
      </c>
      <c r="B338" s="17" t="s">
        <v>281</v>
      </c>
      <c r="C338" s="17">
        <v>8828</v>
      </c>
      <c r="D338" s="17" t="s">
        <v>1081</v>
      </c>
      <c r="E338" s="17"/>
      <c r="F338" s="17"/>
      <c r="G338" s="17">
        <v>2007</v>
      </c>
      <c r="H338" s="17">
        <v>4</v>
      </c>
      <c r="I338" s="8">
        <v>0</v>
      </c>
      <c r="J338" s="17" t="s">
        <v>78</v>
      </c>
      <c r="K338" s="17">
        <v>5</v>
      </c>
      <c r="L338" s="17">
        <f t="shared" si="96"/>
        <v>2012</v>
      </c>
      <c r="M338" s="17">
        <f t="shared" si="97"/>
        <v>2012.3333333333333</v>
      </c>
      <c r="N338" s="17">
        <v>23866.41</v>
      </c>
      <c r="O338" s="17">
        <f t="shared" si="98"/>
        <v>23866.41</v>
      </c>
      <c r="P338" s="17">
        <f t="shared" si="99"/>
        <v>397.77350000000001</v>
      </c>
      <c r="Q338" s="17">
        <f t="shared" si="100"/>
        <v>4773.2820000000002</v>
      </c>
      <c r="R338" s="17">
        <f t="shared" si="101"/>
        <v>0</v>
      </c>
      <c r="S338" s="17">
        <f t="shared" si="102"/>
        <v>23866.41</v>
      </c>
      <c r="T338" s="17">
        <f t="shared" si="103"/>
        <v>23866.41</v>
      </c>
      <c r="U338" s="17">
        <f t="shared" si="104"/>
        <v>0</v>
      </c>
      <c r="V338" s="17"/>
      <c r="W338" s="17" t="s">
        <v>97</v>
      </c>
      <c r="X338" s="17"/>
    </row>
    <row r="339" spans="1:24">
      <c r="A339" s="17" t="s">
        <v>1082</v>
      </c>
      <c r="B339" s="17" t="s">
        <v>207</v>
      </c>
      <c r="C339" s="17">
        <v>2003</v>
      </c>
      <c r="D339" s="17" t="s">
        <v>1083</v>
      </c>
      <c r="E339" s="17"/>
      <c r="F339" s="17"/>
      <c r="G339" s="17">
        <v>1995</v>
      </c>
      <c r="H339" s="17">
        <v>3</v>
      </c>
      <c r="I339" s="8">
        <v>0.2</v>
      </c>
      <c r="J339" s="17" t="s">
        <v>78</v>
      </c>
      <c r="K339" s="17">
        <v>7</v>
      </c>
      <c r="L339" s="17">
        <f t="shared" si="96"/>
        <v>2002</v>
      </c>
      <c r="M339" s="17">
        <f t="shared" si="97"/>
        <v>2002.25</v>
      </c>
      <c r="N339" s="17">
        <f>84709+818+42950</f>
        <v>128477</v>
      </c>
      <c r="O339" s="17">
        <f t="shared" si="98"/>
        <v>102781.6</v>
      </c>
      <c r="P339" s="17">
        <f t="shared" si="99"/>
        <v>1223.5904761904762</v>
      </c>
      <c r="Q339" s="17">
        <f t="shared" si="100"/>
        <v>14683.085714285715</v>
      </c>
      <c r="R339" s="17">
        <f t="shared" si="101"/>
        <v>0</v>
      </c>
      <c r="S339" s="17">
        <f t="shared" si="102"/>
        <v>128477</v>
      </c>
      <c r="T339" s="17">
        <f t="shared" si="103"/>
        <v>102781.6</v>
      </c>
      <c r="U339" s="17">
        <f t="shared" si="104"/>
        <v>0</v>
      </c>
      <c r="V339" s="17"/>
      <c r="W339" s="17"/>
      <c r="X339" s="17" t="s">
        <v>300</v>
      </c>
    </row>
    <row r="340" spans="1:24">
      <c r="A340" s="17" t="s">
        <v>1082</v>
      </c>
      <c r="B340" s="17"/>
      <c r="C340" s="17">
        <v>2003</v>
      </c>
      <c r="D340" s="17" t="s">
        <v>1073</v>
      </c>
      <c r="E340" s="17"/>
      <c r="F340" s="17"/>
      <c r="G340" s="17">
        <v>1998</v>
      </c>
      <c r="H340" s="17">
        <v>10</v>
      </c>
      <c r="I340" s="8">
        <v>0</v>
      </c>
      <c r="J340" s="17" t="s">
        <v>78</v>
      </c>
      <c r="K340" s="17">
        <v>3</v>
      </c>
      <c r="L340" s="17">
        <f t="shared" si="96"/>
        <v>2001</v>
      </c>
      <c r="M340" s="17">
        <f t="shared" si="97"/>
        <v>2001.8333333333333</v>
      </c>
      <c r="N340" s="17">
        <v>1529.13</v>
      </c>
      <c r="O340" s="17">
        <f t="shared" si="98"/>
        <v>1529.13</v>
      </c>
      <c r="P340" s="17">
        <f t="shared" si="99"/>
        <v>42.475833333333334</v>
      </c>
      <c r="Q340" s="17">
        <f t="shared" si="100"/>
        <v>509.71000000000004</v>
      </c>
      <c r="R340" s="17">
        <f t="shared" si="101"/>
        <v>0</v>
      </c>
      <c r="S340" s="17">
        <f t="shared" si="102"/>
        <v>1529.13</v>
      </c>
      <c r="T340" s="17">
        <f t="shared" si="103"/>
        <v>1529.13</v>
      </c>
      <c r="U340" s="17">
        <f t="shared" si="104"/>
        <v>0</v>
      </c>
      <c r="V340" s="17"/>
      <c r="W340" s="17"/>
      <c r="X340" s="17" t="s">
        <v>300</v>
      </c>
    </row>
    <row r="341" spans="1:24">
      <c r="A341" s="17" t="s">
        <v>174</v>
      </c>
      <c r="B341" s="17"/>
      <c r="C341" s="17">
        <v>2003</v>
      </c>
      <c r="D341" s="17" t="s">
        <v>1084</v>
      </c>
      <c r="E341" s="17"/>
      <c r="F341" s="17"/>
      <c r="G341" s="17">
        <v>2009</v>
      </c>
      <c r="H341" s="17">
        <v>5</v>
      </c>
      <c r="I341" s="8">
        <v>0</v>
      </c>
      <c r="J341" s="17" t="s">
        <v>78</v>
      </c>
      <c r="K341" s="17">
        <v>3</v>
      </c>
      <c r="L341" s="17">
        <f t="shared" si="96"/>
        <v>2012</v>
      </c>
      <c r="M341" s="17">
        <f t="shared" si="97"/>
        <v>2012.4166666666667</v>
      </c>
      <c r="N341" s="17">
        <v>24358.47</v>
      </c>
      <c r="O341" s="17">
        <f t="shared" si="98"/>
        <v>24358.47</v>
      </c>
      <c r="P341" s="17">
        <f t="shared" si="99"/>
        <v>676.62416666666672</v>
      </c>
      <c r="Q341" s="17">
        <f t="shared" si="100"/>
        <v>8119.4900000000007</v>
      </c>
      <c r="R341" s="17">
        <f t="shared" si="101"/>
        <v>0</v>
      </c>
      <c r="S341" s="17">
        <f t="shared" si="102"/>
        <v>24358.47</v>
      </c>
      <c r="T341" s="17">
        <f t="shared" si="103"/>
        <v>24358.47</v>
      </c>
      <c r="U341" s="17">
        <f t="shared" si="104"/>
        <v>0</v>
      </c>
      <c r="V341" s="17"/>
      <c r="W341" s="17"/>
      <c r="X341" s="17"/>
    </row>
    <row r="342" spans="1:24">
      <c r="A342" s="17" t="s">
        <v>174</v>
      </c>
      <c r="B342" s="17" t="s">
        <v>1076</v>
      </c>
      <c r="C342" s="17">
        <v>2017</v>
      </c>
      <c r="D342" s="17" t="s">
        <v>1085</v>
      </c>
      <c r="E342" s="17"/>
      <c r="F342" s="17"/>
      <c r="G342" s="17">
        <v>2003</v>
      </c>
      <c r="H342" s="17">
        <v>6</v>
      </c>
      <c r="I342" s="8">
        <v>0.2</v>
      </c>
      <c r="J342" s="17" t="s">
        <v>78</v>
      </c>
      <c r="K342" s="17">
        <v>7</v>
      </c>
      <c r="L342" s="17">
        <f>G342+K342</f>
        <v>2010</v>
      </c>
      <c r="M342" s="17">
        <f t="shared" si="97"/>
        <v>2010.5</v>
      </c>
      <c r="N342" s="17">
        <f>106596.91+3672</f>
        <v>110268.91</v>
      </c>
      <c r="O342" s="17">
        <f t="shared" si="98"/>
        <v>88215.127999999997</v>
      </c>
      <c r="P342" s="17">
        <f t="shared" si="99"/>
        <v>1050.1800952380952</v>
      </c>
      <c r="Q342" s="17">
        <f t="shared" si="100"/>
        <v>12602.161142857141</v>
      </c>
      <c r="R342" s="17">
        <f t="shared" si="101"/>
        <v>0</v>
      </c>
      <c r="S342" s="17">
        <f t="shared" si="102"/>
        <v>110268.91</v>
      </c>
      <c r="T342" s="17">
        <f t="shared" si="103"/>
        <v>88215.127999999997</v>
      </c>
      <c r="U342" s="17">
        <f t="shared" si="104"/>
        <v>0</v>
      </c>
      <c r="V342" s="17"/>
      <c r="W342" s="17"/>
      <c r="X342" s="17" t="s">
        <v>300</v>
      </c>
    </row>
    <row r="343" spans="1:24">
      <c r="A343" s="17" t="s">
        <v>280</v>
      </c>
      <c r="B343" s="17" t="s">
        <v>281</v>
      </c>
      <c r="C343" s="17">
        <v>8030</v>
      </c>
      <c r="D343" s="17" t="s">
        <v>1086</v>
      </c>
      <c r="E343" s="17">
        <v>86843</v>
      </c>
      <c r="F343" s="17"/>
      <c r="G343" s="17">
        <v>2000</v>
      </c>
      <c r="H343" s="17">
        <v>1</v>
      </c>
      <c r="I343" s="8">
        <v>0.2</v>
      </c>
      <c r="J343" s="17" t="s">
        <v>78</v>
      </c>
      <c r="K343" s="17">
        <v>7</v>
      </c>
      <c r="L343" s="17">
        <f>G343+K343</f>
        <v>2007</v>
      </c>
      <c r="M343" s="17">
        <f t="shared" si="97"/>
        <v>2007.0833333333333</v>
      </c>
      <c r="N343" s="17">
        <v>69553</v>
      </c>
      <c r="O343" s="17">
        <f t="shared" si="98"/>
        <v>55642.400000000001</v>
      </c>
      <c r="P343" s="17">
        <f t="shared" si="99"/>
        <v>662.40952380952388</v>
      </c>
      <c r="Q343" s="17">
        <f t="shared" si="100"/>
        <v>7948.914285714287</v>
      </c>
      <c r="R343" s="17">
        <f t="shared" si="101"/>
        <v>0</v>
      </c>
      <c r="S343" s="17">
        <f t="shared" si="102"/>
        <v>69553</v>
      </c>
      <c r="T343" s="17">
        <f t="shared" si="103"/>
        <v>55642.400000000001</v>
      </c>
      <c r="U343" s="17">
        <f t="shared" si="104"/>
        <v>0</v>
      </c>
      <c r="V343" s="17"/>
      <c r="W343" s="17"/>
      <c r="X343" s="17"/>
    </row>
    <row r="345" spans="1:24">
      <c r="A345" s="17"/>
      <c r="B345" s="17" t="s">
        <v>1087</v>
      </c>
      <c r="C345" s="17"/>
      <c r="D345" s="17"/>
      <c r="E345" s="17"/>
      <c r="F345" s="17"/>
      <c r="G345" s="17"/>
      <c r="H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</row>
    <row r="346" spans="1:24">
      <c r="A346" s="17"/>
      <c r="B346" s="17" t="s">
        <v>117</v>
      </c>
      <c r="C346" s="17">
        <v>2040</v>
      </c>
      <c r="D346" s="17" t="s">
        <v>1088</v>
      </c>
      <c r="E346" s="17" t="s">
        <v>1089</v>
      </c>
      <c r="F346" s="17"/>
      <c r="G346" s="17">
        <v>2012</v>
      </c>
      <c r="H346" s="17">
        <v>12</v>
      </c>
      <c r="I346" s="8">
        <v>0</v>
      </c>
      <c r="J346" s="17" t="s">
        <v>78</v>
      </c>
      <c r="K346" s="17">
        <v>7</v>
      </c>
      <c r="L346" s="17">
        <f>G346+K346</f>
        <v>2019</v>
      </c>
      <c r="M346" s="17">
        <f>+L346+(H346/12)</f>
        <v>2020</v>
      </c>
      <c r="N346" s="17">
        <f>304502+848</f>
        <v>305350</v>
      </c>
      <c r="O346" s="17">
        <f>N346-N346*I346</f>
        <v>305350</v>
      </c>
      <c r="P346" s="17">
        <f>O346/K346/12</f>
        <v>3635.1190476190477</v>
      </c>
      <c r="Q346" s="17">
        <f>P346*12</f>
        <v>43621.428571428572</v>
      </c>
      <c r="R346" s="17">
        <f>+IF(M346&lt;=$O$6,0,IF(L346&gt;$O$5,Q346,(P346*G346)))</f>
        <v>43621.428571428572</v>
      </c>
      <c r="S346" s="17">
        <f>+IF(R346=0,N346,IF($O$5-G346&lt;1,0,(($O$5-G346)*Q346)))</f>
        <v>218107.14285714287</v>
      </c>
      <c r="T346" s="17">
        <f>+IF(R346=0,S346,S346+R346)-(N346-O346)</f>
        <v>261728.57142857145</v>
      </c>
      <c r="U346" s="17">
        <f>+IF(R346=0,0,((N346-S346)+(N346-T346))/2)</f>
        <v>65432.142857142841</v>
      </c>
      <c r="V346" s="17"/>
      <c r="W346" s="17"/>
      <c r="X346" s="17"/>
    </row>
    <row r="347" spans="1:24">
      <c r="A347" s="17" t="s">
        <v>1090</v>
      </c>
      <c r="B347" s="17" t="s">
        <v>1091</v>
      </c>
      <c r="C347" s="17">
        <v>6011</v>
      </c>
      <c r="D347" s="17" t="s">
        <v>1092</v>
      </c>
      <c r="E347" s="17"/>
      <c r="F347" s="17"/>
      <c r="G347" s="17">
        <v>1998</v>
      </c>
      <c r="H347" s="17">
        <v>7</v>
      </c>
      <c r="I347" s="8">
        <v>0.33</v>
      </c>
      <c r="J347" s="17" t="s">
        <v>78</v>
      </c>
      <c r="K347" s="17">
        <v>5</v>
      </c>
      <c r="L347" s="17">
        <f>G347+K347</f>
        <v>2003</v>
      </c>
      <c r="M347" s="17">
        <f>+L347+(H347/12)</f>
        <v>2003.5833333333333</v>
      </c>
      <c r="N347" s="17">
        <v>8000.83</v>
      </c>
      <c r="O347" s="17">
        <f>N347-N347*I347</f>
        <v>5360.5560999999998</v>
      </c>
      <c r="P347" s="17">
        <f>O347/K347/12</f>
        <v>89.342601666666667</v>
      </c>
      <c r="Q347" s="17">
        <f>P347*12</f>
        <v>1072.11122</v>
      </c>
      <c r="R347" s="17">
        <f>+IF(M347&lt;=$O$6,0,IF(L347&gt;$O$5,Q347,(P347*G347)))</f>
        <v>0</v>
      </c>
      <c r="S347" s="17">
        <f>+IF(R347=0,N347,IF($O$5-G347&lt;1,0,(($O$5-G347)*Q347)))</f>
        <v>8000.83</v>
      </c>
      <c r="T347" s="17">
        <f>+IF(R347=0,S347,S347+R347)-(N347-O347)</f>
        <v>5360.5560999999998</v>
      </c>
      <c r="U347" s="17">
        <f>+IF(R347=0,0,((N347-S347)+(N347-T347))/2)</f>
        <v>0</v>
      </c>
      <c r="V347" s="17"/>
      <c r="W347" s="17"/>
      <c r="X347" s="17" t="s">
        <v>300</v>
      </c>
    </row>
    <row r="348" spans="1:24">
      <c r="A348" s="17"/>
      <c r="B348" s="17" t="s">
        <v>152</v>
      </c>
      <c r="C348" s="17">
        <v>4074</v>
      </c>
      <c r="D348" s="17" t="s">
        <v>1093</v>
      </c>
      <c r="E348" s="17">
        <v>118076</v>
      </c>
      <c r="F348" s="17"/>
      <c r="G348" s="17">
        <v>2014</v>
      </c>
      <c r="H348" s="17">
        <v>12</v>
      </c>
      <c r="I348" s="8">
        <v>0.2</v>
      </c>
      <c r="J348" s="17" t="s">
        <v>78</v>
      </c>
      <c r="K348" s="17">
        <v>7</v>
      </c>
      <c r="L348" s="17">
        <f>G348+K348</f>
        <v>2021</v>
      </c>
      <c r="M348" s="17">
        <f>+L348+(H348/12)</f>
        <v>2022</v>
      </c>
      <c r="N348" s="17">
        <v>223619.37</v>
      </c>
      <c r="O348" s="17">
        <f>N348-N348*I348</f>
        <v>178895.49599999998</v>
      </c>
      <c r="P348" s="17">
        <f>O348/K348/12</f>
        <v>2129.7082857142855</v>
      </c>
      <c r="Q348" s="17">
        <f>P348*12</f>
        <v>25556.499428571427</v>
      </c>
      <c r="R348" s="17">
        <f>+IF(M348&lt;=$O$6,0,IF(L348&gt;$O$5,Q348,(P348*G348)))</f>
        <v>25556.499428571427</v>
      </c>
      <c r="S348" s="17">
        <f>+IF(R348=0,N348,IF($O$5-G348&lt;1,0,(($O$5-G348)*Q348)))</f>
        <v>76669.498285714275</v>
      </c>
      <c r="T348" s="17">
        <f>+IF(R348=0,S348,S348+R348)-(N348-O348)</f>
        <v>57502.123714285699</v>
      </c>
      <c r="U348" s="17">
        <f>+IF(R348=0,0,((N348-S348)+(N348-T348))/2)</f>
        <v>156533.55900000001</v>
      </c>
      <c r="V348" s="17"/>
      <c r="W348" s="17"/>
      <c r="X348" s="17"/>
    </row>
    <row r="349" spans="1:24">
      <c r="A349" s="17"/>
      <c r="B349" s="17" t="s">
        <v>152</v>
      </c>
      <c r="C349" s="17">
        <v>4074</v>
      </c>
      <c r="D349" s="17" t="s">
        <v>109</v>
      </c>
      <c r="E349" s="17">
        <v>118513</v>
      </c>
      <c r="F349" s="17"/>
      <c r="G349" s="17">
        <v>2014</v>
      </c>
      <c r="H349" s="17">
        <v>12</v>
      </c>
      <c r="I349" s="8">
        <v>0</v>
      </c>
      <c r="J349" s="17" t="s">
        <v>78</v>
      </c>
      <c r="K349" s="17">
        <v>7</v>
      </c>
      <c r="L349" s="17">
        <f>G349+K349</f>
        <v>2021</v>
      </c>
      <c r="M349" s="17">
        <f>+L349+(H349/12)</f>
        <v>2022</v>
      </c>
      <c r="N349" s="17">
        <v>606.20000000000005</v>
      </c>
      <c r="O349" s="17">
        <f>N349-N349*I349</f>
        <v>606.20000000000005</v>
      </c>
      <c r="P349" s="17">
        <f>O349/K349/12</f>
        <v>7.2166666666666677</v>
      </c>
      <c r="Q349" s="17">
        <f>P349*12</f>
        <v>86.600000000000009</v>
      </c>
      <c r="R349" s="17">
        <f>+IF(M349&lt;=$O$6,0,IF(L349&gt;$O$5,Q349,(P349*G349)))</f>
        <v>86.600000000000009</v>
      </c>
      <c r="S349" s="17">
        <f>+IF(R349=0,N349,IF($O$5-G349&lt;1,0,(($O$5-G349)*Q349)))</f>
        <v>259.8</v>
      </c>
      <c r="T349" s="17">
        <f>+IF(R349=0,S349,S349+R349)-(N349-O349)</f>
        <v>346.40000000000003</v>
      </c>
      <c r="U349" s="17">
        <f>+IF(R349=0,0,((N349-S349)+(N349-T349))/2)</f>
        <v>303.10000000000002</v>
      </c>
      <c r="V349" s="17"/>
      <c r="W349" s="17"/>
      <c r="X349" s="17"/>
    </row>
    <row r="350" spans="1:24">
      <c r="A350" s="17"/>
      <c r="B350" s="17" t="s">
        <v>1094</v>
      </c>
      <c r="C350" s="17"/>
      <c r="D350" s="17"/>
      <c r="E350" s="17"/>
      <c r="F350" s="17"/>
      <c r="G350" s="17"/>
      <c r="H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>
      <c r="A351" s="17" t="s">
        <v>75</v>
      </c>
      <c r="B351" s="17" t="s">
        <v>1091</v>
      </c>
      <c r="C351" s="17">
        <v>3306</v>
      </c>
      <c r="D351" s="17" t="s">
        <v>1095</v>
      </c>
      <c r="E351" s="17"/>
      <c r="F351" s="17"/>
      <c r="G351" s="17">
        <v>1992</v>
      </c>
      <c r="H351" s="17">
        <v>6</v>
      </c>
      <c r="I351" s="8">
        <v>0.2</v>
      </c>
      <c r="J351" s="17" t="s">
        <v>78</v>
      </c>
      <c r="K351" s="17">
        <v>7</v>
      </c>
      <c r="L351" s="17">
        <f t="shared" ref="L351:L363" si="105">G351+K351</f>
        <v>1999</v>
      </c>
      <c r="M351" s="17">
        <f t="shared" ref="M351:M365" si="106">+L351+(H351/12)</f>
        <v>1999.5</v>
      </c>
      <c r="N351" s="17">
        <v>17787</v>
      </c>
      <c r="O351" s="17">
        <f t="shared" ref="O351:O365" si="107">N351-N351*I351</f>
        <v>14229.6</v>
      </c>
      <c r="P351" s="17">
        <f t="shared" ref="P351:P365" si="108">O351/K351/12</f>
        <v>169.4</v>
      </c>
      <c r="Q351" s="17">
        <f t="shared" ref="Q351:Q365" si="109">P351*12</f>
        <v>2032.8000000000002</v>
      </c>
      <c r="R351" s="17">
        <f t="shared" ref="R351:R365" si="110">+IF(M351&lt;=$O$6,0,IF(L351&gt;$O$5,Q351,(P351*G351)))</f>
        <v>0</v>
      </c>
      <c r="S351" s="17">
        <f t="shared" ref="S351:S365" si="111">+IF(R351=0,N351,IF($O$5-G351&lt;1,0,(($O$5-G351)*Q351)))</f>
        <v>17787</v>
      </c>
      <c r="T351" s="17">
        <f t="shared" ref="T351:T365" si="112">+IF(R351=0,S351,S351+R351)-(N351-O351)</f>
        <v>14229.6</v>
      </c>
      <c r="U351" s="17">
        <f t="shared" ref="U351:U365" si="113">+IF(R351=0,0,((N351-S351)+(N351-T351))/2)</f>
        <v>0</v>
      </c>
      <c r="V351" s="17"/>
      <c r="W351" s="17"/>
      <c r="X351" s="17" t="s">
        <v>300</v>
      </c>
    </row>
    <row r="352" spans="1:24">
      <c r="A352" s="17" t="s">
        <v>75</v>
      </c>
      <c r="B352" s="17" t="s">
        <v>1091</v>
      </c>
      <c r="C352" s="17">
        <v>3307</v>
      </c>
      <c r="D352" s="17" t="s">
        <v>1096</v>
      </c>
      <c r="E352" s="17"/>
      <c r="F352" s="17"/>
      <c r="G352" s="17">
        <v>1999</v>
      </c>
      <c r="H352" s="17">
        <v>5</v>
      </c>
      <c r="I352" s="8">
        <v>0.2</v>
      </c>
      <c r="J352" s="17" t="s">
        <v>78</v>
      </c>
      <c r="K352" s="17">
        <v>7</v>
      </c>
      <c r="L352" s="17">
        <f t="shared" si="105"/>
        <v>2006</v>
      </c>
      <c r="M352" s="17">
        <f t="shared" si="106"/>
        <v>2006.4166666666667</v>
      </c>
      <c r="N352" s="17">
        <v>59078</v>
      </c>
      <c r="O352" s="17">
        <f t="shared" si="107"/>
        <v>47262.400000000001</v>
      </c>
      <c r="P352" s="17">
        <f t="shared" si="108"/>
        <v>562.64761904761906</v>
      </c>
      <c r="Q352" s="17">
        <f t="shared" si="109"/>
        <v>6751.7714285714283</v>
      </c>
      <c r="R352" s="17">
        <f t="shared" si="110"/>
        <v>0</v>
      </c>
      <c r="S352" s="17">
        <f t="shared" si="111"/>
        <v>59078</v>
      </c>
      <c r="T352" s="17">
        <f t="shared" si="112"/>
        <v>47262.400000000001</v>
      </c>
      <c r="U352" s="17">
        <f t="shared" si="113"/>
        <v>0</v>
      </c>
      <c r="V352" s="17"/>
      <c r="W352" s="17"/>
      <c r="X352" s="17" t="s">
        <v>300</v>
      </c>
    </row>
    <row r="353" spans="1:24">
      <c r="A353" s="17" t="s">
        <v>75</v>
      </c>
      <c r="B353" s="17" t="s">
        <v>111</v>
      </c>
      <c r="C353" s="17">
        <v>3554</v>
      </c>
      <c r="D353" s="17" t="s">
        <v>1097</v>
      </c>
      <c r="E353" s="17"/>
      <c r="F353" s="17"/>
      <c r="G353" s="17">
        <v>2000</v>
      </c>
      <c r="H353" s="17">
        <v>1</v>
      </c>
      <c r="I353" s="8">
        <v>0.2</v>
      </c>
      <c r="J353" s="17" t="s">
        <v>78</v>
      </c>
      <c r="K353" s="17">
        <v>7</v>
      </c>
      <c r="L353" s="17">
        <f t="shared" si="105"/>
        <v>2007</v>
      </c>
      <c r="M353" s="17">
        <f t="shared" si="106"/>
        <v>2007.0833333333333</v>
      </c>
      <c r="N353" s="17">
        <f>85472.89+62217.11+3143.6+1870+1532.03</f>
        <v>154235.63</v>
      </c>
      <c r="O353" s="17">
        <f t="shared" si="107"/>
        <v>123388.504</v>
      </c>
      <c r="P353" s="17">
        <f t="shared" si="108"/>
        <v>1468.9107619047618</v>
      </c>
      <c r="Q353" s="17">
        <f t="shared" si="109"/>
        <v>17626.929142857141</v>
      </c>
      <c r="R353" s="17">
        <f t="shared" si="110"/>
        <v>0</v>
      </c>
      <c r="S353" s="17">
        <f t="shared" si="111"/>
        <v>154235.63</v>
      </c>
      <c r="T353" s="17">
        <f t="shared" si="112"/>
        <v>123388.504</v>
      </c>
      <c r="U353" s="17">
        <f t="shared" si="113"/>
        <v>0</v>
      </c>
      <c r="V353" s="17"/>
      <c r="W353" s="17"/>
      <c r="X353" s="17" t="s">
        <v>300</v>
      </c>
    </row>
    <row r="354" spans="1:24">
      <c r="A354" s="17" t="s">
        <v>371</v>
      </c>
      <c r="B354" s="17"/>
      <c r="C354" s="17">
        <v>3554</v>
      </c>
      <c r="D354" s="17" t="s">
        <v>1098</v>
      </c>
      <c r="E354" s="17"/>
      <c r="F354" s="17"/>
      <c r="G354" s="17">
        <v>2009</v>
      </c>
      <c r="H354" s="17">
        <v>5</v>
      </c>
      <c r="I354" s="8">
        <v>0</v>
      </c>
      <c r="J354" s="17" t="s">
        <v>78</v>
      </c>
      <c r="K354" s="17">
        <v>3</v>
      </c>
      <c r="L354" s="17">
        <f t="shared" si="105"/>
        <v>2012</v>
      </c>
      <c r="M354" s="17">
        <f t="shared" si="106"/>
        <v>2012.4166666666667</v>
      </c>
      <c r="N354" s="17">
        <v>5048.87</v>
      </c>
      <c r="O354" s="17">
        <f t="shared" si="107"/>
        <v>5048.87</v>
      </c>
      <c r="P354" s="17">
        <f t="shared" si="108"/>
        <v>140.2463888888889</v>
      </c>
      <c r="Q354" s="17">
        <f t="shared" si="109"/>
        <v>1682.9566666666669</v>
      </c>
      <c r="R354" s="17">
        <f t="shared" si="110"/>
        <v>0</v>
      </c>
      <c r="S354" s="17">
        <f t="shared" si="111"/>
        <v>5048.87</v>
      </c>
      <c r="T354" s="17">
        <f t="shared" si="112"/>
        <v>5048.87</v>
      </c>
      <c r="U354" s="17">
        <f t="shared" si="113"/>
        <v>0</v>
      </c>
      <c r="V354" s="17"/>
      <c r="W354" s="17"/>
      <c r="X354" s="17"/>
    </row>
    <row r="355" spans="1:24">
      <c r="A355" s="17" t="s">
        <v>221</v>
      </c>
      <c r="B355" s="17" t="s">
        <v>111</v>
      </c>
      <c r="C355" s="17">
        <v>3596</v>
      </c>
      <c r="D355" s="17" t="s">
        <v>1099</v>
      </c>
      <c r="E355" s="17"/>
      <c r="F355" s="17"/>
      <c r="G355" s="17">
        <v>2006</v>
      </c>
      <c r="H355" s="17">
        <v>6</v>
      </c>
      <c r="I355" s="8">
        <v>0.2</v>
      </c>
      <c r="J355" s="17" t="s">
        <v>78</v>
      </c>
      <c r="K355" s="17">
        <v>7</v>
      </c>
      <c r="L355" s="17">
        <f t="shared" si="105"/>
        <v>2013</v>
      </c>
      <c r="M355" s="17">
        <f t="shared" si="106"/>
        <v>2013.5</v>
      </c>
      <c r="N355" s="17">
        <v>195907.6</v>
      </c>
      <c r="O355" s="17">
        <f t="shared" si="107"/>
        <v>156726.08000000002</v>
      </c>
      <c r="P355" s="17">
        <f t="shared" si="108"/>
        <v>1865.7866666666669</v>
      </c>
      <c r="Q355" s="17">
        <f t="shared" si="109"/>
        <v>22389.440000000002</v>
      </c>
      <c r="R355" s="17">
        <f t="shared" si="110"/>
        <v>0</v>
      </c>
      <c r="S355" s="17">
        <f t="shared" si="111"/>
        <v>195907.6</v>
      </c>
      <c r="T355" s="17">
        <f t="shared" si="112"/>
        <v>156726.08000000002</v>
      </c>
      <c r="U355" s="17">
        <f t="shared" si="113"/>
        <v>0</v>
      </c>
      <c r="V355" s="17"/>
      <c r="W355" s="17"/>
      <c r="X355" s="17" t="s">
        <v>1042</v>
      </c>
    </row>
    <row r="356" spans="1:24">
      <c r="A356" s="17" t="s">
        <v>174</v>
      </c>
      <c r="B356" s="17" t="s">
        <v>207</v>
      </c>
      <c r="C356" s="17">
        <v>2018</v>
      </c>
      <c r="D356" s="17" t="s">
        <v>1100</v>
      </c>
      <c r="E356" s="17"/>
      <c r="F356" s="17"/>
      <c r="G356" s="17">
        <v>2003</v>
      </c>
      <c r="H356" s="17">
        <v>5</v>
      </c>
      <c r="I356" s="8">
        <v>0.2</v>
      </c>
      <c r="J356" s="17" t="s">
        <v>78</v>
      </c>
      <c r="K356" s="17">
        <v>7</v>
      </c>
      <c r="L356" s="17">
        <f t="shared" si="105"/>
        <v>2010</v>
      </c>
      <c r="M356" s="17">
        <f t="shared" si="106"/>
        <v>2010.4166666666667</v>
      </c>
      <c r="N356" s="17">
        <f>156939.91+10615.14</f>
        <v>167555.04999999999</v>
      </c>
      <c r="O356" s="17">
        <f t="shared" si="107"/>
        <v>134044.03999999998</v>
      </c>
      <c r="P356" s="17">
        <f t="shared" si="108"/>
        <v>1595.7623809523809</v>
      </c>
      <c r="Q356" s="17">
        <f t="shared" si="109"/>
        <v>19149.14857142857</v>
      </c>
      <c r="R356" s="17">
        <f t="shared" si="110"/>
        <v>0</v>
      </c>
      <c r="S356" s="17">
        <f t="shared" si="111"/>
        <v>167555.04999999999</v>
      </c>
      <c r="T356" s="17">
        <f t="shared" si="112"/>
        <v>134044.03999999998</v>
      </c>
      <c r="U356" s="17">
        <f t="shared" si="113"/>
        <v>0</v>
      </c>
      <c r="V356" s="17"/>
      <c r="W356" s="17"/>
      <c r="X356" s="17"/>
    </row>
    <row r="357" spans="1:24">
      <c r="A357" s="17"/>
      <c r="B357" s="17" t="s">
        <v>269</v>
      </c>
      <c r="C357" s="17">
        <v>5501</v>
      </c>
      <c r="D357" s="17" t="s">
        <v>1101</v>
      </c>
      <c r="E357" s="17">
        <v>86825</v>
      </c>
      <c r="F357" s="17"/>
      <c r="G357" s="17">
        <v>1995</v>
      </c>
      <c r="H357" s="17">
        <v>9</v>
      </c>
      <c r="I357" s="8">
        <v>0.2</v>
      </c>
      <c r="J357" s="17" t="s">
        <v>78</v>
      </c>
      <c r="K357" s="17">
        <v>7</v>
      </c>
      <c r="L357" s="17">
        <f t="shared" si="105"/>
        <v>2002</v>
      </c>
      <c r="M357" s="17">
        <f t="shared" si="106"/>
        <v>2002.75</v>
      </c>
      <c r="N357" s="17">
        <v>32371</v>
      </c>
      <c r="O357" s="17">
        <f t="shared" si="107"/>
        <v>25896.799999999999</v>
      </c>
      <c r="P357" s="17">
        <f t="shared" si="108"/>
        <v>308.29523809523806</v>
      </c>
      <c r="Q357" s="17">
        <f t="shared" si="109"/>
        <v>3699.5428571428565</v>
      </c>
      <c r="R357" s="17">
        <f t="shared" si="110"/>
        <v>0</v>
      </c>
      <c r="S357" s="17">
        <f t="shared" si="111"/>
        <v>32371</v>
      </c>
      <c r="T357" s="17">
        <f t="shared" si="112"/>
        <v>25896.799999999999</v>
      </c>
      <c r="U357" s="17">
        <f t="shared" si="113"/>
        <v>0</v>
      </c>
      <c r="V357" s="17"/>
      <c r="W357" s="17"/>
      <c r="X357" s="17"/>
    </row>
    <row r="358" spans="1:24">
      <c r="A358" s="17" t="s">
        <v>280</v>
      </c>
      <c r="B358" s="17" t="s">
        <v>281</v>
      </c>
      <c r="C358" s="17">
        <v>5554</v>
      </c>
      <c r="D358" s="17" t="s">
        <v>1102</v>
      </c>
      <c r="E358" s="17">
        <v>86827</v>
      </c>
      <c r="F358" s="17"/>
      <c r="G358" s="17">
        <v>1998</v>
      </c>
      <c r="H358" s="17">
        <v>7</v>
      </c>
      <c r="I358" s="8">
        <v>0.2</v>
      </c>
      <c r="J358" s="17" t="s">
        <v>78</v>
      </c>
      <c r="K358" s="17">
        <v>7</v>
      </c>
      <c r="L358" s="17">
        <f t="shared" si="105"/>
        <v>2005</v>
      </c>
      <c r="M358" s="17">
        <f t="shared" si="106"/>
        <v>2005.5833333333333</v>
      </c>
      <c r="N358" s="17">
        <f>17850+520+925.77+2142+840.18+1499.4</f>
        <v>23777.350000000002</v>
      </c>
      <c r="O358" s="17">
        <f t="shared" si="107"/>
        <v>19021.88</v>
      </c>
      <c r="P358" s="17">
        <f t="shared" si="108"/>
        <v>226.45095238095237</v>
      </c>
      <c r="Q358" s="17">
        <f t="shared" si="109"/>
        <v>2717.4114285714286</v>
      </c>
      <c r="R358" s="17">
        <f t="shared" si="110"/>
        <v>0</v>
      </c>
      <c r="S358" s="17">
        <f t="shared" si="111"/>
        <v>23777.350000000002</v>
      </c>
      <c r="T358" s="17">
        <f t="shared" si="112"/>
        <v>19021.88</v>
      </c>
      <c r="U358" s="17">
        <f t="shared" si="113"/>
        <v>0</v>
      </c>
      <c r="V358" s="17"/>
      <c r="W358" s="17"/>
      <c r="X358" s="17"/>
    </row>
    <row r="359" spans="1:24">
      <c r="A359" s="17" t="s">
        <v>280</v>
      </c>
      <c r="B359" s="17" t="s">
        <v>281</v>
      </c>
      <c r="C359" s="17">
        <v>5555</v>
      </c>
      <c r="D359" s="17" t="s">
        <v>1102</v>
      </c>
      <c r="E359" s="17">
        <v>86829</v>
      </c>
      <c r="F359" s="17"/>
      <c r="G359" s="17">
        <v>1998</v>
      </c>
      <c r="H359" s="17">
        <v>7</v>
      </c>
      <c r="I359" s="8">
        <v>0.2</v>
      </c>
      <c r="J359" s="17" t="s">
        <v>78</v>
      </c>
      <c r="K359" s="17">
        <v>7</v>
      </c>
      <c r="L359" s="17">
        <f t="shared" si="105"/>
        <v>2005</v>
      </c>
      <c r="M359" s="17">
        <f t="shared" si="106"/>
        <v>2005.5833333333333</v>
      </c>
      <c r="N359" s="17">
        <f>22277.95+1657.27</f>
        <v>23935.22</v>
      </c>
      <c r="O359" s="17">
        <f t="shared" si="107"/>
        <v>19148.175999999999</v>
      </c>
      <c r="P359" s="17">
        <f t="shared" si="108"/>
        <v>227.95447619047619</v>
      </c>
      <c r="Q359" s="17">
        <f t="shared" si="109"/>
        <v>2735.4537142857143</v>
      </c>
      <c r="R359" s="17">
        <f t="shared" si="110"/>
        <v>0</v>
      </c>
      <c r="S359" s="17">
        <f t="shared" si="111"/>
        <v>23935.22</v>
      </c>
      <c r="T359" s="17">
        <f t="shared" si="112"/>
        <v>19148.175999999999</v>
      </c>
      <c r="U359" s="17">
        <f t="shared" si="113"/>
        <v>0</v>
      </c>
      <c r="V359" s="17"/>
      <c r="W359" s="17"/>
      <c r="X359" s="17"/>
    </row>
    <row r="360" spans="1:24">
      <c r="A360" s="17" t="s">
        <v>280</v>
      </c>
      <c r="B360" s="17" t="s">
        <v>281</v>
      </c>
      <c r="C360" s="17">
        <v>5554</v>
      </c>
      <c r="D360" s="17" t="s">
        <v>1103</v>
      </c>
      <c r="E360" s="17">
        <v>86828</v>
      </c>
      <c r="F360" s="17"/>
      <c r="G360" s="17">
        <v>2009</v>
      </c>
      <c r="H360" s="17">
        <v>5</v>
      </c>
      <c r="I360" s="8">
        <v>0</v>
      </c>
      <c r="J360" s="17" t="s">
        <v>78</v>
      </c>
      <c r="K360" s="17">
        <v>3</v>
      </c>
      <c r="L360" s="17">
        <f t="shared" si="105"/>
        <v>2012</v>
      </c>
      <c r="M360" s="17">
        <f t="shared" si="106"/>
        <v>2012.4166666666667</v>
      </c>
      <c r="N360" s="17">
        <v>4394.9799999999996</v>
      </c>
      <c r="O360" s="17">
        <f t="shared" si="107"/>
        <v>4394.9799999999996</v>
      </c>
      <c r="P360" s="17">
        <f t="shared" si="108"/>
        <v>122.08277777777776</v>
      </c>
      <c r="Q360" s="17">
        <f t="shared" si="109"/>
        <v>1464.9933333333331</v>
      </c>
      <c r="R360" s="17">
        <f t="shared" si="110"/>
        <v>0</v>
      </c>
      <c r="S360" s="17">
        <f t="shared" si="111"/>
        <v>4394.9799999999996</v>
      </c>
      <c r="T360" s="17">
        <f t="shared" si="112"/>
        <v>4394.9799999999996</v>
      </c>
      <c r="U360" s="17">
        <f t="shared" si="113"/>
        <v>0</v>
      </c>
      <c r="V360" s="17"/>
      <c r="W360" s="17"/>
      <c r="X360" s="17"/>
    </row>
    <row r="361" spans="1:24">
      <c r="A361" s="17" t="s">
        <v>298</v>
      </c>
      <c r="B361" s="17" t="s">
        <v>281</v>
      </c>
      <c r="C361" s="17">
        <v>5560</v>
      </c>
      <c r="D361" s="17" t="s">
        <v>1104</v>
      </c>
      <c r="E361" s="17"/>
      <c r="F361" s="17"/>
      <c r="G361" s="17">
        <v>1999</v>
      </c>
      <c r="H361" s="17">
        <v>1</v>
      </c>
      <c r="I361" s="8">
        <v>0.33</v>
      </c>
      <c r="J361" s="17" t="s">
        <v>78</v>
      </c>
      <c r="K361" s="17">
        <v>7</v>
      </c>
      <c r="L361" s="17">
        <f t="shared" si="105"/>
        <v>2006</v>
      </c>
      <c r="M361" s="17">
        <f t="shared" si="106"/>
        <v>2006.0833333333333</v>
      </c>
      <c r="N361" s="17">
        <v>25160.37</v>
      </c>
      <c r="O361" s="17">
        <f t="shared" si="107"/>
        <v>16857.447899999999</v>
      </c>
      <c r="P361" s="17">
        <f t="shared" si="108"/>
        <v>200.68390357142857</v>
      </c>
      <c r="Q361" s="17">
        <f t="shared" si="109"/>
        <v>2408.2068428571429</v>
      </c>
      <c r="R361" s="17">
        <f t="shared" si="110"/>
        <v>0</v>
      </c>
      <c r="S361" s="17">
        <f t="shared" si="111"/>
        <v>25160.37</v>
      </c>
      <c r="T361" s="17">
        <f t="shared" si="112"/>
        <v>16857.447899999999</v>
      </c>
      <c r="U361" s="17">
        <f t="shared" si="113"/>
        <v>0</v>
      </c>
      <c r="V361" s="17"/>
      <c r="W361" s="17" t="s">
        <v>300</v>
      </c>
      <c r="X361" s="17"/>
    </row>
    <row r="362" spans="1:24">
      <c r="A362" s="17" t="s">
        <v>298</v>
      </c>
      <c r="B362" s="17" t="s">
        <v>281</v>
      </c>
      <c r="C362" s="17">
        <v>5514</v>
      </c>
      <c r="D362" s="17" t="s">
        <v>1105</v>
      </c>
      <c r="E362" s="17"/>
      <c r="F362" s="17"/>
      <c r="G362" s="17">
        <v>2000</v>
      </c>
      <c r="H362" s="17">
        <v>7</v>
      </c>
      <c r="I362" s="8">
        <v>0.33</v>
      </c>
      <c r="J362" s="17" t="s">
        <v>78</v>
      </c>
      <c r="K362" s="17">
        <v>5</v>
      </c>
      <c r="L362" s="17">
        <f t="shared" si="105"/>
        <v>2005</v>
      </c>
      <c r="M362" s="17">
        <f t="shared" si="106"/>
        <v>2005.5833333333333</v>
      </c>
      <c r="N362" s="17">
        <v>28205.83</v>
      </c>
      <c r="O362" s="17">
        <f t="shared" si="107"/>
        <v>18897.9061</v>
      </c>
      <c r="P362" s="17">
        <f t="shared" si="108"/>
        <v>314.96510166666667</v>
      </c>
      <c r="Q362" s="17">
        <f t="shared" si="109"/>
        <v>3779.58122</v>
      </c>
      <c r="R362" s="17">
        <f t="shared" si="110"/>
        <v>0</v>
      </c>
      <c r="S362" s="17">
        <f t="shared" si="111"/>
        <v>28205.83</v>
      </c>
      <c r="T362" s="17">
        <f t="shared" si="112"/>
        <v>18897.9061</v>
      </c>
      <c r="U362" s="17">
        <f t="shared" si="113"/>
        <v>0</v>
      </c>
      <c r="V362" s="17"/>
      <c r="W362" s="17"/>
      <c r="X362" s="17"/>
    </row>
    <row r="363" spans="1:24">
      <c r="A363" s="17" t="s">
        <v>385</v>
      </c>
      <c r="B363" s="17" t="s">
        <v>76</v>
      </c>
      <c r="C363" s="17">
        <v>1566</v>
      </c>
      <c r="D363" s="17" t="s">
        <v>1106</v>
      </c>
      <c r="E363" s="17"/>
      <c r="F363" s="17"/>
      <c r="G363" s="17">
        <v>1992</v>
      </c>
      <c r="H363" s="17">
        <v>4</v>
      </c>
      <c r="I363" s="8">
        <v>0.2</v>
      </c>
      <c r="J363" s="17" t="s">
        <v>78</v>
      </c>
      <c r="K363" s="17">
        <v>7</v>
      </c>
      <c r="L363" s="17">
        <f t="shared" si="105"/>
        <v>1999</v>
      </c>
      <c r="M363" s="17">
        <f t="shared" si="106"/>
        <v>1999.3333333333333</v>
      </c>
      <c r="N363" s="17">
        <f>37870+26015+20644</f>
        <v>84529</v>
      </c>
      <c r="O363" s="17">
        <f t="shared" si="107"/>
        <v>67623.199999999997</v>
      </c>
      <c r="P363" s="17">
        <f t="shared" si="108"/>
        <v>805.03809523809514</v>
      </c>
      <c r="Q363" s="17">
        <f t="shared" si="109"/>
        <v>9660.4571428571417</v>
      </c>
      <c r="R363" s="17">
        <f t="shared" si="110"/>
        <v>0</v>
      </c>
      <c r="S363" s="17">
        <f t="shared" si="111"/>
        <v>84529</v>
      </c>
      <c r="T363" s="17">
        <f t="shared" si="112"/>
        <v>67623.199999999997</v>
      </c>
      <c r="U363" s="17">
        <f t="shared" si="113"/>
        <v>0</v>
      </c>
      <c r="V363" s="17"/>
      <c r="W363" s="17"/>
      <c r="X363" s="17" t="s">
        <v>300</v>
      </c>
    </row>
    <row r="364" spans="1:24">
      <c r="A364" s="17" t="s">
        <v>174</v>
      </c>
      <c r="B364" s="17" t="s">
        <v>111</v>
      </c>
      <c r="C364" s="17">
        <v>3571</v>
      </c>
      <c r="D364" s="17" t="s">
        <v>1107</v>
      </c>
      <c r="E364" s="17"/>
      <c r="F364" s="17"/>
      <c r="G364" s="17">
        <v>2003</v>
      </c>
      <c r="H364" s="17">
        <v>1</v>
      </c>
      <c r="I364" s="8">
        <v>0.2</v>
      </c>
      <c r="J364" s="17" t="s">
        <v>78</v>
      </c>
      <c r="K364" s="17">
        <v>7</v>
      </c>
      <c r="L364" s="17">
        <f>G364+K364</f>
        <v>2010</v>
      </c>
      <c r="M364" s="17">
        <f t="shared" si="106"/>
        <v>2010.0833333333333</v>
      </c>
      <c r="N364" s="17">
        <v>160624.25</v>
      </c>
      <c r="O364" s="17">
        <f t="shared" si="107"/>
        <v>128499.4</v>
      </c>
      <c r="P364" s="17">
        <f t="shared" si="108"/>
        <v>1529.7547619047618</v>
      </c>
      <c r="Q364" s="17">
        <f t="shared" si="109"/>
        <v>18357.057142857142</v>
      </c>
      <c r="R364" s="17">
        <f t="shared" si="110"/>
        <v>0</v>
      </c>
      <c r="S364" s="17">
        <f t="shared" si="111"/>
        <v>160624.25</v>
      </c>
      <c r="T364" s="17">
        <f t="shared" si="112"/>
        <v>128499.4</v>
      </c>
      <c r="U364" s="17">
        <f t="shared" si="113"/>
        <v>0</v>
      </c>
      <c r="V364" s="17"/>
      <c r="W364" s="17"/>
      <c r="X364" s="17" t="s">
        <v>300</v>
      </c>
    </row>
    <row r="365" spans="1:24">
      <c r="A365" s="17"/>
      <c r="B365" s="17"/>
      <c r="C365" s="17">
        <v>3571</v>
      </c>
      <c r="D365" s="17" t="s">
        <v>1108</v>
      </c>
      <c r="E365" s="17">
        <v>106766</v>
      </c>
      <c r="F365" s="17"/>
      <c r="G365" s="17">
        <v>2013</v>
      </c>
      <c r="H365" s="17">
        <v>7</v>
      </c>
      <c r="I365" s="8">
        <v>0</v>
      </c>
      <c r="J365" s="17" t="s">
        <v>78</v>
      </c>
      <c r="K365" s="17">
        <v>3</v>
      </c>
      <c r="L365" s="17">
        <f>G365+K365</f>
        <v>2016</v>
      </c>
      <c r="M365" s="17">
        <f t="shared" si="106"/>
        <v>2016.5833333333333</v>
      </c>
      <c r="N365" s="17">
        <v>7455.58</v>
      </c>
      <c r="O365" s="17">
        <f t="shared" si="107"/>
        <v>7455.58</v>
      </c>
      <c r="P365" s="17">
        <f t="shared" si="108"/>
        <v>207.09944444444443</v>
      </c>
      <c r="Q365" s="17">
        <f t="shared" si="109"/>
        <v>2485.1933333333332</v>
      </c>
      <c r="R365" s="17">
        <f t="shared" si="110"/>
        <v>0</v>
      </c>
      <c r="S365" s="17">
        <f t="shared" si="111"/>
        <v>7455.58</v>
      </c>
      <c r="T365" s="17">
        <f t="shared" si="112"/>
        <v>7455.58</v>
      </c>
      <c r="U365" s="17">
        <f t="shared" si="113"/>
        <v>0</v>
      </c>
      <c r="V365" s="17"/>
      <c r="W365" s="17"/>
      <c r="X365" s="17"/>
    </row>
    <row r="367" spans="1:24">
      <c r="A367" s="17"/>
      <c r="B367" s="17" t="s">
        <v>1109</v>
      </c>
      <c r="C367" s="17"/>
      <c r="D367" s="17"/>
      <c r="E367" s="17"/>
      <c r="F367" s="17"/>
      <c r="G367" s="17"/>
      <c r="H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</row>
    <row r="368" spans="1:24">
      <c r="A368" s="17" t="s">
        <v>280</v>
      </c>
      <c r="B368" s="17" t="s">
        <v>281</v>
      </c>
      <c r="C368" s="17">
        <v>8021</v>
      </c>
      <c r="D368" s="17" t="s">
        <v>1110</v>
      </c>
      <c r="E368" s="17">
        <v>86831</v>
      </c>
      <c r="F368" s="17"/>
      <c r="G368" s="17">
        <v>2000</v>
      </c>
      <c r="H368" s="17">
        <v>1</v>
      </c>
      <c r="I368" s="8">
        <v>0.2</v>
      </c>
      <c r="J368" s="17" t="s">
        <v>78</v>
      </c>
      <c r="K368" s="17">
        <v>7</v>
      </c>
      <c r="L368" s="17">
        <f t="shared" ref="L368:L392" si="114">G368+K368</f>
        <v>2007</v>
      </c>
      <c r="M368" s="17">
        <f t="shared" ref="M368:M392" si="115">+L368+(H368/12)</f>
        <v>2007.0833333333333</v>
      </c>
      <c r="N368" s="17">
        <v>85484</v>
      </c>
      <c r="O368" s="17">
        <f t="shared" ref="O368:O392" si="116">N368-N368*I368</f>
        <v>68387.199999999997</v>
      </c>
      <c r="P368" s="17">
        <f t="shared" ref="P368:P392" si="117">O368/K368/12</f>
        <v>814.13333333333333</v>
      </c>
      <c r="Q368" s="17">
        <f t="shared" ref="Q368:Q392" si="118">P368*12</f>
        <v>9769.6</v>
      </c>
      <c r="R368" s="17">
        <f t="shared" ref="R368:R392" si="119">+IF(M368&lt;=$O$6,0,IF(L368&gt;$O$5,Q368,(P368*G368)))</f>
        <v>0</v>
      </c>
      <c r="S368" s="17">
        <f t="shared" ref="S368:S392" si="120">+IF(R368=0,N368,IF($O$5-G368&lt;1,0,(($O$5-G368)*Q368)))</f>
        <v>85484</v>
      </c>
      <c r="T368" s="17">
        <f t="shared" ref="T368:T392" si="121">+IF(R368=0,S368,S368+R368)-(N368-O368)</f>
        <v>68387.199999999997</v>
      </c>
      <c r="U368" s="17">
        <f t="shared" ref="U368:U392" si="122">+IF(R368=0,0,((N368-S368)+(N368-T368))/2)</f>
        <v>0</v>
      </c>
      <c r="V368" s="17"/>
      <c r="W368" s="17"/>
      <c r="X368" s="17"/>
    </row>
    <row r="369" spans="1:24">
      <c r="A369" s="17" t="s">
        <v>298</v>
      </c>
      <c r="B369" s="17" t="s">
        <v>281</v>
      </c>
      <c r="C369" s="17">
        <v>5613</v>
      </c>
      <c r="D369" s="17" t="s">
        <v>302</v>
      </c>
      <c r="E369" s="17"/>
      <c r="F369" s="17"/>
      <c r="G369" s="17">
        <v>2006</v>
      </c>
      <c r="H369" s="17">
        <v>12</v>
      </c>
      <c r="I369" s="8">
        <v>0.2</v>
      </c>
      <c r="J369" s="17" t="s">
        <v>78</v>
      </c>
      <c r="K369" s="17">
        <v>7</v>
      </c>
      <c r="L369" s="17">
        <f t="shared" si="114"/>
        <v>2013</v>
      </c>
      <c r="M369" s="17">
        <f t="shared" si="115"/>
        <v>2014</v>
      </c>
      <c r="N369" s="17">
        <v>107413.8</v>
      </c>
      <c r="O369" s="17">
        <f t="shared" si="116"/>
        <v>85931.040000000008</v>
      </c>
      <c r="P369" s="17">
        <f t="shared" si="117"/>
        <v>1022.9885714285715</v>
      </c>
      <c r="Q369" s="17">
        <f t="shared" si="118"/>
        <v>12275.862857142858</v>
      </c>
      <c r="R369" s="17">
        <f t="shared" si="119"/>
        <v>0</v>
      </c>
      <c r="S369" s="17">
        <f t="shared" si="120"/>
        <v>107413.8</v>
      </c>
      <c r="T369" s="17">
        <f t="shared" si="121"/>
        <v>85931.040000000008</v>
      </c>
      <c r="U369" s="17">
        <f t="shared" si="122"/>
        <v>0</v>
      </c>
      <c r="V369" s="17"/>
      <c r="W369" s="17" t="s">
        <v>300</v>
      </c>
      <c r="X369" s="17"/>
    </row>
    <row r="370" spans="1:24">
      <c r="A370" s="17" t="s">
        <v>298</v>
      </c>
      <c r="B370" s="17" t="s">
        <v>281</v>
      </c>
      <c r="C370" s="17">
        <v>5613</v>
      </c>
      <c r="D370" s="17" t="s">
        <v>304</v>
      </c>
      <c r="E370" s="17"/>
      <c r="F370" s="17"/>
      <c r="G370" s="17">
        <v>2007</v>
      </c>
      <c r="H370" s="17">
        <v>1</v>
      </c>
      <c r="I370" s="8">
        <v>0</v>
      </c>
      <c r="J370" s="17" t="s">
        <v>78</v>
      </c>
      <c r="K370" s="17">
        <v>5</v>
      </c>
      <c r="L370" s="17">
        <f t="shared" si="114"/>
        <v>2012</v>
      </c>
      <c r="M370" s="17">
        <f t="shared" si="115"/>
        <v>2012.0833333333333</v>
      </c>
      <c r="N370" s="17">
        <v>995.37</v>
      </c>
      <c r="O370" s="17">
        <f t="shared" si="116"/>
        <v>995.37</v>
      </c>
      <c r="P370" s="17">
        <f t="shared" si="117"/>
        <v>16.589500000000001</v>
      </c>
      <c r="Q370" s="17">
        <f t="shared" si="118"/>
        <v>199.07400000000001</v>
      </c>
      <c r="R370" s="17">
        <f t="shared" si="119"/>
        <v>0</v>
      </c>
      <c r="S370" s="17">
        <f t="shared" si="120"/>
        <v>995.37</v>
      </c>
      <c r="T370" s="17">
        <f t="shared" si="121"/>
        <v>995.37</v>
      </c>
      <c r="U370" s="17">
        <f t="shared" si="122"/>
        <v>0</v>
      </c>
      <c r="V370" s="17"/>
      <c r="W370" s="17" t="s">
        <v>300</v>
      </c>
      <c r="X370" s="17"/>
    </row>
    <row r="371" spans="1:24">
      <c r="A371" s="17" t="s">
        <v>246</v>
      </c>
      <c r="B371" s="17" t="s">
        <v>93</v>
      </c>
      <c r="C371" s="17">
        <v>9993</v>
      </c>
      <c r="D371" s="17" t="s">
        <v>1111</v>
      </c>
      <c r="E371" s="17"/>
      <c r="F371" s="17"/>
      <c r="G371" s="17">
        <v>1994</v>
      </c>
      <c r="H371" s="17">
        <v>1</v>
      </c>
      <c r="I371" s="8">
        <v>0.33</v>
      </c>
      <c r="J371" s="17" t="s">
        <v>78</v>
      </c>
      <c r="K371" s="17">
        <v>5</v>
      </c>
      <c r="L371" s="17">
        <f t="shared" si="114"/>
        <v>1999</v>
      </c>
      <c r="M371" s="17">
        <f t="shared" si="115"/>
        <v>1999.0833333333333</v>
      </c>
      <c r="N371" s="17">
        <v>13500</v>
      </c>
      <c r="O371" s="17">
        <f t="shared" si="116"/>
        <v>9045</v>
      </c>
      <c r="P371" s="17">
        <f t="shared" si="117"/>
        <v>150.75</v>
      </c>
      <c r="Q371" s="17">
        <f t="shared" si="118"/>
        <v>1809</v>
      </c>
      <c r="R371" s="17">
        <f t="shared" si="119"/>
        <v>0</v>
      </c>
      <c r="S371" s="17">
        <f t="shared" si="120"/>
        <v>13500</v>
      </c>
      <c r="T371" s="17">
        <f t="shared" si="121"/>
        <v>9045</v>
      </c>
      <c r="U371" s="17">
        <f t="shared" si="122"/>
        <v>0</v>
      </c>
      <c r="V371" s="17"/>
      <c r="W371" s="17"/>
      <c r="X371" s="17" t="s">
        <v>300</v>
      </c>
    </row>
    <row r="372" spans="1:24">
      <c r="A372" s="17" t="s">
        <v>280</v>
      </c>
      <c r="B372" s="17" t="s">
        <v>281</v>
      </c>
      <c r="C372" s="17">
        <v>8836</v>
      </c>
      <c r="D372" s="17" t="s">
        <v>284</v>
      </c>
      <c r="E372" s="17">
        <v>66914</v>
      </c>
      <c r="F372" s="17"/>
      <c r="G372" s="17">
        <v>1999</v>
      </c>
      <c r="H372" s="17">
        <v>1</v>
      </c>
      <c r="I372" s="8">
        <v>0</v>
      </c>
      <c r="J372" s="17" t="s">
        <v>78</v>
      </c>
      <c r="K372" s="17">
        <v>3</v>
      </c>
      <c r="L372" s="17">
        <f t="shared" si="114"/>
        <v>2002</v>
      </c>
      <c r="M372" s="17">
        <f t="shared" si="115"/>
        <v>2002.0833333333333</v>
      </c>
      <c r="N372" s="17">
        <v>23650</v>
      </c>
      <c r="O372" s="17">
        <f t="shared" si="116"/>
        <v>23650</v>
      </c>
      <c r="P372" s="17">
        <f t="shared" si="117"/>
        <v>656.94444444444446</v>
      </c>
      <c r="Q372" s="17">
        <f t="shared" si="118"/>
        <v>7883.3333333333339</v>
      </c>
      <c r="R372" s="17">
        <f t="shared" si="119"/>
        <v>0</v>
      </c>
      <c r="S372" s="17">
        <f t="shared" si="120"/>
        <v>23650</v>
      </c>
      <c r="T372" s="17">
        <f t="shared" si="121"/>
        <v>23650</v>
      </c>
      <c r="U372" s="17">
        <f t="shared" si="122"/>
        <v>0</v>
      </c>
      <c r="V372" s="17"/>
      <c r="W372" s="17" t="s">
        <v>97</v>
      </c>
      <c r="X372" s="17"/>
    </row>
    <row r="373" spans="1:24">
      <c r="A373" s="17" t="s">
        <v>280</v>
      </c>
      <c r="B373" s="17" t="s">
        <v>281</v>
      </c>
      <c r="C373" s="17">
        <v>8836</v>
      </c>
      <c r="D373" s="17" t="s">
        <v>1112</v>
      </c>
      <c r="E373" s="17">
        <v>66915</v>
      </c>
      <c r="F373" s="17"/>
      <c r="G373" s="17">
        <v>2009</v>
      </c>
      <c r="H373" s="17">
        <v>5</v>
      </c>
      <c r="I373" s="8">
        <v>0</v>
      </c>
      <c r="J373" s="17" t="s">
        <v>78</v>
      </c>
      <c r="K373" s="17">
        <v>3</v>
      </c>
      <c r="L373" s="17">
        <f t="shared" si="114"/>
        <v>2012</v>
      </c>
      <c r="M373" s="17">
        <f t="shared" si="115"/>
        <v>2012.4166666666667</v>
      </c>
      <c r="N373" s="17">
        <v>2698.23</v>
      </c>
      <c r="O373" s="17">
        <f t="shared" si="116"/>
        <v>2698.23</v>
      </c>
      <c r="P373" s="17">
        <f t="shared" si="117"/>
        <v>74.950833333333335</v>
      </c>
      <c r="Q373" s="17">
        <f t="shared" si="118"/>
        <v>899.41000000000008</v>
      </c>
      <c r="R373" s="17">
        <f t="shared" si="119"/>
        <v>0</v>
      </c>
      <c r="S373" s="17">
        <f t="shared" si="120"/>
        <v>2698.23</v>
      </c>
      <c r="T373" s="17">
        <f t="shared" si="121"/>
        <v>2698.23</v>
      </c>
      <c r="U373" s="17">
        <f t="shared" si="122"/>
        <v>0</v>
      </c>
      <c r="V373" s="17"/>
      <c r="W373" s="17" t="s">
        <v>97</v>
      </c>
      <c r="X373" s="17"/>
    </row>
    <row r="374" spans="1:24">
      <c r="A374" s="17" t="s">
        <v>298</v>
      </c>
      <c r="B374" s="17" t="s">
        <v>281</v>
      </c>
      <c r="C374" s="17">
        <v>8821</v>
      </c>
      <c r="D374" s="17" t="s">
        <v>1113</v>
      </c>
      <c r="E374" s="17">
        <v>66908</v>
      </c>
      <c r="F374" s="17"/>
      <c r="G374" s="17">
        <v>1994</v>
      </c>
      <c r="H374" s="17">
        <v>4</v>
      </c>
      <c r="I374" s="8">
        <v>0</v>
      </c>
      <c r="J374" s="17" t="s">
        <v>78</v>
      </c>
      <c r="K374" s="17">
        <v>7</v>
      </c>
      <c r="L374" s="17">
        <f t="shared" si="114"/>
        <v>2001</v>
      </c>
      <c r="M374" s="17">
        <f t="shared" si="115"/>
        <v>2001.3333333333333</v>
      </c>
      <c r="N374" s="17">
        <v>18681</v>
      </c>
      <c r="O374" s="17">
        <f t="shared" si="116"/>
        <v>18681</v>
      </c>
      <c r="P374" s="17">
        <f t="shared" si="117"/>
        <v>222.39285714285714</v>
      </c>
      <c r="Q374" s="17">
        <f t="shared" si="118"/>
        <v>2668.7142857142858</v>
      </c>
      <c r="R374" s="17">
        <f t="shared" si="119"/>
        <v>0</v>
      </c>
      <c r="S374" s="17">
        <f t="shared" si="120"/>
        <v>18681</v>
      </c>
      <c r="T374" s="17">
        <f t="shared" si="121"/>
        <v>18681</v>
      </c>
      <c r="U374" s="17">
        <f t="shared" si="122"/>
        <v>0</v>
      </c>
      <c r="V374" s="17"/>
      <c r="W374" s="17" t="s">
        <v>97</v>
      </c>
      <c r="X374" s="17"/>
    </row>
    <row r="375" spans="1:24">
      <c r="A375" s="17" t="s">
        <v>151</v>
      </c>
      <c r="B375" s="17" t="s">
        <v>152</v>
      </c>
      <c r="C375" s="17">
        <v>4520</v>
      </c>
      <c r="D375" s="17" t="s">
        <v>1114</v>
      </c>
      <c r="E375" s="17">
        <v>124647</v>
      </c>
      <c r="F375" s="17"/>
      <c r="G375" s="17">
        <v>2008</v>
      </c>
      <c r="H375" s="17">
        <v>11</v>
      </c>
      <c r="I375" s="8">
        <v>0.33</v>
      </c>
      <c r="J375" s="17" t="s">
        <v>78</v>
      </c>
      <c r="K375" s="17">
        <v>5</v>
      </c>
      <c r="L375" s="17">
        <f t="shared" si="114"/>
        <v>2013</v>
      </c>
      <c r="M375" s="17">
        <f t="shared" si="115"/>
        <v>2013.9166666666667</v>
      </c>
      <c r="N375" s="17">
        <v>66500</v>
      </c>
      <c r="O375" s="17">
        <f t="shared" si="116"/>
        <v>44555</v>
      </c>
      <c r="P375" s="17">
        <f t="shared" si="117"/>
        <v>742.58333333333337</v>
      </c>
      <c r="Q375" s="17">
        <f t="shared" si="118"/>
        <v>8911</v>
      </c>
      <c r="R375" s="17">
        <f t="shared" si="119"/>
        <v>0</v>
      </c>
      <c r="S375" s="17">
        <f t="shared" si="120"/>
        <v>66500</v>
      </c>
      <c r="T375" s="17">
        <f t="shared" si="121"/>
        <v>44555</v>
      </c>
      <c r="U375" s="17">
        <f t="shared" si="122"/>
        <v>0</v>
      </c>
      <c r="V375" s="17"/>
      <c r="W375" s="17"/>
      <c r="X375" s="17"/>
    </row>
    <row r="376" spans="1:24">
      <c r="A376" s="17" t="s">
        <v>280</v>
      </c>
      <c r="B376" s="17" t="s">
        <v>281</v>
      </c>
      <c r="C376" s="17">
        <v>8842</v>
      </c>
      <c r="D376" s="17" t="s">
        <v>284</v>
      </c>
      <c r="E376" s="17">
        <v>66918</v>
      </c>
      <c r="F376" s="17"/>
      <c r="G376" s="17">
        <v>1999</v>
      </c>
      <c r="H376" s="17">
        <v>1</v>
      </c>
      <c r="I376" s="8">
        <v>0.2</v>
      </c>
      <c r="J376" s="17" t="s">
        <v>78</v>
      </c>
      <c r="K376" s="17">
        <v>7</v>
      </c>
      <c r="L376" s="17">
        <f t="shared" si="114"/>
        <v>2006</v>
      </c>
      <c r="M376" s="17">
        <f t="shared" si="115"/>
        <v>2006.0833333333333</v>
      </c>
      <c r="N376" s="17">
        <v>23650</v>
      </c>
      <c r="O376" s="17">
        <f t="shared" si="116"/>
        <v>18920</v>
      </c>
      <c r="P376" s="17">
        <f t="shared" si="117"/>
        <v>225.23809523809521</v>
      </c>
      <c r="Q376" s="17">
        <f t="shared" si="118"/>
        <v>2702.8571428571427</v>
      </c>
      <c r="R376" s="17">
        <f t="shared" si="119"/>
        <v>0</v>
      </c>
      <c r="S376" s="17">
        <f t="shared" si="120"/>
        <v>23650</v>
      </c>
      <c r="T376" s="17">
        <f t="shared" si="121"/>
        <v>18920</v>
      </c>
      <c r="U376" s="17">
        <f t="shared" si="122"/>
        <v>0</v>
      </c>
      <c r="V376" s="17"/>
      <c r="W376" s="17" t="s">
        <v>97</v>
      </c>
      <c r="X376" s="17"/>
    </row>
    <row r="377" spans="1:24">
      <c r="A377" s="17" t="s">
        <v>280</v>
      </c>
      <c r="B377" s="17" t="s">
        <v>281</v>
      </c>
      <c r="C377" s="17">
        <v>8850</v>
      </c>
      <c r="D377" s="17" t="s">
        <v>1115</v>
      </c>
      <c r="E377" s="17">
        <v>66919</v>
      </c>
      <c r="F377" s="17"/>
      <c r="G377" s="17">
        <v>1999</v>
      </c>
      <c r="H377" s="17">
        <v>4</v>
      </c>
      <c r="I377" s="8">
        <v>0.2</v>
      </c>
      <c r="J377" s="17" t="s">
        <v>78</v>
      </c>
      <c r="K377" s="17">
        <v>7</v>
      </c>
      <c r="L377" s="17">
        <f t="shared" si="114"/>
        <v>2006</v>
      </c>
      <c r="M377" s="17">
        <f t="shared" si="115"/>
        <v>2006.3333333333333</v>
      </c>
      <c r="N377" s="17">
        <v>26548.2</v>
      </c>
      <c r="O377" s="17">
        <f t="shared" si="116"/>
        <v>21238.560000000001</v>
      </c>
      <c r="P377" s="17">
        <f t="shared" si="117"/>
        <v>252.84000000000003</v>
      </c>
      <c r="Q377" s="17">
        <f t="shared" si="118"/>
        <v>3034.0800000000004</v>
      </c>
      <c r="R377" s="17">
        <f t="shared" si="119"/>
        <v>0</v>
      </c>
      <c r="S377" s="17">
        <f t="shared" si="120"/>
        <v>26548.2</v>
      </c>
      <c r="T377" s="17">
        <f t="shared" si="121"/>
        <v>21238.560000000001</v>
      </c>
      <c r="U377" s="17">
        <f t="shared" si="122"/>
        <v>0</v>
      </c>
      <c r="V377" s="17"/>
      <c r="W377" s="17" t="s">
        <v>97</v>
      </c>
      <c r="X377" s="17"/>
    </row>
    <row r="378" spans="1:24">
      <c r="A378" s="17" t="s">
        <v>280</v>
      </c>
      <c r="B378" s="17" t="s">
        <v>281</v>
      </c>
      <c r="C378" s="17">
        <v>8868</v>
      </c>
      <c r="D378" s="17" t="s">
        <v>288</v>
      </c>
      <c r="E378" s="17">
        <v>66923</v>
      </c>
      <c r="F378" s="17"/>
      <c r="G378" s="17">
        <v>2000</v>
      </c>
      <c r="H378" s="17">
        <v>5</v>
      </c>
      <c r="I378" s="8">
        <v>0.2</v>
      </c>
      <c r="J378" s="17" t="s">
        <v>78</v>
      </c>
      <c r="K378" s="17">
        <v>7</v>
      </c>
      <c r="L378" s="17">
        <f t="shared" si="114"/>
        <v>2007</v>
      </c>
      <c r="M378" s="17">
        <f t="shared" si="115"/>
        <v>2007.4166666666667</v>
      </c>
      <c r="N378" s="17">
        <v>33350.800000000003</v>
      </c>
      <c r="O378" s="17">
        <f t="shared" si="116"/>
        <v>26680.640000000003</v>
      </c>
      <c r="P378" s="17">
        <f t="shared" si="117"/>
        <v>317.62666666666672</v>
      </c>
      <c r="Q378" s="17">
        <f t="shared" si="118"/>
        <v>3811.5200000000004</v>
      </c>
      <c r="R378" s="17">
        <f t="shared" si="119"/>
        <v>0</v>
      </c>
      <c r="S378" s="17">
        <f t="shared" si="120"/>
        <v>33350.800000000003</v>
      </c>
      <c r="T378" s="17">
        <f t="shared" si="121"/>
        <v>26680.640000000003</v>
      </c>
      <c r="U378" s="17">
        <f t="shared" si="122"/>
        <v>0</v>
      </c>
      <c r="V378" s="17"/>
      <c r="W378" s="17" t="s">
        <v>97</v>
      </c>
      <c r="X378" s="17"/>
    </row>
    <row r="379" spans="1:24">
      <c r="A379" s="17" t="s">
        <v>298</v>
      </c>
      <c r="B379" s="17" t="s">
        <v>281</v>
      </c>
      <c r="C379" s="17">
        <v>8830</v>
      </c>
      <c r="D379" s="17" t="s">
        <v>1116</v>
      </c>
      <c r="E379" s="17">
        <v>66911</v>
      </c>
      <c r="F379" s="17"/>
      <c r="G379" s="17">
        <v>1994</v>
      </c>
      <c r="H379" s="17">
        <v>10</v>
      </c>
      <c r="I379" s="8">
        <v>0.2</v>
      </c>
      <c r="J379" s="17" t="s">
        <v>78</v>
      </c>
      <c r="K379" s="17">
        <v>7</v>
      </c>
      <c r="L379" s="17">
        <f t="shared" si="114"/>
        <v>2001</v>
      </c>
      <c r="M379" s="17">
        <f t="shared" si="115"/>
        <v>2001.8333333333333</v>
      </c>
      <c r="N379" s="17">
        <v>20142</v>
      </c>
      <c r="O379" s="17">
        <f t="shared" si="116"/>
        <v>16113.6</v>
      </c>
      <c r="P379" s="17">
        <f t="shared" si="117"/>
        <v>191.82857142857142</v>
      </c>
      <c r="Q379" s="17">
        <f t="shared" si="118"/>
        <v>2301.9428571428571</v>
      </c>
      <c r="R379" s="17">
        <f t="shared" si="119"/>
        <v>0</v>
      </c>
      <c r="S379" s="17">
        <f t="shared" si="120"/>
        <v>20142</v>
      </c>
      <c r="T379" s="17">
        <f t="shared" si="121"/>
        <v>16113.6</v>
      </c>
      <c r="U379" s="17">
        <f t="shared" si="122"/>
        <v>0</v>
      </c>
      <c r="V379" s="17"/>
      <c r="W379" s="17" t="s">
        <v>97</v>
      </c>
      <c r="X379" s="17"/>
    </row>
    <row r="380" spans="1:24">
      <c r="A380" s="17" t="s">
        <v>298</v>
      </c>
      <c r="B380" s="17" t="s">
        <v>281</v>
      </c>
      <c r="C380" s="17">
        <v>5592</v>
      </c>
      <c r="D380" s="17" t="s">
        <v>1117</v>
      </c>
      <c r="E380" s="17">
        <v>90565</v>
      </c>
      <c r="F380" s="17"/>
      <c r="G380" s="17">
        <v>2005</v>
      </c>
      <c r="H380" s="17">
        <v>12</v>
      </c>
      <c r="I380" s="8">
        <v>0.2</v>
      </c>
      <c r="J380" s="17" t="s">
        <v>78</v>
      </c>
      <c r="K380" s="17">
        <v>7</v>
      </c>
      <c r="L380" s="17">
        <f t="shared" si="114"/>
        <v>2012</v>
      </c>
      <c r="M380" s="17">
        <f t="shared" si="115"/>
        <v>2013</v>
      </c>
      <c r="N380" s="17">
        <v>103617.28</v>
      </c>
      <c r="O380" s="17">
        <f t="shared" si="116"/>
        <v>82893.823999999993</v>
      </c>
      <c r="P380" s="17">
        <f t="shared" si="117"/>
        <v>986.83123809523795</v>
      </c>
      <c r="Q380" s="17">
        <f t="shared" si="118"/>
        <v>11841.974857142855</v>
      </c>
      <c r="R380" s="17">
        <f t="shared" si="119"/>
        <v>0</v>
      </c>
      <c r="S380" s="17">
        <f t="shared" si="120"/>
        <v>103617.28</v>
      </c>
      <c r="T380" s="17">
        <f t="shared" si="121"/>
        <v>82893.823999999993</v>
      </c>
      <c r="U380" s="17">
        <f t="shared" si="122"/>
        <v>0</v>
      </c>
      <c r="V380" s="17"/>
      <c r="W380" s="17" t="s">
        <v>300</v>
      </c>
      <c r="X380" s="17"/>
    </row>
    <row r="381" spans="1:24">
      <c r="A381" s="17" t="s">
        <v>280</v>
      </c>
      <c r="B381" s="17"/>
      <c r="C381" s="17">
        <v>8014</v>
      </c>
      <c r="D381" s="17" t="s">
        <v>1118</v>
      </c>
      <c r="E381" s="17">
        <v>130910</v>
      </c>
      <c r="F381" s="17"/>
      <c r="G381" s="17">
        <v>2008</v>
      </c>
      <c r="H381" s="17">
        <v>11</v>
      </c>
      <c r="I381" s="8">
        <v>0.33</v>
      </c>
      <c r="J381" s="17" t="s">
        <v>78</v>
      </c>
      <c r="K381" s="17">
        <v>5</v>
      </c>
      <c r="L381" s="17">
        <f t="shared" si="114"/>
        <v>2013</v>
      </c>
      <c r="M381" s="17">
        <f t="shared" si="115"/>
        <v>2013.9166666666667</v>
      </c>
      <c r="N381" s="17">
        <v>15000</v>
      </c>
      <c r="O381" s="17">
        <f t="shared" si="116"/>
        <v>10050</v>
      </c>
      <c r="P381" s="17">
        <f t="shared" si="117"/>
        <v>167.5</v>
      </c>
      <c r="Q381" s="17">
        <f t="shared" si="118"/>
        <v>2010</v>
      </c>
      <c r="R381" s="17">
        <f t="shared" si="119"/>
        <v>0</v>
      </c>
      <c r="S381" s="17">
        <f t="shared" si="120"/>
        <v>15000</v>
      </c>
      <c r="T381" s="17">
        <f t="shared" si="121"/>
        <v>10050</v>
      </c>
      <c r="U381" s="17">
        <f t="shared" si="122"/>
        <v>0</v>
      </c>
      <c r="V381" s="17"/>
      <c r="W381" s="17"/>
      <c r="X381" s="17"/>
    </row>
    <row r="382" spans="1:24">
      <c r="A382" s="17" t="s">
        <v>280</v>
      </c>
      <c r="B382" s="17"/>
      <c r="C382" s="17">
        <v>8014</v>
      </c>
      <c r="D382" s="17" t="s">
        <v>1119</v>
      </c>
      <c r="E382" s="17">
        <v>130911</v>
      </c>
      <c r="F382" s="17">
        <v>130910</v>
      </c>
      <c r="G382" s="17">
        <v>2016</v>
      </c>
      <c r="H382" s="17">
        <v>1</v>
      </c>
      <c r="I382" s="8">
        <v>0</v>
      </c>
      <c r="J382" s="17" t="s">
        <v>78</v>
      </c>
      <c r="K382" s="17">
        <v>3</v>
      </c>
      <c r="L382" s="17">
        <f t="shared" si="114"/>
        <v>2019</v>
      </c>
      <c r="M382" s="17">
        <f t="shared" si="115"/>
        <v>2019.0833333333333</v>
      </c>
      <c r="N382" s="17">
        <v>43379.99</v>
      </c>
      <c r="O382" s="17">
        <f t="shared" si="116"/>
        <v>43379.99</v>
      </c>
      <c r="P382" s="17">
        <f t="shared" si="117"/>
        <v>1204.9997222222221</v>
      </c>
      <c r="Q382" s="17">
        <f t="shared" si="118"/>
        <v>14459.996666666666</v>
      </c>
      <c r="R382" s="17">
        <f t="shared" si="119"/>
        <v>14459.996666666666</v>
      </c>
      <c r="S382" s="17">
        <f t="shared" si="120"/>
        <v>14459.996666666666</v>
      </c>
      <c r="T382" s="17">
        <f t="shared" si="121"/>
        <v>28919.993333333332</v>
      </c>
      <c r="U382" s="17">
        <f t="shared" si="122"/>
        <v>21689.994999999999</v>
      </c>
      <c r="V382" s="17"/>
      <c r="W382" s="17"/>
      <c r="X382" s="17"/>
    </row>
    <row r="383" spans="1:24">
      <c r="A383" s="17" t="s">
        <v>280</v>
      </c>
      <c r="B383" s="17" t="s">
        <v>281</v>
      </c>
      <c r="C383" s="17">
        <v>8015</v>
      </c>
      <c r="D383" s="17" t="s">
        <v>1120</v>
      </c>
      <c r="E383" s="17">
        <v>93667</v>
      </c>
      <c r="F383" s="17"/>
      <c r="G383" s="17">
        <v>1998</v>
      </c>
      <c r="H383" s="17">
        <v>8</v>
      </c>
      <c r="I383" s="8">
        <v>0.2</v>
      </c>
      <c r="J383" s="17" t="s">
        <v>78</v>
      </c>
      <c r="K383" s="17">
        <v>7</v>
      </c>
      <c r="L383" s="17">
        <f t="shared" si="114"/>
        <v>2005</v>
      </c>
      <c r="M383" s="17">
        <f t="shared" si="115"/>
        <v>2005.6666666666667</v>
      </c>
      <c r="N383" s="17">
        <v>70352.53</v>
      </c>
      <c r="O383" s="17">
        <f t="shared" si="116"/>
        <v>56282.023999999998</v>
      </c>
      <c r="P383" s="17">
        <f t="shared" si="117"/>
        <v>670.02409523809524</v>
      </c>
      <c r="Q383" s="17">
        <f t="shared" si="118"/>
        <v>8040.2891428571429</v>
      </c>
      <c r="R383" s="17">
        <f t="shared" si="119"/>
        <v>0</v>
      </c>
      <c r="S383" s="17">
        <f t="shared" si="120"/>
        <v>70352.53</v>
      </c>
      <c r="T383" s="17">
        <f t="shared" si="121"/>
        <v>56282.023999999998</v>
      </c>
      <c r="U383" s="17">
        <f t="shared" si="122"/>
        <v>0</v>
      </c>
      <c r="V383" s="17"/>
      <c r="W383" s="17"/>
      <c r="X383" s="17"/>
    </row>
    <row r="384" spans="1:24">
      <c r="A384" s="17" t="s">
        <v>280</v>
      </c>
      <c r="B384" s="17"/>
      <c r="C384" s="17">
        <v>8015</v>
      </c>
      <c r="D384" s="17" t="s">
        <v>1119</v>
      </c>
      <c r="E384" s="17">
        <v>128757</v>
      </c>
      <c r="F384" s="17">
        <v>93667</v>
      </c>
      <c r="G384" s="17">
        <v>2015</v>
      </c>
      <c r="H384" s="17">
        <v>12</v>
      </c>
      <c r="I384" s="8">
        <v>0</v>
      </c>
      <c r="J384" s="17" t="s">
        <v>78</v>
      </c>
      <c r="K384" s="17">
        <v>3</v>
      </c>
      <c r="L384" s="17">
        <f t="shared" si="114"/>
        <v>2018</v>
      </c>
      <c r="M384" s="17">
        <f t="shared" si="115"/>
        <v>2019</v>
      </c>
      <c r="N384" s="17">
        <v>29286.25</v>
      </c>
      <c r="O384" s="17">
        <f t="shared" si="116"/>
        <v>29286.25</v>
      </c>
      <c r="P384" s="17">
        <f t="shared" si="117"/>
        <v>813.50694444444446</v>
      </c>
      <c r="Q384" s="17">
        <f t="shared" si="118"/>
        <v>9762.0833333333339</v>
      </c>
      <c r="R384" s="17">
        <f t="shared" si="119"/>
        <v>9762.0833333333339</v>
      </c>
      <c r="S384" s="17">
        <f t="shared" si="120"/>
        <v>19524.166666666668</v>
      </c>
      <c r="T384" s="17">
        <f t="shared" si="121"/>
        <v>29286.25</v>
      </c>
      <c r="U384" s="17">
        <f t="shared" si="122"/>
        <v>4881.0416666666661</v>
      </c>
      <c r="V384" s="17"/>
      <c r="W384" s="17"/>
      <c r="X384" s="17"/>
    </row>
    <row r="385" spans="1:24">
      <c r="A385" s="17" t="s">
        <v>280</v>
      </c>
      <c r="B385" s="17" t="s">
        <v>281</v>
      </c>
      <c r="C385" s="17">
        <v>8016</v>
      </c>
      <c r="D385" s="17" t="s">
        <v>1121</v>
      </c>
      <c r="E385" s="17">
        <v>93668</v>
      </c>
      <c r="F385" s="17"/>
      <c r="G385" s="17">
        <v>1998</v>
      </c>
      <c r="H385" s="17">
        <v>8</v>
      </c>
      <c r="I385" s="8">
        <v>0.2</v>
      </c>
      <c r="J385" s="17" t="s">
        <v>78</v>
      </c>
      <c r="K385" s="17">
        <v>7</v>
      </c>
      <c r="L385" s="17">
        <f t="shared" si="114"/>
        <v>2005</v>
      </c>
      <c r="M385" s="17">
        <f t="shared" si="115"/>
        <v>2005.6666666666667</v>
      </c>
      <c r="N385" s="17">
        <v>70661.039999999994</v>
      </c>
      <c r="O385" s="17">
        <f t="shared" si="116"/>
        <v>56528.831999999995</v>
      </c>
      <c r="P385" s="17">
        <f t="shared" si="117"/>
        <v>672.96228571428571</v>
      </c>
      <c r="Q385" s="17">
        <f t="shared" si="118"/>
        <v>8075.5474285714281</v>
      </c>
      <c r="R385" s="17">
        <f t="shared" si="119"/>
        <v>0</v>
      </c>
      <c r="S385" s="17">
        <f t="shared" si="120"/>
        <v>70661.039999999994</v>
      </c>
      <c r="T385" s="17">
        <f t="shared" si="121"/>
        <v>56528.831999999995</v>
      </c>
      <c r="U385" s="17">
        <f t="shared" si="122"/>
        <v>0</v>
      </c>
      <c r="V385" s="17"/>
      <c r="W385" s="17"/>
      <c r="X385" s="17"/>
    </row>
    <row r="386" spans="1:24">
      <c r="A386" s="17" t="s">
        <v>280</v>
      </c>
      <c r="B386" s="17"/>
      <c r="C386" s="17">
        <v>8016</v>
      </c>
      <c r="D386" s="17" t="s">
        <v>1119</v>
      </c>
      <c r="E386" s="17">
        <v>128758</v>
      </c>
      <c r="F386" s="17">
        <v>93668</v>
      </c>
      <c r="G386" s="17">
        <v>2015</v>
      </c>
      <c r="H386" s="17">
        <v>12</v>
      </c>
      <c r="I386" s="8">
        <v>0</v>
      </c>
      <c r="J386" s="17" t="s">
        <v>78</v>
      </c>
      <c r="K386" s="17">
        <v>3</v>
      </c>
      <c r="L386" s="17">
        <f t="shared" si="114"/>
        <v>2018</v>
      </c>
      <c r="M386" s="17">
        <f t="shared" si="115"/>
        <v>2019</v>
      </c>
      <c r="N386" s="17">
        <v>25074.35</v>
      </c>
      <c r="O386" s="17">
        <f t="shared" si="116"/>
        <v>25074.35</v>
      </c>
      <c r="P386" s="17">
        <f t="shared" si="117"/>
        <v>696.50972222222219</v>
      </c>
      <c r="Q386" s="17">
        <f t="shared" si="118"/>
        <v>8358.1166666666668</v>
      </c>
      <c r="R386" s="17">
        <f t="shared" si="119"/>
        <v>8358.1166666666668</v>
      </c>
      <c r="S386" s="17">
        <f t="shared" si="120"/>
        <v>16716.233333333334</v>
      </c>
      <c r="T386" s="17">
        <f t="shared" si="121"/>
        <v>25074.35</v>
      </c>
      <c r="U386" s="17">
        <f t="shared" si="122"/>
        <v>4179.0583333333325</v>
      </c>
      <c r="V386" s="17"/>
      <c r="W386" s="17"/>
      <c r="X386" s="17"/>
    </row>
    <row r="387" spans="1:24">
      <c r="A387" s="17" t="s">
        <v>371</v>
      </c>
      <c r="B387" s="17" t="s">
        <v>111</v>
      </c>
      <c r="C387" s="17">
        <v>3568</v>
      </c>
      <c r="D387" s="17" t="s">
        <v>1122</v>
      </c>
      <c r="E387" s="17">
        <v>60743</v>
      </c>
      <c r="F387" s="17"/>
      <c r="G387" s="17">
        <v>2002</v>
      </c>
      <c r="H387" s="17">
        <v>6</v>
      </c>
      <c r="I387" s="8">
        <v>0.2</v>
      </c>
      <c r="J387" s="17" t="s">
        <v>78</v>
      </c>
      <c r="K387" s="17">
        <v>7</v>
      </c>
      <c r="L387" s="17">
        <f t="shared" si="114"/>
        <v>2009</v>
      </c>
      <c r="M387" s="17">
        <f t="shared" si="115"/>
        <v>2009.5</v>
      </c>
      <c r="N387" s="17">
        <v>159699.16</v>
      </c>
      <c r="O387" s="17">
        <f t="shared" si="116"/>
        <v>127759.32800000001</v>
      </c>
      <c r="P387" s="17">
        <f t="shared" si="117"/>
        <v>1520.9443809523809</v>
      </c>
      <c r="Q387" s="17">
        <f t="shared" si="118"/>
        <v>18251.332571428571</v>
      </c>
      <c r="R387" s="17">
        <f t="shared" si="119"/>
        <v>0</v>
      </c>
      <c r="S387" s="17">
        <f t="shared" si="120"/>
        <v>159699.16</v>
      </c>
      <c r="T387" s="17">
        <f t="shared" si="121"/>
        <v>127759.32800000001</v>
      </c>
      <c r="U387" s="17">
        <f t="shared" si="122"/>
        <v>0</v>
      </c>
      <c r="V387" s="17"/>
      <c r="W387" s="17" t="s">
        <v>300</v>
      </c>
      <c r="X387" s="17"/>
    </row>
    <row r="388" spans="1:24">
      <c r="A388" s="17" t="s">
        <v>246</v>
      </c>
      <c r="B388" s="17"/>
      <c r="C388" s="17">
        <v>3568</v>
      </c>
      <c r="D388" s="17" t="s">
        <v>1123</v>
      </c>
      <c r="E388" s="17">
        <v>65010</v>
      </c>
      <c r="F388" s="17">
        <v>60743</v>
      </c>
      <c r="G388" s="17">
        <v>2009</v>
      </c>
      <c r="H388" s="17">
        <v>5</v>
      </c>
      <c r="I388" s="8">
        <v>0</v>
      </c>
      <c r="J388" s="17" t="s">
        <v>78</v>
      </c>
      <c r="K388" s="17">
        <v>3</v>
      </c>
      <c r="L388" s="17">
        <f t="shared" si="114"/>
        <v>2012</v>
      </c>
      <c r="M388" s="17">
        <f t="shared" si="115"/>
        <v>2012.4166666666667</v>
      </c>
      <c r="N388" s="17">
        <v>3229.7</v>
      </c>
      <c r="O388" s="17">
        <f t="shared" si="116"/>
        <v>3229.7</v>
      </c>
      <c r="P388" s="17">
        <f t="shared" si="117"/>
        <v>89.713888888888889</v>
      </c>
      <c r="Q388" s="17">
        <f t="shared" si="118"/>
        <v>1076.5666666666666</v>
      </c>
      <c r="R388" s="17">
        <f t="shared" si="119"/>
        <v>0</v>
      </c>
      <c r="S388" s="17">
        <f t="shared" si="120"/>
        <v>3229.7</v>
      </c>
      <c r="T388" s="17">
        <f t="shared" si="121"/>
        <v>3229.7</v>
      </c>
      <c r="U388" s="17">
        <f t="shared" si="122"/>
        <v>0</v>
      </c>
      <c r="V388" s="17"/>
      <c r="W388" s="17"/>
      <c r="X388" s="17"/>
    </row>
    <row r="389" spans="1:24">
      <c r="A389" s="17" t="s">
        <v>75</v>
      </c>
      <c r="B389" s="17" t="s">
        <v>111</v>
      </c>
      <c r="C389" s="17">
        <v>3589</v>
      </c>
      <c r="D389" s="17" t="s">
        <v>346</v>
      </c>
      <c r="E389" s="17">
        <v>60765</v>
      </c>
      <c r="F389" s="17"/>
      <c r="G389" s="17">
        <v>2006</v>
      </c>
      <c r="H389" s="17">
        <v>6</v>
      </c>
      <c r="I389" s="8">
        <v>0.2</v>
      </c>
      <c r="J389" s="17" t="s">
        <v>78</v>
      </c>
      <c r="K389" s="17">
        <v>7</v>
      </c>
      <c r="L389" s="17">
        <f t="shared" si="114"/>
        <v>2013</v>
      </c>
      <c r="M389" s="17">
        <f t="shared" si="115"/>
        <v>2013.5</v>
      </c>
      <c r="N389" s="17">
        <v>183553.22</v>
      </c>
      <c r="O389" s="17">
        <f t="shared" si="116"/>
        <v>146842.576</v>
      </c>
      <c r="P389" s="17">
        <f t="shared" si="117"/>
        <v>1748.1259047619048</v>
      </c>
      <c r="Q389" s="17">
        <f t="shared" si="118"/>
        <v>20977.510857142857</v>
      </c>
      <c r="R389" s="17">
        <f t="shared" si="119"/>
        <v>0</v>
      </c>
      <c r="S389" s="17">
        <f t="shared" si="120"/>
        <v>183553.22</v>
      </c>
      <c r="T389" s="17">
        <f t="shared" si="121"/>
        <v>146842.576</v>
      </c>
      <c r="U389" s="17">
        <f t="shared" si="122"/>
        <v>0</v>
      </c>
      <c r="V389" s="17"/>
      <c r="W389" s="17"/>
      <c r="X389" s="17" t="s">
        <v>300</v>
      </c>
    </row>
    <row r="390" spans="1:24">
      <c r="A390" s="17" t="s">
        <v>75</v>
      </c>
      <c r="B390" s="17" t="s">
        <v>111</v>
      </c>
      <c r="C390" s="17">
        <v>3597</v>
      </c>
      <c r="D390" s="17" t="s">
        <v>1124</v>
      </c>
      <c r="E390" s="17">
        <v>66902</v>
      </c>
      <c r="F390" s="17"/>
      <c r="G390" s="17">
        <v>2006</v>
      </c>
      <c r="H390" s="17">
        <v>7</v>
      </c>
      <c r="I390" s="8">
        <v>0.2</v>
      </c>
      <c r="J390" s="17" t="s">
        <v>78</v>
      </c>
      <c r="K390" s="17">
        <v>7</v>
      </c>
      <c r="L390" s="17">
        <f t="shared" si="114"/>
        <v>2013</v>
      </c>
      <c r="M390" s="17">
        <f t="shared" si="115"/>
        <v>2013.5833333333333</v>
      </c>
      <c r="N390" s="17">
        <v>195928.31</v>
      </c>
      <c r="O390" s="17">
        <f t="shared" si="116"/>
        <v>156742.64799999999</v>
      </c>
      <c r="P390" s="17">
        <f t="shared" si="117"/>
        <v>1865.9839047619046</v>
      </c>
      <c r="Q390" s="17">
        <f t="shared" si="118"/>
        <v>22391.806857142856</v>
      </c>
      <c r="R390" s="17">
        <f t="shared" si="119"/>
        <v>0</v>
      </c>
      <c r="S390" s="17">
        <f t="shared" si="120"/>
        <v>195928.31</v>
      </c>
      <c r="T390" s="17">
        <f t="shared" si="121"/>
        <v>156742.64799999999</v>
      </c>
      <c r="U390" s="17">
        <f t="shared" si="122"/>
        <v>0</v>
      </c>
      <c r="V390" s="17"/>
      <c r="W390" s="17"/>
      <c r="X390" s="17" t="s">
        <v>1042</v>
      </c>
    </row>
    <row r="391" spans="1:24">
      <c r="A391" s="17" t="s">
        <v>75</v>
      </c>
      <c r="B391" s="17" t="s">
        <v>76</v>
      </c>
      <c r="C391" s="17">
        <v>1030</v>
      </c>
      <c r="D391" s="17" t="s">
        <v>1125</v>
      </c>
      <c r="E391" s="17">
        <v>90540</v>
      </c>
      <c r="F391" s="17"/>
      <c r="G391" s="17">
        <v>2000</v>
      </c>
      <c r="H391" s="17">
        <v>6</v>
      </c>
      <c r="I391" s="8">
        <v>0.2</v>
      </c>
      <c r="J391" s="17" t="s">
        <v>78</v>
      </c>
      <c r="K391" s="17">
        <v>7</v>
      </c>
      <c r="L391" s="17">
        <f t="shared" si="114"/>
        <v>2007</v>
      </c>
      <c r="M391" s="17">
        <f t="shared" si="115"/>
        <v>2007.5</v>
      </c>
      <c r="N391" s="17">
        <v>95126.42</v>
      </c>
      <c r="O391" s="17">
        <f t="shared" si="116"/>
        <v>76101.135999999999</v>
      </c>
      <c r="P391" s="17">
        <f t="shared" si="117"/>
        <v>905.96590476190477</v>
      </c>
      <c r="Q391" s="17">
        <f t="shared" si="118"/>
        <v>10871.590857142857</v>
      </c>
      <c r="R391" s="17">
        <f t="shared" si="119"/>
        <v>0</v>
      </c>
      <c r="S391" s="17">
        <f t="shared" si="120"/>
        <v>95126.42</v>
      </c>
      <c r="T391" s="17">
        <f t="shared" si="121"/>
        <v>76101.135999999999</v>
      </c>
      <c r="U391" s="17">
        <f t="shared" si="122"/>
        <v>0</v>
      </c>
      <c r="V391" s="17"/>
      <c r="W391" s="17"/>
      <c r="X391" s="17" t="s">
        <v>1042</v>
      </c>
    </row>
    <row r="392" spans="1:24">
      <c r="A392" s="17"/>
      <c r="B392" s="17" t="s">
        <v>255</v>
      </c>
      <c r="C392" s="17">
        <v>7379</v>
      </c>
      <c r="D392" s="17" t="s">
        <v>1126</v>
      </c>
      <c r="E392" s="17">
        <v>86833</v>
      </c>
      <c r="F392" s="17"/>
      <c r="G392" s="17">
        <v>2000</v>
      </c>
      <c r="H392" s="17">
        <v>4</v>
      </c>
      <c r="I392" s="8">
        <v>0.2</v>
      </c>
      <c r="J392" s="17" t="s">
        <v>78</v>
      </c>
      <c r="K392" s="17">
        <v>7</v>
      </c>
      <c r="L392" s="17">
        <f t="shared" si="114"/>
        <v>2007</v>
      </c>
      <c r="M392" s="17">
        <f t="shared" si="115"/>
        <v>2007.3333333333333</v>
      </c>
      <c r="N392" s="17">
        <v>11133.99</v>
      </c>
      <c r="O392" s="17">
        <f t="shared" si="116"/>
        <v>8907.1919999999991</v>
      </c>
      <c r="P392" s="17">
        <f t="shared" si="117"/>
        <v>106.038</v>
      </c>
      <c r="Q392" s="17">
        <f t="shared" si="118"/>
        <v>1272.4559999999999</v>
      </c>
      <c r="R392" s="17">
        <f t="shared" si="119"/>
        <v>0</v>
      </c>
      <c r="S392" s="17">
        <f t="shared" si="120"/>
        <v>11133.99</v>
      </c>
      <c r="T392" s="17">
        <f t="shared" si="121"/>
        <v>8907.1919999999991</v>
      </c>
      <c r="U392" s="17">
        <f t="shared" si="122"/>
        <v>0</v>
      </c>
      <c r="V392" s="17"/>
      <c r="W392" s="17"/>
      <c r="X392" s="17"/>
    </row>
    <row r="395" spans="1:24">
      <c r="A395" s="17"/>
      <c r="B395" s="17" t="s">
        <v>1127</v>
      </c>
      <c r="C395" s="17"/>
      <c r="D395" s="17"/>
      <c r="E395" s="17"/>
      <c r="F395" s="17"/>
      <c r="G395" s="17"/>
      <c r="H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</row>
    <row r="396" spans="1:24">
      <c r="A396" s="17"/>
      <c r="B396" s="17" t="s">
        <v>1128</v>
      </c>
      <c r="C396" s="17">
        <v>1077</v>
      </c>
      <c r="D396" s="17" t="s">
        <v>1129</v>
      </c>
      <c r="E396" s="17">
        <v>185116</v>
      </c>
      <c r="F396" s="17" t="s">
        <v>97</v>
      </c>
      <c r="G396" s="17">
        <v>2016</v>
      </c>
      <c r="H396" s="17">
        <v>8</v>
      </c>
      <c r="I396" s="8">
        <v>0</v>
      </c>
      <c r="J396" s="17" t="s">
        <v>78</v>
      </c>
      <c r="K396" s="17">
        <v>10</v>
      </c>
      <c r="L396" s="17">
        <f t="shared" ref="L396:L427" si="123">G396+K396</f>
        <v>2026</v>
      </c>
      <c r="M396" s="17">
        <f t="shared" ref="M396:M427" si="124">+L396+(H396/12)</f>
        <v>2026.6666666666667</v>
      </c>
      <c r="N396" s="17">
        <v>172715.61</v>
      </c>
      <c r="O396" s="17">
        <f t="shared" ref="O396:O427" si="125">N396-N396*I396</f>
        <v>172715.61</v>
      </c>
      <c r="P396" s="17">
        <f t="shared" ref="P396:P427" si="126">O396/K396/12</f>
        <v>1439.2967499999997</v>
      </c>
      <c r="Q396" s="17">
        <f t="shared" ref="Q396:Q427" si="127">P396*12</f>
        <v>17271.560999999998</v>
      </c>
      <c r="R396" s="17">
        <f t="shared" ref="R396:R427" si="128">+IF(M396&lt;=$O$6,0,IF(L396&gt;$O$5,Q396,(P396*G396)))</f>
        <v>17271.560999999998</v>
      </c>
      <c r="S396" s="17">
        <f t="shared" ref="S396:S427" si="129">+IF(R396=0,N396,IF($O$5-G396&lt;1,0,(($O$5-G396)*Q396)))</f>
        <v>17271.560999999998</v>
      </c>
      <c r="T396" s="17">
        <f t="shared" ref="T396:T427" si="130">+IF(R396=0,S396,S396+R396)-(N396-O396)</f>
        <v>34543.121999999996</v>
      </c>
      <c r="U396" s="17">
        <f t="shared" ref="U396:U427" si="131">+IF(R396=0,0,((N396-S396)+(N396-T396))/2)</f>
        <v>146808.26850000001</v>
      </c>
      <c r="V396" s="17"/>
      <c r="W396" s="17"/>
      <c r="X396" s="17"/>
    </row>
    <row r="397" spans="1:24">
      <c r="A397" s="17"/>
      <c r="B397" s="17"/>
      <c r="C397" s="17">
        <v>3637</v>
      </c>
      <c r="D397" s="17" t="s">
        <v>1130</v>
      </c>
      <c r="E397" s="17">
        <v>113082</v>
      </c>
      <c r="F397" s="17"/>
      <c r="G397" s="17">
        <v>2013</v>
      </c>
      <c r="H397" s="17">
        <v>6</v>
      </c>
      <c r="I397" s="8">
        <v>0.33</v>
      </c>
      <c r="J397" s="17" t="s">
        <v>78</v>
      </c>
      <c r="K397" s="17">
        <v>5</v>
      </c>
      <c r="L397" s="17">
        <f t="shared" si="123"/>
        <v>2018</v>
      </c>
      <c r="M397" s="17">
        <f t="shared" si="124"/>
        <v>2018.5</v>
      </c>
      <c r="N397" s="17">
        <f>181525</f>
        <v>181525</v>
      </c>
      <c r="O397" s="17">
        <f t="shared" si="125"/>
        <v>121621.75</v>
      </c>
      <c r="P397" s="17">
        <f t="shared" si="126"/>
        <v>2027.0291666666665</v>
      </c>
      <c r="Q397" s="17">
        <f t="shared" si="127"/>
        <v>24324.35</v>
      </c>
      <c r="R397" s="17">
        <f t="shared" si="128"/>
        <v>24324.35</v>
      </c>
      <c r="S397" s="17">
        <f t="shared" si="129"/>
        <v>97297.4</v>
      </c>
      <c r="T397" s="17">
        <f t="shared" si="130"/>
        <v>61718.5</v>
      </c>
      <c r="U397" s="17">
        <f t="shared" si="131"/>
        <v>102017.05</v>
      </c>
      <c r="V397" s="17"/>
      <c r="W397" s="17"/>
      <c r="X397" s="17"/>
    </row>
    <row r="398" spans="1:24">
      <c r="A398" s="17" t="s">
        <v>38</v>
      </c>
      <c r="B398" s="17" t="s">
        <v>1131</v>
      </c>
      <c r="C398" s="17">
        <v>7375</v>
      </c>
      <c r="D398" s="17" t="s">
        <v>1132</v>
      </c>
      <c r="E398" s="17"/>
      <c r="F398" s="17"/>
      <c r="G398" s="17">
        <v>2002</v>
      </c>
      <c r="H398" s="17">
        <v>12</v>
      </c>
      <c r="I398" s="8">
        <v>0.2</v>
      </c>
      <c r="J398" s="17" t="s">
        <v>78</v>
      </c>
      <c r="K398" s="17">
        <v>7</v>
      </c>
      <c r="L398" s="17">
        <f t="shared" si="123"/>
        <v>2009</v>
      </c>
      <c r="M398" s="17">
        <f t="shared" si="124"/>
        <v>2010</v>
      </c>
      <c r="N398" s="17">
        <v>332897.53999999998</v>
      </c>
      <c r="O398" s="17">
        <f t="shared" si="125"/>
        <v>266318.03200000001</v>
      </c>
      <c r="P398" s="17">
        <f t="shared" si="126"/>
        <v>3170.4527619047622</v>
      </c>
      <c r="Q398" s="17">
        <f t="shared" si="127"/>
        <v>38045.433142857146</v>
      </c>
      <c r="R398" s="17">
        <f t="shared" si="128"/>
        <v>0</v>
      </c>
      <c r="S398" s="17">
        <f t="shared" si="129"/>
        <v>332897.53999999998</v>
      </c>
      <c r="T398" s="17">
        <f t="shared" si="130"/>
        <v>266318.03200000001</v>
      </c>
      <c r="U398" s="17">
        <f t="shared" si="131"/>
        <v>0</v>
      </c>
      <c r="V398" s="17"/>
      <c r="W398" s="17" t="s">
        <v>1042</v>
      </c>
      <c r="X398" s="17"/>
    </row>
    <row r="399" spans="1:24">
      <c r="A399" s="17" t="s">
        <v>38</v>
      </c>
      <c r="B399" s="17" t="s">
        <v>1131</v>
      </c>
      <c r="C399" s="17">
        <v>7375</v>
      </c>
      <c r="D399" s="17" t="s">
        <v>1133</v>
      </c>
      <c r="E399" s="17"/>
      <c r="F399" s="17"/>
      <c r="G399" s="17">
        <v>2009</v>
      </c>
      <c r="H399" s="17">
        <v>6</v>
      </c>
      <c r="I399" s="8">
        <v>0</v>
      </c>
      <c r="J399" s="17" t="s">
        <v>78</v>
      </c>
      <c r="K399" s="17">
        <v>3</v>
      </c>
      <c r="L399" s="17">
        <f t="shared" si="123"/>
        <v>2012</v>
      </c>
      <c r="M399" s="17">
        <f t="shared" si="124"/>
        <v>2012.5</v>
      </c>
      <c r="N399" s="17">
        <v>11056.35</v>
      </c>
      <c r="O399" s="17">
        <f t="shared" si="125"/>
        <v>11056.35</v>
      </c>
      <c r="P399" s="17">
        <f t="shared" si="126"/>
        <v>307.12083333333334</v>
      </c>
      <c r="Q399" s="17">
        <f t="shared" si="127"/>
        <v>3685.45</v>
      </c>
      <c r="R399" s="17">
        <f t="shared" si="128"/>
        <v>0</v>
      </c>
      <c r="S399" s="17">
        <f t="shared" si="129"/>
        <v>11056.35</v>
      </c>
      <c r="T399" s="17">
        <f t="shared" si="130"/>
        <v>11056.35</v>
      </c>
      <c r="U399" s="17">
        <f t="shared" si="131"/>
        <v>0</v>
      </c>
      <c r="V399" s="17"/>
      <c r="W399" s="17" t="s">
        <v>1042</v>
      </c>
      <c r="X399" s="17"/>
    </row>
    <row r="400" spans="1:24">
      <c r="A400" s="17" t="s">
        <v>38</v>
      </c>
      <c r="B400" s="17" t="s">
        <v>1131</v>
      </c>
      <c r="C400" s="17">
        <v>7389</v>
      </c>
      <c r="D400" s="17" t="s">
        <v>1134</v>
      </c>
      <c r="E400" s="17"/>
      <c r="F400" s="17"/>
      <c r="G400" s="17">
        <v>1996</v>
      </c>
      <c r="H400" s="17">
        <v>1</v>
      </c>
      <c r="I400" s="8">
        <v>0.2</v>
      </c>
      <c r="J400" s="17" t="s">
        <v>78</v>
      </c>
      <c r="K400" s="17">
        <v>7</v>
      </c>
      <c r="L400" s="17">
        <f t="shared" si="123"/>
        <v>2003</v>
      </c>
      <c r="M400" s="17">
        <f t="shared" si="124"/>
        <v>2003.0833333333333</v>
      </c>
      <c r="N400" s="17">
        <v>52500</v>
      </c>
      <c r="O400" s="17">
        <f t="shared" si="125"/>
        <v>42000</v>
      </c>
      <c r="P400" s="17">
        <f t="shared" si="126"/>
        <v>500</v>
      </c>
      <c r="Q400" s="17">
        <f t="shared" si="127"/>
        <v>6000</v>
      </c>
      <c r="R400" s="17">
        <f t="shared" si="128"/>
        <v>0</v>
      </c>
      <c r="S400" s="17">
        <f t="shared" si="129"/>
        <v>52500</v>
      </c>
      <c r="T400" s="17">
        <f t="shared" si="130"/>
        <v>42000</v>
      </c>
      <c r="U400" s="17">
        <f t="shared" si="131"/>
        <v>0</v>
      </c>
      <c r="V400" s="17"/>
      <c r="W400" s="17" t="s">
        <v>1042</v>
      </c>
      <c r="X400" s="17"/>
    </row>
    <row r="401" spans="1:23">
      <c r="A401" s="17" t="s">
        <v>38</v>
      </c>
      <c r="B401" s="17" t="s">
        <v>1131</v>
      </c>
      <c r="C401" s="17">
        <v>7389</v>
      </c>
      <c r="D401" s="17" t="s">
        <v>1135</v>
      </c>
      <c r="E401" s="17"/>
      <c r="F401" s="17"/>
      <c r="G401" s="17">
        <v>2009</v>
      </c>
      <c r="H401" s="17">
        <v>5</v>
      </c>
      <c r="I401" s="8">
        <v>0</v>
      </c>
      <c r="J401" s="17" t="s">
        <v>78</v>
      </c>
      <c r="K401" s="17">
        <v>3</v>
      </c>
      <c r="L401" s="17">
        <f t="shared" si="123"/>
        <v>2012</v>
      </c>
      <c r="M401" s="17">
        <f t="shared" si="124"/>
        <v>2012.4166666666667</v>
      </c>
      <c r="N401" s="17">
        <v>29147.34</v>
      </c>
      <c r="O401" s="17">
        <f t="shared" si="125"/>
        <v>29147.34</v>
      </c>
      <c r="P401" s="17">
        <f t="shared" si="126"/>
        <v>809.64833333333343</v>
      </c>
      <c r="Q401" s="17">
        <f t="shared" si="127"/>
        <v>9715.7800000000007</v>
      </c>
      <c r="R401" s="17">
        <f t="shared" si="128"/>
        <v>0</v>
      </c>
      <c r="S401" s="17">
        <f t="shared" si="129"/>
        <v>29147.34</v>
      </c>
      <c r="T401" s="17">
        <f t="shared" si="130"/>
        <v>29147.34</v>
      </c>
      <c r="U401" s="17">
        <f t="shared" si="131"/>
        <v>0</v>
      </c>
      <c r="V401" s="17"/>
      <c r="W401" s="17" t="s">
        <v>1042</v>
      </c>
    </row>
    <row r="402" spans="1:23">
      <c r="A402" s="17" t="s">
        <v>38</v>
      </c>
      <c r="B402" s="17" t="s">
        <v>1131</v>
      </c>
      <c r="C402" s="17">
        <v>8975</v>
      </c>
      <c r="D402" s="17" t="s">
        <v>1136</v>
      </c>
      <c r="E402" s="17"/>
      <c r="F402" s="17"/>
      <c r="G402" s="17">
        <v>2007</v>
      </c>
      <c r="H402" s="17">
        <v>12</v>
      </c>
      <c r="I402" s="8">
        <v>0</v>
      </c>
      <c r="J402" s="17" t="s">
        <v>78</v>
      </c>
      <c r="K402" s="17">
        <v>3</v>
      </c>
      <c r="L402" s="17">
        <f t="shared" si="123"/>
        <v>2010</v>
      </c>
      <c r="M402" s="17">
        <f t="shared" si="124"/>
        <v>2011</v>
      </c>
      <c r="N402" s="17">
        <v>4500</v>
      </c>
      <c r="O402" s="17">
        <f t="shared" si="125"/>
        <v>4500</v>
      </c>
      <c r="P402" s="17">
        <f t="shared" si="126"/>
        <v>125</v>
      </c>
      <c r="Q402" s="17">
        <f t="shared" si="127"/>
        <v>1500</v>
      </c>
      <c r="R402" s="17">
        <f t="shared" si="128"/>
        <v>0</v>
      </c>
      <c r="S402" s="17">
        <f t="shared" si="129"/>
        <v>4500</v>
      </c>
      <c r="T402" s="17">
        <f t="shared" si="130"/>
        <v>4500</v>
      </c>
      <c r="U402" s="17">
        <f t="shared" si="131"/>
        <v>0</v>
      </c>
      <c r="V402" s="17"/>
      <c r="W402" s="17" t="s">
        <v>97</v>
      </c>
    </row>
    <row r="403" spans="1:23">
      <c r="A403" s="17" t="s">
        <v>38</v>
      </c>
      <c r="B403" s="17" t="s">
        <v>1131</v>
      </c>
      <c r="C403" s="17">
        <v>8499</v>
      </c>
      <c r="D403" s="17" t="s">
        <v>1137</v>
      </c>
      <c r="E403" s="17"/>
      <c r="F403" s="17"/>
      <c r="G403" s="17">
        <v>2007</v>
      </c>
      <c r="H403" s="17">
        <v>12</v>
      </c>
      <c r="I403" s="8">
        <v>0.33</v>
      </c>
      <c r="J403" s="17" t="s">
        <v>78</v>
      </c>
      <c r="K403" s="17">
        <v>5</v>
      </c>
      <c r="L403" s="17">
        <f t="shared" si="123"/>
        <v>2012</v>
      </c>
      <c r="M403" s="17">
        <f t="shared" si="124"/>
        <v>2013</v>
      </c>
      <c r="N403" s="17">
        <v>43240</v>
      </c>
      <c r="O403" s="17">
        <f t="shared" si="125"/>
        <v>28970.799999999999</v>
      </c>
      <c r="P403" s="17">
        <f t="shared" si="126"/>
        <v>482.84666666666664</v>
      </c>
      <c r="Q403" s="17">
        <f t="shared" si="127"/>
        <v>5794.16</v>
      </c>
      <c r="R403" s="17">
        <f t="shared" si="128"/>
        <v>0</v>
      </c>
      <c r="S403" s="17">
        <f t="shared" si="129"/>
        <v>43240</v>
      </c>
      <c r="T403" s="17">
        <f t="shared" si="130"/>
        <v>28970.799999999999</v>
      </c>
      <c r="U403" s="17">
        <f t="shared" si="131"/>
        <v>0</v>
      </c>
      <c r="V403" s="17"/>
      <c r="W403" s="17" t="s">
        <v>97</v>
      </c>
    </row>
    <row r="404" spans="1:23">
      <c r="A404" s="17" t="s">
        <v>38</v>
      </c>
      <c r="B404" s="17"/>
      <c r="C404" s="17">
        <v>8499</v>
      </c>
      <c r="D404" s="17" t="s">
        <v>1138</v>
      </c>
      <c r="E404" s="17">
        <v>132233</v>
      </c>
      <c r="F404" s="17">
        <v>90546</v>
      </c>
      <c r="G404" s="17">
        <v>2016</v>
      </c>
      <c r="H404" s="17">
        <v>2</v>
      </c>
      <c r="I404" s="8">
        <v>0</v>
      </c>
      <c r="J404" s="17" t="s">
        <v>78</v>
      </c>
      <c r="K404" s="17">
        <v>3</v>
      </c>
      <c r="L404" s="17">
        <f t="shared" si="123"/>
        <v>2019</v>
      </c>
      <c r="M404" s="17">
        <f t="shared" si="124"/>
        <v>2019.1666666666667</v>
      </c>
      <c r="N404" s="17">
        <v>27292.37</v>
      </c>
      <c r="O404" s="17">
        <f t="shared" si="125"/>
        <v>27292.37</v>
      </c>
      <c r="P404" s="17">
        <f t="shared" si="126"/>
        <v>758.12138888888887</v>
      </c>
      <c r="Q404" s="17">
        <f t="shared" si="127"/>
        <v>9097.4566666666669</v>
      </c>
      <c r="R404" s="17">
        <f t="shared" si="128"/>
        <v>9097.4566666666669</v>
      </c>
      <c r="S404" s="17">
        <f t="shared" si="129"/>
        <v>9097.4566666666669</v>
      </c>
      <c r="T404" s="17">
        <f t="shared" si="130"/>
        <v>18194.913333333334</v>
      </c>
      <c r="U404" s="17">
        <f t="shared" si="131"/>
        <v>13646.184999999998</v>
      </c>
      <c r="V404" s="17"/>
      <c r="W404" s="17"/>
    </row>
    <row r="405" spans="1:23">
      <c r="A405" s="17" t="s">
        <v>38</v>
      </c>
      <c r="B405" s="17" t="s">
        <v>1131</v>
      </c>
      <c r="C405" s="17">
        <v>8497</v>
      </c>
      <c r="D405" s="17" t="s">
        <v>1137</v>
      </c>
      <c r="E405" s="17"/>
      <c r="F405" s="17"/>
      <c r="G405" s="17">
        <v>2007</v>
      </c>
      <c r="H405" s="17">
        <v>12</v>
      </c>
      <c r="I405" s="8">
        <v>0.33</v>
      </c>
      <c r="J405" s="17" t="s">
        <v>78</v>
      </c>
      <c r="K405" s="17">
        <v>5</v>
      </c>
      <c r="L405" s="17">
        <f t="shared" si="123"/>
        <v>2012</v>
      </c>
      <c r="M405" s="17">
        <f t="shared" si="124"/>
        <v>2013</v>
      </c>
      <c r="N405" s="17">
        <v>43240</v>
      </c>
      <c r="O405" s="17">
        <f t="shared" si="125"/>
        <v>28970.799999999999</v>
      </c>
      <c r="P405" s="17">
        <f t="shared" si="126"/>
        <v>482.84666666666664</v>
      </c>
      <c r="Q405" s="17">
        <f t="shared" si="127"/>
        <v>5794.16</v>
      </c>
      <c r="R405" s="17">
        <f t="shared" si="128"/>
        <v>0</v>
      </c>
      <c r="S405" s="17">
        <f t="shared" si="129"/>
        <v>43240</v>
      </c>
      <c r="T405" s="17">
        <f t="shared" si="130"/>
        <v>28970.799999999999</v>
      </c>
      <c r="U405" s="17">
        <f t="shared" si="131"/>
        <v>0</v>
      </c>
      <c r="V405" s="17"/>
      <c r="W405" s="17" t="s">
        <v>97</v>
      </c>
    </row>
    <row r="406" spans="1:23">
      <c r="A406" s="17" t="s">
        <v>38</v>
      </c>
      <c r="B406" s="17" t="s">
        <v>1131</v>
      </c>
      <c r="C406" s="17">
        <v>8497</v>
      </c>
      <c r="D406" s="17" t="s">
        <v>1139</v>
      </c>
      <c r="E406" s="17"/>
      <c r="F406" s="17"/>
      <c r="G406" s="17">
        <v>2015</v>
      </c>
      <c r="H406" s="17">
        <v>7</v>
      </c>
      <c r="I406" s="8">
        <v>0</v>
      </c>
      <c r="J406" s="17" t="s">
        <v>78</v>
      </c>
      <c r="K406" s="17">
        <v>3</v>
      </c>
      <c r="L406" s="17">
        <f t="shared" si="123"/>
        <v>2018</v>
      </c>
      <c r="M406" s="17">
        <f t="shared" si="124"/>
        <v>2018.5833333333333</v>
      </c>
      <c r="N406" s="17">
        <v>19633.62</v>
      </c>
      <c r="O406" s="17">
        <f t="shared" si="125"/>
        <v>19633.62</v>
      </c>
      <c r="P406" s="17">
        <f t="shared" si="126"/>
        <v>545.37833333333333</v>
      </c>
      <c r="Q406" s="17">
        <f t="shared" si="127"/>
        <v>6544.54</v>
      </c>
      <c r="R406" s="17">
        <f t="shared" si="128"/>
        <v>6544.54</v>
      </c>
      <c r="S406" s="17">
        <f t="shared" si="129"/>
        <v>13089.08</v>
      </c>
      <c r="T406" s="17">
        <f t="shared" si="130"/>
        <v>19633.62</v>
      </c>
      <c r="U406" s="17">
        <f t="shared" si="131"/>
        <v>3272.2699999999995</v>
      </c>
      <c r="V406" s="17"/>
      <c r="W406" s="17"/>
    </row>
    <row r="407" spans="1:23">
      <c r="A407" s="17" t="s">
        <v>38</v>
      </c>
      <c r="B407" s="17"/>
      <c r="C407" s="17">
        <v>9184</v>
      </c>
      <c r="D407" s="17" t="s">
        <v>1138</v>
      </c>
      <c r="E407" s="17">
        <v>128836</v>
      </c>
      <c r="F407" s="17">
        <v>90556</v>
      </c>
      <c r="G407" s="17">
        <v>2015</v>
      </c>
      <c r="H407" s="17">
        <v>11</v>
      </c>
      <c r="I407" s="8">
        <v>0</v>
      </c>
      <c r="J407" s="17" t="s">
        <v>78</v>
      </c>
      <c r="K407" s="17">
        <v>3</v>
      </c>
      <c r="L407" s="17">
        <f t="shared" si="123"/>
        <v>2018</v>
      </c>
      <c r="M407" s="17">
        <f t="shared" si="124"/>
        <v>2018.9166666666667</v>
      </c>
      <c r="N407" s="17">
        <v>18350.27</v>
      </c>
      <c r="O407" s="17">
        <f t="shared" si="125"/>
        <v>18350.27</v>
      </c>
      <c r="P407" s="17">
        <f t="shared" si="126"/>
        <v>509.72972222222228</v>
      </c>
      <c r="Q407" s="17">
        <f t="shared" si="127"/>
        <v>6116.7566666666671</v>
      </c>
      <c r="R407" s="17">
        <f t="shared" si="128"/>
        <v>6116.7566666666671</v>
      </c>
      <c r="S407" s="17">
        <f t="shared" si="129"/>
        <v>12233.513333333334</v>
      </c>
      <c r="T407" s="17">
        <f t="shared" si="130"/>
        <v>18350.27</v>
      </c>
      <c r="U407" s="17">
        <f t="shared" si="131"/>
        <v>3058.3783333333331</v>
      </c>
      <c r="V407" s="17"/>
      <c r="W407" s="17"/>
    </row>
    <row r="408" spans="1:23">
      <c r="A408" s="17" t="s">
        <v>38</v>
      </c>
      <c r="B408" s="17" t="s">
        <v>1131</v>
      </c>
      <c r="C408" s="17">
        <v>9184</v>
      </c>
      <c r="D408" s="17" t="s">
        <v>1140</v>
      </c>
      <c r="E408" s="17"/>
      <c r="F408" s="17"/>
      <c r="G408" s="17">
        <v>2008</v>
      </c>
      <c r="H408" s="17">
        <v>2</v>
      </c>
      <c r="I408" s="8">
        <v>0.33</v>
      </c>
      <c r="J408" s="17" t="s">
        <v>78</v>
      </c>
      <c r="K408" s="17">
        <v>5</v>
      </c>
      <c r="L408" s="17">
        <f t="shared" si="123"/>
        <v>2013</v>
      </c>
      <c r="M408" s="17">
        <f t="shared" si="124"/>
        <v>2013.1666666666667</v>
      </c>
      <c r="N408" s="17">
        <f>102695+21860.45</f>
        <v>124555.45</v>
      </c>
      <c r="O408" s="17">
        <f t="shared" si="125"/>
        <v>83452.151499999993</v>
      </c>
      <c r="P408" s="17">
        <f t="shared" si="126"/>
        <v>1390.8691916666667</v>
      </c>
      <c r="Q408" s="17">
        <f t="shared" si="127"/>
        <v>16690.4303</v>
      </c>
      <c r="R408" s="17">
        <f t="shared" si="128"/>
        <v>0</v>
      </c>
      <c r="S408" s="17">
        <f t="shared" si="129"/>
        <v>124555.45</v>
      </c>
      <c r="T408" s="17">
        <f t="shared" si="130"/>
        <v>83452.151499999993</v>
      </c>
      <c r="U408" s="17">
        <f t="shared" si="131"/>
        <v>0</v>
      </c>
      <c r="V408" s="17"/>
      <c r="W408" s="17" t="s">
        <v>300</v>
      </c>
    </row>
    <row r="409" spans="1:23">
      <c r="A409" s="17" t="s">
        <v>38</v>
      </c>
      <c r="B409" s="17" t="s">
        <v>1131</v>
      </c>
      <c r="C409" s="17">
        <v>9184</v>
      </c>
      <c r="D409" s="17" t="s">
        <v>1141</v>
      </c>
      <c r="E409" s="17"/>
      <c r="F409" s="17"/>
      <c r="G409" s="17">
        <v>2015</v>
      </c>
      <c r="H409" s="17">
        <v>3</v>
      </c>
      <c r="I409" s="8">
        <v>0</v>
      </c>
      <c r="J409" s="17" t="s">
        <v>78</v>
      </c>
      <c r="K409" s="17">
        <v>3</v>
      </c>
      <c r="L409" s="17">
        <f t="shared" si="123"/>
        <v>2018</v>
      </c>
      <c r="M409" s="17">
        <f t="shared" si="124"/>
        <v>2018.25</v>
      </c>
      <c r="N409" s="17">
        <v>4896</v>
      </c>
      <c r="O409" s="17">
        <f t="shared" si="125"/>
        <v>4896</v>
      </c>
      <c r="P409" s="17">
        <f t="shared" si="126"/>
        <v>136</v>
      </c>
      <c r="Q409" s="17">
        <f t="shared" si="127"/>
        <v>1632</v>
      </c>
      <c r="R409" s="17">
        <f t="shared" si="128"/>
        <v>1632</v>
      </c>
      <c r="S409" s="17">
        <f t="shared" si="129"/>
        <v>3264</v>
      </c>
      <c r="T409" s="17">
        <f t="shared" si="130"/>
        <v>4896</v>
      </c>
      <c r="U409" s="17">
        <f t="shared" si="131"/>
        <v>816</v>
      </c>
      <c r="V409" s="17"/>
      <c r="W409" s="17"/>
    </row>
    <row r="410" spans="1:23">
      <c r="A410" s="17" t="s">
        <v>38</v>
      </c>
      <c r="B410" s="17" t="s">
        <v>1131</v>
      </c>
      <c r="C410" s="17">
        <v>9185</v>
      </c>
      <c r="D410" s="17" t="s">
        <v>1140</v>
      </c>
      <c r="E410" s="17"/>
      <c r="F410" s="17"/>
      <c r="G410" s="17">
        <v>2008</v>
      </c>
      <c r="H410" s="17">
        <v>2</v>
      </c>
      <c r="I410" s="8">
        <v>0.33</v>
      </c>
      <c r="J410" s="17" t="s">
        <v>78</v>
      </c>
      <c r="K410" s="17">
        <v>5</v>
      </c>
      <c r="L410" s="17">
        <f t="shared" si="123"/>
        <v>2013</v>
      </c>
      <c r="M410" s="17">
        <f t="shared" si="124"/>
        <v>2013.1666666666667</v>
      </c>
      <c r="N410" s="17">
        <f>102695+21589.37</f>
        <v>124284.37</v>
      </c>
      <c r="O410" s="17">
        <f t="shared" si="125"/>
        <v>83270.527899999986</v>
      </c>
      <c r="P410" s="17">
        <f t="shared" si="126"/>
        <v>1387.8421316666663</v>
      </c>
      <c r="Q410" s="17">
        <f t="shared" si="127"/>
        <v>16654.105579999996</v>
      </c>
      <c r="R410" s="17">
        <f t="shared" si="128"/>
        <v>0</v>
      </c>
      <c r="S410" s="17">
        <f t="shared" si="129"/>
        <v>124284.37</v>
      </c>
      <c r="T410" s="17">
        <f t="shared" si="130"/>
        <v>83270.527899999986</v>
      </c>
      <c r="U410" s="17">
        <f t="shared" si="131"/>
        <v>0</v>
      </c>
      <c r="V410" s="17"/>
      <c r="W410" s="17" t="s">
        <v>300</v>
      </c>
    </row>
    <row r="411" spans="1:23">
      <c r="A411" s="17" t="s">
        <v>38</v>
      </c>
      <c r="B411" s="17"/>
      <c r="C411" s="17">
        <v>9185</v>
      </c>
      <c r="D411" s="17" t="s">
        <v>1138</v>
      </c>
      <c r="E411" s="17">
        <v>132232</v>
      </c>
      <c r="F411" s="17">
        <v>90557</v>
      </c>
      <c r="G411" s="17">
        <v>2016</v>
      </c>
      <c r="H411" s="17">
        <v>2</v>
      </c>
      <c r="I411" s="8">
        <v>0</v>
      </c>
      <c r="J411" s="17" t="s">
        <v>78</v>
      </c>
      <c r="K411" s="17">
        <v>3</v>
      </c>
      <c r="L411" s="17">
        <f t="shared" si="123"/>
        <v>2019</v>
      </c>
      <c r="M411" s="17">
        <f t="shared" si="124"/>
        <v>2019.1666666666667</v>
      </c>
      <c r="N411" s="17">
        <v>19952.88</v>
      </c>
      <c r="O411" s="17">
        <f t="shared" si="125"/>
        <v>19952.88</v>
      </c>
      <c r="P411" s="17">
        <f t="shared" si="126"/>
        <v>554.24666666666667</v>
      </c>
      <c r="Q411" s="17">
        <f t="shared" si="127"/>
        <v>6650.96</v>
      </c>
      <c r="R411" s="17">
        <f t="shared" si="128"/>
        <v>6650.96</v>
      </c>
      <c r="S411" s="17">
        <f t="shared" si="129"/>
        <v>6650.96</v>
      </c>
      <c r="T411" s="17">
        <f t="shared" si="130"/>
        <v>13301.92</v>
      </c>
      <c r="U411" s="17">
        <f t="shared" si="131"/>
        <v>9976.4400000000023</v>
      </c>
      <c r="V411" s="17"/>
      <c r="W411" s="17"/>
    </row>
    <row r="412" spans="1:23">
      <c r="A412" s="17" t="s">
        <v>38</v>
      </c>
      <c r="B412" s="17" t="s">
        <v>1131</v>
      </c>
      <c r="C412" s="17">
        <v>8974</v>
      </c>
      <c r="D412" s="17" t="s">
        <v>1142</v>
      </c>
      <c r="E412" s="17"/>
      <c r="F412" s="17"/>
      <c r="G412" s="17">
        <v>2007</v>
      </c>
      <c r="H412" s="17">
        <v>12</v>
      </c>
      <c r="I412" s="8">
        <v>0</v>
      </c>
      <c r="J412" s="17" t="s">
        <v>78</v>
      </c>
      <c r="K412" s="17">
        <v>3</v>
      </c>
      <c r="L412" s="17">
        <f t="shared" si="123"/>
        <v>2010</v>
      </c>
      <c r="M412" s="17">
        <f t="shared" si="124"/>
        <v>2011</v>
      </c>
      <c r="N412" s="17">
        <v>4500</v>
      </c>
      <c r="O412" s="17">
        <f t="shared" si="125"/>
        <v>4500</v>
      </c>
      <c r="P412" s="17">
        <f t="shared" si="126"/>
        <v>125</v>
      </c>
      <c r="Q412" s="17">
        <f t="shared" si="127"/>
        <v>1500</v>
      </c>
      <c r="R412" s="17">
        <f t="shared" si="128"/>
        <v>0</v>
      </c>
      <c r="S412" s="17">
        <f t="shared" si="129"/>
        <v>4500</v>
      </c>
      <c r="T412" s="17">
        <f t="shared" si="130"/>
        <v>4500</v>
      </c>
      <c r="U412" s="17">
        <f t="shared" si="131"/>
        <v>0</v>
      </c>
      <c r="V412" s="17"/>
      <c r="W412" s="17" t="s">
        <v>97</v>
      </c>
    </row>
    <row r="413" spans="1:23">
      <c r="A413" s="17" t="s">
        <v>38</v>
      </c>
      <c r="B413" s="17" t="s">
        <v>1131</v>
      </c>
      <c r="C413" s="17">
        <v>9186</v>
      </c>
      <c r="D413" s="17" t="s">
        <v>1140</v>
      </c>
      <c r="E413" s="17"/>
      <c r="F413" s="17"/>
      <c r="G413" s="17">
        <v>2008</v>
      </c>
      <c r="H413" s="17">
        <v>2</v>
      </c>
      <c r="I413" s="8">
        <v>0.33</v>
      </c>
      <c r="J413" s="17" t="s">
        <v>78</v>
      </c>
      <c r="K413" s="17">
        <v>5</v>
      </c>
      <c r="L413" s="17">
        <f t="shared" si="123"/>
        <v>2013</v>
      </c>
      <c r="M413" s="17">
        <f t="shared" si="124"/>
        <v>2013.1666666666667</v>
      </c>
      <c r="N413" s="17">
        <f>102695+19750.49</f>
        <v>122445.49</v>
      </c>
      <c r="O413" s="17">
        <f t="shared" si="125"/>
        <v>82038.478300000002</v>
      </c>
      <c r="P413" s="17">
        <f t="shared" si="126"/>
        <v>1367.3079716666668</v>
      </c>
      <c r="Q413" s="17">
        <f t="shared" si="127"/>
        <v>16407.695660000001</v>
      </c>
      <c r="R413" s="17">
        <f t="shared" si="128"/>
        <v>0</v>
      </c>
      <c r="S413" s="17">
        <f t="shared" si="129"/>
        <v>122445.49</v>
      </c>
      <c r="T413" s="17">
        <f t="shared" si="130"/>
        <v>82038.478300000002</v>
      </c>
      <c r="U413" s="17">
        <f t="shared" si="131"/>
        <v>0</v>
      </c>
      <c r="V413" s="17"/>
      <c r="W413" s="17" t="s">
        <v>300</v>
      </c>
    </row>
    <row r="414" spans="1:23">
      <c r="A414" s="17" t="s">
        <v>38</v>
      </c>
      <c r="B414" s="17" t="s">
        <v>1131</v>
      </c>
      <c r="C414" s="17">
        <v>9182</v>
      </c>
      <c r="D414" s="17" t="s">
        <v>1140</v>
      </c>
      <c r="E414" s="17"/>
      <c r="F414" s="17"/>
      <c r="G414" s="17">
        <v>2008</v>
      </c>
      <c r="H414" s="17">
        <v>2</v>
      </c>
      <c r="I414" s="8">
        <v>0.33</v>
      </c>
      <c r="J414" s="17" t="s">
        <v>78</v>
      </c>
      <c r="K414" s="17">
        <v>5</v>
      </c>
      <c r="L414" s="17">
        <f t="shared" si="123"/>
        <v>2013</v>
      </c>
      <c r="M414" s="17">
        <f t="shared" si="124"/>
        <v>2013.1666666666667</v>
      </c>
      <c r="N414" s="17">
        <f>102695+18521.9</f>
        <v>121216.9</v>
      </c>
      <c r="O414" s="17">
        <f t="shared" si="125"/>
        <v>81215.323000000004</v>
      </c>
      <c r="P414" s="17">
        <f t="shared" si="126"/>
        <v>1353.5887166666669</v>
      </c>
      <c r="Q414" s="17">
        <f t="shared" si="127"/>
        <v>16243.064600000002</v>
      </c>
      <c r="R414" s="17">
        <f t="shared" si="128"/>
        <v>0</v>
      </c>
      <c r="S414" s="17">
        <f t="shared" si="129"/>
        <v>121216.9</v>
      </c>
      <c r="T414" s="17">
        <f t="shared" si="130"/>
        <v>81215.323000000004</v>
      </c>
      <c r="U414" s="17">
        <f t="shared" si="131"/>
        <v>0</v>
      </c>
      <c r="V414" s="17"/>
      <c r="W414" s="17" t="s">
        <v>300</v>
      </c>
    </row>
    <row r="415" spans="1:23">
      <c r="A415" s="17" t="s">
        <v>38</v>
      </c>
      <c r="B415" s="17" t="s">
        <v>1131</v>
      </c>
      <c r="C415" s="17">
        <v>9182</v>
      </c>
      <c r="D415" s="17" t="s">
        <v>1143</v>
      </c>
      <c r="E415" s="17"/>
      <c r="F415" s="17"/>
      <c r="G415" s="17">
        <v>2015</v>
      </c>
      <c r="H415" s="17">
        <v>7</v>
      </c>
      <c r="I415" s="8">
        <v>0</v>
      </c>
      <c r="J415" s="17" t="s">
        <v>78</v>
      </c>
      <c r="K415" s="17">
        <v>3</v>
      </c>
      <c r="L415" s="17">
        <f t="shared" si="123"/>
        <v>2018</v>
      </c>
      <c r="M415" s="17">
        <f t="shared" si="124"/>
        <v>2018.5833333333333</v>
      </c>
      <c r="N415" s="17">
        <v>14954.14</v>
      </c>
      <c r="O415" s="17">
        <f t="shared" si="125"/>
        <v>14954.14</v>
      </c>
      <c r="P415" s="17">
        <f t="shared" si="126"/>
        <v>415.39277777777778</v>
      </c>
      <c r="Q415" s="17">
        <f t="shared" si="127"/>
        <v>4984.7133333333331</v>
      </c>
      <c r="R415" s="17">
        <f t="shared" si="128"/>
        <v>4984.7133333333331</v>
      </c>
      <c r="S415" s="17">
        <f t="shared" si="129"/>
        <v>9969.4266666666663</v>
      </c>
      <c r="T415" s="17">
        <f t="shared" si="130"/>
        <v>14954.14</v>
      </c>
      <c r="U415" s="17">
        <f t="shared" si="131"/>
        <v>2492.3566666666666</v>
      </c>
      <c r="V415" s="17"/>
      <c r="W415" s="17"/>
    </row>
    <row r="416" spans="1:23">
      <c r="A416" s="17" t="s">
        <v>38</v>
      </c>
      <c r="B416" s="17"/>
      <c r="C416" s="17">
        <v>9183</v>
      </c>
      <c r="D416" s="17" t="s">
        <v>1138</v>
      </c>
      <c r="E416" s="17">
        <v>128835</v>
      </c>
      <c r="F416" s="17">
        <v>90573</v>
      </c>
      <c r="G416" s="17">
        <v>2015</v>
      </c>
      <c r="H416" s="17">
        <v>9</v>
      </c>
      <c r="I416" s="8">
        <v>0</v>
      </c>
      <c r="J416" s="17" t="s">
        <v>78</v>
      </c>
      <c r="K416" s="17">
        <v>3</v>
      </c>
      <c r="L416" s="17">
        <f t="shared" si="123"/>
        <v>2018</v>
      </c>
      <c r="M416" s="17">
        <f t="shared" si="124"/>
        <v>2018.75</v>
      </c>
      <c r="N416" s="17">
        <v>18252.93</v>
      </c>
      <c r="O416" s="17">
        <f t="shared" si="125"/>
        <v>18252.93</v>
      </c>
      <c r="P416" s="17">
        <f t="shared" si="126"/>
        <v>507.02583333333337</v>
      </c>
      <c r="Q416" s="17">
        <f t="shared" si="127"/>
        <v>6084.31</v>
      </c>
      <c r="R416" s="17">
        <f t="shared" si="128"/>
        <v>6084.31</v>
      </c>
      <c r="S416" s="17">
        <f t="shared" si="129"/>
        <v>12168.62</v>
      </c>
      <c r="T416" s="17">
        <f t="shared" si="130"/>
        <v>18252.93</v>
      </c>
      <c r="U416" s="17">
        <f t="shared" si="131"/>
        <v>3042.1549999999997</v>
      </c>
      <c r="V416" s="17"/>
      <c r="W416" s="17"/>
    </row>
    <row r="417" spans="1:24">
      <c r="A417" s="17" t="s">
        <v>38</v>
      </c>
      <c r="B417" s="17" t="s">
        <v>1131</v>
      </c>
      <c r="C417" s="17">
        <v>9183</v>
      </c>
      <c r="D417" s="17" t="s">
        <v>1140</v>
      </c>
      <c r="E417" s="17"/>
      <c r="F417" s="17"/>
      <c r="G417" s="17">
        <v>2008</v>
      </c>
      <c r="H417" s="17">
        <v>2</v>
      </c>
      <c r="I417" s="8">
        <v>0.33</v>
      </c>
      <c r="J417" s="17" t="s">
        <v>78</v>
      </c>
      <c r="K417" s="17">
        <v>5</v>
      </c>
      <c r="L417" s="17">
        <f t="shared" si="123"/>
        <v>2013</v>
      </c>
      <c r="M417" s="17">
        <f t="shared" si="124"/>
        <v>2013.1666666666667</v>
      </c>
      <c r="N417" s="17">
        <f>102695+26015.41</f>
        <v>128710.41</v>
      </c>
      <c r="O417" s="17">
        <f t="shared" si="125"/>
        <v>86235.974699999992</v>
      </c>
      <c r="P417" s="17">
        <f t="shared" si="126"/>
        <v>1437.2662449999998</v>
      </c>
      <c r="Q417" s="17">
        <f t="shared" si="127"/>
        <v>17247.194939999998</v>
      </c>
      <c r="R417" s="17">
        <f t="shared" si="128"/>
        <v>0</v>
      </c>
      <c r="S417" s="17">
        <f t="shared" si="129"/>
        <v>128710.41</v>
      </c>
      <c r="T417" s="17">
        <f t="shared" si="130"/>
        <v>86235.974699999992</v>
      </c>
      <c r="U417" s="17">
        <f t="shared" si="131"/>
        <v>0</v>
      </c>
      <c r="V417" s="17"/>
      <c r="W417" s="17" t="s">
        <v>300</v>
      </c>
      <c r="X417" s="17"/>
    </row>
    <row r="418" spans="1:24">
      <c r="A418" s="17" t="s">
        <v>38</v>
      </c>
      <c r="B418" s="17" t="s">
        <v>1131</v>
      </c>
      <c r="C418" s="17">
        <v>8495</v>
      </c>
      <c r="D418" s="17" t="s">
        <v>1137</v>
      </c>
      <c r="E418" s="17"/>
      <c r="F418" s="17"/>
      <c r="G418" s="17">
        <v>2007</v>
      </c>
      <c r="H418" s="17">
        <v>12</v>
      </c>
      <c r="I418" s="8">
        <v>0.33</v>
      </c>
      <c r="J418" s="17" t="s">
        <v>78</v>
      </c>
      <c r="K418" s="17">
        <v>5</v>
      </c>
      <c r="L418" s="17">
        <f t="shared" si="123"/>
        <v>2012</v>
      </c>
      <c r="M418" s="17">
        <f t="shared" si="124"/>
        <v>2013</v>
      </c>
      <c r="N418" s="17">
        <v>43240</v>
      </c>
      <c r="O418" s="17">
        <f t="shared" si="125"/>
        <v>28970.799999999999</v>
      </c>
      <c r="P418" s="17">
        <f t="shared" si="126"/>
        <v>482.84666666666664</v>
      </c>
      <c r="Q418" s="17">
        <f t="shared" si="127"/>
        <v>5794.16</v>
      </c>
      <c r="R418" s="17">
        <f t="shared" si="128"/>
        <v>0</v>
      </c>
      <c r="S418" s="17">
        <f t="shared" si="129"/>
        <v>43240</v>
      </c>
      <c r="T418" s="17">
        <f t="shared" si="130"/>
        <v>28970.799999999999</v>
      </c>
      <c r="U418" s="17">
        <f t="shared" si="131"/>
        <v>0</v>
      </c>
      <c r="V418" s="17"/>
      <c r="W418" s="17" t="s">
        <v>97</v>
      </c>
      <c r="X418" s="17"/>
    </row>
    <row r="419" spans="1:24">
      <c r="A419" s="17" t="s">
        <v>38</v>
      </c>
      <c r="B419" s="17" t="s">
        <v>1131</v>
      </c>
      <c r="C419" s="17">
        <v>9188</v>
      </c>
      <c r="D419" s="17" t="s">
        <v>1144</v>
      </c>
      <c r="E419" s="17"/>
      <c r="F419" s="17"/>
      <c r="G419" s="17">
        <v>2004</v>
      </c>
      <c r="H419" s="17">
        <v>12</v>
      </c>
      <c r="I419" s="8">
        <v>0.2</v>
      </c>
      <c r="J419" s="17" t="s">
        <v>78</v>
      </c>
      <c r="K419" s="17">
        <v>7</v>
      </c>
      <c r="L419" s="17">
        <f t="shared" si="123"/>
        <v>2011</v>
      </c>
      <c r="M419" s="17">
        <f t="shared" si="124"/>
        <v>2012</v>
      </c>
      <c r="N419" s="17">
        <v>180204.92</v>
      </c>
      <c r="O419" s="17">
        <f t="shared" si="125"/>
        <v>144163.93600000002</v>
      </c>
      <c r="P419" s="17">
        <f t="shared" si="126"/>
        <v>1716.2373333333335</v>
      </c>
      <c r="Q419" s="17">
        <f t="shared" si="127"/>
        <v>20594.848000000002</v>
      </c>
      <c r="R419" s="17">
        <f t="shared" si="128"/>
        <v>0</v>
      </c>
      <c r="S419" s="17">
        <f t="shared" si="129"/>
        <v>180204.92</v>
      </c>
      <c r="T419" s="17">
        <f t="shared" si="130"/>
        <v>144163.93600000002</v>
      </c>
      <c r="U419" s="17">
        <f t="shared" si="131"/>
        <v>0</v>
      </c>
      <c r="V419" s="17"/>
      <c r="W419" s="17" t="s">
        <v>300</v>
      </c>
      <c r="X419" s="17"/>
    </row>
    <row r="420" spans="1:24">
      <c r="A420" s="17" t="s">
        <v>38</v>
      </c>
      <c r="B420" s="17" t="s">
        <v>1131</v>
      </c>
      <c r="C420" s="17">
        <v>9188</v>
      </c>
      <c r="D420" s="17" t="s">
        <v>1145</v>
      </c>
      <c r="E420" s="17"/>
      <c r="F420" s="17"/>
      <c r="G420" s="17">
        <v>2007</v>
      </c>
      <c r="H420" s="17">
        <v>12</v>
      </c>
      <c r="I420" s="8">
        <v>0.2</v>
      </c>
      <c r="J420" s="17" t="s">
        <v>78</v>
      </c>
      <c r="K420" s="17">
        <v>7</v>
      </c>
      <c r="L420" s="17">
        <f t="shared" si="123"/>
        <v>2014</v>
      </c>
      <c r="M420" s="17">
        <f t="shared" si="124"/>
        <v>2015</v>
      </c>
      <c r="N420" s="17">
        <v>7985</v>
      </c>
      <c r="O420" s="17">
        <f t="shared" si="125"/>
        <v>6388</v>
      </c>
      <c r="P420" s="17">
        <f t="shared" si="126"/>
        <v>76.047619047619051</v>
      </c>
      <c r="Q420" s="17">
        <f t="shared" si="127"/>
        <v>912.57142857142867</v>
      </c>
      <c r="R420" s="17">
        <f t="shared" si="128"/>
        <v>0</v>
      </c>
      <c r="S420" s="17">
        <f t="shared" si="129"/>
        <v>7985</v>
      </c>
      <c r="T420" s="17">
        <f t="shared" si="130"/>
        <v>6388</v>
      </c>
      <c r="U420" s="17">
        <f t="shared" si="131"/>
        <v>0</v>
      </c>
      <c r="V420" s="17"/>
      <c r="W420" s="17" t="s">
        <v>300</v>
      </c>
      <c r="X420" s="17"/>
    </row>
    <row r="421" spans="1:24">
      <c r="A421" s="17" t="s">
        <v>38</v>
      </c>
      <c r="B421" s="17" t="s">
        <v>1131</v>
      </c>
      <c r="C421" s="17">
        <v>9187</v>
      </c>
      <c r="D421" s="17" t="s">
        <v>1146</v>
      </c>
      <c r="E421" s="17"/>
      <c r="F421" s="17"/>
      <c r="G421" s="17">
        <v>2004</v>
      </c>
      <c r="H421" s="17">
        <v>12</v>
      </c>
      <c r="I421" s="8">
        <v>0.2</v>
      </c>
      <c r="J421" s="17" t="s">
        <v>78</v>
      </c>
      <c r="K421" s="17">
        <v>7</v>
      </c>
      <c r="L421" s="17">
        <f t="shared" si="123"/>
        <v>2011</v>
      </c>
      <c r="M421" s="17">
        <f t="shared" si="124"/>
        <v>2012</v>
      </c>
      <c r="N421" s="17">
        <v>180204.92</v>
      </c>
      <c r="O421" s="17">
        <f t="shared" si="125"/>
        <v>144163.93600000002</v>
      </c>
      <c r="P421" s="17">
        <f t="shared" si="126"/>
        <v>1716.2373333333335</v>
      </c>
      <c r="Q421" s="17">
        <f t="shared" si="127"/>
        <v>20594.848000000002</v>
      </c>
      <c r="R421" s="17">
        <f t="shared" si="128"/>
        <v>0</v>
      </c>
      <c r="S421" s="17">
        <f t="shared" si="129"/>
        <v>180204.92</v>
      </c>
      <c r="T421" s="17">
        <f t="shared" si="130"/>
        <v>144163.93600000002</v>
      </c>
      <c r="U421" s="17">
        <f t="shared" si="131"/>
        <v>0</v>
      </c>
      <c r="V421" s="17"/>
      <c r="W421" s="17" t="s">
        <v>300</v>
      </c>
      <c r="X421" s="17"/>
    </row>
    <row r="422" spans="1:24">
      <c r="A422" s="17" t="s">
        <v>38</v>
      </c>
      <c r="B422" s="17" t="s">
        <v>1131</v>
      </c>
      <c r="C422" s="17">
        <v>9187</v>
      </c>
      <c r="D422" s="17" t="s">
        <v>1145</v>
      </c>
      <c r="E422" s="17"/>
      <c r="F422" s="17"/>
      <c r="G422" s="17">
        <v>2007</v>
      </c>
      <c r="H422" s="17">
        <v>12</v>
      </c>
      <c r="I422" s="8">
        <v>0.2</v>
      </c>
      <c r="J422" s="17" t="s">
        <v>78</v>
      </c>
      <c r="K422" s="17">
        <v>7</v>
      </c>
      <c r="L422" s="17">
        <f t="shared" si="123"/>
        <v>2014</v>
      </c>
      <c r="M422" s="17">
        <f t="shared" si="124"/>
        <v>2015</v>
      </c>
      <c r="N422" s="17">
        <v>7660</v>
      </c>
      <c r="O422" s="17">
        <f t="shared" si="125"/>
        <v>6128</v>
      </c>
      <c r="P422" s="17">
        <f t="shared" si="126"/>
        <v>72.952380952380949</v>
      </c>
      <c r="Q422" s="17">
        <f t="shared" si="127"/>
        <v>875.42857142857133</v>
      </c>
      <c r="R422" s="17">
        <f t="shared" si="128"/>
        <v>0</v>
      </c>
      <c r="S422" s="17">
        <f t="shared" si="129"/>
        <v>7660</v>
      </c>
      <c r="T422" s="17">
        <f t="shared" si="130"/>
        <v>6128</v>
      </c>
      <c r="U422" s="17">
        <f t="shared" si="131"/>
        <v>0</v>
      </c>
      <c r="V422" s="17"/>
      <c r="W422" s="17" t="s">
        <v>300</v>
      </c>
      <c r="X422" s="17"/>
    </row>
    <row r="423" spans="1:24">
      <c r="A423" s="17" t="s">
        <v>38</v>
      </c>
      <c r="B423" s="17" t="s">
        <v>1131</v>
      </c>
      <c r="C423" s="17">
        <v>8498</v>
      </c>
      <c r="D423" s="17" t="s">
        <v>1137</v>
      </c>
      <c r="E423" s="17"/>
      <c r="F423" s="17"/>
      <c r="G423" s="17">
        <v>2007</v>
      </c>
      <c r="H423" s="17">
        <v>12</v>
      </c>
      <c r="I423" s="8">
        <v>0.33</v>
      </c>
      <c r="J423" s="17" t="s">
        <v>78</v>
      </c>
      <c r="K423" s="17">
        <v>5</v>
      </c>
      <c r="L423" s="17">
        <f t="shared" si="123"/>
        <v>2012</v>
      </c>
      <c r="M423" s="17">
        <f t="shared" si="124"/>
        <v>2013</v>
      </c>
      <c r="N423" s="17">
        <v>43240</v>
      </c>
      <c r="O423" s="17">
        <f t="shared" si="125"/>
        <v>28970.799999999999</v>
      </c>
      <c r="P423" s="17">
        <f t="shared" si="126"/>
        <v>482.84666666666664</v>
      </c>
      <c r="Q423" s="17">
        <f t="shared" si="127"/>
        <v>5794.16</v>
      </c>
      <c r="R423" s="17">
        <f t="shared" si="128"/>
        <v>0</v>
      </c>
      <c r="S423" s="17">
        <f t="shared" si="129"/>
        <v>43240</v>
      </c>
      <c r="T423" s="17">
        <f t="shared" si="130"/>
        <v>28970.799999999999</v>
      </c>
      <c r="U423" s="17">
        <f t="shared" si="131"/>
        <v>0</v>
      </c>
      <c r="V423" s="17"/>
      <c r="W423" s="17" t="s">
        <v>97</v>
      </c>
      <c r="X423" s="17"/>
    </row>
    <row r="424" spans="1:24">
      <c r="A424" s="17" t="s">
        <v>38</v>
      </c>
      <c r="B424" s="17"/>
      <c r="C424" s="17">
        <v>8498</v>
      </c>
      <c r="D424" s="17" t="s">
        <v>1138</v>
      </c>
      <c r="E424" s="17">
        <v>131235</v>
      </c>
      <c r="F424" s="17">
        <v>90583</v>
      </c>
      <c r="G424" s="17">
        <v>2016</v>
      </c>
      <c r="H424" s="17">
        <v>1</v>
      </c>
      <c r="I424" s="8">
        <v>0</v>
      </c>
      <c r="J424" s="17" t="s">
        <v>78</v>
      </c>
      <c r="K424" s="17">
        <v>3</v>
      </c>
      <c r="L424" s="17">
        <f t="shared" si="123"/>
        <v>2019</v>
      </c>
      <c r="M424" s="17">
        <f t="shared" si="124"/>
        <v>2019.0833333333333</v>
      </c>
      <c r="N424" s="17">
        <v>24548.74</v>
      </c>
      <c r="O424" s="17">
        <f t="shared" si="125"/>
        <v>24548.74</v>
      </c>
      <c r="P424" s="17">
        <f t="shared" si="126"/>
        <v>681.90944444444449</v>
      </c>
      <c r="Q424" s="17">
        <f t="shared" si="127"/>
        <v>8182.9133333333339</v>
      </c>
      <c r="R424" s="17">
        <f t="shared" si="128"/>
        <v>8182.9133333333339</v>
      </c>
      <c r="S424" s="17">
        <f t="shared" si="129"/>
        <v>8182.9133333333339</v>
      </c>
      <c r="T424" s="17">
        <f t="shared" si="130"/>
        <v>16365.826666666668</v>
      </c>
      <c r="U424" s="17">
        <f>+IF(R424=0,0,((N424-S424)+(N424-T424))/2)</f>
        <v>12274.37</v>
      </c>
      <c r="V424" s="17"/>
      <c r="W424" s="17"/>
      <c r="X424" s="17"/>
    </row>
    <row r="425" spans="1:24">
      <c r="A425" s="17" t="s">
        <v>38</v>
      </c>
      <c r="B425" s="17"/>
      <c r="C425" s="17">
        <v>8496</v>
      </c>
      <c r="D425" s="17" t="s">
        <v>1138</v>
      </c>
      <c r="E425" s="17">
        <v>128834</v>
      </c>
      <c r="F425" s="17">
        <v>90585</v>
      </c>
      <c r="G425" s="17">
        <v>2015</v>
      </c>
      <c r="H425" s="17">
        <v>9</v>
      </c>
      <c r="I425" s="8">
        <v>0</v>
      </c>
      <c r="J425" s="17" t="s">
        <v>78</v>
      </c>
      <c r="K425" s="17">
        <v>3</v>
      </c>
      <c r="L425" s="17">
        <f t="shared" si="123"/>
        <v>2018</v>
      </c>
      <c r="M425" s="17">
        <f t="shared" si="124"/>
        <v>2018.75</v>
      </c>
      <c r="N425" s="17">
        <v>19982.97</v>
      </c>
      <c r="O425" s="17">
        <f t="shared" si="125"/>
        <v>19982.97</v>
      </c>
      <c r="P425" s="17">
        <f t="shared" si="126"/>
        <v>555.0825000000001</v>
      </c>
      <c r="Q425" s="17">
        <f t="shared" si="127"/>
        <v>6660.9900000000016</v>
      </c>
      <c r="R425" s="17">
        <f t="shared" si="128"/>
        <v>6660.9900000000016</v>
      </c>
      <c r="S425" s="17">
        <f t="shared" si="129"/>
        <v>13321.980000000003</v>
      </c>
      <c r="T425" s="17">
        <f t="shared" si="130"/>
        <v>19982.970000000005</v>
      </c>
      <c r="U425" s="17">
        <f t="shared" si="131"/>
        <v>3330.4949999999972</v>
      </c>
      <c r="V425" s="17"/>
      <c r="W425" s="17"/>
      <c r="X425" s="17"/>
    </row>
    <row r="426" spans="1:24">
      <c r="A426" s="17" t="s">
        <v>38</v>
      </c>
      <c r="B426" s="17" t="s">
        <v>1131</v>
      </c>
      <c r="C426" s="17">
        <v>8496</v>
      </c>
      <c r="D426" s="17" t="s">
        <v>1137</v>
      </c>
      <c r="E426" s="17"/>
      <c r="F426" s="17"/>
      <c r="G426" s="17">
        <v>2007</v>
      </c>
      <c r="H426" s="17">
        <v>12</v>
      </c>
      <c r="I426" s="8">
        <v>0.33</v>
      </c>
      <c r="J426" s="17" t="s">
        <v>78</v>
      </c>
      <c r="K426" s="17">
        <v>5</v>
      </c>
      <c r="L426" s="17">
        <f t="shared" si="123"/>
        <v>2012</v>
      </c>
      <c r="M426" s="17">
        <f t="shared" si="124"/>
        <v>2013</v>
      </c>
      <c r="N426" s="17">
        <v>43240</v>
      </c>
      <c r="O426" s="17">
        <f t="shared" si="125"/>
        <v>28970.799999999999</v>
      </c>
      <c r="P426" s="17">
        <f t="shared" si="126"/>
        <v>482.84666666666664</v>
      </c>
      <c r="Q426" s="17">
        <f t="shared" si="127"/>
        <v>5794.16</v>
      </c>
      <c r="R426" s="17">
        <f t="shared" si="128"/>
        <v>0</v>
      </c>
      <c r="S426" s="17">
        <f t="shared" si="129"/>
        <v>43240</v>
      </c>
      <c r="T426" s="17">
        <f t="shared" si="130"/>
        <v>28970.799999999999</v>
      </c>
      <c r="U426" s="17">
        <f t="shared" si="131"/>
        <v>0</v>
      </c>
      <c r="V426" s="17"/>
      <c r="W426" s="17" t="s">
        <v>97</v>
      </c>
      <c r="X426" s="17"/>
    </row>
    <row r="427" spans="1:24">
      <c r="A427" s="17" t="s">
        <v>280</v>
      </c>
      <c r="B427" s="17" t="s">
        <v>281</v>
      </c>
      <c r="C427" s="17">
        <v>8881</v>
      </c>
      <c r="D427" s="17" t="s">
        <v>294</v>
      </c>
      <c r="E427" s="17"/>
      <c r="F427" s="17"/>
      <c r="G427" s="17">
        <v>2004</v>
      </c>
      <c r="H427" s="17">
        <v>4</v>
      </c>
      <c r="I427" s="8">
        <v>0.2</v>
      </c>
      <c r="J427" s="17" t="s">
        <v>78</v>
      </c>
      <c r="K427" s="17">
        <v>7</v>
      </c>
      <c r="L427" s="17">
        <f t="shared" si="123"/>
        <v>2011</v>
      </c>
      <c r="M427" s="17">
        <f t="shared" si="124"/>
        <v>2011.3333333333333</v>
      </c>
      <c r="N427" s="17">
        <v>39286.080000000002</v>
      </c>
      <c r="O427" s="17">
        <f t="shared" si="125"/>
        <v>31428.864000000001</v>
      </c>
      <c r="P427" s="17">
        <f t="shared" si="126"/>
        <v>374.15314285714288</v>
      </c>
      <c r="Q427" s="17">
        <f t="shared" si="127"/>
        <v>4489.8377142857144</v>
      </c>
      <c r="R427" s="17">
        <f t="shared" si="128"/>
        <v>0</v>
      </c>
      <c r="S427" s="17">
        <f t="shared" si="129"/>
        <v>39286.080000000002</v>
      </c>
      <c r="T427" s="17">
        <f t="shared" si="130"/>
        <v>31428.864000000001</v>
      </c>
      <c r="U427" s="17">
        <f t="shared" si="131"/>
        <v>0</v>
      </c>
      <c r="V427" s="17"/>
      <c r="W427" s="17" t="s">
        <v>97</v>
      </c>
      <c r="X427" s="17"/>
    </row>
    <row r="430" spans="1:24">
      <c r="A430" s="17"/>
      <c r="B430" s="17" t="s">
        <v>332</v>
      </c>
      <c r="C430" s="17"/>
      <c r="D430" s="17"/>
      <c r="E430" s="17"/>
      <c r="F430" s="17"/>
      <c r="G430" s="17"/>
      <c r="H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</row>
    <row r="431" spans="1:24">
      <c r="A431" s="17" t="s">
        <v>221</v>
      </c>
      <c r="B431" s="17" t="s">
        <v>111</v>
      </c>
      <c r="C431" s="17">
        <v>3577</v>
      </c>
      <c r="D431" s="17" t="s">
        <v>333</v>
      </c>
      <c r="E431" s="17">
        <v>66892</v>
      </c>
      <c r="F431" s="17"/>
      <c r="G431" s="17">
        <v>2005</v>
      </c>
      <c r="H431" s="17">
        <v>3</v>
      </c>
      <c r="I431" s="8">
        <v>0.2</v>
      </c>
      <c r="J431" s="17" t="s">
        <v>78</v>
      </c>
      <c r="K431" s="17">
        <v>7</v>
      </c>
      <c r="L431" s="17">
        <f>G431+K431</f>
        <v>2012</v>
      </c>
      <c r="M431" s="17">
        <f>+L431+(H431/12)</f>
        <v>2012.25</v>
      </c>
      <c r="N431" s="17">
        <v>172559.21</v>
      </c>
      <c r="O431" s="17">
        <f>N431-N431*I431</f>
        <v>138047.36799999999</v>
      </c>
      <c r="P431" s="17">
        <f>O431/K431/12</f>
        <v>1643.4210476190474</v>
      </c>
      <c r="Q431" s="17">
        <f>P431*12</f>
        <v>19721.052571428569</v>
      </c>
      <c r="R431" s="17">
        <f>+IF(M431&lt;=$O$6,0,IF(L431&gt;$O$5,Q431,(P431*G431)))</f>
        <v>0</v>
      </c>
      <c r="S431" s="17">
        <f>+IF(R431=0,N431,IF($O$5-G431&lt;1,0,(($O$5-G431)*Q431)))</f>
        <v>172559.21</v>
      </c>
      <c r="T431" s="17">
        <f>+IF(R431=0,S431,S431+R431)-(N431-O431)</f>
        <v>138047.36799999999</v>
      </c>
      <c r="U431" s="17">
        <f>+IF(R431=0,0,((N431-S431)+(N431-T431))/2)</f>
        <v>0</v>
      </c>
      <c r="V431" s="17"/>
      <c r="W431" s="17"/>
      <c r="X431" s="17" t="s">
        <v>300</v>
      </c>
    </row>
    <row r="432" spans="1:24">
      <c r="A432" s="17" t="s">
        <v>334</v>
      </c>
      <c r="B432" s="17" t="s">
        <v>207</v>
      </c>
      <c r="C432" s="17">
        <v>2021</v>
      </c>
      <c r="D432" s="17" t="s">
        <v>335</v>
      </c>
      <c r="E432" s="17">
        <v>60746</v>
      </c>
      <c r="F432" s="17"/>
      <c r="G432" s="17">
        <v>2003</v>
      </c>
      <c r="H432" s="17">
        <v>7</v>
      </c>
      <c r="I432" s="8">
        <v>0.2</v>
      </c>
      <c r="J432" s="17" t="s">
        <v>78</v>
      </c>
      <c r="K432" s="17">
        <v>7</v>
      </c>
      <c r="L432" s="17">
        <f>G432+K432</f>
        <v>2010</v>
      </c>
      <c r="M432" s="17">
        <f>+L432+(H432/12)</f>
        <v>2010.5833333333333</v>
      </c>
      <c r="N432" s="17">
        <f>164889.08+6244.2</f>
        <v>171133.28</v>
      </c>
      <c r="O432" s="17">
        <f>N432-N432*I432</f>
        <v>136906.62400000001</v>
      </c>
      <c r="P432" s="17">
        <f>O432/K432/12</f>
        <v>1629.8407619047621</v>
      </c>
      <c r="Q432" s="17">
        <f>P432*12</f>
        <v>19558.089142857145</v>
      </c>
      <c r="R432" s="17">
        <f>+IF(M432&lt;=$O$6,0,IF(L432&gt;$O$5,Q432,(P432*G432)))</f>
        <v>0</v>
      </c>
      <c r="S432" s="17">
        <f>+IF(R432=0,N432,IF($O$5-G432&lt;1,0,(($O$5-G432)*Q432)))</f>
        <v>171133.28</v>
      </c>
      <c r="T432" s="17">
        <f>+IF(R432=0,S432,S432+R432)-(N432-O432)</f>
        <v>136906.62400000001</v>
      </c>
      <c r="U432" s="17">
        <f>+IF(R432=0,0,((N432-S432)+(N432-T432))/2)</f>
        <v>0</v>
      </c>
      <c r="V432" s="17"/>
      <c r="W432" s="17"/>
      <c r="X432" s="17"/>
    </row>
    <row r="443" spans="2:38">
      <c r="B443" s="17">
        <v>2182</v>
      </c>
      <c r="C443" s="17">
        <v>195818</v>
      </c>
      <c r="D443" s="17" t="s">
        <v>97</v>
      </c>
      <c r="E443" s="17" t="s">
        <v>403</v>
      </c>
      <c r="F443" s="17"/>
      <c r="G443" s="17"/>
      <c r="H443" s="17"/>
      <c r="I443" s="8" t="s">
        <v>1147</v>
      </c>
      <c r="J443" s="17">
        <v>2016</v>
      </c>
      <c r="K443" s="17" t="s">
        <v>1148</v>
      </c>
      <c r="L443" s="17"/>
      <c r="M443" s="17" t="s">
        <v>1149</v>
      </c>
      <c r="N443" s="17">
        <v>43206</v>
      </c>
      <c r="O443" s="17">
        <v>43206</v>
      </c>
      <c r="P443" s="17" t="s">
        <v>1150</v>
      </c>
      <c r="Q443" s="17">
        <v>800</v>
      </c>
      <c r="R443" s="17">
        <v>14040</v>
      </c>
      <c r="S443" s="17">
        <v>116812</v>
      </c>
      <c r="T443" s="17">
        <v>14046</v>
      </c>
      <c r="U443" s="17">
        <v>3650.37</v>
      </c>
      <c r="V443" s="17">
        <v>113161.63</v>
      </c>
      <c r="W443" s="17">
        <v>3650.37</v>
      </c>
      <c r="X443" s="17">
        <v>51260</v>
      </c>
      <c r="Y443" s="17">
        <v>1216.79</v>
      </c>
      <c r="Z443" s="17" t="s">
        <v>97</v>
      </c>
      <c r="AA443" s="17"/>
      <c r="AB443" s="17" t="s">
        <v>1151</v>
      </c>
      <c r="AC443" s="17"/>
      <c r="AD443" s="17" t="s">
        <v>1152</v>
      </c>
      <c r="AE443" s="17" t="s">
        <v>1153</v>
      </c>
      <c r="AF443" s="17" t="s">
        <v>1154</v>
      </c>
      <c r="AG443" s="17"/>
      <c r="AH443" s="17" t="s">
        <v>1155</v>
      </c>
      <c r="AI443" s="17">
        <v>0</v>
      </c>
      <c r="AJ443" s="17">
        <v>0</v>
      </c>
      <c r="AK443" s="17">
        <v>0</v>
      </c>
      <c r="AL443" s="17" t="s">
        <v>1156</v>
      </c>
    </row>
    <row r="444" spans="2:38">
      <c r="B444" s="17">
        <v>2182</v>
      </c>
      <c r="C444" s="17">
        <v>199419</v>
      </c>
      <c r="D444" s="17">
        <v>195818</v>
      </c>
      <c r="E444" s="17" t="s">
        <v>404</v>
      </c>
      <c r="F444" s="17"/>
      <c r="G444" s="17"/>
      <c r="H444" s="17"/>
      <c r="J444" s="17">
        <v>0</v>
      </c>
      <c r="K444" s="17" t="s">
        <v>1157</v>
      </c>
      <c r="L444" s="17"/>
      <c r="M444" s="17" t="s">
        <v>1158</v>
      </c>
      <c r="N444" s="17">
        <v>43206</v>
      </c>
      <c r="O444" s="17">
        <v>43206</v>
      </c>
      <c r="P444" s="17" t="s">
        <v>1150</v>
      </c>
      <c r="Q444" s="17">
        <v>800</v>
      </c>
      <c r="R444" s="17">
        <v>14040</v>
      </c>
      <c r="S444" s="17">
        <v>6467.4</v>
      </c>
      <c r="T444" s="17">
        <v>14046</v>
      </c>
      <c r="U444" s="17">
        <v>202.11</v>
      </c>
      <c r="V444" s="17">
        <v>6265.29</v>
      </c>
      <c r="W444" s="17">
        <v>202.11</v>
      </c>
      <c r="X444" s="17">
        <v>51260</v>
      </c>
      <c r="Y444" s="17">
        <v>67.37</v>
      </c>
      <c r="Z444" s="17" t="s">
        <v>97</v>
      </c>
      <c r="AA444" s="17"/>
      <c r="AB444" s="17">
        <v>36887</v>
      </c>
      <c r="AC444" s="17"/>
      <c r="AD444" s="17" t="s">
        <v>1152</v>
      </c>
      <c r="AE444" s="17" t="s">
        <v>1153</v>
      </c>
      <c r="AF444" s="17" t="s">
        <v>1154</v>
      </c>
      <c r="AG444" s="17"/>
      <c r="AH444" s="17" t="s">
        <v>1155</v>
      </c>
      <c r="AI444" s="17">
        <v>0</v>
      </c>
      <c r="AJ444" s="17">
        <v>0</v>
      </c>
      <c r="AK444" s="17">
        <v>0</v>
      </c>
      <c r="AL444" s="17" t="s">
        <v>1156</v>
      </c>
    </row>
    <row r="445" spans="2:38">
      <c r="B445" s="17">
        <v>2182</v>
      </c>
      <c r="C445" s="17">
        <v>195819</v>
      </c>
      <c r="D445" s="17" t="s">
        <v>97</v>
      </c>
      <c r="E445" s="17" t="s">
        <v>403</v>
      </c>
      <c r="F445" s="17"/>
      <c r="G445" s="17"/>
      <c r="H445" s="17"/>
      <c r="I445" s="8" t="s">
        <v>1147</v>
      </c>
      <c r="J445" s="17">
        <v>2016</v>
      </c>
      <c r="K445" s="17" t="s">
        <v>1148</v>
      </c>
      <c r="L445" s="17"/>
      <c r="M445" s="17" t="s">
        <v>1149</v>
      </c>
      <c r="N445" s="17">
        <v>43206</v>
      </c>
      <c r="O445" s="17">
        <v>43206</v>
      </c>
      <c r="P445" s="17" t="s">
        <v>1159</v>
      </c>
      <c r="Q445" s="17">
        <v>800</v>
      </c>
      <c r="R445" s="17">
        <v>14040</v>
      </c>
      <c r="S445" s="17">
        <v>116812</v>
      </c>
      <c r="T445" s="17">
        <v>14046</v>
      </c>
      <c r="U445" s="17">
        <v>3650.37</v>
      </c>
      <c r="V445" s="17">
        <v>113161.63</v>
      </c>
      <c r="W445" s="17">
        <v>3650.37</v>
      </c>
      <c r="X445" s="17">
        <v>51260</v>
      </c>
      <c r="Y445" s="17">
        <v>1216.79</v>
      </c>
      <c r="Z445" s="17" t="s">
        <v>97</v>
      </c>
      <c r="AA445" s="17"/>
      <c r="AB445" s="17" t="s">
        <v>1160</v>
      </c>
      <c r="AC445" s="17"/>
      <c r="AD445" s="17" t="s">
        <v>1152</v>
      </c>
      <c r="AE445" s="17" t="s">
        <v>1153</v>
      </c>
      <c r="AF445" s="17" t="s">
        <v>1154</v>
      </c>
      <c r="AG445" s="17"/>
      <c r="AH445" s="17" t="s">
        <v>1155</v>
      </c>
      <c r="AI445" s="17">
        <v>0</v>
      </c>
      <c r="AJ445" s="17">
        <v>0</v>
      </c>
      <c r="AK445" s="17">
        <v>0</v>
      </c>
      <c r="AL445" s="17" t="s">
        <v>1156</v>
      </c>
    </row>
    <row r="446" spans="2:38">
      <c r="B446" s="17">
        <v>2182</v>
      </c>
      <c r="C446" s="17">
        <v>199420</v>
      </c>
      <c r="D446" s="17">
        <v>195819</v>
      </c>
      <c r="E446" s="17" t="s">
        <v>404</v>
      </c>
      <c r="F446" s="17"/>
      <c r="G446" s="17"/>
      <c r="H446" s="17"/>
      <c r="J446" s="17">
        <v>0</v>
      </c>
      <c r="K446" s="17" t="s">
        <v>1157</v>
      </c>
      <c r="L446" s="17"/>
      <c r="M446" s="17" t="s">
        <v>1158</v>
      </c>
      <c r="N446" s="17">
        <v>43206</v>
      </c>
      <c r="O446" s="17">
        <v>43206</v>
      </c>
      <c r="P446" s="17" t="s">
        <v>1159</v>
      </c>
      <c r="Q446" s="17">
        <v>800</v>
      </c>
      <c r="R446" s="17">
        <v>14040</v>
      </c>
      <c r="S446" s="17">
        <v>6467.4</v>
      </c>
      <c r="T446" s="17">
        <v>14046</v>
      </c>
      <c r="U446" s="17">
        <v>202.11</v>
      </c>
      <c r="V446" s="17">
        <v>6265.29</v>
      </c>
      <c r="W446" s="17">
        <v>202.11</v>
      </c>
      <c r="X446" s="17">
        <v>51260</v>
      </c>
      <c r="Y446" s="17">
        <v>67.37</v>
      </c>
      <c r="Z446" s="17" t="s">
        <v>97</v>
      </c>
      <c r="AA446" s="17"/>
      <c r="AB446" s="17">
        <v>36888</v>
      </c>
      <c r="AC446" s="17"/>
      <c r="AD446" s="17" t="s">
        <v>1152</v>
      </c>
      <c r="AE446" s="17" t="s">
        <v>1153</v>
      </c>
      <c r="AF446" s="17" t="s">
        <v>1154</v>
      </c>
      <c r="AG446" s="17"/>
      <c r="AH446" s="17" t="s">
        <v>1155</v>
      </c>
      <c r="AI446" s="17">
        <v>0</v>
      </c>
      <c r="AJ446" s="17">
        <v>0</v>
      </c>
      <c r="AK446" s="17">
        <v>0</v>
      </c>
      <c r="AL446" s="17" t="s">
        <v>1156</v>
      </c>
    </row>
  </sheetData>
  <mergeCells count="3">
    <mergeCell ref="B3:D3"/>
    <mergeCell ref="G10:H10"/>
    <mergeCell ref="G11:H11"/>
  </mergeCells>
  <pageMargins left="0.7" right="0.7" top="0.75" bottom="0.75" header="0.3" footer="0.3"/>
  <pageSetup scale="29" fitToHeight="3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2022-07-18T07:00:00+00:00</OpenedDate>
    <SignificantOrder xmlns="dc463f71-b30c-4ab2-9473-d307f9d35888">false</SignificantOrder>
    <Date1 xmlns="dc463f71-b30c-4ab2-9473-d307f9d35888">2022-07-21T07:00:00+00:00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</CaseCompanyNames>
    <Nickname xmlns="http://schemas.microsoft.com/sharepoint/v3" xsi:nil="true"/>
    <DocketNumber xmlns="dc463f71-b30c-4ab2-9473-d307f9d35888">220548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1326EF7B193D14AB6707D90B1E8EDBD" ma:contentTypeVersion="20" ma:contentTypeDescription="" ma:contentTypeScope="" ma:versionID="0b06fed6ee95e51f13c260357058991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71908D-1760-4B96-961E-C3DEF300A8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472692-BE84-4260-B0FB-4F7A85CD9EC2}"/>
</file>

<file path=customXml/itemProps3.xml><?xml version="1.0" encoding="utf-8"?>
<ds:datastoreItem xmlns:ds="http://schemas.openxmlformats.org/officeDocument/2006/customXml" ds:itemID="{669CA4B5-75BC-4EEE-A36D-10A36900F3E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4E3A5D13-3C13-4A49-A644-1623DCA25D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18</vt:i4>
      </vt:variant>
    </vt:vector>
  </HeadingPairs>
  <TitlesOfParts>
    <vt:vector size="29" baseType="lpstr">
      <vt:lpstr>FAR 6.30.22</vt:lpstr>
      <vt:lpstr>FAR 12.2021 - For Lookup</vt:lpstr>
      <vt:lpstr>FAR Dep Summary</vt:lpstr>
      <vt:lpstr>2022 Bud CapEx</vt:lpstr>
      <vt:lpstr>2180 Deprec</vt:lpstr>
      <vt:lpstr>2180 Trucks</vt:lpstr>
      <vt:lpstr>2180 Cont, DB</vt:lpstr>
      <vt:lpstr>2180 Other</vt:lpstr>
      <vt:lpstr>2180 Trucks - Orig.</vt:lpstr>
      <vt:lpstr>2180 Other - Orig.</vt:lpstr>
      <vt:lpstr>Ratios (C)</vt:lpstr>
      <vt:lpstr>DetailBudYear</vt:lpstr>
      <vt:lpstr>DetailDistrict</vt:lpstr>
      <vt:lpstr>'2022 Bud CapEx'!Print_Area</vt:lpstr>
      <vt:lpstr>'2180 Cont, DB'!Print_Area</vt:lpstr>
      <vt:lpstr>'2180 Deprec'!Print_Area</vt:lpstr>
      <vt:lpstr>'2180 Other'!Print_Area</vt:lpstr>
      <vt:lpstr>'2180 Other - Orig.'!Print_Area</vt:lpstr>
      <vt:lpstr>'2180 Trucks'!Print_Area</vt:lpstr>
      <vt:lpstr>'2180 Trucks - Orig.'!Print_Area</vt:lpstr>
      <vt:lpstr>'FAR 6.30.22'!Print_Area</vt:lpstr>
      <vt:lpstr>'Ratios (C)'!Print_Area</vt:lpstr>
      <vt:lpstr>'2022 Bud CapEx'!Print_Titles</vt:lpstr>
      <vt:lpstr>'2180 Cont, DB'!Print_Titles</vt:lpstr>
      <vt:lpstr>'2180 Other'!Print_Titles</vt:lpstr>
      <vt:lpstr>'2180 Other - Orig.'!Print_Titles</vt:lpstr>
      <vt:lpstr>'2180 Trucks'!Print_Titles</vt:lpstr>
      <vt:lpstr>'2180 Trucks - Orig.'!Print_Titles</vt:lpstr>
      <vt:lpstr>'FAR 6.30.22'!Print_Titles</vt:lpstr>
    </vt:vector>
  </TitlesOfParts>
  <Manager/>
  <Company>Waste Connections,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HeatherL</dc:creator>
  <cp:keywords/>
  <dc:description/>
  <cp:lastModifiedBy>Akasha Leffler</cp:lastModifiedBy>
  <cp:revision/>
  <cp:lastPrinted>2022-07-18T19:19:37Z</cp:lastPrinted>
  <dcterms:created xsi:type="dcterms:W3CDTF">2010-12-20T17:52:58Z</dcterms:created>
  <dcterms:modified xsi:type="dcterms:W3CDTF">2022-07-18T19:20:10Z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0x0101006E56B4D1795A2E4DB2F0B01679ED314A00B1326EF7B193D14AB6707D90B1E8EDBD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